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166925"/>
  <mc:AlternateContent xmlns:mc="http://schemas.openxmlformats.org/markup-compatibility/2006">
    <mc:Choice Requires="x15">
      <x15ac:absPath xmlns:x15ac="http://schemas.microsoft.com/office/spreadsheetml/2010/11/ac" url="/Users/y/Desktop/box/Desktop_folder/2025/20251030_to_Andrea_LINAC_lattice/"/>
    </mc:Choice>
  </mc:AlternateContent>
  <xr:revisionPtr revIDLastSave="0" documentId="13_ncr:1_{B9310174-CACC-B646-B084-63CCE3064C48}" xr6:coauthVersionLast="47" xr6:coauthVersionMax="47" xr10:uidLastSave="{00000000-0000-0000-0000-000000000000}"/>
  <bookViews>
    <workbookView xWindow="4800" yWindow="1080" windowWidth="29040" windowHeight="18560" activeTab="5" xr2:uid="{B4B395B5-84AE-4888-99F1-64FAEB5C8D4C}"/>
  </bookViews>
  <sheets>
    <sheet name="readme" sheetId="22" r:id="rId1"/>
    <sheet name="magnet_list" sheetId="20" r:id="rId2"/>
    <sheet name="設計座標" sheetId="14" r:id="rId3"/>
    <sheet name="測地線補正" sheetId="19" r:id="rId4"/>
    <sheet name="survey_data" sheetId="11" r:id="rId5"/>
    <sheet name="lattice" sheetId="21" r:id="rId6"/>
    <sheet name="Sheet1" sheetId="23" r:id="rId7"/>
  </sheets>
  <externalReferences>
    <externalReference r:id="rId8"/>
    <externalReference r:id="rId9"/>
  </externalReferences>
  <definedNames>
    <definedName name="_xlnm._FilterDatabase" localSheetId="5" hidden="1">lattice!$A$12:$E$1984</definedName>
    <definedName name="_xlnm._FilterDatabase" localSheetId="2" hidden="1">設計座標!$B$1:$D$2322</definedName>
    <definedName name="solver_adj" localSheetId="3" hidden="1">測地線補正!$N$2:$Q$2</definedName>
    <definedName name="solver_cvg" localSheetId="3" hidden="1">0.0001</definedName>
    <definedName name="solver_drv" localSheetId="3" hidden="1">2</definedName>
    <definedName name="solver_eng" localSheetId="3" hidden="1">1</definedName>
    <definedName name="solver_est" localSheetId="3" hidden="1">1</definedName>
    <definedName name="solver_itr" localSheetId="3" hidden="1">2147483647</definedName>
    <definedName name="solver_mip" localSheetId="3" hidden="1">2147483647</definedName>
    <definedName name="solver_mni" localSheetId="3" hidden="1">30</definedName>
    <definedName name="solver_mrt" localSheetId="3" hidden="1">0.075</definedName>
    <definedName name="solver_msl" localSheetId="3" hidden="1">1</definedName>
    <definedName name="solver_neg" localSheetId="3" hidden="1">2</definedName>
    <definedName name="solver_nod" localSheetId="3" hidden="1">2147483647</definedName>
    <definedName name="solver_num" localSheetId="3" hidden="1">0</definedName>
    <definedName name="solver_nwt" localSheetId="3" hidden="1">1</definedName>
    <definedName name="solver_opt" localSheetId="3" hidden="1">測地線補正!$U$2</definedName>
    <definedName name="solver_pre" localSheetId="3" hidden="1">0.000001</definedName>
    <definedName name="solver_rbv" localSheetId="3" hidden="1">2</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21" l="1"/>
  <c r="Y15" i="21"/>
  <c r="Y16" i="21"/>
  <c r="Y17" i="21"/>
  <c r="Y18" i="21"/>
  <c r="Y19" i="21"/>
  <c r="Y20" i="21"/>
  <c r="Y21" i="21"/>
  <c r="Y22" i="21"/>
  <c r="Y23" i="21"/>
  <c r="Y24" i="21"/>
  <c r="Y25" i="21"/>
  <c r="Y26" i="21"/>
  <c r="Y27" i="21"/>
  <c r="Y28" i="21"/>
  <c r="Y29" i="21"/>
  <c r="Y30" i="21"/>
  <c r="Y31" i="21"/>
  <c r="Y32" i="21"/>
  <c r="Y33" i="21"/>
  <c r="Y34" i="21"/>
  <c r="Y35" i="21"/>
  <c r="Y36" i="21"/>
  <c r="Y37" i="21"/>
  <c r="Y38" i="21"/>
  <c r="Y39" i="21"/>
  <c r="Y40" i="21"/>
  <c r="Y41" i="21"/>
  <c r="Y42" i="21"/>
  <c r="Y43" i="21"/>
  <c r="Y44" i="21"/>
  <c r="Y45" i="21"/>
  <c r="Y46" i="21"/>
  <c r="Y47" i="21"/>
  <c r="Y48" i="21"/>
  <c r="Y49" i="21"/>
  <c r="Y50" i="21"/>
  <c r="Y51" i="21"/>
  <c r="Y52" i="21"/>
  <c r="Y53" i="21"/>
  <c r="Y54" i="21"/>
  <c r="Y55" i="21"/>
  <c r="Y56" i="21"/>
  <c r="Y57" i="21"/>
  <c r="Y58" i="21"/>
  <c r="Y59" i="21"/>
  <c r="Y60" i="21"/>
  <c r="Y61" i="21"/>
  <c r="Y62" i="21"/>
  <c r="Y63" i="21"/>
  <c r="Y64" i="21"/>
  <c r="Y65" i="21"/>
  <c r="Y66" i="21"/>
  <c r="Y67" i="21"/>
  <c r="Y68" i="21"/>
  <c r="Y69" i="21"/>
  <c r="Y70" i="21"/>
  <c r="Y71" i="21"/>
  <c r="Y72" i="21"/>
  <c r="Y73" i="21"/>
  <c r="Y74" i="21"/>
  <c r="Y75" i="21"/>
  <c r="Y76" i="21"/>
  <c r="Y77" i="21"/>
  <c r="Y78" i="21"/>
  <c r="Y79" i="21"/>
  <c r="Y80" i="21"/>
  <c r="Y81" i="21"/>
  <c r="Y82" i="21"/>
  <c r="Y83" i="21"/>
  <c r="Y84" i="21"/>
  <c r="Y85" i="21"/>
  <c r="Y86" i="21"/>
  <c r="Y87" i="21"/>
  <c r="Y88" i="21"/>
  <c r="Y89" i="21"/>
  <c r="Y90" i="21"/>
  <c r="Y91" i="21"/>
  <c r="Y92" i="21"/>
  <c r="Y93" i="21"/>
  <c r="Y94" i="21"/>
  <c r="Y95" i="21"/>
  <c r="Y96" i="21"/>
  <c r="Y97" i="21"/>
  <c r="Y98" i="21"/>
  <c r="Y99" i="21"/>
  <c r="Y100" i="21"/>
  <c r="Y101" i="21"/>
  <c r="Y102" i="21"/>
  <c r="Y103" i="21"/>
  <c r="Y104" i="21"/>
  <c r="Y105" i="21"/>
  <c r="Y106" i="21"/>
  <c r="Y107" i="21"/>
  <c r="Y108" i="21"/>
  <c r="Y109" i="21"/>
  <c r="Y110" i="21"/>
  <c r="Y111" i="21"/>
  <c r="Y112" i="21"/>
  <c r="Y113" i="21"/>
  <c r="Y114" i="21"/>
  <c r="Y115" i="21"/>
  <c r="Y116" i="21"/>
  <c r="Y117" i="21"/>
  <c r="Y118" i="21"/>
  <c r="Y119" i="21"/>
  <c r="Y120" i="21"/>
  <c r="Y121" i="21"/>
  <c r="Y122" i="21"/>
  <c r="Y123" i="21"/>
  <c r="Y124" i="21"/>
  <c r="Y125" i="21"/>
  <c r="Y126" i="21"/>
  <c r="Y127" i="21"/>
  <c r="Y128" i="21"/>
  <c r="Y129" i="21"/>
  <c r="Y130" i="21"/>
  <c r="Y131" i="21"/>
  <c r="Y132" i="21"/>
  <c r="Y133" i="21"/>
  <c r="Y134" i="21"/>
  <c r="Y135" i="21"/>
  <c r="Y136" i="21"/>
  <c r="Y137" i="21"/>
  <c r="Y138" i="21"/>
  <c r="Y139" i="21"/>
  <c r="Y140" i="21"/>
  <c r="Y141" i="21"/>
  <c r="Y142" i="21"/>
  <c r="Y143" i="21"/>
  <c r="Y144" i="21"/>
  <c r="Y145" i="21"/>
  <c r="Y146" i="21"/>
  <c r="Y147" i="21"/>
  <c r="Y148" i="21"/>
  <c r="Y149" i="21"/>
  <c r="Y150" i="21"/>
  <c r="Y151" i="21"/>
  <c r="Y152" i="21"/>
  <c r="Y153" i="21"/>
  <c r="Y154" i="21"/>
  <c r="Y155" i="21"/>
  <c r="Y156" i="21"/>
  <c r="Y157" i="21"/>
  <c r="Y158" i="21"/>
  <c r="Y159" i="21"/>
  <c r="Y160" i="21"/>
  <c r="Y161" i="21"/>
  <c r="Y162" i="21"/>
  <c r="Y163" i="21"/>
  <c r="Y164" i="21"/>
  <c r="Y165" i="21"/>
  <c r="Y166" i="21"/>
  <c r="Y167" i="21"/>
  <c r="Y168" i="21"/>
  <c r="Y169" i="21"/>
  <c r="Y170" i="21"/>
  <c r="Y171" i="21"/>
  <c r="Y172" i="21"/>
  <c r="Y173" i="21"/>
  <c r="Y174" i="21"/>
  <c r="Y175" i="21"/>
  <c r="Y176" i="21"/>
  <c r="Y177" i="21"/>
  <c r="Y178" i="21"/>
  <c r="Y179" i="21"/>
  <c r="Y180" i="21"/>
  <c r="Y181" i="21"/>
  <c r="Y182" i="21"/>
  <c r="Y183" i="21"/>
  <c r="Y184" i="21"/>
  <c r="Y185" i="21"/>
  <c r="Y186" i="21"/>
  <c r="Y187" i="21"/>
  <c r="Y188" i="21"/>
  <c r="Y189" i="21"/>
  <c r="Y190" i="21"/>
  <c r="Y191" i="21"/>
  <c r="Y192" i="21"/>
  <c r="Y193" i="21"/>
  <c r="Y194" i="21"/>
  <c r="Y195" i="21"/>
  <c r="Y196" i="21"/>
  <c r="Y197" i="21"/>
  <c r="Y198" i="21"/>
  <c r="Y199" i="21"/>
  <c r="Y200" i="21"/>
  <c r="Y201" i="21"/>
  <c r="Y202" i="21"/>
  <c r="Y203" i="21"/>
  <c r="Y204" i="21"/>
  <c r="Y205" i="21"/>
  <c r="Y206" i="21"/>
  <c r="Y207" i="21"/>
  <c r="Y208" i="21"/>
  <c r="Y209" i="21"/>
  <c r="Y210" i="21"/>
  <c r="Y211" i="21"/>
  <c r="Y212" i="21"/>
  <c r="Y213" i="21"/>
  <c r="Y214" i="21"/>
  <c r="Y215" i="21"/>
  <c r="Y216" i="21"/>
  <c r="Y217" i="21"/>
  <c r="Y218" i="21"/>
  <c r="Y219" i="21"/>
  <c r="Y220" i="21"/>
  <c r="Y221" i="21"/>
  <c r="Y222" i="21"/>
  <c r="Y223" i="21"/>
  <c r="Y224" i="21"/>
  <c r="Y225" i="21"/>
  <c r="Y226" i="21"/>
  <c r="Y227" i="21"/>
  <c r="Y228" i="21"/>
  <c r="Y229" i="21"/>
  <c r="Y230" i="21"/>
  <c r="Y231" i="21"/>
  <c r="Y232" i="21"/>
  <c r="Y233" i="21"/>
  <c r="Y234" i="21"/>
  <c r="Y235" i="21"/>
  <c r="Y236" i="21"/>
  <c r="Y237" i="21"/>
  <c r="Y238" i="21"/>
  <c r="Y239" i="21"/>
  <c r="Y240" i="21"/>
  <c r="Y241" i="21"/>
  <c r="Y242" i="21"/>
  <c r="Y243" i="21"/>
  <c r="Y244" i="21"/>
  <c r="Y245" i="21"/>
  <c r="Y246" i="21"/>
  <c r="Y247" i="21"/>
  <c r="Y248" i="21"/>
  <c r="Y249" i="21"/>
  <c r="Y250" i="21"/>
  <c r="Y251" i="21"/>
  <c r="Y252" i="21"/>
  <c r="Y253" i="21"/>
  <c r="Y254" i="21"/>
  <c r="Y255" i="21"/>
  <c r="Y256" i="21"/>
  <c r="Y257" i="21"/>
  <c r="Y258" i="21"/>
  <c r="Y259" i="21"/>
  <c r="Y260" i="21"/>
  <c r="Y261" i="21"/>
  <c r="Y262" i="21"/>
  <c r="Y263" i="21"/>
  <c r="Y264" i="21"/>
  <c r="Y265" i="21"/>
  <c r="Y266" i="21"/>
  <c r="Y267" i="21"/>
  <c r="Y268" i="21"/>
  <c r="Y269" i="21"/>
  <c r="Y270" i="21"/>
  <c r="Y271" i="21"/>
  <c r="Y272" i="21"/>
  <c r="Y273" i="21"/>
  <c r="Y274" i="21"/>
  <c r="Y275" i="21"/>
  <c r="Y276" i="21"/>
  <c r="Y277" i="21"/>
  <c r="Y278" i="21"/>
  <c r="Y279" i="21"/>
  <c r="Y280" i="21"/>
  <c r="Y281" i="21"/>
  <c r="Y282" i="21"/>
  <c r="Y283" i="21"/>
  <c r="Y284" i="21"/>
  <c r="Y285" i="21"/>
  <c r="Y286" i="21"/>
  <c r="Y287" i="21"/>
  <c r="Y288" i="21"/>
  <c r="Y289" i="21"/>
  <c r="Y290" i="21"/>
  <c r="Y291" i="21"/>
  <c r="Y292" i="21"/>
  <c r="Y293" i="21"/>
  <c r="Y294" i="21"/>
  <c r="Y295" i="21"/>
  <c r="Y296" i="21"/>
  <c r="Y297" i="21"/>
  <c r="Y298" i="21"/>
  <c r="Y299" i="21"/>
  <c r="Y300" i="21"/>
  <c r="Y301" i="21"/>
  <c r="Y302" i="21"/>
  <c r="Y303" i="21"/>
  <c r="Y304" i="21"/>
  <c r="Y305" i="21"/>
  <c r="Y306" i="21"/>
  <c r="Y307" i="21"/>
  <c r="Y308" i="21"/>
  <c r="Y309" i="21"/>
  <c r="Y310" i="21"/>
  <c r="Y311" i="21"/>
  <c r="Y312" i="21"/>
  <c r="Y313" i="21"/>
  <c r="Y314" i="21"/>
  <c r="Y315" i="21"/>
  <c r="Y316" i="21"/>
  <c r="Y317" i="21"/>
  <c r="Y318" i="21"/>
  <c r="Y319" i="21"/>
  <c r="Y320" i="21"/>
  <c r="Y321" i="21"/>
  <c r="Y322" i="21"/>
  <c r="Y323" i="21"/>
  <c r="Y324" i="21"/>
  <c r="Y325" i="21"/>
  <c r="Y326" i="21"/>
  <c r="Y327" i="21"/>
  <c r="Y328" i="21"/>
  <c r="Y329" i="21"/>
  <c r="Y330" i="21"/>
  <c r="Y331" i="21"/>
  <c r="Y332" i="21"/>
  <c r="Y333" i="21"/>
  <c r="Y334" i="21"/>
  <c r="Y335" i="21"/>
  <c r="Y336" i="21"/>
  <c r="Y337" i="21"/>
  <c r="Y338" i="21"/>
  <c r="Y339" i="21"/>
  <c r="Y340" i="21"/>
  <c r="Y341" i="21"/>
  <c r="Y342" i="21"/>
  <c r="Y343" i="21"/>
  <c r="Y344" i="21"/>
  <c r="Y345" i="21"/>
  <c r="Y346" i="21"/>
  <c r="Y347" i="21"/>
  <c r="Y348" i="21"/>
  <c r="Y349" i="21"/>
  <c r="Y350" i="21"/>
  <c r="Y351" i="21"/>
  <c r="Y352" i="21"/>
  <c r="Y353" i="21"/>
  <c r="Y354" i="21"/>
  <c r="Y355" i="21"/>
  <c r="Y356" i="21"/>
  <c r="Y357" i="21"/>
  <c r="Y358" i="21"/>
  <c r="Y359" i="21"/>
  <c r="Y360" i="21"/>
  <c r="Y361" i="21"/>
  <c r="Y362" i="21"/>
  <c r="Y363" i="21"/>
  <c r="Y364" i="21"/>
  <c r="Y365" i="21"/>
  <c r="Y366" i="21"/>
  <c r="Y367" i="21"/>
  <c r="Y368" i="21"/>
  <c r="Y369" i="21"/>
  <c r="Y370" i="21"/>
  <c r="Y371" i="21"/>
  <c r="Y372" i="21"/>
  <c r="Y373" i="21"/>
  <c r="Y374" i="21"/>
  <c r="Y375" i="21"/>
  <c r="Y376" i="21"/>
  <c r="Y377" i="21"/>
  <c r="Y378" i="21"/>
  <c r="Y379" i="21"/>
  <c r="Y380" i="21"/>
  <c r="Y381" i="21"/>
  <c r="Y382" i="21"/>
  <c r="Y383" i="21"/>
  <c r="Y384" i="21"/>
  <c r="Y385" i="21"/>
  <c r="Y386" i="21"/>
  <c r="Y387" i="21"/>
  <c r="Y388" i="21"/>
  <c r="Y389" i="21"/>
  <c r="Y390" i="21"/>
  <c r="Y391" i="21"/>
  <c r="Y392" i="21"/>
  <c r="Y393" i="21"/>
  <c r="Y394" i="21"/>
  <c r="Y395" i="21"/>
  <c r="Y396" i="21"/>
  <c r="Y397" i="21"/>
  <c r="Y398" i="21"/>
  <c r="Y399" i="21"/>
  <c r="Y400" i="21"/>
  <c r="Y401" i="21"/>
  <c r="Y402" i="21"/>
  <c r="Y403" i="21"/>
  <c r="Y404" i="21"/>
  <c r="Y405" i="21"/>
  <c r="Y406" i="21"/>
  <c r="Y407" i="21"/>
  <c r="Y408" i="21"/>
  <c r="Y409" i="21"/>
  <c r="Y410" i="21"/>
  <c r="Y411" i="21"/>
  <c r="Y412" i="21"/>
  <c r="Y413" i="21"/>
  <c r="Y414" i="21"/>
  <c r="Y415" i="21"/>
  <c r="Y416" i="21"/>
  <c r="Y417" i="21"/>
  <c r="Y418" i="21"/>
  <c r="Y419" i="21"/>
  <c r="Y420" i="21"/>
  <c r="Y421" i="21"/>
  <c r="Y422" i="21"/>
  <c r="Y423" i="21"/>
  <c r="Y424" i="21"/>
  <c r="Y425" i="21"/>
  <c r="Y426" i="21"/>
  <c r="Y427" i="21"/>
  <c r="Y428" i="21"/>
  <c r="Y429" i="21"/>
  <c r="Y430" i="21"/>
  <c r="Y431" i="21"/>
  <c r="Y432" i="21"/>
  <c r="Y433" i="21"/>
  <c r="Y434" i="21"/>
  <c r="Y435" i="21"/>
  <c r="Y436" i="21"/>
  <c r="Y437" i="21"/>
  <c r="Y438" i="21"/>
  <c r="Y439" i="21"/>
  <c r="Y440" i="21"/>
  <c r="Y441" i="21"/>
  <c r="Y442" i="21"/>
  <c r="Y443" i="21"/>
  <c r="Y444" i="21"/>
  <c r="Y445" i="21"/>
  <c r="Y446" i="21"/>
  <c r="Y447" i="21"/>
  <c r="Y448" i="21"/>
  <c r="Y449" i="21"/>
  <c r="Y450" i="21"/>
  <c r="Y451" i="21"/>
  <c r="Y452" i="21"/>
  <c r="Y453" i="21"/>
  <c r="Y454" i="21"/>
  <c r="Y455" i="21"/>
  <c r="Y456" i="21"/>
  <c r="Y457" i="21"/>
  <c r="Y458" i="21"/>
  <c r="Y459" i="21"/>
  <c r="Y460" i="21"/>
  <c r="Y461" i="21"/>
  <c r="Y462" i="21"/>
  <c r="Y463" i="21"/>
  <c r="Y464" i="21"/>
  <c r="Y465" i="21"/>
  <c r="Y466" i="21"/>
  <c r="Y467" i="21"/>
  <c r="Y468" i="21"/>
  <c r="Y469" i="21"/>
  <c r="Y470" i="21"/>
  <c r="Y471" i="21"/>
  <c r="Y472" i="21"/>
  <c r="Y473" i="21"/>
  <c r="Y474" i="21"/>
  <c r="Y475" i="21"/>
  <c r="Y476" i="21"/>
  <c r="Y477" i="21"/>
  <c r="Y478" i="21"/>
  <c r="Y479" i="21"/>
  <c r="Y480" i="21"/>
  <c r="Y481" i="21"/>
  <c r="Y482" i="21"/>
  <c r="Y483" i="21"/>
  <c r="Y484" i="21"/>
  <c r="Y485" i="21"/>
  <c r="Y486" i="21"/>
  <c r="Y487" i="21"/>
  <c r="Y488" i="21"/>
  <c r="Y489" i="21"/>
  <c r="Y490" i="21"/>
  <c r="Y491" i="21"/>
  <c r="Y492" i="21"/>
  <c r="Y493" i="21"/>
  <c r="Y494" i="21"/>
  <c r="Y495" i="21"/>
  <c r="Y496" i="21"/>
  <c r="Y497" i="21"/>
  <c r="Y498" i="21"/>
  <c r="Y499" i="21"/>
  <c r="Y500" i="21"/>
  <c r="Y501" i="21"/>
  <c r="Y502" i="21"/>
  <c r="Y503" i="21"/>
  <c r="Y504" i="21"/>
  <c r="Y505" i="21"/>
  <c r="Y506" i="21"/>
  <c r="Y507" i="21"/>
  <c r="Y508" i="21"/>
  <c r="Y509" i="21"/>
  <c r="Y510" i="21"/>
  <c r="Y511" i="21"/>
  <c r="Y512" i="21"/>
  <c r="Y513" i="21"/>
  <c r="Y514" i="21"/>
  <c r="Y515" i="21"/>
  <c r="Y516" i="21"/>
  <c r="Y517" i="21"/>
  <c r="Y518" i="21"/>
  <c r="Y519" i="21"/>
  <c r="Y520" i="21"/>
  <c r="Y521" i="21"/>
  <c r="Y522" i="21"/>
  <c r="Y523" i="21"/>
  <c r="Y524" i="21"/>
  <c r="Y525" i="21"/>
  <c r="Y526" i="21"/>
  <c r="Y527" i="21"/>
  <c r="Y528" i="21"/>
  <c r="Y529" i="21"/>
  <c r="Y530" i="21"/>
  <c r="Y531" i="21"/>
  <c r="Y532" i="21"/>
  <c r="Y533" i="21"/>
  <c r="Y534" i="21"/>
  <c r="Y535" i="21"/>
  <c r="Y536" i="21"/>
  <c r="Y537" i="21"/>
  <c r="Y538" i="21"/>
  <c r="Y539" i="21"/>
  <c r="Y540" i="21"/>
  <c r="Y541" i="21"/>
  <c r="Y542" i="21"/>
  <c r="Y543" i="21"/>
  <c r="Y544" i="21"/>
  <c r="Y545" i="21"/>
  <c r="Y546" i="21"/>
  <c r="Y547" i="21"/>
  <c r="Y548" i="21"/>
  <c r="Y549" i="21"/>
  <c r="Y550" i="21"/>
  <c r="Y551" i="21"/>
  <c r="Y552" i="21"/>
  <c r="Y553" i="21"/>
  <c r="Y554" i="21"/>
  <c r="Y555" i="21"/>
  <c r="Y556" i="21"/>
  <c r="Y557" i="21"/>
  <c r="Y558" i="21"/>
  <c r="Y559" i="21"/>
  <c r="Y560" i="21"/>
  <c r="Y561" i="21"/>
  <c r="Y562" i="21"/>
  <c r="Y563" i="21"/>
  <c r="Y564" i="21"/>
  <c r="Y565" i="21"/>
  <c r="Y566" i="21"/>
  <c r="Y567" i="21"/>
  <c r="Y568" i="21"/>
  <c r="Y569" i="21"/>
  <c r="Y570" i="21"/>
  <c r="Y571" i="21"/>
  <c r="Y572" i="21"/>
  <c r="Y573" i="21"/>
  <c r="Y574" i="21"/>
  <c r="Y575" i="21"/>
  <c r="Y576" i="21"/>
  <c r="Y577" i="21"/>
  <c r="Y578" i="21"/>
  <c r="Y579" i="21"/>
  <c r="Y580" i="21"/>
  <c r="Y581" i="21"/>
  <c r="Y582" i="21"/>
  <c r="Y583" i="21"/>
  <c r="Y584" i="21"/>
  <c r="Y585" i="21"/>
  <c r="Y586" i="21"/>
  <c r="Y587" i="21"/>
  <c r="Y588" i="21"/>
  <c r="Y589" i="21"/>
  <c r="Y590" i="21"/>
  <c r="Y591" i="21"/>
  <c r="Y592" i="21"/>
  <c r="Y593" i="21"/>
  <c r="Y594" i="21"/>
  <c r="Y595" i="21"/>
  <c r="Y596" i="21"/>
  <c r="Y597" i="21"/>
  <c r="Y598" i="21"/>
  <c r="Y599" i="21"/>
  <c r="Y600" i="21"/>
  <c r="Y601" i="21"/>
  <c r="Y602" i="21"/>
  <c r="Y603" i="21"/>
  <c r="Y604" i="21"/>
  <c r="Y605" i="21"/>
  <c r="Y606" i="21"/>
  <c r="Y607" i="21"/>
  <c r="Y608" i="21"/>
  <c r="Y609" i="21"/>
  <c r="Y610" i="21"/>
  <c r="Y611" i="21"/>
  <c r="Y612" i="21"/>
  <c r="Y613" i="21"/>
  <c r="Y614" i="21"/>
  <c r="Y615" i="21"/>
  <c r="Y616" i="21"/>
  <c r="Y617" i="21"/>
  <c r="Y618" i="21"/>
  <c r="Y619" i="21"/>
  <c r="Y620" i="21"/>
  <c r="Y621" i="21"/>
  <c r="Y622" i="21"/>
  <c r="Y623" i="21"/>
  <c r="Y624" i="21"/>
  <c r="Y625" i="21"/>
  <c r="Y626" i="21"/>
  <c r="Y627" i="21"/>
  <c r="Y628" i="21"/>
  <c r="Y629" i="21"/>
  <c r="Y630" i="21"/>
  <c r="Y631" i="21"/>
  <c r="Y632" i="21"/>
  <c r="Y633" i="21"/>
  <c r="Y634" i="21"/>
  <c r="Y635" i="21"/>
  <c r="Y636" i="21"/>
  <c r="Y637" i="21"/>
  <c r="Y638" i="21"/>
  <c r="Y639" i="21"/>
  <c r="Y640" i="21"/>
  <c r="Y641" i="21"/>
  <c r="Y642" i="21"/>
  <c r="Y643" i="21"/>
  <c r="Y644" i="21"/>
  <c r="Y645" i="21"/>
  <c r="Y646" i="21"/>
  <c r="Y647" i="21"/>
  <c r="Y648" i="21"/>
  <c r="Y649" i="21"/>
  <c r="Y650" i="21"/>
  <c r="Y651" i="21"/>
  <c r="Y652" i="21"/>
  <c r="Y653" i="21"/>
  <c r="Y654" i="21"/>
  <c r="Y655" i="21"/>
  <c r="Y656" i="21"/>
  <c r="Y657" i="21"/>
  <c r="Y658" i="21"/>
  <c r="Y659" i="21"/>
  <c r="Y660" i="21"/>
  <c r="Y661" i="21"/>
  <c r="Y662" i="21"/>
  <c r="Y663" i="21"/>
  <c r="Y664" i="21"/>
  <c r="Y665" i="21"/>
  <c r="Y666" i="21"/>
  <c r="Y667" i="21"/>
  <c r="Y668" i="21"/>
  <c r="Y669" i="21"/>
  <c r="Y670" i="21"/>
  <c r="Y671" i="21"/>
  <c r="Y672" i="21"/>
  <c r="Y673" i="21"/>
  <c r="Y674" i="21"/>
  <c r="Y675" i="21"/>
  <c r="Y676" i="21"/>
  <c r="Y677" i="21"/>
  <c r="Y678" i="21"/>
  <c r="Y679" i="21"/>
  <c r="Y680" i="21"/>
  <c r="Y681" i="21"/>
  <c r="Y682" i="21"/>
  <c r="Y683" i="21"/>
  <c r="Y684" i="21"/>
  <c r="Y685" i="21"/>
  <c r="Y686" i="21"/>
  <c r="Y687" i="21"/>
  <c r="Y688" i="21"/>
  <c r="Y689" i="21"/>
  <c r="Y690" i="21"/>
  <c r="Y691" i="21"/>
  <c r="Y692" i="21"/>
  <c r="Y693" i="21"/>
  <c r="Y694" i="21"/>
  <c r="Y695" i="21"/>
  <c r="Y696" i="21"/>
  <c r="Y697" i="21"/>
  <c r="Y698" i="21"/>
  <c r="Y699" i="21"/>
  <c r="Y700" i="21"/>
  <c r="Y701" i="21"/>
  <c r="Y702" i="21"/>
  <c r="Y703" i="21"/>
  <c r="Y704" i="21"/>
  <c r="Y705" i="21"/>
  <c r="Y706" i="21"/>
  <c r="Y707" i="21"/>
  <c r="Y708" i="21"/>
  <c r="Y709" i="21"/>
  <c r="Y710" i="21"/>
  <c r="Y711" i="21"/>
  <c r="Y712" i="21"/>
  <c r="Y713" i="21"/>
  <c r="Y714" i="21"/>
  <c r="Y715" i="21"/>
  <c r="Y716" i="21"/>
  <c r="Y717" i="21"/>
  <c r="Y718" i="21"/>
  <c r="Y719" i="21"/>
  <c r="Y720" i="21"/>
  <c r="Y721" i="21"/>
  <c r="Y722" i="21"/>
  <c r="Y723" i="21"/>
  <c r="Y724" i="21"/>
  <c r="Y725" i="21"/>
  <c r="Y726" i="21"/>
  <c r="Y727" i="21"/>
  <c r="Y728" i="21"/>
  <c r="Y729" i="21"/>
  <c r="Y730" i="21"/>
  <c r="Y731" i="21"/>
  <c r="Y732" i="21"/>
  <c r="Y733" i="21"/>
  <c r="Y734" i="21"/>
  <c r="Y735" i="21"/>
  <c r="Y736" i="21"/>
  <c r="Y737" i="21"/>
  <c r="Y738" i="21"/>
  <c r="Y739" i="21"/>
  <c r="Y740" i="21"/>
  <c r="Y741" i="21"/>
  <c r="Y742" i="21"/>
  <c r="Y743" i="21"/>
  <c r="Y744" i="21"/>
  <c r="Y745" i="21"/>
  <c r="Y746" i="21"/>
  <c r="Y747" i="21"/>
  <c r="Y748" i="21"/>
  <c r="Y749" i="21"/>
  <c r="Y750" i="21"/>
  <c r="Y751" i="21"/>
  <c r="Y752" i="21"/>
  <c r="Y753" i="21"/>
  <c r="Y754" i="21"/>
  <c r="Y755" i="21"/>
  <c r="Y756" i="21"/>
  <c r="Y757" i="21"/>
  <c r="Y758" i="21"/>
  <c r="Y759" i="21"/>
  <c r="Y760" i="21"/>
  <c r="Y761" i="21"/>
  <c r="Y762" i="21"/>
  <c r="Y763" i="21"/>
  <c r="Y764" i="21"/>
  <c r="Y765" i="21"/>
  <c r="Y766" i="21"/>
  <c r="Y767" i="21"/>
  <c r="Y768" i="21"/>
  <c r="Y769" i="21"/>
  <c r="Y770" i="21"/>
  <c r="Y771" i="21"/>
  <c r="Y772" i="21"/>
  <c r="Y773" i="21"/>
  <c r="Y774" i="21"/>
  <c r="Y775" i="21"/>
  <c r="Y776" i="21"/>
  <c r="Y777" i="21"/>
  <c r="Y778" i="21"/>
  <c r="Y779" i="21"/>
  <c r="Y780" i="21"/>
  <c r="Y781" i="21"/>
  <c r="Y782" i="21"/>
  <c r="Y783" i="21"/>
  <c r="Y784" i="21"/>
  <c r="Y785" i="21"/>
  <c r="Y786" i="21"/>
  <c r="Y787" i="21"/>
  <c r="Y788" i="21"/>
  <c r="Y789" i="21"/>
  <c r="Y790" i="21"/>
  <c r="Y791" i="21"/>
  <c r="Y792" i="21"/>
  <c r="Y793" i="21"/>
  <c r="Y794" i="21"/>
  <c r="Y795" i="21"/>
  <c r="Y796" i="21"/>
  <c r="Y797" i="21"/>
  <c r="Y798" i="21"/>
  <c r="Y799" i="21"/>
  <c r="Y800" i="21"/>
  <c r="Y801" i="21"/>
  <c r="Y802" i="21"/>
  <c r="Y803" i="21"/>
  <c r="Y804" i="21"/>
  <c r="Y805" i="21"/>
  <c r="Y806" i="21"/>
  <c r="Y807" i="21"/>
  <c r="Y808" i="21"/>
  <c r="Y809" i="21"/>
  <c r="Y810" i="21"/>
  <c r="Y811" i="21"/>
  <c r="Y812" i="21"/>
  <c r="Y813" i="21"/>
  <c r="Y814" i="21"/>
  <c r="Y815" i="21"/>
  <c r="Y816" i="21"/>
  <c r="Y817" i="21"/>
  <c r="Y818" i="21"/>
  <c r="Y819" i="21"/>
  <c r="Y820" i="21"/>
  <c r="Y821" i="21"/>
  <c r="Y822" i="21"/>
  <c r="Y823" i="21"/>
  <c r="Y824" i="21"/>
  <c r="Y825" i="21"/>
  <c r="Y826" i="21"/>
  <c r="Y827" i="21"/>
  <c r="Y828" i="21"/>
  <c r="Y829" i="21"/>
  <c r="Y830" i="21"/>
  <c r="Y831" i="21"/>
  <c r="Y832" i="21"/>
  <c r="Y833" i="21"/>
  <c r="Y834" i="21"/>
  <c r="Y835" i="21"/>
  <c r="Y836" i="21"/>
  <c r="Y837" i="21"/>
  <c r="Y838" i="21"/>
  <c r="Y839" i="21"/>
  <c r="Y840" i="21"/>
  <c r="Y841" i="21"/>
  <c r="Y842" i="21"/>
  <c r="Y843" i="21"/>
  <c r="Y844" i="21"/>
  <c r="Y845" i="21"/>
  <c r="Y846" i="21"/>
  <c r="Y847" i="21"/>
  <c r="Y848" i="21"/>
  <c r="Y849" i="21"/>
  <c r="Y850" i="21"/>
  <c r="Y851" i="21"/>
  <c r="Y852" i="21"/>
  <c r="Y853" i="21"/>
  <c r="Y854" i="21"/>
  <c r="Y855" i="21"/>
  <c r="Y856" i="21"/>
  <c r="Y857" i="21"/>
  <c r="Y858" i="21"/>
  <c r="Y859" i="21"/>
  <c r="Y860" i="21"/>
  <c r="Y861" i="21"/>
  <c r="Y862" i="21"/>
  <c r="Y863" i="21"/>
  <c r="Y864" i="21"/>
  <c r="Y865" i="21"/>
  <c r="Y866" i="21"/>
  <c r="Y867" i="21"/>
  <c r="Y868" i="21"/>
  <c r="Y869" i="21"/>
  <c r="Y870" i="21"/>
  <c r="Y871" i="21"/>
  <c r="Y872" i="21"/>
  <c r="Y873" i="21"/>
  <c r="Y874" i="21"/>
  <c r="Y875" i="21"/>
  <c r="Y876" i="21"/>
  <c r="Y877" i="21"/>
  <c r="Y878" i="21"/>
  <c r="Y879" i="21"/>
  <c r="Y880" i="21"/>
  <c r="Y881" i="21"/>
  <c r="Y882" i="21"/>
  <c r="Y883" i="21"/>
  <c r="Y884" i="21"/>
  <c r="Y885" i="21"/>
  <c r="Y886" i="21"/>
  <c r="Y887" i="21"/>
  <c r="Y888" i="21"/>
  <c r="Y889" i="21"/>
  <c r="Y890" i="21"/>
  <c r="Y891" i="21"/>
  <c r="Y892" i="21"/>
  <c r="Y893" i="21"/>
  <c r="Y894" i="21"/>
  <c r="Y895" i="21"/>
  <c r="Y896" i="21"/>
  <c r="Y897" i="21"/>
  <c r="Y898" i="21"/>
  <c r="Y899" i="21"/>
  <c r="Y900" i="21"/>
  <c r="Y901" i="21"/>
  <c r="Y902" i="21"/>
  <c r="Y903" i="21"/>
  <c r="Y904" i="21"/>
  <c r="Y905" i="21"/>
  <c r="Y906" i="21"/>
  <c r="Y907" i="21"/>
  <c r="Y908" i="21"/>
  <c r="Y909" i="21"/>
  <c r="Y910" i="21"/>
  <c r="Y911" i="21"/>
  <c r="Y912" i="21"/>
  <c r="Y913" i="21"/>
  <c r="Y914" i="21"/>
  <c r="Y915" i="21"/>
  <c r="Y916" i="21"/>
  <c r="Y917" i="21"/>
  <c r="Y918" i="21"/>
  <c r="Y919" i="21"/>
  <c r="Y920" i="21"/>
  <c r="Y921" i="21"/>
  <c r="Y922" i="21"/>
  <c r="Y923" i="21"/>
  <c r="Y924" i="21"/>
  <c r="Y925" i="21"/>
  <c r="Y926" i="21"/>
  <c r="Y927" i="21"/>
  <c r="Y928" i="21"/>
  <c r="Y929" i="21"/>
  <c r="Y930" i="21"/>
  <c r="Y931" i="21"/>
  <c r="Y932" i="21"/>
  <c r="Y933" i="21"/>
  <c r="Y934" i="21"/>
  <c r="Y935" i="21"/>
  <c r="Y936" i="21"/>
  <c r="Y937" i="21"/>
  <c r="Y938" i="21"/>
  <c r="Y939" i="21"/>
  <c r="Y940" i="21"/>
  <c r="Y941" i="21"/>
  <c r="Y942" i="21"/>
  <c r="Y943" i="21"/>
  <c r="Y944" i="21"/>
  <c r="Y945" i="21"/>
  <c r="Y946" i="21"/>
  <c r="Y947" i="21"/>
  <c r="Y948" i="21"/>
  <c r="Y949" i="21"/>
  <c r="Y950" i="21"/>
  <c r="Y951" i="21"/>
  <c r="Y952" i="21"/>
  <c r="Y953" i="21"/>
  <c r="Y954" i="21"/>
  <c r="Y955" i="21"/>
  <c r="Y956" i="21"/>
  <c r="Y957" i="21"/>
  <c r="Y958" i="21"/>
  <c r="Y959" i="21"/>
  <c r="Y960" i="21"/>
  <c r="Y961" i="21"/>
  <c r="Y962" i="21"/>
  <c r="Y963" i="21"/>
  <c r="Y964" i="21"/>
  <c r="Y965" i="21"/>
  <c r="Y966" i="21"/>
  <c r="Y967" i="21"/>
  <c r="Y968" i="21"/>
  <c r="Y969" i="21"/>
  <c r="Y970" i="21"/>
  <c r="Y971" i="21"/>
  <c r="Y972" i="21"/>
  <c r="Y973" i="21"/>
  <c r="Y974" i="21"/>
  <c r="Y975" i="21"/>
  <c r="Y976" i="21"/>
  <c r="Y977" i="21"/>
  <c r="Y978" i="21"/>
  <c r="Y979" i="21"/>
  <c r="Y980" i="21"/>
  <c r="Y981" i="21"/>
  <c r="Y982" i="21"/>
  <c r="Y983" i="21"/>
  <c r="Y984" i="21"/>
  <c r="Y985" i="21"/>
  <c r="Y986" i="21"/>
  <c r="Y987" i="21"/>
  <c r="Y988" i="21"/>
  <c r="Y989" i="21"/>
  <c r="Y990" i="21"/>
  <c r="Y991" i="21"/>
  <c r="Y992" i="21"/>
  <c r="Y993" i="21"/>
  <c r="Y994" i="21"/>
  <c r="Y995" i="21"/>
  <c r="Y996" i="21"/>
  <c r="Y997" i="21"/>
  <c r="Y998" i="21"/>
  <c r="Y999" i="21"/>
  <c r="Y1000" i="21"/>
  <c r="Y1001" i="21"/>
  <c r="Y1002" i="21"/>
  <c r="Y1003" i="21"/>
  <c r="Y1004" i="21"/>
  <c r="Y1005" i="21"/>
  <c r="Y1006" i="21"/>
  <c r="Y1007" i="21"/>
  <c r="Y1008" i="21"/>
  <c r="Y1009" i="21"/>
  <c r="Y1010" i="21"/>
  <c r="Y1011" i="21"/>
  <c r="Y1012" i="21"/>
  <c r="Y1013" i="21"/>
  <c r="Y1014" i="21"/>
  <c r="Y1015" i="21"/>
  <c r="Y1016" i="21"/>
  <c r="Y1017" i="21"/>
  <c r="Y1018" i="21"/>
  <c r="Y1019" i="21"/>
  <c r="Y1020" i="21"/>
  <c r="Y1021" i="21"/>
  <c r="Y1022" i="21"/>
  <c r="Y1023" i="21"/>
  <c r="Y1024" i="21"/>
  <c r="Y1025" i="21"/>
  <c r="Y1026" i="21"/>
  <c r="Y1027" i="21"/>
  <c r="Y1028" i="21"/>
  <c r="Y1029" i="21"/>
  <c r="Y1030" i="21"/>
  <c r="Y1031" i="21"/>
  <c r="Y1032" i="21"/>
  <c r="Y1033" i="21"/>
  <c r="Y1034" i="21"/>
  <c r="Y1035" i="21"/>
  <c r="Y1036" i="21"/>
  <c r="Y1037" i="21"/>
  <c r="Y1038" i="21"/>
  <c r="Y1039" i="21"/>
  <c r="Y1040" i="21"/>
  <c r="Y1041" i="21"/>
  <c r="Y1042" i="21"/>
  <c r="Y1043" i="21"/>
  <c r="Y1044" i="21"/>
  <c r="Y1045" i="21"/>
  <c r="Y1046" i="21"/>
  <c r="Y1047" i="21"/>
  <c r="Y1048" i="21"/>
  <c r="Y1049" i="21"/>
  <c r="Y1050" i="21"/>
  <c r="Y1051" i="21"/>
  <c r="Y1052" i="21"/>
  <c r="Y1053" i="21"/>
  <c r="Y1054" i="21"/>
  <c r="Y1055" i="21"/>
  <c r="Y1056" i="21"/>
  <c r="Y1057" i="21"/>
  <c r="Y1058" i="21"/>
  <c r="Y1059" i="21"/>
  <c r="Y1060" i="21"/>
  <c r="Y1061" i="21"/>
  <c r="Y1062" i="21"/>
  <c r="Y1063" i="21"/>
  <c r="Y1064" i="21"/>
  <c r="Y1065" i="21"/>
  <c r="Y1066" i="21"/>
  <c r="Y1067" i="21"/>
  <c r="Y1068" i="21"/>
  <c r="Y1069" i="21"/>
  <c r="Y1070" i="21"/>
  <c r="Y1071" i="21"/>
  <c r="Y1072" i="21"/>
  <c r="Y1073" i="21"/>
  <c r="Y1074" i="21"/>
  <c r="Y1075" i="21"/>
  <c r="Y1076" i="21"/>
  <c r="Y1077" i="21"/>
  <c r="Y1078" i="21"/>
  <c r="Y1079" i="21"/>
  <c r="Y1080" i="21"/>
  <c r="Y1081" i="21"/>
  <c r="Y1082" i="21"/>
  <c r="Y1083" i="21"/>
  <c r="Y1084" i="21"/>
  <c r="Y1085" i="21"/>
  <c r="Y1086" i="21"/>
  <c r="Y1087" i="21"/>
  <c r="Y1088" i="21"/>
  <c r="Y1089" i="21"/>
  <c r="Y1090" i="21"/>
  <c r="Y1091" i="21"/>
  <c r="Y1092" i="21"/>
  <c r="Y1093" i="21"/>
  <c r="Y1094" i="21"/>
  <c r="Y1095" i="21"/>
  <c r="Y1096" i="21"/>
  <c r="Y1097" i="21"/>
  <c r="Y1098" i="21"/>
  <c r="Y1099" i="21"/>
  <c r="Y1100" i="21"/>
  <c r="Y1101" i="21"/>
  <c r="Y1102" i="21"/>
  <c r="Y1103" i="21"/>
  <c r="Y1104" i="21"/>
  <c r="Y1105" i="21"/>
  <c r="Y1106" i="21"/>
  <c r="Y1107" i="21"/>
  <c r="Y1108" i="21"/>
  <c r="Y1109" i="21"/>
  <c r="Y1110" i="21"/>
  <c r="Y1111" i="21"/>
  <c r="Y1112" i="21"/>
  <c r="Y1113" i="21"/>
  <c r="Y1114" i="21"/>
  <c r="Y1115" i="21"/>
  <c r="Y1116" i="21"/>
  <c r="Y1117" i="21"/>
  <c r="Y1118" i="21"/>
  <c r="Y1119" i="21"/>
  <c r="Y1120" i="21"/>
  <c r="Y1121" i="21"/>
  <c r="Y1122" i="21"/>
  <c r="Y1123" i="21"/>
  <c r="Y1124" i="21"/>
  <c r="Y1125" i="21"/>
  <c r="Y1126" i="21"/>
  <c r="Y1127" i="21"/>
  <c r="Y1128" i="21"/>
  <c r="Y1129" i="21"/>
  <c r="Y1130" i="21"/>
  <c r="Y1131" i="21"/>
  <c r="Y1132" i="21"/>
  <c r="Y1133" i="21"/>
  <c r="Y1134" i="21"/>
  <c r="Y1135" i="21"/>
  <c r="Y1136" i="21"/>
  <c r="Y1137" i="21"/>
  <c r="Y1138" i="21"/>
  <c r="Y1139" i="21"/>
  <c r="Y1140" i="21"/>
  <c r="Y1141" i="21"/>
  <c r="Y1142" i="21"/>
  <c r="Y1143" i="21"/>
  <c r="Y1144" i="21"/>
  <c r="Y1145" i="21"/>
  <c r="Y1146" i="21"/>
  <c r="Y1147" i="21"/>
  <c r="Y1148" i="21"/>
  <c r="Y1149" i="21"/>
  <c r="Y1150" i="21"/>
  <c r="Y1151" i="21"/>
  <c r="Y1152" i="21"/>
  <c r="Y1153" i="21"/>
  <c r="Y1154" i="21"/>
  <c r="Y1155" i="21"/>
  <c r="Y1156" i="21"/>
  <c r="Y1157" i="21"/>
  <c r="Y1158" i="21"/>
  <c r="Y1159" i="21"/>
  <c r="Y1160" i="21"/>
  <c r="Y1161" i="21"/>
  <c r="Y1162" i="21"/>
  <c r="Y1163" i="21"/>
  <c r="Y1164" i="21"/>
  <c r="Y1165" i="21"/>
  <c r="Y1166" i="21"/>
  <c r="Y1167" i="21"/>
  <c r="Y1168" i="21"/>
  <c r="Y1169" i="21"/>
  <c r="Y1170" i="21"/>
  <c r="Y1171" i="21"/>
  <c r="Y1172" i="21"/>
  <c r="Y1173" i="21"/>
  <c r="Y1174" i="21"/>
  <c r="Y1175" i="21"/>
  <c r="Y1176" i="21"/>
  <c r="Y1177" i="21"/>
  <c r="Y1178" i="21"/>
  <c r="Y1179" i="21"/>
  <c r="Y1180" i="21"/>
  <c r="Y1181" i="21"/>
  <c r="Y1182" i="21"/>
  <c r="Y1183" i="21"/>
  <c r="Y1184" i="21"/>
  <c r="Y1185" i="21"/>
  <c r="Y1186" i="21"/>
  <c r="Y1187" i="21"/>
  <c r="Y1188" i="21"/>
  <c r="Y1189" i="21"/>
  <c r="Y1190" i="21"/>
  <c r="Y1191" i="21"/>
  <c r="Y1192" i="21"/>
  <c r="Y1193" i="21"/>
  <c r="Y1194" i="21"/>
  <c r="Y1195" i="21"/>
  <c r="Y1196" i="21"/>
  <c r="Y1197" i="21"/>
  <c r="Y1198" i="21"/>
  <c r="Y1199" i="21"/>
  <c r="Y1200" i="21"/>
  <c r="Y1201" i="21"/>
  <c r="Y1202" i="21"/>
  <c r="Y1203" i="21"/>
  <c r="Y1204" i="21"/>
  <c r="Y1205" i="21"/>
  <c r="Y1206" i="21"/>
  <c r="Y1207" i="21"/>
  <c r="Y1208" i="21"/>
  <c r="Y1209" i="21"/>
  <c r="Y1210" i="21"/>
  <c r="Y1211" i="21"/>
  <c r="Y1212" i="21"/>
  <c r="Y1213" i="21"/>
  <c r="Y1214" i="21"/>
  <c r="Y1215" i="21"/>
  <c r="Y1216" i="21"/>
  <c r="Y1217" i="21"/>
  <c r="Y1218" i="21"/>
  <c r="Y1219" i="21"/>
  <c r="Y1220" i="21"/>
  <c r="Y1221" i="21"/>
  <c r="Y1222" i="21"/>
  <c r="Y1223" i="21"/>
  <c r="Y1224" i="21"/>
  <c r="Y1225" i="21"/>
  <c r="Y1226" i="21"/>
  <c r="Y1227" i="21"/>
  <c r="Y1228" i="21"/>
  <c r="Y1229" i="21"/>
  <c r="Y1230" i="21"/>
  <c r="Y1231" i="21"/>
  <c r="Y1232" i="21"/>
  <c r="Y1233" i="21"/>
  <c r="Y1234" i="21"/>
  <c r="Y1235" i="21"/>
  <c r="Y1236" i="21"/>
  <c r="Y1237" i="21"/>
  <c r="Y1238" i="21"/>
  <c r="Y1239" i="21"/>
  <c r="Y1240" i="21"/>
  <c r="Y1241" i="21"/>
  <c r="Y1242" i="21"/>
  <c r="Y1243" i="21"/>
  <c r="Y1244" i="21"/>
  <c r="Y1245" i="21"/>
  <c r="Y1246" i="21"/>
  <c r="Y1247" i="21"/>
  <c r="Y1248" i="21"/>
  <c r="Y1249" i="21"/>
  <c r="Y1250" i="21"/>
  <c r="Y1251" i="21"/>
  <c r="Y1252" i="21"/>
  <c r="Y1253" i="21"/>
  <c r="Y1254" i="21"/>
  <c r="Y1255" i="21"/>
  <c r="Y1256" i="21"/>
  <c r="Y1257" i="21"/>
  <c r="Y1258" i="21"/>
  <c r="Y1259" i="21"/>
  <c r="Y1260" i="21"/>
  <c r="Y1261" i="21"/>
  <c r="Y1262" i="21"/>
  <c r="Y1263" i="21"/>
  <c r="Y1264" i="21"/>
  <c r="Y1265" i="21"/>
  <c r="Y1266" i="21"/>
  <c r="Y1267" i="21"/>
  <c r="Y1268" i="21"/>
  <c r="Y1269" i="21"/>
  <c r="Y1270" i="21"/>
  <c r="Y1271" i="21"/>
  <c r="Y1272" i="21"/>
  <c r="Y1273" i="21"/>
  <c r="Y1274" i="21"/>
  <c r="Y1275" i="21"/>
  <c r="Y1276" i="21"/>
  <c r="Y1277" i="21"/>
  <c r="Y1278" i="21"/>
  <c r="Y1279" i="21"/>
  <c r="Y1280" i="21"/>
  <c r="Y1281" i="21"/>
  <c r="Y1282" i="21"/>
  <c r="Y1283" i="21"/>
  <c r="Y1284" i="21"/>
  <c r="Y1285" i="21"/>
  <c r="Y1286" i="21"/>
  <c r="Y1287" i="21"/>
  <c r="Y1288" i="21"/>
  <c r="Y1289" i="21"/>
  <c r="Y1290" i="21"/>
  <c r="Y1291" i="21"/>
  <c r="Y1292" i="21"/>
  <c r="Y1293" i="21"/>
  <c r="Y1294" i="21"/>
  <c r="Y1295" i="21"/>
  <c r="Y1296" i="21"/>
  <c r="Y1297" i="21"/>
  <c r="Y1298" i="21"/>
  <c r="Y1299" i="21"/>
  <c r="Y1300" i="21"/>
  <c r="Y1301" i="21"/>
  <c r="Y1302" i="21"/>
  <c r="Y1303" i="21"/>
  <c r="Y1304" i="21"/>
  <c r="Y1305" i="21"/>
  <c r="Y1306" i="21"/>
  <c r="Y1307" i="21"/>
  <c r="Y1308" i="21"/>
  <c r="Y1309" i="21"/>
  <c r="Y1310" i="21"/>
  <c r="Y1311" i="21"/>
  <c r="Y1312" i="21"/>
  <c r="Y1313" i="21"/>
  <c r="Y1314" i="21"/>
  <c r="Y1315" i="21"/>
  <c r="Y1316" i="21"/>
  <c r="Y1317" i="21"/>
  <c r="Y1318" i="21"/>
  <c r="Y1319" i="21"/>
  <c r="Y1320" i="21"/>
  <c r="Y1321" i="21"/>
  <c r="Y1322" i="21"/>
  <c r="Y1323" i="21"/>
  <c r="Y1324" i="21"/>
  <c r="Y1325" i="21"/>
  <c r="Y1326" i="21"/>
  <c r="Y1327" i="21"/>
  <c r="Y1328" i="21"/>
  <c r="Y1329" i="21"/>
  <c r="Y1330" i="21"/>
  <c r="Y1331" i="21"/>
  <c r="Y1332" i="21"/>
  <c r="Y1333" i="21"/>
  <c r="Y1334" i="21"/>
  <c r="Y1335" i="21"/>
  <c r="Y1336" i="21"/>
  <c r="Y1337" i="21"/>
  <c r="Y1338" i="21"/>
  <c r="Y1339" i="21"/>
  <c r="Y1340" i="21"/>
  <c r="Y1341" i="21"/>
  <c r="Y1342" i="21"/>
  <c r="Y1343" i="21"/>
  <c r="Y1344" i="21"/>
  <c r="Y1345" i="21"/>
  <c r="Y1346" i="21"/>
  <c r="Y1347" i="21"/>
  <c r="Y1348" i="21"/>
  <c r="Y1349" i="21"/>
  <c r="Y1350" i="21"/>
  <c r="Y1351" i="21"/>
  <c r="Y1352" i="21"/>
  <c r="Y1353" i="21"/>
  <c r="Y1354" i="21"/>
  <c r="Y1355" i="21"/>
  <c r="Y1356" i="21"/>
  <c r="Y1357" i="21"/>
  <c r="Y1358" i="21"/>
  <c r="Y1359" i="21"/>
  <c r="Y1360" i="21"/>
  <c r="Y1361" i="21"/>
  <c r="Y1362" i="21"/>
  <c r="Y1363" i="21"/>
  <c r="Y1364" i="21"/>
  <c r="Y1365" i="21"/>
  <c r="Y1366" i="21"/>
  <c r="Y1367" i="21"/>
  <c r="Y1368" i="21"/>
  <c r="Y1369" i="21"/>
  <c r="Y1370" i="21"/>
  <c r="Y1371" i="21"/>
  <c r="Y1372" i="21"/>
  <c r="Y1373" i="21"/>
  <c r="Y1374" i="21"/>
  <c r="Y1375" i="21"/>
  <c r="Y1376" i="21"/>
  <c r="Y1377" i="21"/>
  <c r="Y1378" i="21"/>
  <c r="Y1379" i="21"/>
  <c r="Y1380" i="21"/>
  <c r="Y1381" i="21"/>
  <c r="Y1382" i="21"/>
  <c r="Y1383" i="21"/>
  <c r="Y1384" i="21"/>
  <c r="Y1385" i="21"/>
  <c r="Y1386" i="21"/>
  <c r="Y1387" i="21"/>
  <c r="Y1388" i="21"/>
  <c r="Y1389" i="21"/>
  <c r="Y1390" i="21"/>
  <c r="Y1391" i="21"/>
  <c r="Y1392" i="21"/>
  <c r="Y1393" i="21"/>
  <c r="Y1394" i="21"/>
  <c r="Y1395" i="21"/>
  <c r="Y1396" i="21"/>
  <c r="Y1397" i="21"/>
  <c r="Y1398" i="21"/>
  <c r="Y1399" i="21"/>
  <c r="Y1400" i="21"/>
  <c r="Y1401" i="21"/>
  <c r="Y1402" i="21"/>
  <c r="Y1403" i="21"/>
  <c r="Y1404" i="21"/>
  <c r="Y1405" i="21"/>
  <c r="Y1406" i="21"/>
  <c r="Y1407" i="21"/>
  <c r="Y1408" i="21"/>
  <c r="Y1409" i="21"/>
  <c r="Y1410" i="21"/>
  <c r="Y1411" i="21"/>
  <c r="Y1412" i="21"/>
  <c r="Y1413" i="21"/>
  <c r="Y1414" i="21"/>
  <c r="Y1415" i="21"/>
  <c r="Y1416" i="21"/>
  <c r="Y1417" i="21"/>
  <c r="Y1418" i="21"/>
  <c r="Y1419" i="21"/>
  <c r="Y1420" i="21"/>
  <c r="Y1421" i="21"/>
  <c r="Y1422" i="21"/>
  <c r="Y1423" i="21"/>
  <c r="Y1424" i="21"/>
  <c r="Y1425" i="21"/>
  <c r="Y1426" i="21"/>
  <c r="Y1427" i="21"/>
  <c r="Y1428" i="21"/>
  <c r="Y1429" i="21"/>
  <c r="Y1430" i="21"/>
  <c r="Y1431" i="21"/>
  <c r="Y1432" i="21"/>
  <c r="Y1433" i="21"/>
  <c r="Y1434" i="21"/>
  <c r="Y1435" i="21"/>
  <c r="Y1436" i="21"/>
  <c r="Y1437" i="21"/>
  <c r="Y1438" i="21"/>
  <c r="Y1439" i="21"/>
  <c r="Y1440" i="21"/>
  <c r="Y1441" i="21"/>
  <c r="Y1442" i="21"/>
  <c r="Y1443" i="21"/>
  <c r="Y1444" i="21"/>
  <c r="Y1445" i="21"/>
  <c r="Y1446" i="21"/>
  <c r="Y1447" i="21"/>
  <c r="Y1448" i="21"/>
  <c r="Y1449" i="21"/>
  <c r="Y1450" i="21"/>
  <c r="Y1451" i="21"/>
  <c r="Y1452" i="21"/>
  <c r="Y1453" i="21"/>
  <c r="Y1454" i="21"/>
  <c r="Y1455" i="21"/>
  <c r="Y1456" i="21"/>
  <c r="Y1457" i="21"/>
  <c r="Y1458" i="21"/>
  <c r="Y1459" i="21"/>
  <c r="Y1460" i="21"/>
  <c r="Y1461" i="21"/>
  <c r="Y1462" i="21"/>
  <c r="Y1463" i="21"/>
  <c r="Y1464" i="21"/>
  <c r="Y1465" i="21"/>
  <c r="Y1466" i="21"/>
  <c r="Y1467" i="21"/>
  <c r="Y1468" i="21"/>
  <c r="Y1469" i="21"/>
  <c r="Y1470" i="21"/>
  <c r="Y1471" i="21"/>
  <c r="Y1472" i="21"/>
  <c r="Y1473" i="21"/>
  <c r="Y1474" i="21"/>
  <c r="Y1475" i="21"/>
  <c r="Y1476" i="21"/>
  <c r="Y1477" i="21"/>
  <c r="Y1478" i="21"/>
  <c r="Y1479" i="21"/>
  <c r="Y1480" i="21"/>
  <c r="Y1481" i="21"/>
  <c r="Y1482" i="21"/>
  <c r="Y1483" i="21"/>
  <c r="Y1484" i="21"/>
  <c r="Y1485" i="21"/>
  <c r="Y1486" i="21"/>
  <c r="Y1487" i="21"/>
  <c r="Y1488" i="21"/>
  <c r="Y1489" i="21"/>
  <c r="Y1490" i="21"/>
  <c r="Y1491" i="21"/>
  <c r="Y1492" i="21"/>
  <c r="Y1493" i="21"/>
  <c r="Y1494" i="21"/>
  <c r="Y1495" i="21"/>
  <c r="Y1496" i="21"/>
  <c r="Y1497" i="21"/>
  <c r="Y1498" i="21"/>
  <c r="Y1499" i="21"/>
  <c r="Y1500" i="21"/>
  <c r="Y1501" i="21"/>
  <c r="Y1502" i="21"/>
  <c r="Y1503" i="21"/>
  <c r="Y1504" i="21"/>
  <c r="Y1505" i="21"/>
  <c r="Y1506" i="21"/>
  <c r="Y1507" i="21"/>
  <c r="Y1508" i="21"/>
  <c r="Y1509" i="21"/>
  <c r="Y1510" i="21"/>
  <c r="Y1511" i="21"/>
  <c r="Y1512" i="21"/>
  <c r="Y1513" i="21"/>
  <c r="Y1514" i="21"/>
  <c r="Y1515" i="21"/>
  <c r="Y1516" i="21"/>
  <c r="Y1517" i="21"/>
  <c r="Y1518" i="21"/>
  <c r="Y1519" i="21"/>
  <c r="Y1520" i="21"/>
  <c r="Y1521" i="21"/>
  <c r="Y1522" i="21"/>
  <c r="Y1523" i="21"/>
  <c r="Y1524" i="21"/>
  <c r="Y1525" i="21"/>
  <c r="Y1526" i="21"/>
  <c r="Y1527" i="21"/>
  <c r="Y1528" i="21"/>
  <c r="Y1529" i="21"/>
  <c r="Y1530" i="21"/>
  <c r="Y1531" i="21"/>
  <c r="Y1532" i="21"/>
  <c r="Y1533" i="21"/>
  <c r="Y1534" i="21"/>
  <c r="Y1535" i="21"/>
  <c r="Y1536" i="21"/>
  <c r="Y1537" i="21"/>
  <c r="Y1538" i="21"/>
  <c r="Y1539" i="21"/>
  <c r="Y1540" i="21"/>
  <c r="Y1541" i="21"/>
  <c r="Y1542" i="21"/>
  <c r="Y1543" i="21"/>
  <c r="Y1544" i="21"/>
  <c r="Y1545" i="21"/>
  <c r="Y1546" i="21"/>
  <c r="Y1547" i="21"/>
  <c r="Y1548" i="21"/>
  <c r="Y1549" i="21"/>
  <c r="Y1550" i="21"/>
  <c r="Y1551" i="21"/>
  <c r="Y1552" i="21"/>
  <c r="Y1553" i="21"/>
  <c r="Y1554" i="21"/>
  <c r="Y1555" i="21"/>
  <c r="Y1556" i="21"/>
  <c r="Y1557" i="21"/>
  <c r="Y1558" i="21"/>
  <c r="Y1559" i="21"/>
  <c r="Y1560" i="21"/>
  <c r="Y1561" i="21"/>
  <c r="Y1562" i="21"/>
  <c r="Y1563" i="21"/>
  <c r="Y1564" i="21"/>
  <c r="Y1565" i="21"/>
  <c r="Y1566" i="21"/>
  <c r="Y1567" i="21"/>
  <c r="Y1568" i="21"/>
  <c r="Y1569" i="21"/>
  <c r="Y1570" i="21"/>
  <c r="Y1571" i="21"/>
  <c r="Y1572" i="21"/>
  <c r="Y1573" i="21"/>
  <c r="Y1574" i="21"/>
  <c r="Y1575" i="21"/>
  <c r="Y1576" i="21"/>
  <c r="Y1577" i="21"/>
  <c r="Y1578" i="21"/>
  <c r="Y1579" i="21"/>
  <c r="Y1580" i="21"/>
  <c r="Y1581" i="21"/>
  <c r="Y1582" i="21"/>
  <c r="Y1583" i="21"/>
  <c r="Y1584" i="21"/>
  <c r="Y1585" i="21"/>
  <c r="Y1586" i="21"/>
  <c r="Y1587" i="21"/>
  <c r="Y1588" i="21"/>
  <c r="Y1589" i="21"/>
  <c r="Y1590" i="21"/>
  <c r="Y1591" i="21"/>
  <c r="Y1592" i="21"/>
  <c r="Y1593" i="21"/>
  <c r="Y1594" i="21"/>
  <c r="Y1595" i="21"/>
  <c r="Y1596" i="21"/>
  <c r="Y1597" i="21"/>
  <c r="Y1598" i="21"/>
  <c r="Y1599" i="21"/>
  <c r="Y1600" i="21"/>
  <c r="Y1601" i="21"/>
  <c r="Y1602" i="21"/>
  <c r="Y1603" i="21"/>
  <c r="Y1604" i="21"/>
  <c r="Y1605" i="21"/>
  <c r="Y1606" i="21"/>
  <c r="Y1607" i="21"/>
  <c r="Y1608" i="21"/>
  <c r="Y1609" i="21"/>
  <c r="Y1610" i="21"/>
  <c r="Y1611" i="21"/>
  <c r="Y1612" i="21"/>
  <c r="Y1613" i="21"/>
  <c r="Y1614" i="21"/>
  <c r="Y1615" i="21"/>
  <c r="Y1616" i="21"/>
  <c r="Y1617" i="21"/>
  <c r="Y1618" i="21"/>
  <c r="Y1619" i="21"/>
  <c r="Y1620" i="21"/>
  <c r="Y1621" i="21"/>
  <c r="Y1622" i="21"/>
  <c r="Y1623" i="21"/>
  <c r="Y1624" i="21"/>
  <c r="Y1625" i="21"/>
  <c r="Y1626" i="21"/>
  <c r="Y1627" i="21"/>
  <c r="Y1628" i="21"/>
  <c r="Y1629" i="21"/>
  <c r="Y1630" i="21"/>
  <c r="Y1631" i="21"/>
  <c r="Y1632" i="21"/>
  <c r="Y1633" i="21"/>
  <c r="Y1634" i="21"/>
  <c r="Y1635" i="21"/>
  <c r="Y1636" i="21"/>
  <c r="Y1637" i="21"/>
  <c r="Y1638" i="21"/>
  <c r="Y1639" i="21"/>
  <c r="Y1640" i="21"/>
  <c r="Y1641" i="21"/>
  <c r="Y1642" i="21"/>
  <c r="Y1643" i="21"/>
  <c r="Y1644" i="21"/>
  <c r="Y1645" i="21"/>
  <c r="Y1646" i="21"/>
  <c r="Y1647" i="21"/>
  <c r="Y1648" i="21"/>
  <c r="Y1649" i="21"/>
  <c r="Y1650" i="21"/>
  <c r="Y1651" i="21"/>
  <c r="Y1652" i="21"/>
  <c r="Y1653" i="21"/>
  <c r="Y1654" i="21"/>
  <c r="Y1655" i="21"/>
  <c r="Y1656" i="21"/>
  <c r="Y1657" i="21"/>
  <c r="Y1658" i="21"/>
  <c r="Y1659" i="21"/>
  <c r="Y1660" i="21"/>
  <c r="Y1661" i="21"/>
  <c r="Y1662" i="21"/>
  <c r="Y1663" i="21"/>
  <c r="Y1664" i="21"/>
  <c r="Y1665" i="21"/>
  <c r="Y1666" i="21"/>
  <c r="Y1667" i="21"/>
  <c r="Y1668" i="21"/>
  <c r="Y1669" i="21"/>
  <c r="Y1670" i="21"/>
  <c r="Y1671" i="21"/>
  <c r="Y1672" i="21"/>
  <c r="Y1673" i="21"/>
  <c r="Y1674" i="21"/>
  <c r="Y1675" i="21"/>
  <c r="Y1676" i="21"/>
  <c r="Y1677" i="21"/>
  <c r="Y1678" i="21"/>
  <c r="Y1679" i="21"/>
  <c r="Y1680" i="21"/>
  <c r="Y1681" i="21"/>
  <c r="Y1682" i="21"/>
  <c r="Y1683" i="21"/>
  <c r="Y1684" i="21"/>
  <c r="Y1685" i="21"/>
  <c r="Y1686" i="21"/>
  <c r="Y1687" i="21"/>
  <c r="Y1688" i="21"/>
  <c r="Y1689" i="21"/>
  <c r="Y1690" i="21"/>
  <c r="Y1691" i="21"/>
  <c r="Y1692" i="21"/>
  <c r="Y1693" i="21"/>
  <c r="Y1694" i="21"/>
  <c r="Y1695" i="21"/>
  <c r="Y1696" i="21"/>
  <c r="Y1697" i="21"/>
  <c r="Y1698" i="21"/>
  <c r="Y1699" i="21"/>
  <c r="Y1700" i="21"/>
  <c r="Y1701" i="21"/>
  <c r="Y1702" i="21"/>
  <c r="Y1703" i="21"/>
  <c r="Y1704" i="21"/>
  <c r="Y1705" i="21"/>
  <c r="Y1706" i="21"/>
  <c r="Y1707" i="21"/>
  <c r="Y1708" i="21"/>
  <c r="Y1709" i="21"/>
  <c r="Y1710" i="21"/>
  <c r="Y1711" i="21"/>
  <c r="Y1712" i="21"/>
  <c r="Y1713" i="21"/>
  <c r="Y1714" i="21"/>
  <c r="Y1715" i="21"/>
  <c r="Y1716" i="21"/>
  <c r="Y1717" i="21"/>
  <c r="Y1718" i="21"/>
  <c r="Y1719" i="21"/>
  <c r="Y1720" i="21"/>
  <c r="Y1721" i="21"/>
  <c r="Y1722" i="21"/>
  <c r="Y1723" i="21"/>
  <c r="Y1724" i="21"/>
  <c r="Y1725" i="21"/>
  <c r="Y1726" i="21"/>
  <c r="Y1727" i="21"/>
  <c r="Y1728" i="21"/>
  <c r="Y1729" i="21"/>
  <c r="Y1730" i="21"/>
  <c r="Y1731" i="21"/>
  <c r="Y1732" i="21"/>
  <c r="Y1733" i="21"/>
  <c r="Y1734" i="21"/>
  <c r="Y1735" i="21"/>
  <c r="Y1736" i="21"/>
  <c r="Y1737" i="21"/>
  <c r="Y1738" i="21"/>
  <c r="Y1739" i="21"/>
  <c r="Y1740" i="21"/>
  <c r="Y1741" i="21"/>
  <c r="Y1742" i="21"/>
  <c r="Y1743" i="21"/>
  <c r="Y1744" i="21"/>
  <c r="Y1745" i="21"/>
  <c r="Y1746" i="21"/>
  <c r="Y1747" i="21"/>
  <c r="Y1748" i="21"/>
  <c r="Y1749" i="21"/>
  <c r="Y1750" i="21"/>
  <c r="Y1751" i="21"/>
  <c r="Y1752" i="21"/>
  <c r="Y1753" i="21"/>
  <c r="Y1754" i="21"/>
  <c r="Y1755" i="21"/>
  <c r="Y1756" i="21"/>
  <c r="Y1757" i="21"/>
  <c r="Y1758" i="21"/>
  <c r="Y1759" i="21"/>
  <c r="Y1760" i="21"/>
  <c r="Y1761" i="21"/>
  <c r="Y1762" i="21"/>
  <c r="Y1763" i="21"/>
  <c r="Y1764" i="21"/>
  <c r="Y1765" i="21"/>
  <c r="Y1766" i="21"/>
  <c r="Y1767" i="21"/>
  <c r="Y1768" i="21"/>
  <c r="Y1769" i="21"/>
  <c r="Y1770" i="21"/>
  <c r="Y1771" i="21"/>
  <c r="Y1772" i="21"/>
  <c r="Y1773" i="21"/>
  <c r="Y1774" i="21"/>
  <c r="Y1775" i="21"/>
  <c r="Y1776" i="21"/>
  <c r="Y1777" i="21"/>
  <c r="Y1778" i="21"/>
  <c r="Y1779" i="21"/>
  <c r="Y1780" i="21"/>
  <c r="Y1781" i="21"/>
  <c r="Y1782" i="21"/>
  <c r="Y1783" i="21"/>
  <c r="Y1784" i="21"/>
  <c r="Y1785" i="21"/>
  <c r="Y1786" i="21"/>
  <c r="Y1787" i="21"/>
  <c r="Y1788" i="21"/>
  <c r="Y1789" i="21"/>
  <c r="Y1790" i="21"/>
  <c r="Y1791" i="21"/>
  <c r="Y1792" i="21"/>
  <c r="Y1793" i="21"/>
  <c r="Y1794" i="21"/>
  <c r="Y1795" i="21"/>
  <c r="Y1796" i="21"/>
  <c r="Y1797" i="21"/>
  <c r="Y1798" i="21"/>
  <c r="Y1799" i="21"/>
  <c r="Y1800" i="21"/>
  <c r="Y1801" i="21"/>
  <c r="Y1802" i="21"/>
  <c r="Y1803" i="21"/>
  <c r="Y1804" i="21"/>
  <c r="Y1805" i="21"/>
  <c r="Y1806" i="21"/>
  <c r="Y1807" i="21"/>
  <c r="Y1808" i="21"/>
  <c r="Y1809" i="21"/>
  <c r="Y1810" i="21"/>
  <c r="Y1811" i="21"/>
  <c r="Y1812" i="21"/>
  <c r="Y1813" i="21"/>
  <c r="Y1814" i="21"/>
  <c r="Y1815" i="21"/>
  <c r="Y1816" i="21"/>
  <c r="Y1817" i="21"/>
  <c r="Y1818" i="21"/>
  <c r="Y1819" i="21"/>
  <c r="Y1820" i="21"/>
  <c r="Y1821" i="21"/>
  <c r="Y1822" i="21"/>
  <c r="Y1823" i="21"/>
  <c r="Y1824" i="21"/>
  <c r="Y1825" i="21"/>
  <c r="Y1826" i="21"/>
  <c r="Y1827" i="21"/>
  <c r="Y1828" i="21"/>
  <c r="Y1829" i="21"/>
  <c r="Y1830" i="21"/>
  <c r="Y1831" i="21"/>
  <c r="Y1832" i="21"/>
  <c r="Y1833" i="21"/>
  <c r="Y1834" i="21"/>
  <c r="Y1835" i="21"/>
  <c r="Y1836" i="21"/>
  <c r="Y1837" i="21"/>
  <c r="Y1838" i="21"/>
  <c r="Y1839" i="21"/>
  <c r="Y1840" i="21"/>
  <c r="Y1841" i="21"/>
  <c r="Y1842" i="21"/>
  <c r="Y1843" i="21"/>
  <c r="Y1844" i="21"/>
  <c r="Y1845" i="21"/>
  <c r="Y1846" i="21"/>
  <c r="Y1847" i="21"/>
  <c r="Y1848" i="21"/>
  <c r="Y1849" i="21"/>
  <c r="Y1850" i="21"/>
  <c r="Y1851" i="21"/>
  <c r="Y1852" i="21"/>
  <c r="Y1853" i="21"/>
  <c r="Y1854" i="21"/>
  <c r="Y1855" i="21"/>
  <c r="Y1856" i="21"/>
  <c r="Y1857" i="21"/>
  <c r="Y1858" i="21"/>
  <c r="Y1859" i="21"/>
  <c r="Y1860" i="21"/>
  <c r="Y1861" i="21"/>
  <c r="Y1862" i="21"/>
  <c r="Y1863" i="21"/>
  <c r="Y1864" i="21"/>
  <c r="Y1865" i="21"/>
  <c r="Y1866" i="21"/>
  <c r="Y1867" i="21"/>
  <c r="Y1868" i="21"/>
  <c r="Y1869" i="21"/>
  <c r="Y1870" i="21"/>
  <c r="Y1871" i="21"/>
  <c r="Y1872" i="21"/>
  <c r="Y1873" i="21"/>
  <c r="Y1874" i="21"/>
  <c r="Y1875" i="21"/>
  <c r="Y1876" i="21"/>
  <c r="Y1877" i="21"/>
  <c r="Y1878" i="21"/>
  <c r="Y1879" i="21"/>
  <c r="Y1880" i="21"/>
  <c r="Y1881" i="21"/>
  <c r="Y1882" i="21"/>
  <c r="Y1883" i="21"/>
  <c r="Y1884" i="21"/>
  <c r="Y1885" i="21"/>
  <c r="Y1886" i="21"/>
  <c r="Y1887" i="21"/>
  <c r="Y1888" i="21"/>
  <c r="Y1889" i="21"/>
  <c r="Y1890" i="21"/>
  <c r="Y1891" i="21"/>
  <c r="Y1892" i="21"/>
  <c r="Y1893" i="21"/>
  <c r="Y1894" i="21"/>
  <c r="Y1895" i="21"/>
  <c r="Y1896" i="21"/>
  <c r="Y1897" i="21"/>
  <c r="Y1898" i="21"/>
  <c r="Y1899" i="21"/>
  <c r="Y1900" i="21"/>
  <c r="Y1901" i="21"/>
  <c r="Y1902" i="21"/>
  <c r="Y1903" i="21"/>
  <c r="Y1904" i="21"/>
  <c r="Y1905" i="21"/>
  <c r="Y1906" i="21"/>
  <c r="Y1907" i="21"/>
  <c r="Y1908" i="21"/>
  <c r="Y1909" i="21"/>
  <c r="Y1910" i="21"/>
  <c r="Y1911" i="21"/>
  <c r="Y1912" i="21"/>
  <c r="Y1913" i="21"/>
  <c r="Y1914" i="21"/>
  <c r="Y1915" i="21"/>
  <c r="Y1916" i="21"/>
  <c r="Y1917" i="21"/>
  <c r="Y1918" i="21"/>
  <c r="Y1919" i="21"/>
  <c r="Y1920" i="21"/>
  <c r="Y1921" i="21"/>
  <c r="Y1922" i="21"/>
  <c r="Y1923" i="21"/>
  <c r="Y1924" i="21"/>
  <c r="Y1925" i="21"/>
  <c r="Y1926" i="21"/>
  <c r="Y1927" i="21"/>
  <c r="Y1928" i="21"/>
  <c r="Y1929" i="21"/>
  <c r="Y1930" i="21"/>
  <c r="Y1931" i="21"/>
  <c r="Y1932" i="21"/>
  <c r="Y1933" i="21"/>
  <c r="Y1934" i="21"/>
  <c r="Y1935" i="21"/>
  <c r="Y1936" i="21"/>
  <c r="Y1937" i="21"/>
  <c r="Y1938" i="21"/>
  <c r="Y1939" i="21"/>
  <c r="Y1940" i="21"/>
  <c r="Y1941" i="21"/>
  <c r="Y1942" i="21"/>
  <c r="Y1943" i="21"/>
  <c r="Y1944" i="21"/>
  <c r="Y1945" i="21"/>
  <c r="Y1946" i="21"/>
  <c r="Y1947" i="21"/>
  <c r="Y1948" i="21"/>
  <c r="Y1949" i="21"/>
  <c r="Y1950" i="21"/>
  <c r="Y1951" i="21"/>
  <c r="Y1952" i="21"/>
  <c r="Y1953" i="21"/>
  <c r="Y1954" i="21"/>
  <c r="Y1955" i="21"/>
  <c r="Y1956" i="21"/>
  <c r="Y1957" i="21"/>
  <c r="Y1958" i="21"/>
  <c r="Y1959" i="21"/>
  <c r="Y1960" i="21"/>
  <c r="Y1961" i="21"/>
  <c r="Y1962" i="21"/>
  <c r="Y1963" i="21"/>
  <c r="Y1964" i="21"/>
  <c r="Y1965" i="21"/>
  <c r="Y1966" i="21"/>
  <c r="Y1967" i="21"/>
  <c r="Y1968" i="21"/>
  <c r="Y1969" i="21"/>
  <c r="Y1970" i="21"/>
  <c r="Y1971" i="21"/>
  <c r="Y1972" i="21"/>
  <c r="Y1973" i="21"/>
  <c r="Y1974" i="21"/>
  <c r="Y1975" i="21"/>
  <c r="Y1976" i="21"/>
  <c r="Y1977" i="21"/>
  <c r="Y1978" i="21"/>
  <c r="Y1979" i="21"/>
  <c r="Y1980" i="21"/>
  <c r="Y1981" i="21"/>
  <c r="Y1982" i="21"/>
  <c r="Y1983" i="21"/>
  <c r="Y1984" i="21"/>
  <c r="P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49" i="21"/>
  <c r="L50" i="21"/>
  <c r="L51" i="21"/>
  <c r="L52" i="21"/>
  <c r="L53" i="21"/>
  <c r="L54" i="21"/>
  <c r="L55" i="21"/>
  <c r="L56" i="21"/>
  <c r="L57" i="21"/>
  <c r="L58" i="21"/>
  <c r="L59" i="21"/>
  <c r="L60" i="21"/>
  <c r="L61" i="21"/>
  <c r="L62" i="21"/>
  <c r="L63" i="21"/>
  <c r="L64" i="21"/>
  <c r="L65" i="21"/>
  <c r="L66" i="21"/>
  <c r="L67" i="21"/>
  <c r="L68" i="21"/>
  <c r="L69" i="21"/>
  <c r="L70" i="21"/>
  <c r="L71" i="21"/>
  <c r="L72" i="21"/>
  <c r="L73" i="21"/>
  <c r="L74" i="21"/>
  <c r="L75" i="21"/>
  <c r="L76" i="21"/>
  <c r="L77" i="21"/>
  <c r="L78" i="21"/>
  <c r="L79" i="21"/>
  <c r="L80" i="21"/>
  <c r="L81" i="21"/>
  <c r="L82" i="21"/>
  <c r="L83" i="21"/>
  <c r="L84" i="21"/>
  <c r="L85" i="21"/>
  <c r="L86" i="21"/>
  <c r="L87" i="21"/>
  <c r="L88" i="21"/>
  <c r="L89" i="21"/>
  <c r="L90" i="21"/>
  <c r="L91" i="21"/>
  <c r="L92" i="21"/>
  <c r="L93" i="21"/>
  <c r="L94" i="21"/>
  <c r="L95" i="21"/>
  <c r="L96" i="21"/>
  <c r="L97" i="21"/>
  <c r="L98" i="21"/>
  <c r="L99" i="21"/>
  <c r="L100" i="21"/>
  <c r="L101" i="21"/>
  <c r="L102" i="21"/>
  <c r="L103" i="21"/>
  <c r="L104" i="21"/>
  <c r="L105" i="21"/>
  <c r="L106" i="21"/>
  <c r="L107" i="21"/>
  <c r="L108" i="21"/>
  <c r="L109" i="21"/>
  <c r="L110" i="21"/>
  <c r="L111" i="21"/>
  <c r="L112" i="21"/>
  <c r="L113" i="21"/>
  <c r="L114" i="21"/>
  <c r="L115" i="21"/>
  <c r="L116" i="21"/>
  <c r="L117" i="21"/>
  <c r="L118" i="21"/>
  <c r="L119" i="21"/>
  <c r="L120" i="21"/>
  <c r="L121" i="21"/>
  <c r="L122" i="21"/>
  <c r="L123" i="21"/>
  <c r="L124" i="21"/>
  <c r="L125" i="21"/>
  <c r="L126" i="21"/>
  <c r="L127" i="21"/>
  <c r="L128" i="21"/>
  <c r="L129" i="21"/>
  <c r="L130" i="21"/>
  <c r="L131" i="21"/>
  <c r="L132" i="21"/>
  <c r="L133" i="21"/>
  <c r="L134" i="21"/>
  <c r="L135" i="21"/>
  <c r="L136" i="21"/>
  <c r="L137" i="21"/>
  <c r="L138" i="21"/>
  <c r="L139" i="21"/>
  <c r="L140" i="21"/>
  <c r="L141" i="21"/>
  <c r="L142" i="21"/>
  <c r="L143" i="21"/>
  <c r="L144" i="21"/>
  <c r="L145" i="21"/>
  <c r="L146" i="21"/>
  <c r="L147" i="21"/>
  <c r="L148" i="21"/>
  <c r="L149" i="21"/>
  <c r="L150" i="21"/>
  <c r="L151" i="21"/>
  <c r="L152" i="21"/>
  <c r="L153" i="21"/>
  <c r="L154" i="21"/>
  <c r="L155" i="21"/>
  <c r="L156" i="21"/>
  <c r="L157" i="21"/>
  <c r="L158" i="21"/>
  <c r="L159" i="21"/>
  <c r="L160" i="21"/>
  <c r="L161" i="21"/>
  <c r="L162" i="21"/>
  <c r="L163" i="21"/>
  <c r="L164" i="21"/>
  <c r="L165" i="21"/>
  <c r="L166" i="21"/>
  <c r="L167" i="21"/>
  <c r="L168" i="21"/>
  <c r="L169" i="21"/>
  <c r="L170" i="21"/>
  <c r="L171" i="21"/>
  <c r="L172" i="21"/>
  <c r="L173" i="21"/>
  <c r="L174" i="21"/>
  <c r="L175" i="21"/>
  <c r="L176" i="21"/>
  <c r="L177" i="21"/>
  <c r="L178" i="21"/>
  <c r="L179" i="21"/>
  <c r="L180" i="21"/>
  <c r="L181" i="21"/>
  <c r="L182" i="21"/>
  <c r="L183" i="21"/>
  <c r="L184" i="21"/>
  <c r="L185" i="21"/>
  <c r="L186" i="21"/>
  <c r="L187" i="21"/>
  <c r="L188" i="21"/>
  <c r="L189" i="21"/>
  <c r="L190" i="21"/>
  <c r="L191" i="21"/>
  <c r="L192" i="21"/>
  <c r="L193" i="21"/>
  <c r="L194" i="21"/>
  <c r="L195" i="21"/>
  <c r="L196" i="21"/>
  <c r="L197" i="21"/>
  <c r="L198" i="21"/>
  <c r="L199" i="21"/>
  <c r="L200" i="21"/>
  <c r="L201" i="21"/>
  <c r="L202" i="21"/>
  <c r="L203" i="21"/>
  <c r="L204" i="21"/>
  <c r="L205" i="21"/>
  <c r="L206" i="21"/>
  <c r="L207" i="21"/>
  <c r="L208" i="21"/>
  <c r="L209" i="21"/>
  <c r="L210" i="21"/>
  <c r="L211" i="21"/>
  <c r="L212" i="21"/>
  <c r="L213" i="21"/>
  <c r="L214" i="21"/>
  <c r="L215" i="21"/>
  <c r="L216" i="21"/>
  <c r="L217" i="21"/>
  <c r="L218" i="21"/>
  <c r="L219" i="21"/>
  <c r="L220" i="21"/>
  <c r="L221" i="21"/>
  <c r="L222" i="21"/>
  <c r="L223" i="21"/>
  <c r="L224" i="21"/>
  <c r="L225" i="21"/>
  <c r="L226" i="21"/>
  <c r="L227" i="21"/>
  <c r="L228" i="21"/>
  <c r="L229" i="21"/>
  <c r="L230" i="21"/>
  <c r="L231" i="21"/>
  <c r="L232" i="21"/>
  <c r="L233" i="21"/>
  <c r="L234" i="21"/>
  <c r="L235" i="21"/>
  <c r="L236" i="21"/>
  <c r="L237" i="21"/>
  <c r="L238" i="21"/>
  <c r="L239" i="21"/>
  <c r="L240" i="21"/>
  <c r="L241" i="21"/>
  <c r="L242" i="21"/>
  <c r="L243" i="21"/>
  <c r="L244" i="21"/>
  <c r="L245" i="21"/>
  <c r="L246" i="21"/>
  <c r="L247" i="21"/>
  <c r="L248" i="21"/>
  <c r="L249" i="21"/>
  <c r="L250" i="21"/>
  <c r="L251" i="21"/>
  <c r="L252" i="21"/>
  <c r="L253" i="21"/>
  <c r="L254" i="21"/>
  <c r="L255" i="21"/>
  <c r="L256" i="21"/>
  <c r="L257" i="21"/>
  <c r="L258" i="21"/>
  <c r="L259" i="21"/>
  <c r="L260" i="21"/>
  <c r="L261" i="21"/>
  <c r="L262" i="21"/>
  <c r="L263" i="21"/>
  <c r="L264" i="21"/>
  <c r="L265" i="21"/>
  <c r="L266" i="21"/>
  <c r="L267" i="21"/>
  <c r="L268" i="21"/>
  <c r="L269" i="21"/>
  <c r="L270" i="21"/>
  <c r="L271" i="21"/>
  <c r="L272" i="21"/>
  <c r="L273" i="21"/>
  <c r="L274" i="21"/>
  <c r="L275" i="21"/>
  <c r="L276" i="21"/>
  <c r="L277" i="21"/>
  <c r="L278" i="21"/>
  <c r="L279" i="21"/>
  <c r="L280" i="21"/>
  <c r="L281" i="21"/>
  <c r="L282" i="21"/>
  <c r="L283" i="21"/>
  <c r="L284" i="21"/>
  <c r="L285" i="21"/>
  <c r="L286" i="21"/>
  <c r="L287" i="21"/>
  <c r="L288" i="21"/>
  <c r="L289" i="21"/>
  <c r="L290" i="21"/>
  <c r="L291" i="21"/>
  <c r="L292" i="21"/>
  <c r="L293" i="21"/>
  <c r="L294" i="21"/>
  <c r="L295" i="21"/>
  <c r="L296" i="21"/>
  <c r="L297" i="21"/>
  <c r="L298" i="21"/>
  <c r="L299" i="21"/>
  <c r="L300" i="21"/>
  <c r="L301" i="21"/>
  <c r="L302" i="21"/>
  <c r="L303" i="21"/>
  <c r="L304" i="21"/>
  <c r="L305" i="21"/>
  <c r="L306" i="21"/>
  <c r="L307" i="21"/>
  <c r="L308" i="21"/>
  <c r="L309" i="21"/>
  <c r="L310" i="21"/>
  <c r="L311" i="21"/>
  <c r="L312" i="21"/>
  <c r="L313" i="21"/>
  <c r="L314" i="21"/>
  <c r="L315" i="21"/>
  <c r="L316" i="21"/>
  <c r="L317" i="21"/>
  <c r="L318" i="21"/>
  <c r="L319" i="21"/>
  <c r="L320" i="21"/>
  <c r="L321" i="21"/>
  <c r="L322" i="21"/>
  <c r="L323" i="21"/>
  <c r="L324" i="21"/>
  <c r="L325" i="21"/>
  <c r="L326" i="21"/>
  <c r="L327" i="21"/>
  <c r="L328" i="21"/>
  <c r="L329" i="21"/>
  <c r="L330" i="21"/>
  <c r="L331" i="21"/>
  <c r="L332" i="21"/>
  <c r="L333" i="21"/>
  <c r="L334" i="21"/>
  <c r="L335" i="21"/>
  <c r="L336" i="21"/>
  <c r="L337" i="21"/>
  <c r="L338" i="21"/>
  <c r="L339" i="21"/>
  <c r="L340" i="21"/>
  <c r="L341" i="21"/>
  <c r="L342" i="21"/>
  <c r="L343" i="21"/>
  <c r="L344" i="21"/>
  <c r="L345" i="21"/>
  <c r="L346" i="21"/>
  <c r="L347" i="21"/>
  <c r="L348" i="21"/>
  <c r="L349" i="21"/>
  <c r="L350" i="21"/>
  <c r="L351" i="21"/>
  <c r="L352" i="21"/>
  <c r="L353" i="21"/>
  <c r="L354" i="21"/>
  <c r="L355" i="21"/>
  <c r="L356" i="21"/>
  <c r="L357" i="21"/>
  <c r="L358" i="21"/>
  <c r="L359" i="21"/>
  <c r="L360" i="21"/>
  <c r="L361" i="21"/>
  <c r="L362" i="21"/>
  <c r="L363" i="21"/>
  <c r="L364" i="21"/>
  <c r="L365" i="21"/>
  <c r="L366" i="21"/>
  <c r="L367" i="21"/>
  <c r="L368" i="21"/>
  <c r="L369" i="21"/>
  <c r="L370" i="21"/>
  <c r="L371" i="21"/>
  <c r="L372" i="21"/>
  <c r="L373" i="21"/>
  <c r="L374" i="21"/>
  <c r="L375" i="21"/>
  <c r="L376" i="21"/>
  <c r="L377" i="21"/>
  <c r="L378" i="21"/>
  <c r="L379" i="21"/>
  <c r="L380" i="21"/>
  <c r="L381" i="21"/>
  <c r="L382" i="21"/>
  <c r="L383" i="21"/>
  <c r="L384" i="21"/>
  <c r="L385" i="21"/>
  <c r="L386" i="21"/>
  <c r="L387" i="21"/>
  <c r="L388" i="21"/>
  <c r="L389" i="21"/>
  <c r="L390" i="21"/>
  <c r="L391" i="21"/>
  <c r="L392" i="21"/>
  <c r="L393" i="21"/>
  <c r="L394" i="21"/>
  <c r="L395" i="21"/>
  <c r="L396" i="21"/>
  <c r="L397" i="21"/>
  <c r="L398" i="21"/>
  <c r="L399" i="21"/>
  <c r="L400" i="21"/>
  <c r="L401" i="21"/>
  <c r="L402" i="21"/>
  <c r="L403" i="21"/>
  <c r="L404" i="21"/>
  <c r="L405" i="21"/>
  <c r="L406" i="21"/>
  <c r="L407" i="21"/>
  <c r="L408" i="21"/>
  <c r="L409" i="21"/>
  <c r="L410" i="21"/>
  <c r="L411" i="21"/>
  <c r="L412" i="21"/>
  <c r="L413" i="21"/>
  <c r="L414" i="21"/>
  <c r="L415" i="21"/>
  <c r="L416" i="21"/>
  <c r="L417" i="21"/>
  <c r="L418" i="21"/>
  <c r="L419" i="21"/>
  <c r="L420" i="21"/>
  <c r="L421" i="21"/>
  <c r="L422" i="21"/>
  <c r="L423" i="21"/>
  <c r="L424" i="21"/>
  <c r="L425" i="21"/>
  <c r="L426" i="21"/>
  <c r="L427" i="21"/>
  <c r="L428" i="21"/>
  <c r="L429" i="21"/>
  <c r="L430" i="21"/>
  <c r="L431" i="21"/>
  <c r="L432" i="21"/>
  <c r="L433" i="21"/>
  <c r="L434" i="21"/>
  <c r="L435" i="21"/>
  <c r="L436" i="21"/>
  <c r="L437" i="21"/>
  <c r="L438" i="21"/>
  <c r="L439" i="21"/>
  <c r="L440" i="21"/>
  <c r="L441" i="21"/>
  <c r="L442" i="21"/>
  <c r="L443" i="21"/>
  <c r="L444" i="21"/>
  <c r="L445" i="21"/>
  <c r="L446" i="21"/>
  <c r="L447" i="21"/>
  <c r="L448" i="21"/>
  <c r="L449" i="21"/>
  <c r="L450" i="21"/>
  <c r="L451" i="21"/>
  <c r="L452" i="21"/>
  <c r="L453" i="21"/>
  <c r="L454" i="21"/>
  <c r="L455" i="21"/>
  <c r="L456" i="21"/>
  <c r="L457" i="21"/>
  <c r="L458" i="21"/>
  <c r="L459" i="21"/>
  <c r="L460" i="21"/>
  <c r="L461" i="21"/>
  <c r="L462" i="21"/>
  <c r="L463" i="21"/>
  <c r="L464" i="21"/>
  <c r="L465" i="21"/>
  <c r="L466" i="21"/>
  <c r="L467" i="21"/>
  <c r="L468" i="21"/>
  <c r="L469" i="21"/>
  <c r="L470" i="21"/>
  <c r="L471" i="21"/>
  <c r="L472" i="21"/>
  <c r="L473" i="21"/>
  <c r="L474" i="21"/>
  <c r="L475" i="21"/>
  <c r="L476" i="21"/>
  <c r="L477" i="21"/>
  <c r="L478" i="21"/>
  <c r="L479" i="21"/>
  <c r="L480" i="21"/>
  <c r="L481" i="21"/>
  <c r="L482" i="21"/>
  <c r="L483" i="21"/>
  <c r="L484" i="21"/>
  <c r="L485" i="21"/>
  <c r="L486" i="21"/>
  <c r="L487" i="21"/>
  <c r="L488" i="21"/>
  <c r="L489" i="21"/>
  <c r="L490" i="21"/>
  <c r="L491" i="21"/>
  <c r="L492" i="21"/>
  <c r="L493" i="21"/>
  <c r="L494" i="21"/>
  <c r="L495" i="21"/>
  <c r="L496" i="21"/>
  <c r="L497" i="21"/>
  <c r="L498" i="21"/>
  <c r="L499" i="21"/>
  <c r="L500" i="21"/>
  <c r="L501" i="21"/>
  <c r="L502" i="21"/>
  <c r="L503" i="21"/>
  <c r="L504" i="21"/>
  <c r="L505" i="21"/>
  <c r="L506" i="21"/>
  <c r="L507" i="21"/>
  <c r="L508" i="21"/>
  <c r="L509" i="21"/>
  <c r="L510" i="21"/>
  <c r="L511" i="21"/>
  <c r="L512" i="21"/>
  <c r="L513" i="21"/>
  <c r="L514" i="21"/>
  <c r="L515" i="21"/>
  <c r="L516" i="21"/>
  <c r="L517" i="21"/>
  <c r="L518" i="21"/>
  <c r="L519" i="21"/>
  <c r="L520" i="21"/>
  <c r="L521" i="21"/>
  <c r="L522" i="21"/>
  <c r="L523" i="21"/>
  <c r="L524" i="21"/>
  <c r="L525" i="21"/>
  <c r="L526" i="21"/>
  <c r="L527" i="21"/>
  <c r="L528" i="21"/>
  <c r="L529" i="21"/>
  <c r="L530" i="21"/>
  <c r="L531" i="21"/>
  <c r="L532" i="21"/>
  <c r="L533" i="21"/>
  <c r="L534" i="21"/>
  <c r="L535" i="21"/>
  <c r="L536" i="21"/>
  <c r="L537" i="21"/>
  <c r="L538" i="21"/>
  <c r="L539" i="21"/>
  <c r="L540" i="21"/>
  <c r="L541" i="21"/>
  <c r="L542" i="21"/>
  <c r="L543" i="21"/>
  <c r="L544" i="21"/>
  <c r="L545" i="21"/>
  <c r="L546" i="21"/>
  <c r="L547" i="21"/>
  <c r="L548" i="21"/>
  <c r="L549" i="21"/>
  <c r="L550" i="21"/>
  <c r="L551" i="21"/>
  <c r="L552" i="21"/>
  <c r="L553" i="21"/>
  <c r="L554" i="21"/>
  <c r="L555" i="21"/>
  <c r="L556" i="21"/>
  <c r="L557" i="21"/>
  <c r="L558" i="21"/>
  <c r="L559" i="21"/>
  <c r="L560" i="21"/>
  <c r="L561" i="21"/>
  <c r="L562" i="21"/>
  <c r="L563" i="21"/>
  <c r="L564" i="21"/>
  <c r="L565" i="21"/>
  <c r="L566" i="21"/>
  <c r="L567" i="21"/>
  <c r="L568" i="21"/>
  <c r="L569" i="21"/>
  <c r="L570" i="21"/>
  <c r="L571" i="21"/>
  <c r="L572" i="21"/>
  <c r="L573" i="21"/>
  <c r="L574" i="21"/>
  <c r="L575" i="21"/>
  <c r="L576" i="21"/>
  <c r="L577" i="21"/>
  <c r="L578" i="21"/>
  <c r="L579" i="21"/>
  <c r="L580" i="21"/>
  <c r="L581" i="21"/>
  <c r="L582" i="21"/>
  <c r="L583" i="21"/>
  <c r="L584" i="21"/>
  <c r="L585" i="21"/>
  <c r="L586" i="21"/>
  <c r="L587" i="21"/>
  <c r="L588" i="21"/>
  <c r="L589" i="21"/>
  <c r="L590" i="21"/>
  <c r="L591" i="21"/>
  <c r="L592" i="21"/>
  <c r="L593" i="21"/>
  <c r="L594" i="21"/>
  <c r="L595" i="21"/>
  <c r="L596" i="21"/>
  <c r="L597" i="21"/>
  <c r="L598" i="21"/>
  <c r="L599" i="21"/>
  <c r="L600" i="21"/>
  <c r="L601" i="21"/>
  <c r="L602" i="21"/>
  <c r="L603" i="21"/>
  <c r="L604" i="21"/>
  <c r="L605" i="21"/>
  <c r="L606" i="21"/>
  <c r="L607" i="21"/>
  <c r="L608" i="21"/>
  <c r="L609" i="21"/>
  <c r="L610" i="21"/>
  <c r="L611" i="21"/>
  <c r="L612" i="21"/>
  <c r="L613" i="21"/>
  <c r="L614" i="21"/>
  <c r="L615" i="21"/>
  <c r="L616" i="21"/>
  <c r="L617" i="21"/>
  <c r="L618" i="21"/>
  <c r="L619" i="21"/>
  <c r="L620" i="21"/>
  <c r="L621" i="21"/>
  <c r="L622" i="21"/>
  <c r="L623" i="21"/>
  <c r="L624" i="21"/>
  <c r="L625" i="21"/>
  <c r="L626" i="21"/>
  <c r="L627" i="21"/>
  <c r="L628" i="21"/>
  <c r="L629" i="21"/>
  <c r="L630" i="21"/>
  <c r="L631" i="21"/>
  <c r="L632" i="21"/>
  <c r="L633" i="21"/>
  <c r="L634" i="21"/>
  <c r="L635" i="21"/>
  <c r="L636" i="21"/>
  <c r="L637" i="21"/>
  <c r="L638" i="21"/>
  <c r="L639" i="21"/>
  <c r="L640" i="21"/>
  <c r="L641" i="21"/>
  <c r="L642" i="21"/>
  <c r="L643" i="21"/>
  <c r="L644" i="21"/>
  <c r="L645" i="21"/>
  <c r="L646" i="21"/>
  <c r="L647" i="21"/>
  <c r="L648" i="21"/>
  <c r="L649" i="21"/>
  <c r="L650" i="21"/>
  <c r="L651" i="21"/>
  <c r="L652" i="21"/>
  <c r="L653" i="21"/>
  <c r="L654" i="21"/>
  <c r="L655" i="21"/>
  <c r="L656" i="21"/>
  <c r="L657" i="21"/>
  <c r="L658" i="21"/>
  <c r="L659" i="21"/>
  <c r="L660" i="21"/>
  <c r="L661" i="21"/>
  <c r="L662" i="21"/>
  <c r="L663" i="21"/>
  <c r="L664" i="21"/>
  <c r="L665" i="21"/>
  <c r="L666" i="21"/>
  <c r="L667" i="21"/>
  <c r="L668" i="21"/>
  <c r="L669" i="21"/>
  <c r="L670" i="21"/>
  <c r="L671" i="21"/>
  <c r="L672" i="21"/>
  <c r="L673" i="21"/>
  <c r="L674" i="21"/>
  <c r="L675" i="21"/>
  <c r="L676" i="21"/>
  <c r="L677" i="21"/>
  <c r="L678" i="21"/>
  <c r="L679" i="21"/>
  <c r="L680" i="21"/>
  <c r="L681" i="21"/>
  <c r="L682" i="21"/>
  <c r="L683" i="21"/>
  <c r="L684" i="21"/>
  <c r="L685" i="21"/>
  <c r="L686" i="21"/>
  <c r="L687" i="21"/>
  <c r="L688" i="21"/>
  <c r="L689" i="21"/>
  <c r="L690" i="21"/>
  <c r="L691" i="21"/>
  <c r="L692" i="21"/>
  <c r="L693" i="21"/>
  <c r="L694" i="21"/>
  <c r="L695" i="21"/>
  <c r="L696" i="21"/>
  <c r="L697" i="21"/>
  <c r="L698" i="21"/>
  <c r="L699" i="21"/>
  <c r="L700" i="21"/>
  <c r="L701" i="21"/>
  <c r="L702" i="21"/>
  <c r="L703" i="21"/>
  <c r="L704" i="21"/>
  <c r="L705" i="21"/>
  <c r="L706" i="21"/>
  <c r="L707" i="21"/>
  <c r="L708" i="21"/>
  <c r="L709" i="21"/>
  <c r="L710" i="21"/>
  <c r="L711" i="21"/>
  <c r="L712" i="21"/>
  <c r="L713" i="21"/>
  <c r="L714" i="21"/>
  <c r="L715" i="21"/>
  <c r="L716" i="21"/>
  <c r="L717" i="21"/>
  <c r="L718" i="21"/>
  <c r="L719" i="21"/>
  <c r="L720" i="21"/>
  <c r="L721" i="21"/>
  <c r="L722" i="21"/>
  <c r="L723" i="21"/>
  <c r="L724" i="21"/>
  <c r="L725" i="21"/>
  <c r="L726" i="21"/>
  <c r="L727" i="21"/>
  <c r="L728" i="21"/>
  <c r="L729" i="21"/>
  <c r="L730" i="21"/>
  <c r="L731" i="21"/>
  <c r="L732" i="21"/>
  <c r="L733" i="21"/>
  <c r="L734" i="21"/>
  <c r="L735" i="21"/>
  <c r="L736" i="21"/>
  <c r="L737" i="21"/>
  <c r="L738" i="21"/>
  <c r="L739" i="21"/>
  <c r="L740" i="21"/>
  <c r="L741" i="21"/>
  <c r="L742" i="21"/>
  <c r="L743" i="21"/>
  <c r="L744" i="21"/>
  <c r="L745" i="21"/>
  <c r="L746" i="21"/>
  <c r="L747" i="21"/>
  <c r="L748" i="21"/>
  <c r="L749" i="21"/>
  <c r="L750" i="21"/>
  <c r="L751" i="21"/>
  <c r="L752" i="21"/>
  <c r="L753" i="21"/>
  <c r="L754" i="21"/>
  <c r="L755" i="21"/>
  <c r="L756" i="21"/>
  <c r="L757" i="21"/>
  <c r="L758" i="21"/>
  <c r="L759" i="21"/>
  <c r="L760" i="21"/>
  <c r="L761" i="21"/>
  <c r="L762" i="21"/>
  <c r="L763" i="21"/>
  <c r="L764" i="21"/>
  <c r="L765" i="21"/>
  <c r="L766" i="21"/>
  <c r="L767" i="21"/>
  <c r="L768" i="21"/>
  <c r="L769" i="21"/>
  <c r="L770" i="21"/>
  <c r="L771" i="21"/>
  <c r="L772" i="21"/>
  <c r="L773" i="21"/>
  <c r="L774" i="21"/>
  <c r="L775" i="21"/>
  <c r="L776" i="21"/>
  <c r="L777" i="21"/>
  <c r="L778" i="21"/>
  <c r="L779" i="21"/>
  <c r="L780" i="21"/>
  <c r="L781" i="21"/>
  <c r="L782" i="21"/>
  <c r="L783" i="21"/>
  <c r="L784" i="21"/>
  <c r="L785" i="21"/>
  <c r="L786" i="21"/>
  <c r="L787" i="21"/>
  <c r="L788" i="21"/>
  <c r="L789" i="21"/>
  <c r="L790" i="21"/>
  <c r="L791" i="21"/>
  <c r="L792" i="21"/>
  <c r="L793" i="21"/>
  <c r="L794" i="21"/>
  <c r="L795" i="21"/>
  <c r="L796" i="21"/>
  <c r="L797" i="21"/>
  <c r="L798" i="21"/>
  <c r="L799" i="21"/>
  <c r="L800" i="21"/>
  <c r="L801" i="21"/>
  <c r="L802" i="21"/>
  <c r="L803" i="21"/>
  <c r="L804" i="21"/>
  <c r="L805" i="21"/>
  <c r="L806" i="21"/>
  <c r="L807" i="21"/>
  <c r="L808" i="21"/>
  <c r="L809" i="21"/>
  <c r="L810" i="21"/>
  <c r="L811" i="21"/>
  <c r="L812" i="21"/>
  <c r="L813" i="21"/>
  <c r="L814" i="21"/>
  <c r="L815" i="21"/>
  <c r="L816" i="21"/>
  <c r="L817" i="21"/>
  <c r="L818" i="21"/>
  <c r="L819" i="21"/>
  <c r="L820" i="21"/>
  <c r="L821" i="21"/>
  <c r="L822" i="21"/>
  <c r="L823" i="21"/>
  <c r="L824" i="21"/>
  <c r="L825" i="21"/>
  <c r="L826" i="21"/>
  <c r="L827" i="21"/>
  <c r="L828" i="21"/>
  <c r="L829" i="21"/>
  <c r="L830" i="21"/>
  <c r="L831" i="21"/>
  <c r="L832" i="21"/>
  <c r="L833" i="21"/>
  <c r="L834" i="21"/>
  <c r="L835" i="21"/>
  <c r="L836" i="21"/>
  <c r="L837" i="21"/>
  <c r="L838" i="21"/>
  <c r="L839" i="21"/>
  <c r="L840" i="21"/>
  <c r="L841" i="21"/>
  <c r="L842" i="21"/>
  <c r="L843" i="21"/>
  <c r="L844" i="21"/>
  <c r="L845" i="21"/>
  <c r="L846" i="21"/>
  <c r="L847" i="21"/>
  <c r="L848" i="21"/>
  <c r="L849" i="21"/>
  <c r="L850" i="21"/>
  <c r="L851" i="21"/>
  <c r="L852" i="21"/>
  <c r="L853" i="21"/>
  <c r="L854" i="21"/>
  <c r="L855" i="21"/>
  <c r="L856" i="21"/>
  <c r="L857" i="21"/>
  <c r="L858" i="21"/>
  <c r="L859" i="21"/>
  <c r="L860" i="21"/>
  <c r="L861" i="21"/>
  <c r="L862" i="21"/>
  <c r="L863" i="21"/>
  <c r="L864" i="21"/>
  <c r="L865" i="21"/>
  <c r="L866" i="21"/>
  <c r="L867" i="21"/>
  <c r="L868" i="21"/>
  <c r="L869" i="21"/>
  <c r="L870" i="21"/>
  <c r="L871" i="21"/>
  <c r="L872" i="21"/>
  <c r="L873" i="21"/>
  <c r="L874" i="21"/>
  <c r="L875" i="21"/>
  <c r="L876" i="21"/>
  <c r="L877" i="21"/>
  <c r="L878" i="21"/>
  <c r="L879" i="21"/>
  <c r="L880" i="21"/>
  <c r="L881" i="21"/>
  <c r="L882" i="21"/>
  <c r="L883" i="21"/>
  <c r="L884" i="21"/>
  <c r="L885" i="21"/>
  <c r="L886" i="21"/>
  <c r="L887" i="21"/>
  <c r="L888" i="21"/>
  <c r="L889" i="21"/>
  <c r="L890" i="21"/>
  <c r="L891" i="21"/>
  <c r="L892" i="21"/>
  <c r="L893" i="21"/>
  <c r="L894" i="21"/>
  <c r="L895" i="21"/>
  <c r="L896" i="21"/>
  <c r="L897" i="21"/>
  <c r="L898" i="21"/>
  <c r="L899" i="21"/>
  <c r="L900" i="21"/>
  <c r="L901" i="21"/>
  <c r="L902" i="21"/>
  <c r="L903" i="21"/>
  <c r="L904" i="21"/>
  <c r="L905" i="21"/>
  <c r="L906" i="21"/>
  <c r="L907" i="21"/>
  <c r="L908" i="21"/>
  <c r="L909" i="21"/>
  <c r="L910" i="21"/>
  <c r="L911" i="21"/>
  <c r="L912" i="21"/>
  <c r="L913" i="21"/>
  <c r="L914" i="21"/>
  <c r="L915" i="21"/>
  <c r="L916" i="21"/>
  <c r="L917" i="21"/>
  <c r="L918" i="21"/>
  <c r="L919" i="21"/>
  <c r="L920" i="21"/>
  <c r="L921" i="21"/>
  <c r="L922" i="21"/>
  <c r="L923" i="21"/>
  <c r="L924" i="21"/>
  <c r="L925" i="21"/>
  <c r="L926" i="21"/>
  <c r="L927" i="21"/>
  <c r="L928" i="21"/>
  <c r="L929" i="21"/>
  <c r="L930" i="21"/>
  <c r="L931" i="21"/>
  <c r="L932" i="21"/>
  <c r="L933" i="21"/>
  <c r="L934" i="21"/>
  <c r="L935" i="21"/>
  <c r="L936" i="21"/>
  <c r="L937" i="21"/>
  <c r="L938" i="21"/>
  <c r="L939" i="21"/>
  <c r="L940" i="21"/>
  <c r="L941" i="21"/>
  <c r="L942" i="21"/>
  <c r="L943" i="21"/>
  <c r="L944" i="21"/>
  <c r="L945" i="21"/>
  <c r="L946" i="21"/>
  <c r="L947" i="21"/>
  <c r="L948" i="21"/>
  <c r="L949" i="21"/>
  <c r="L950" i="21"/>
  <c r="L951" i="21"/>
  <c r="L952" i="21"/>
  <c r="L953" i="21"/>
  <c r="L954" i="21"/>
  <c r="L955" i="21"/>
  <c r="L956" i="21"/>
  <c r="L957" i="21"/>
  <c r="L958" i="21"/>
  <c r="L959" i="21"/>
  <c r="L960" i="21"/>
  <c r="L961" i="21"/>
  <c r="L962" i="21"/>
  <c r="L963" i="21"/>
  <c r="L964" i="21"/>
  <c r="L965" i="21"/>
  <c r="L966" i="21"/>
  <c r="L967" i="21"/>
  <c r="L968" i="21"/>
  <c r="L969" i="21"/>
  <c r="L970" i="21"/>
  <c r="L971" i="21"/>
  <c r="L972" i="21"/>
  <c r="L973" i="21"/>
  <c r="L974" i="21"/>
  <c r="L975" i="21"/>
  <c r="L976" i="21"/>
  <c r="L977" i="21"/>
  <c r="L978" i="21"/>
  <c r="L979" i="21"/>
  <c r="L980" i="21"/>
  <c r="L981" i="21"/>
  <c r="L982" i="21"/>
  <c r="L983" i="21"/>
  <c r="L984" i="21"/>
  <c r="L985" i="21"/>
  <c r="L986" i="21"/>
  <c r="L987" i="21"/>
  <c r="L988" i="21"/>
  <c r="L989" i="21"/>
  <c r="L990" i="21"/>
  <c r="L991" i="21"/>
  <c r="L992" i="21"/>
  <c r="L993" i="21"/>
  <c r="L994" i="21"/>
  <c r="L995" i="21"/>
  <c r="L996" i="21"/>
  <c r="L997" i="21"/>
  <c r="L998" i="21"/>
  <c r="L999" i="21"/>
  <c r="L1000" i="21"/>
  <c r="L1001" i="21"/>
  <c r="L1002" i="21"/>
  <c r="L1003" i="21"/>
  <c r="L1004" i="21"/>
  <c r="L1005" i="21"/>
  <c r="L1006" i="21"/>
  <c r="L1007" i="21"/>
  <c r="L1008" i="21"/>
  <c r="L1009" i="21"/>
  <c r="L1010" i="21"/>
  <c r="L1011" i="21"/>
  <c r="L1012" i="21"/>
  <c r="L1013" i="21"/>
  <c r="L1014" i="21"/>
  <c r="L1015" i="21"/>
  <c r="L1016" i="21"/>
  <c r="L1017" i="21"/>
  <c r="L1018" i="21"/>
  <c r="L1019" i="21"/>
  <c r="L1020" i="21"/>
  <c r="L1021" i="21"/>
  <c r="L1022" i="21"/>
  <c r="L1023" i="21"/>
  <c r="L1024" i="21"/>
  <c r="L1025" i="21"/>
  <c r="L1026" i="21"/>
  <c r="L1027" i="21"/>
  <c r="L1028" i="21"/>
  <c r="L1029" i="21"/>
  <c r="L1030" i="21"/>
  <c r="L1031" i="21"/>
  <c r="L1032" i="21"/>
  <c r="L1033" i="21"/>
  <c r="L1034" i="21"/>
  <c r="L1035" i="21"/>
  <c r="L1036" i="21"/>
  <c r="L1037" i="21"/>
  <c r="L1038" i="21"/>
  <c r="L1039" i="21"/>
  <c r="L1040" i="21"/>
  <c r="L1041" i="21"/>
  <c r="L1042" i="21"/>
  <c r="L1043" i="21"/>
  <c r="L1044" i="21"/>
  <c r="L1045" i="21"/>
  <c r="L1046" i="21"/>
  <c r="L1047" i="21"/>
  <c r="L1048" i="21"/>
  <c r="L1049" i="21"/>
  <c r="L1050" i="21"/>
  <c r="L1051" i="21"/>
  <c r="L1052" i="21"/>
  <c r="L1053" i="21"/>
  <c r="L1054" i="21"/>
  <c r="L1055" i="21"/>
  <c r="L1056" i="21"/>
  <c r="L1057" i="21"/>
  <c r="L1058" i="21"/>
  <c r="L1059" i="21"/>
  <c r="L1060" i="21"/>
  <c r="L1061" i="21"/>
  <c r="L1062" i="21"/>
  <c r="L1063" i="21"/>
  <c r="L1064" i="21"/>
  <c r="L1065" i="21"/>
  <c r="L1066" i="21"/>
  <c r="L1067" i="21"/>
  <c r="L1068" i="21"/>
  <c r="L1069" i="21"/>
  <c r="L1070" i="21"/>
  <c r="L1071" i="21"/>
  <c r="L1072" i="21"/>
  <c r="L1073" i="21"/>
  <c r="L1074" i="21"/>
  <c r="L1075" i="21"/>
  <c r="L1076" i="21"/>
  <c r="L1077" i="21"/>
  <c r="L1078" i="21"/>
  <c r="L1079" i="21"/>
  <c r="L1080" i="21"/>
  <c r="L1081" i="21"/>
  <c r="L1082" i="21"/>
  <c r="L1083" i="21"/>
  <c r="L1084" i="21"/>
  <c r="L1085" i="21"/>
  <c r="L1086" i="21"/>
  <c r="L1087" i="21"/>
  <c r="L1088" i="21"/>
  <c r="L1089" i="21"/>
  <c r="L1090" i="21"/>
  <c r="L1091" i="21"/>
  <c r="L1092" i="21"/>
  <c r="L1093" i="21"/>
  <c r="L1094" i="21"/>
  <c r="L1095" i="21"/>
  <c r="L1096" i="21"/>
  <c r="L1097" i="21"/>
  <c r="L1098" i="21"/>
  <c r="L1099" i="21"/>
  <c r="L1100" i="21"/>
  <c r="L1101" i="21"/>
  <c r="L1102" i="21"/>
  <c r="L1103" i="21"/>
  <c r="L1104" i="21"/>
  <c r="L1105" i="21"/>
  <c r="L1106" i="21"/>
  <c r="L1107" i="21"/>
  <c r="L1108" i="21"/>
  <c r="L1109" i="21"/>
  <c r="L1110" i="21"/>
  <c r="L1111" i="21"/>
  <c r="L1112" i="21"/>
  <c r="L1113" i="21"/>
  <c r="L1114" i="21"/>
  <c r="L1115" i="21"/>
  <c r="L1116" i="21"/>
  <c r="L1117" i="21"/>
  <c r="L1118" i="21"/>
  <c r="L1119" i="21"/>
  <c r="L1120" i="21"/>
  <c r="L1121" i="21"/>
  <c r="L1122" i="21"/>
  <c r="L1123" i="21"/>
  <c r="L1124" i="21"/>
  <c r="L1125" i="21"/>
  <c r="L1126" i="21"/>
  <c r="L1127" i="21"/>
  <c r="L1128" i="21"/>
  <c r="L1129" i="21"/>
  <c r="L1130" i="21"/>
  <c r="L1131" i="21"/>
  <c r="L1132" i="21"/>
  <c r="L1133" i="21"/>
  <c r="L1134" i="21"/>
  <c r="L1135" i="21"/>
  <c r="L1136" i="21"/>
  <c r="L1137" i="21"/>
  <c r="L1138" i="21"/>
  <c r="L1139" i="21"/>
  <c r="L1140" i="21"/>
  <c r="L1141" i="21"/>
  <c r="L1142" i="21"/>
  <c r="L1143" i="21"/>
  <c r="L1144" i="21"/>
  <c r="L1145" i="21"/>
  <c r="L1146" i="21"/>
  <c r="L1147" i="21"/>
  <c r="L1148" i="21"/>
  <c r="L1149" i="21"/>
  <c r="L1150" i="21"/>
  <c r="L1151" i="21"/>
  <c r="L1152" i="21"/>
  <c r="L1153" i="21"/>
  <c r="L1154" i="21"/>
  <c r="L1155" i="21"/>
  <c r="L1156" i="21"/>
  <c r="L1157" i="21"/>
  <c r="L1158" i="21"/>
  <c r="L1159" i="21"/>
  <c r="L1160" i="21"/>
  <c r="L1161" i="21"/>
  <c r="L1162" i="21"/>
  <c r="L1163" i="21"/>
  <c r="L1164" i="21"/>
  <c r="L1165" i="21"/>
  <c r="L1166" i="21"/>
  <c r="L1167" i="21"/>
  <c r="L1168" i="21"/>
  <c r="L1169" i="21"/>
  <c r="L1170" i="21"/>
  <c r="L1171" i="21"/>
  <c r="L1172" i="21"/>
  <c r="L1173" i="21"/>
  <c r="L1174" i="21"/>
  <c r="L1175" i="21"/>
  <c r="L1176" i="21"/>
  <c r="L1177" i="21"/>
  <c r="L1178" i="21"/>
  <c r="L1179" i="21"/>
  <c r="L1180" i="21"/>
  <c r="L1181" i="21"/>
  <c r="L1182" i="21"/>
  <c r="L1183" i="21"/>
  <c r="L1184" i="21"/>
  <c r="L1185" i="21"/>
  <c r="L1186" i="21"/>
  <c r="L1187" i="21"/>
  <c r="L1188" i="21"/>
  <c r="L1189" i="21"/>
  <c r="L1190" i="21"/>
  <c r="L1191" i="21"/>
  <c r="L1192" i="21"/>
  <c r="L1193" i="21"/>
  <c r="L1194" i="21"/>
  <c r="L1195" i="21"/>
  <c r="L1196" i="21"/>
  <c r="L1197" i="21"/>
  <c r="L1198" i="21"/>
  <c r="L1199" i="21"/>
  <c r="L1200" i="21"/>
  <c r="L1201" i="21"/>
  <c r="L1202" i="21"/>
  <c r="L1203" i="21"/>
  <c r="L1204" i="21"/>
  <c r="L1205" i="21"/>
  <c r="L1206" i="21"/>
  <c r="L1207" i="21"/>
  <c r="L1208" i="21"/>
  <c r="L1209" i="21"/>
  <c r="L1210" i="21"/>
  <c r="L1211" i="21"/>
  <c r="L1212" i="21"/>
  <c r="L1213" i="21"/>
  <c r="L1214" i="21"/>
  <c r="L1215" i="21"/>
  <c r="L1216" i="21"/>
  <c r="L1217" i="21"/>
  <c r="L1218" i="21"/>
  <c r="L1219" i="21"/>
  <c r="L1220" i="21"/>
  <c r="L1221" i="21"/>
  <c r="L1222" i="21"/>
  <c r="L1223" i="21"/>
  <c r="L1224" i="21"/>
  <c r="L1225" i="21"/>
  <c r="L1226" i="21"/>
  <c r="L1227" i="21"/>
  <c r="L1228" i="21"/>
  <c r="L1229" i="21"/>
  <c r="L1230" i="21"/>
  <c r="L1231" i="21"/>
  <c r="L1232" i="21"/>
  <c r="L1233" i="21"/>
  <c r="L1234" i="21"/>
  <c r="L1235" i="21"/>
  <c r="L1236" i="21"/>
  <c r="L1237" i="21"/>
  <c r="L1238" i="21"/>
  <c r="L1239" i="21"/>
  <c r="L1240" i="21"/>
  <c r="L1241" i="21"/>
  <c r="L1242" i="21"/>
  <c r="L1243" i="21"/>
  <c r="L1244" i="21"/>
  <c r="L1245" i="21"/>
  <c r="L1246" i="21"/>
  <c r="L1247" i="21"/>
  <c r="L1248" i="21"/>
  <c r="L1249" i="21"/>
  <c r="L1250" i="21"/>
  <c r="L1251" i="21"/>
  <c r="L1252" i="21"/>
  <c r="L1253" i="21"/>
  <c r="L1254" i="21"/>
  <c r="L1255" i="21"/>
  <c r="L1256" i="21"/>
  <c r="L1257" i="21"/>
  <c r="L1258" i="21"/>
  <c r="L1259" i="21"/>
  <c r="L1260" i="21"/>
  <c r="L1261" i="21"/>
  <c r="L1262" i="21"/>
  <c r="L1263" i="21"/>
  <c r="L1264" i="21"/>
  <c r="L1265" i="21"/>
  <c r="L1266" i="21"/>
  <c r="L1267" i="21"/>
  <c r="L1268" i="21"/>
  <c r="L1269" i="21"/>
  <c r="L1270" i="21"/>
  <c r="L1271" i="21"/>
  <c r="L1272" i="21"/>
  <c r="L1273" i="21"/>
  <c r="L1274" i="21"/>
  <c r="L1275" i="21"/>
  <c r="L1276" i="21"/>
  <c r="L1277" i="21"/>
  <c r="L1278" i="21"/>
  <c r="L1279" i="21"/>
  <c r="L1280" i="21"/>
  <c r="L1281" i="21"/>
  <c r="L1282" i="21"/>
  <c r="L1283" i="21"/>
  <c r="L1284" i="21"/>
  <c r="L1285" i="21"/>
  <c r="L1286" i="21"/>
  <c r="L1287" i="21"/>
  <c r="L1288" i="21"/>
  <c r="L1289" i="21"/>
  <c r="L1290" i="21"/>
  <c r="L1291" i="21"/>
  <c r="L1292" i="21"/>
  <c r="L1293" i="21"/>
  <c r="L1294" i="21"/>
  <c r="L1295" i="21"/>
  <c r="L1296" i="21"/>
  <c r="L1297" i="21"/>
  <c r="L1298" i="21"/>
  <c r="L1299" i="21"/>
  <c r="L1300" i="21"/>
  <c r="L1301" i="21"/>
  <c r="L1302" i="21"/>
  <c r="L1303" i="21"/>
  <c r="L1304" i="21"/>
  <c r="L1305" i="21"/>
  <c r="L1306" i="21"/>
  <c r="L1307" i="21"/>
  <c r="L1308" i="21"/>
  <c r="L1309" i="21"/>
  <c r="L1310" i="21"/>
  <c r="L1311" i="21"/>
  <c r="L1312" i="21"/>
  <c r="L1313" i="21"/>
  <c r="L1314" i="21"/>
  <c r="L1315" i="21"/>
  <c r="L1316" i="21"/>
  <c r="L1317" i="21"/>
  <c r="L1318" i="21"/>
  <c r="L1319" i="21"/>
  <c r="L1320" i="21"/>
  <c r="L1321" i="21"/>
  <c r="L1322" i="21"/>
  <c r="L1323" i="21"/>
  <c r="L1324" i="21"/>
  <c r="L1325" i="21"/>
  <c r="L1326" i="21"/>
  <c r="L1327" i="21"/>
  <c r="L1328" i="21"/>
  <c r="L1329" i="21"/>
  <c r="L1330" i="21"/>
  <c r="L1331" i="21"/>
  <c r="L1332" i="21"/>
  <c r="L1333" i="21"/>
  <c r="L1334" i="21"/>
  <c r="L1335" i="21"/>
  <c r="L1336" i="21"/>
  <c r="L1337" i="21"/>
  <c r="L1338" i="21"/>
  <c r="L1339" i="21"/>
  <c r="L1340" i="21"/>
  <c r="L1341" i="21"/>
  <c r="L1342" i="21"/>
  <c r="L1343" i="21"/>
  <c r="L1344" i="21"/>
  <c r="L1345" i="21"/>
  <c r="L1346" i="21"/>
  <c r="L1347" i="21"/>
  <c r="L1348" i="21"/>
  <c r="L1349" i="21"/>
  <c r="L1350" i="21"/>
  <c r="L1351" i="21"/>
  <c r="L1352" i="21"/>
  <c r="L1353" i="21"/>
  <c r="L1354" i="21"/>
  <c r="L1355" i="21"/>
  <c r="L1356" i="21"/>
  <c r="L1357" i="21"/>
  <c r="L1358" i="21"/>
  <c r="L1359" i="21"/>
  <c r="L1360" i="21"/>
  <c r="L1361" i="21"/>
  <c r="L1362" i="21"/>
  <c r="L1363" i="21"/>
  <c r="L1364" i="21"/>
  <c r="L1365" i="21"/>
  <c r="L1366" i="21"/>
  <c r="L1367" i="21"/>
  <c r="L1368" i="21"/>
  <c r="L1369" i="21"/>
  <c r="L1370" i="21"/>
  <c r="L1371" i="21"/>
  <c r="L1372" i="21"/>
  <c r="L1373" i="21"/>
  <c r="L1374" i="21"/>
  <c r="L1375" i="21"/>
  <c r="L1376" i="21"/>
  <c r="L1377" i="21"/>
  <c r="L1378" i="21"/>
  <c r="L1379" i="21"/>
  <c r="L1380" i="21"/>
  <c r="L1381" i="21"/>
  <c r="L1382" i="21"/>
  <c r="L1383" i="21"/>
  <c r="L1384" i="21"/>
  <c r="L1385" i="21"/>
  <c r="L1386" i="21"/>
  <c r="L1387" i="21"/>
  <c r="L1388" i="21"/>
  <c r="L1389" i="21"/>
  <c r="L1390" i="21"/>
  <c r="L1391" i="21"/>
  <c r="L1392" i="21"/>
  <c r="L1393" i="21"/>
  <c r="L1394" i="21"/>
  <c r="L1395" i="21"/>
  <c r="L1396" i="21"/>
  <c r="L1397" i="21"/>
  <c r="L1398" i="21"/>
  <c r="L1399" i="21"/>
  <c r="L1400" i="21"/>
  <c r="L1401" i="21"/>
  <c r="L1402" i="21"/>
  <c r="L1403" i="21"/>
  <c r="L1404" i="21"/>
  <c r="L1405" i="21"/>
  <c r="L1406" i="21"/>
  <c r="L1407" i="21"/>
  <c r="L1408" i="21"/>
  <c r="L1409" i="21"/>
  <c r="L1410" i="21"/>
  <c r="L1411" i="21"/>
  <c r="L1412" i="21"/>
  <c r="L1413" i="21"/>
  <c r="L1414" i="21"/>
  <c r="L1415" i="21"/>
  <c r="L1416" i="21"/>
  <c r="L1417" i="21"/>
  <c r="L1418" i="21"/>
  <c r="L1419" i="21"/>
  <c r="L1420" i="21"/>
  <c r="L1421" i="21"/>
  <c r="L1422" i="21"/>
  <c r="L1423" i="21"/>
  <c r="L1424" i="21"/>
  <c r="L1425" i="21"/>
  <c r="L1426" i="21"/>
  <c r="L1427" i="21"/>
  <c r="L1428" i="21"/>
  <c r="L1429" i="21"/>
  <c r="L1430" i="21"/>
  <c r="L1431" i="21"/>
  <c r="L1432" i="21"/>
  <c r="L1433" i="21"/>
  <c r="L1434" i="21"/>
  <c r="L1435" i="21"/>
  <c r="L1436" i="21"/>
  <c r="L1437" i="21"/>
  <c r="L1438" i="21"/>
  <c r="L1439" i="21"/>
  <c r="L1440" i="21"/>
  <c r="L1441" i="21"/>
  <c r="L1442" i="21"/>
  <c r="L1443" i="21"/>
  <c r="L1444" i="21"/>
  <c r="L1445" i="21"/>
  <c r="L1446" i="21"/>
  <c r="L1447" i="21"/>
  <c r="L1448" i="21"/>
  <c r="L1449" i="21"/>
  <c r="L1450" i="21"/>
  <c r="L1451" i="21"/>
  <c r="L1452" i="21"/>
  <c r="L1453" i="21"/>
  <c r="L1454" i="21"/>
  <c r="L1455" i="21"/>
  <c r="L1456" i="21"/>
  <c r="L1457" i="21"/>
  <c r="L1458" i="21"/>
  <c r="L1459" i="21"/>
  <c r="L1460" i="21"/>
  <c r="L1461" i="21"/>
  <c r="L1462" i="21"/>
  <c r="L1463" i="21"/>
  <c r="L1464" i="21"/>
  <c r="L1465" i="21"/>
  <c r="L1466" i="21"/>
  <c r="L1467" i="21"/>
  <c r="L1468" i="21"/>
  <c r="L1469" i="21"/>
  <c r="L1470" i="21"/>
  <c r="L1471" i="21"/>
  <c r="L1472" i="21"/>
  <c r="L1473" i="21"/>
  <c r="L1474" i="21"/>
  <c r="L1475" i="21"/>
  <c r="L1476" i="21"/>
  <c r="L1477" i="21"/>
  <c r="L1478" i="21"/>
  <c r="L1479" i="21"/>
  <c r="L1480" i="21"/>
  <c r="L1481" i="21"/>
  <c r="L1482" i="21"/>
  <c r="L1483" i="21"/>
  <c r="L1484" i="21"/>
  <c r="L1485" i="21"/>
  <c r="L1486" i="21"/>
  <c r="L1487" i="21"/>
  <c r="L1488" i="21"/>
  <c r="L1489" i="21"/>
  <c r="L1490" i="21"/>
  <c r="L1491" i="21"/>
  <c r="L1492" i="21"/>
  <c r="L1493" i="21"/>
  <c r="L1494" i="21"/>
  <c r="L1495" i="21"/>
  <c r="L1496" i="21"/>
  <c r="L1497" i="21"/>
  <c r="L1498" i="21"/>
  <c r="L1499" i="21"/>
  <c r="L1500" i="21"/>
  <c r="L1501" i="21"/>
  <c r="L1502" i="21"/>
  <c r="L1503" i="21"/>
  <c r="L1504" i="21"/>
  <c r="L1505" i="21"/>
  <c r="L1506" i="21"/>
  <c r="L1507" i="21"/>
  <c r="L1508" i="21"/>
  <c r="L1509" i="21"/>
  <c r="L1510" i="21"/>
  <c r="L1511" i="21"/>
  <c r="L1512" i="21"/>
  <c r="L1513" i="21"/>
  <c r="L1514" i="21"/>
  <c r="L1515" i="21"/>
  <c r="L1516" i="21"/>
  <c r="L1517" i="21"/>
  <c r="L1518" i="21"/>
  <c r="L1519" i="21"/>
  <c r="L1520" i="21"/>
  <c r="L1521" i="21"/>
  <c r="L1522" i="21"/>
  <c r="L1523" i="21"/>
  <c r="L1524" i="21"/>
  <c r="L1525" i="21"/>
  <c r="L1526" i="21"/>
  <c r="L1527" i="21"/>
  <c r="L1528" i="21"/>
  <c r="L1529" i="21"/>
  <c r="L1530" i="21"/>
  <c r="L1531" i="21"/>
  <c r="L1532" i="21"/>
  <c r="L1533" i="21"/>
  <c r="L1534" i="21"/>
  <c r="L1535" i="21"/>
  <c r="L1536" i="21"/>
  <c r="L1537" i="21"/>
  <c r="L1538" i="21"/>
  <c r="L1539" i="21"/>
  <c r="L1540" i="21"/>
  <c r="L1541" i="21"/>
  <c r="L1542" i="21"/>
  <c r="L1543" i="21"/>
  <c r="L1544" i="21"/>
  <c r="L1545" i="21"/>
  <c r="L1546" i="21"/>
  <c r="L1547" i="21"/>
  <c r="L1548" i="21"/>
  <c r="L1549" i="21"/>
  <c r="L1550" i="21"/>
  <c r="L1551" i="21"/>
  <c r="L1552" i="21"/>
  <c r="L1553" i="21"/>
  <c r="L1554" i="21"/>
  <c r="L1555" i="21"/>
  <c r="L1556" i="21"/>
  <c r="L1557" i="21"/>
  <c r="L1558" i="21"/>
  <c r="L1559" i="21"/>
  <c r="L1560" i="21"/>
  <c r="L1561" i="21"/>
  <c r="L1562" i="21"/>
  <c r="L1563" i="21"/>
  <c r="L1564" i="21"/>
  <c r="L1565" i="21"/>
  <c r="L1566" i="21"/>
  <c r="L1567" i="21"/>
  <c r="L1568" i="21"/>
  <c r="L1569" i="21"/>
  <c r="L1570" i="21"/>
  <c r="L1571" i="21"/>
  <c r="L1572" i="21"/>
  <c r="L1573" i="21"/>
  <c r="L1574" i="21"/>
  <c r="L1575" i="21"/>
  <c r="L1576" i="21"/>
  <c r="L1577" i="21"/>
  <c r="L1578" i="21"/>
  <c r="L1579" i="21"/>
  <c r="L1580" i="21"/>
  <c r="L1581" i="21"/>
  <c r="L1582" i="21"/>
  <c r="L1583" i="21"/>
  <c r="L1584" i="21"/>
  <c r="L1585" i="21"/>
  <c r="L1586" i="21"/>
  <c r="L1587" i="21"/>
  <c r="L1588" i="21"/>
  <c r="L1589" i="21"/>
  <c r="L1590" i="21"/>
  <c r="L1591" i="21"/>
  <c r="L1592" i="21"/>
  <c r="L1593" i="21"/>
  <c r="L1594" i="21"/>
  <c r="L1595" i="21"/>
  <c r="L1596" i="21"/>
  <c r="L1597" i="21"/>
  <c r="L1598" i="21"/>
  <c r="L1599" i="21"/>
  <c r="L1600" i="21"/>
  <c r="L1601" i="21"/>
  <c r="L1602" i="21"/>
  <c r="L1603" i="21"/>
  <c r="L1604" i="21"/>
  <c r="L1605" i="21"/>
  <c r="L1606" i="21"/>
  <c r="L1607" i="21"/>
  <c r="L1608" i="21"/>
  <c r="L1609" i="21"/>
  <c r="L1610" i="21"/>
  <c r="L1611" i="21"/>
  <c r="L1612" i="21"/>
  <c r="L1613" i="21"/>
  <c r="L1614" i="21"/>
  <c r="L1615" i="21"/>
  <c r="L1616" i="21"/>
  <c r="L1617" i="21"/>
  <c r="L1618" i="21"/>
  <c r="L1619" i="21"/>
  <c r="L1620" i="21"/>
  <c r="L1621" i="21"/>
  <c r="L1622" i="21"/>
  <c r="L1623" i="21"/>
  <c r="L1624" i="21"/>
  <c r="L1625" i="21"/>
  <c r="L1626" i="21"/>
  <c r="L1627" i="21"/>
  <c r="L1628" i="21"/>
  <c r="L1629" i="21"/>
  <c r="L1630" i="21"/>
  <c r="L1631" i="21"/>
  <c r="L1632" i="21"/>
  <c r="L1633" i="21"/>
  <c r="L1634" i="21"/>
  <c r="L1635" i="21"/>
  <c r="L1636" i="21"/>
  <c r="L1637" i="21"/>
  <c r="L1638" i="21"/>
  <c r="L1639" i="21"/>
  <c r="L1640" i="21"/>
  <c r="L1641" i="21"/>
  <c r="L1642" i="21"/>
  <c r="L1643" i="21"/>
  <c r="L1644" i="21"/>
  <c r="L1645" i="21"/>
  <c r="L1646" i="21"/>
  <c r="L1647" i="21"/>
  <c r="L1648" i="21"/>
  <c r="L1649" i="21"/>
  <c r="L1650" i="21"/>
  <c r="L1651" i="21"/>
  <c r="L1652" i="21"/>
  <c r="L1653" i="21"/>
  <c r="L1654" i="21"/>
  <c r="L1655" i="21"/>
  <c r="L1656" i="21"/>
  <c r="L1657" i="21"/>
  <c r="L1658" i="21"/>
  <c r="L1659" i="21"/>
  <c r="L1660" i="21"/>
  <c r="L1661" i="21"/>
  <c r="L1662" i="21"/>
  <c r="L1663" i="21"/>
  <c r="L1664" i="21"/>
  <c r="L1665" i="21"/>
  <c r="L1666" i="21"/>
  <c r="L1667" i="21"/>
  <c r="L1668" i="21"/>
  <c r="L1669" i="21"/>
  <c r="L1670" i="21"/>
  <c r="L1671" i="21"/>
  <c r="L1672" i="21"/>
  <c r="L1673" i="21"/>
  <c r="L1674" i="21"/>
  <c r="L1675" i="21"/>
  <c r="L1676" i="21"/>
  <c r="L1677" i="21"/>
  <c r="L1678" i="21"/>
  <c r="L1679" i="21"/>
  <c r="L1680" i="21"/>
  <c r="L1681" i="21"/>
  <c r="L1682" i="21"/>
  <c r="L1683" i="21"/>
  <c r="L1684" i="21"/>
  <c r="L1685" i="21"/>
  <c r="L1686" i="21"/>
  <c r="L1687" i="21"/>
  <c r="L1688" i="21"/>
  <c r="L1689" i="21"/>
  <c r="L1690" i="21"/>
  <c r="L1691" i="21"/>
  <c r="L1692" i="21"/>
  <c r="L1693" i="21"/>
  <c r="L1694" i="21"/>
  <c r="L1695" i="21"/>
  <c r="L1696" i="21"/>
  <c r="L1697" i="21"/>
  <c r="L1698" i="21"/>
  <c r="L1699" i="21"/>
  <c r="L1700" i="21"/>
  <c r="L1701" i="21"/>
  <c r="L1702" i="21"/>
  <c r="L1703" i="21"/>
  <c r="L1704" i="21"/>
  <c r="L1705" i="21"/>
  <c r="L1706" i="21"/>
  <c r="L1707" i="21"/>
  <c r="L1708" i="21"/>
  <c r="L1709" i="21"/>
  <c r="L1710" i="21"/>
  <c r="L1711" i="21"/>
  <c r="L1712" i="21"/>
  <c r="L1713" i="21"/>
  <c r="L1714" i="21"/>
  <c r="L1715" i="21"/>
  <c r="L1716" i="21"/>
  <c r="L1717" i="21"/>
  <c r="L1718" i="21"/>
  <c r="L1719" i="21"/>
  <c r="L1720" i="21"/>
  <c r="L1721" i="21"/>
  <c r="L1722" i="21"/>
  <c r="L1723" i="21"/>
  <c r="L1724" i="21"/>
  <c r="L1725" i="21"/>
  <c r="L1726" i="21"/>
  <c r="L1727" i="21"/>
  <c r="L1728" i="21"/>
  <c r="L1729" i="21"/>
  <c r="L1730" i="21"/>
  <c r="L1731" i="21"/>
  <c r="L1732" i="21"/>
  <c r="L1733" i="21"/>
  <c r="L1734" i="21"/>
  <c r="L1735" i="21"/>
  <c r="L1736" i="21"/>
  <c r="L1737" i="21"/>
  <c r="L1738" i="21"/>
  <c r="L1739" i="21"/>
  <c r="L1740" i="21"/>
  <c r="L1741" i="21"/>
  <c r="L1742" i="21"/>
  <c r="L1743" i="21"/>
  <c r="L1744" i="21"/>
  <c r="L1745" i="21"/>
  <c r="L1746" i="21"/>
  <c r="L1747" i="21"/>
  <c r="L1748" i="21"/>
  <c r="L1749" i="21"/>
  <c r="L1750" i="21"/>
  <c r="L1751" i="21"/>
  <c r="L1752" i="21"/>
  <c r="L1753" i="21"/>
  <c r="L1754" i="21"/>
  <c r="L1755" i="21"/>
  <c r="L1756" i="21"/>
  <c r="L1757" i="21"/>
  <c r="L1758" i="21"/>
  <c r="L1759" i="21"/>
  <c r="L1760" i="21"/>
  <c r="L1761" i="21"/>
  <c r="L1762" i="21"/>
  <c r="L1763" i="21"/>
  <c r="L1764" i="21"/>
  <c r="L1765" i="21"/>
  <c r="L1766" i="21"/>
  <c r="L1767" i="21"/>
  <c r="L1768" i="21"/>
  <c r="L1769" i="21"/>
  <c r="L1770" i="21"/>
  <c r="L1771" i="21"/>
  <c r="L1772" i="21"/>
  <c r="L1773" i="21"/>
  <c r="L1774" i="21"/>
  <c r="L1775" i="21"/>
  <c r="L1776" i="21"/>
  <c r="L1777" i="21"/>
  <c r="L1778" i="21"/>
  <c r="L1779" i="21"/>
  <c r="L1780" i="21"/>
  <c r="L1781" i="21"/>
  <c r="L1782" i="21"/>
  <c r="L1783" i="21"/>
  <c r="L1784" i="21"/>
  <c r="L1785" i="21"/>
  <c r="L1786" i="21"/>
  <c r="L1787" i="21"/>
  <c r="L1788" i="21"/>
  <c r="L1789" i="21"/>
  <c r="L1790" i="21"/>
  <c r="L1791" i="21"/>
  <c r="L1792" i="21"/>
  <c r="L1793" i="21"/>
  <c r="L1794" i="21"/>
  <c r="L1795" i="21"/>
  <c r="L1796" i="21"/>
  <c r="L1797" i="21"/>
  <c r="L1798" i="21"/>
  <c r="L1799" i="21"/>
  <c r="L1800" i="21"/>
  <c r="L1801" i="21"/>
  <c r="L1802" i="21"/>
  <c r="L1803" i="21"/>
  <c r="L1804" i="21"/>
  <c r="L1805" i="21"/>
  <c r="L1806" i="21"/>
  <c r="L1807" i="21"/>
  <c r="L1808" i="21"/>
  <c r="L1809" i="21"/>
  <c r="L1810" i="21"/>
  <c r="L1811" i="21"/>
  <c r="L1812" i="21"/>
  <c r="L1813" i="21"/>
  <c r="L1814" i="21"/>
  <c r="L1815" i="21"/>
  <c r="L1816" i="21"/>
  <c r="L1817" i="21"/>
  <c r="L1818" i="21"/>
  <c r="L1819" i="21"/>
  <c r="L1820" i="21"/>
  <c r="L1821" i="21"/>
  <c r="L1822" i="21"/>
  <c r="L1823" i="21"/>
  <c r="L1824" i="21"/>
  <c r="L1825" i="21"/>
  <c r="L1826" i="21"/>
  <c r="L1827" i="21"/>
  <c r="L1828" i="21"/>
  <c r="L1829" i="21"/>
  <c r="L1830" i="21"/>
  <c r="L1831" i="21"/>
  <c r="L1832" i="21"/>
  <c r="L1833" i="21"/>
  <c r="L1834" i="21"/>
  <c r="L1835" i="21"/>
  <c r="L1836" i="21"/>
  <c r="L1837" i="21"/>
  <c r="L1838" i="21"/>
  <c r="L1839" i="21"/>
  <c r="L1840" i="21"/>
  <c r="L1841" i="21"/>
  <c r="L1842" i="21"/>
  <c r="L1843" i="21"/>
  <c r="L1844" i="21"/>
  <c r="L1845" i="21"/>
  <c r="L1846" i="21"/>
  <c r="L1847" i="21"/>
  <c r="L1848" i="21"/>
  <c r="L1849" i="21"/>
  <c r="L1850" i="21"/>
  <c r="L1851" i="21"/>
  <c r="L1852" i="21"/>
  <c r="L1853" i="21"/>
  <c r="L1854" i="21"/>
  <c r="L1855" i="21"/>
  <c r="L1856" i="21"/>
  <c r="L1857" i="21"/>
  <c r="L1858" i="21"/>
  <c r="L1859" i="21"/>
  <c r="L1860" i="21"/>
  <c r="L1861" i="21"/>
  <c r="L1862" i="21"/>
  <c r="L1863" i="21"/>
  <c r="L1864" i="21"/>
  <c r="L1865" i="21"/>
  <c r="L1866" i="21"/>
  <c r="L1867" i="21"/>
  <c r="L1868" i="21"/>
  <c r="L1869" i="21"/>
  <c r="L1870" i="21"/>
  <c r="L1871" i="21"/>
  <c r="L1872" i="21"/>
  <c r="L1873" i="21"/>
  <c r="L1874" i="21"/>
  <c r="L1875" i="21"/>
  <c r="L1876" i="21"/>
  <c r="L1877" i="21"/>
  <c r="L1878" i="21"/>
  <c r="L1879" i="21"/>
  <c r="L1880" i="21"/>
  <c r="L1881" i="21"/>
  <c r="L1882" i="21"/>
  <c r="L1883" i="21"/>
  <c r="L1884" i="21"/>
  <c r="L1885" i="21"/>
  <c r="L1886" i="21"/>
  <c r="L1887" i="21"/>
  <c r="L1888" i="21"/>
  <c r="L1889" i="21"/>
  <c r="L1890" i="21"/>
  <c r="L1891" i="21"/>
  <c r="L1892" i="21"/>
  <c r="L1893" i="21"/>
  <c r="L1894" i="21"/>
  <c r="L1895" i="21"/>
  <c r="L1896" i="21"/>
  <c r="L1897" i="21"/>
  <c r="L1898" i="21"/>
  <c r="L1899" i="21"/>
  <c r="L1900" i="21"/>
  <c r="L1901" i="21"/>
  <c r="L1902" i="21"/>
  <c r="L1903" i="21"/>
  <c r="L1904" i="21"/>
  <c r="L1905" i="21"/>
  <c r="L1906" i="21"/>
  <c r="L1907" i="21"/>
  <c r="L1908" i="21"/>
  <c r="L1909" i="21"/>
  <c r="L1910" i="21"/>
  <c r="L1911" i="21"/>
  <c r="L1912" i="21"/>
  <c r="L1913" i="21"/>
  <c r="L1914" i="21"/>
  <c r="L1915" i="21"/>
  <c r="L1916" i="21"/>
  <c r="L1917" i="21"/>
  <c r="L1918" i="21"/>
  <c r="L1919" i="21"/>
  <c r="L1920" i="21"/>
  <c r="L1921" i="21"/>
  <c r="L1922" i="21"/>
  <c r="L1923" i="21"/>
  <c r="L1924" i="21"/>
  <c r="L1925" i="21"/>
  <c r="L1926" i="21"/>
  <c r="L1927" i="21"/>
  <c r="L1928" i="21"/>
  <c r="L1929" i="21"/>
  <c r="L1930" i="21"/>
  <c r="L1931" i="21"/>
  <c r="L1932" i="21"/>
  <c r="L1933" i="21"/>
  <c r="L1934" i="21"/>
  <c r="L1935" i="21"/>
  <c r="L1936" i="21"/>
  <c r="L1937" i="21"/>
  <c r="L1938" i="21"/>
  <c r="L1939" i="21"/>
  <c r="L1940" i="21"/>
  <c r="L1941" i="21"/>
  <c r="L1942" i="21"/>
  <c r="L1943" i="21"/>
  <c r="L1944" i="21"/>
  <c r="L1945" i="21"/>
  <c r="L1946" i="21"/>
  <c r="L1947" i="21"/>
  <c r="L1948" i="21"/>
  <c r="L1949" i="21"/>
  <c r="L1950" i="21"/>
  <c r="L1951" i="21"/>
  <c r="L1952" i="21"/>
  <c r="L1953" i="21"/>
  <c r="L1954" i="21"/>
  <c r="L1955" i="21"/>
  <c r="L1956" i="21"/>
  <c r="L1957" i="21"/>
  <c r="L1958" i="21"/>
  <c r="L1959" i="21"/>
  <c r="L1960" i="21"/>
  <c r="L1961" i="21"/>
  <c r="L1962" i="21"/>
  <c r="L1963" i="21"/>
  <c r="L1964" i="21"/>
  <c r="L1965" i="21"/>
  <c r="L1966" i="21"/>
  <c r="L1967" i="21"/>
  <c r="L1968" i="21"/>
  <c r="L1969" i="21"/>
  <c r="L1970" i="21"/>
  <c r="L1971" i="21"/>
  <c r="L1972" i="21"/>
  <c r="L1973" i="21"/>
  <c r="L1974" i="21"/>
  <c r="L1975" i="21"/>
  <c r="L1976" i="21"/>
  <c r="L1977" i="21"/>
  <c r="L1978" i="21"/>
  <c r="L1979" i="21"/>
  <c r="L1980" i="21"/>
  <c r="L1981" i="21"/>
  <c r="L1982" i="21"/>
  <c r="L1983" i="21"/>
  <c r="L1984"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431" i="21"/>
  <c r="K432" i="21"/>
  <c r="K433" i="21"/>
  <c r="K434" i="21"/>
  <c r="K435" i="21"/>
  <c r="K436" i="21"/>
  <c r="K437" i="21"/>
  <c r="K438" i="21"/>
  <c r="K439" i="21"/>
  <c r="K440" i="21"/>
  <c r="K441" i="21"/>
  <c r="K442" i="21"/>
  <c r="K443" i="21"/>
  <c r="K444" i="21"/>
  <c r="K445" i="21"/>
  <c r="K446" i="21"/>
  <c r="K447" i="21"/>
  <c r="K448" i="21"/>
  <c r="K449" i="21"/>
  <c r="K450" i="21"/>
  <c r="K451" i="21"/>
  <c r="K452" i="21"/>
  <c r="K453" i="21"/>
  <c r="K454" i="21"/>
  <c r="K455" i="21"/>
  <c r="K456" i="21"/>
  <c r="K457" i="21"/>
  <c r="K458" i="21"/>
  <c r="K459" i="21"/>
  <c r="K460" i="21"/>
  <c r="K461" i="21"/>
  <c r="K462" i="21"/>
  <c r="K463" i="21"/>
  <c r="K464" i="21"/>
  <c r="K465" i="21"/>
  <c r="K466" i="21"/>
  <c r="K467" i="21"/>
  <c r="K468" i="21"/>
  <c r="K469" i="21"/>
  <c r="K470" i="21"/>
  <c r="K471" i="21"/>
  <c r="K472" i="21"/>
  <c r="K473" i="21"/>
  <c r="K474" i="21"/>
  <c r="K475" i="21"/>
  <c r="K476" i="21"/>
  <c r="K477" i="21"/>
  <c r="K478" i="21"/>
  <c r="K479" i="21"/>
  <c r="K480" i="21"/>
  <c r="K481" i="21"/>
  <c r="K482" i="21"/>
  <c r="K483" i="21"/>
  <c r="K484" i="21"/>
  <c r="K485" i="21"/>
  <c r="K486" i="21"/>
  <c r="K487" i="21"/>
  <c r="K488" i="21"/>
  <c r="K489" i="21"/>
  <c r="K490" i="21"/>
  <c r="K491" i="21"/>
  <c r="K492" i="21"/>
  <c r="K493" i="21"/>
  <c r="K494" i="21"/>
  <c r="K495" i="21"/>
  <c r="K496" i="21"/>
  <c r="K497" i="21"/>
  <c r="K498" i="21"/>
  <c r="K499" i="21"/>
  <c r="K500" i="21"/>
  <c r="K501" i="21"/>
  <c r="K502" i="21"/>
  <c r="K503" i="21"/>
  <c r="K504" i="21"/>
  <c r="K505" i="21"/>
  <c r="K506" i="21"/>
  <c r="K507" i="21"/>
  <c r="K508" i="21"/>
  <c r="K509" i="21"/>
  <c r="K510" i="21"/>
  <c r="K511" i="21"/>
  <c r="K512" i="21"/>
  <c r="K513" i="21"/>
  <c r="K514" i="21"/>
  <c r="K515" i="21"/>
  <c r="K516" i="21"/>
  <c r="K517" i="21"/>
  <c r="K518" i="21"/>
  <c r="K519" i="21"/>
  <c r="K520" i="21"/>
  <c r="K521" i="21"/>
  <c r="K522" i="21"/>
  <c r="K523" i="21"/>
  <c r="K524" i="21"/>
  <c r="K525" i="21"/>
  <c r="K526" i="21"/>
  <c r="K527" i="21"/>
  <c r="K528" i="21"/>
  <c r="K529" i="21"/>
  <c r="K530" i="21"/>
  <c r="K531" i="21"/>
  <c r="K532" i="21"/>
  <c r="K533" i="21"/>
  <c r="K534" i="21"/>
  <c r="K535" i="21"/>
  <c r="K536" i="21"/>
  <c r="K537" i="21"/>
  <c r="K538" i="21"/>
  <c r="K539" i="21"/>
  <c r="K540" i="21"/>
  <c r="K541" i="21"/>
  <c r="K542" i="21"/>
  <c r="K543" i="21"/>
  <c r="K544" i="21"/>
  <c r="K545" i="21"/>
  <c r="K546" i="21"/>
  <c r="K547" i="21"/>
  <c r="K548" i="21"/>
  <c r="K549" i="21"/>
  <c r="K550" i="21"/>
  <c r="K551" i="21"/>
  <c r="K552" i="21"/>
  <c r="K553" i="21"/>
  <c r="K554" i="21"/>
  <c r="K555" i="21"/>
  <c r="K556" i="21"/>
  <c r="K557" i="21"/>
  <c r="K558" i="21"/>
  <c r="K559" i="21"/>
  <c r="K560" i="21"/>
  <c r="K561" i="21"/>
  <c r="K562" i="21"/>
  <c r="K563" i="21"/>
  <c r="K564" i="21"/>
  <c r="K565" i="21"/>
  <c r="K566" i="21"/>
  <c r="K567" i="21"/>
  <c r="K568" i="21"/>
  <c r="K569" i="21"/>
  <c r="K570" i="21"/>
  <c r="K571" i="21"/>
  <c r="K572" i="21"/>
  <c r="K573" i="21"/>
  <c r="K574" i="21"/>
  <c r="K575" i="21"/>
  <c r="K576" i="21"/>
  <c r="K577" i="21"/>
  <c r="K578" i="21"/>
  <c r="K579" i="21"/>
  <c r="K580" i="21"/>
  <c r="K581" i="21"/>
  <c r="K582" i="21"/>
  <c r="K583" i="21"/>
  <c r="K584" i="21"/>
  <c r="K585" i="21"/>
  <c r="K586" i="21"/>
  <c r="K587" i="21"/>
  <c r="K588" i="21"/>
  <c r="K589" i="21"/>
  <c r="K590" i="21"/>
  <c r="K591" i="21"/>
  <c r="K592" i="21"/>
  <c r="K593" i="21"/>
  <c r="K594" i="21"/>
  <c r="K595" i="21"/>
  <c r="K596" i="21"/>
  <c r="K597" i="21"/>
  <c r="K598" i="21"/>
  <c r="K599" i="21"/>
  <c r="K600" i="21"/>
  <c r="K601" i="21"/>
  <c r="K602" i="21"/>
  <c r="K603" i="21"/>
  <c r="K604" i="21"/>
  <c r="K605" i="21"/>
  <c r="K606" i="21"/>
  <c r="K607" i="21"/>
  <c r="K608" i="21"/>
  <c r="K609" i="21"/>
  <c r="K610" i="21"/>
  <c r="K611" i="21"/>
  <c r="K612" i="21"/>
  <c r="K613" i="21"/>
  <c r="K614" i="21"/>
  <c r="K615" i="21"/>
  <c r="K616" i="21"/>
  <c r="K617" i="21"/>
  <c r="K618" i="21"/>
  <c r="K619" i="21"/>
  <c r="K620" i="21"/>
  <c r="K621" i="21"/>
  <c r="K622" i="21"/>
  <c r="K623" i="21"/>
  <c r="K624" i="21"/>
  <c r="K625" i="21"/>
  <c r="K626" i="21"/>
  <c r="K627" i="21"/>
  <c r="K628" i="21"/>
  <c r="K629" i="21"/>
  <c r="K630" i="21"/>
  <c r="K631" i="21"/>
  <c r="K632" i="21"/>
  <c r="K633" i="21"/>
  <c r="K634" i="21"/>
  <c r="K635" i="21"/>
  <c r="K636" i="21"/>
  <c r="K637" i="21"/>
  <c r="K638" i="21"/>
  <c r="K639" i="21"/>
  <c r="K640" i="21"/>
  <c r="K641" i="21"/>
  <c r="K642" i="21"/>
  <c r="K643" i="21"/>
  <c r="K644" i="21"/>
  <c r="K645" i="21"/>
  <c r="K646" i="21"/>
  <c r="K647" i="21"/>
  <c r="K648" i="21"/>
  <c r="K649" i="21"/>
  <c r="K650" i="21"/>
  <c r="K651" i="21"/>
  <c r="K652" i="21"/>
  <c r="K653" i="21"/>
  <c r="K654" i="21"/>
  <c r="K655" i="21"/>
  <c r="K656" i="21"/>
  <c r="K657" i="21"/>
  <c r="K658" i="21"/>
  <c r="K659" i="21"/>
  <c r="K660" i="21"/>
  <c r="K661" i="21"/>
  <c r="K662" i="21"/>
  <c r="K663" i="21"/>
  <c r="K664" i="21"/>
  <c r="K665" i="21"/>
  <c r="K666" i="21"/>
  <c r="K667" i="21"/>
  <c r="K668" i="21"/>
  <c r="K669" i="21"/>
  <c r="K670" i="21"/>
  <c r="K671" i="21"/>
  <c r="K672" i="21"/>
  <c r="K673" i="21"/>
  <c r="K674" i="21"/>
  <c r="K675" i="21"/>
  <c r="K676" i="21"/>
  <c r="K677" i="21"/>
  <c r="K678" i="21"/>
  <c r="K679" i="21"/>
  <c r="K680" i="21"/>
  <c r="K681" i="21"/>
  <c r="K682" i="21"/>
  <c r="K683" i="21"/>
  <c r="K684" i="21"/>
  <c r="K685" i="21"/>
  <c r="K686" i="21"/>
  <c r="K687" i="21"/>
  <c r="K688" i="21"/>
  <c r="K689" i="21"/>
  <c r="K690" i="21"/>
  <c r="K691" i="21"/>
  <c r="K692" i="21"/>
  <c r="K693" i="21"/>
  <c r="K694" i="21"/>
  <c r="K695" i="21"/>
  <c r="K696" i="21"/>
  <c r="K697" i="21"/>
  <c r="K698" i="21"/>
  <c r="K699" i="21"/>
  <c r="K700" i="21"/>
  <c r="K701" i="21"/>
  <c r="K702" i="21"/>
  <c r="K703" i="21"/>
  <c r="K704" i="21"/>
  <c r="K705" i="21"/>
  <c r="K706" i="21"/>
  <c r="K707" i="21"/>
  <c r="K708" i="21"/>
  <c r="K709" i="21"/>
  <c r="K710" i="21"/>
  <c r="K711" i="21"/>
  <c r="K712" i="21"/>
  <c r="K713" i="21"/>
  <c r="K714" i="21"/>
  <c r="K715" i="21"/>
  <c r="K716" i="21"/>
  <c r="K717" i="21"/>
  <c r="K718" i="21"/>
  <c r="K719" i="21"/>
  <c r="K720" i="21"/>
  <c r="K721" i="21"/>
  <c r="K722" i="21"/>
  <c r="K723" i="21"/>
  <c r="K724" i="21"/>
  <c r="K725" i="21"/>
  <c r="K726" i="21"/>
  <c r="K727" i="21"/>
  <c r="K728" i="21"/>
  <c r="K729" i="21"/>
  <c r="K730" i="21"/>
  <c r="K731" i="21"/>
  <c r="K732" i="21"/>
  <c r="K733" i="21"/>
  <c r="K734" i="21"/>
  <c r="K735" i="21"/>
  <c r="K736" i="21"/>
  <c r="K737" i="21"/>
  <c r="K738" i="21"/>
  <c r="K739" i="21"/>
  <c r="K740" i="21"/>
  <c r="K741" i="21"/>
  <c r="K742" i="21"/>
  <c r="K743" i="21"/>
  <c r="K744" i="21"/>
  <c r="K745" i="21"/>
  <c r="K746" i="21"/>
  <c r="K747" i="21"/>
  <c r="K748" i="21"/>
  <c r="K749" i="21"/>
  <c r="K750" i="21"/>
  <c r="K751" i="21"/>
  <c r="K752" i="21"/>
  <c r="K753" i="21"/>
  <c r="K754" i="21"/>
  <c r="K755" i="21"/>
  <c r="K756" i="21"/>
  <c r="K757" i="21"/>
  <c r="K758" i="21"/>
  <c r="K759" i="21"/>
  <c r="K760" i="21"/>
  <c r="K761" i="21"/>
  <c r="K762" i="21"/>
  <c r="K763" i="21"/>
  <c r="K764" i="21"/>
  <c r="K765" i="21"/>
  <c r="K766" i="21"/>
  <c r="K767" i="21"/>
  <c r="K768" i="21"/>
  <c r="K769" i="21"/>
  <c r="K770" i="21"/>
  <c r="K771" i="21"/>
  <c r="K772" i="21"/>
  <c r="K773" i="21"/>
  <c r="K774" i="21"/>
  <c r="K775" i="21"/>
  <c r="K776" i="21"/>
  <c r="K777" i="21"/>
  <c r="K778" i="21"/>
  <c r="K779" i="21"/>
  <c r="K780" i="21"/>
  <c r="K781" i="21"/>
  <c r="K782" i="21"/>
  <c r="K783" i="21"/>
  <c r="K784" i="21"/>
  <c r="K785" i="21"/>
  <c r="K786" i="21"/>
  <c r="K787" i="21"/>
  <c r="K788" i="21"/>
  <c r="K789" i="21"/>
  <c r="K790" i="21"/>
  <c r="K791" i="21"/>
  <c r="K792" i="21"/>
  <c r="K793" i="21"/>
  <c r="K794" i="21"/>
  <c r="K795" i="21"/>
  <c r="K796" i="21"/>
  <c r="K797" i="21"/>
  <c r="K798" i="21"/>
  <c r="K799" i="21"/>
  <c r="K800" i="21"/>
  <c r="K801" i="21"/>
  <c r="K802" i="21"/>
  <c r="K803" i="21"/>
  <c r="K804" i="21"/>
  <c r="K805" i="21"/>
  <c r="K806" i="21"/>
  <c r="K807" i="21"/>
  <c r="K808" i="21"/>
  <c r="K809" i="21"/>
  <c r="K810" i="21"/>
  <c r="K811" i="21"/>
  <c r="K812" i="21"/>
  <c r="K813" i="21"/>
  <c r="K814" i="21"/>
  <c r="K815" i="21"/>
  <c r="K816" i="21"/>
  <c r="K817" i="21"/>
  <c r="K818" i="21"/>
  <c r="K819" i="21"/>
  <c r="K820" i="21"/>
  <c r="K821" i="21"/>
  <c r="K822" i="21"/>
  <c r="K823" i="21"/>
  <c r="K824" i="21"/>
  <c r="K825" i="21"/>
  <c r="K826" i="21"/>
  <c r="K827" i="21"/>
  <c r="K828" i="21"/>
  <c r="K829" i="21"/>
  <c r="K830" i="21"/>
  <c r="K831" i="21"/>
  <c r="K832" i="21"/>
  <c r="K833" i="21"/>
  <c r="K834" i="21"/>
  <c r="K835" i="21"/>
  <c r="K836" i="21"/>
  <c r="K837" i="21"/>
  <c r="K838" i="21"/>
  <c r="K839" i="21"/>
  <c r="K840" i="21"/>
  <c r="K841" i="21"/>
  <c r="K842" i="21"/>
  <c r="K843" i="21"/>
  <c r="K844" i="21"/>
  <c r="K845" i="21"/>
  <c r="K846" i="21"/>
  <c r="K847" i="21"/>
  <c r="K848" i="21"/>
  <c r="K849" i="21"/>
  <c r="K850" i="21"/>
  <c r="K851" i="21"/>
  <c r="K852" i="21"/>
  <c r="K853" i="21"/>
  <c r="K854" i="21"/>
  <c r="K855" i="21"/>
  <c r="K856" i="21"/>
  <c r="K857" i="21"/>
  <c r="K858" i="21"/>
  <c r="K859" i="21"/>
  <c r="K860" i="21"/>
  <c r="K861" i="21"/>
  <c r="K862" i="21"/>
  <c r="K863" i="21"/>
  <c r="K864" i="21"/>
  <c r="K865" i="21"/>
  <c r="K866" i="21"/>
  <c r="K867" i="21"/>
  <c r="K868" i="21"/>
  <c r="K869" i="21"/>
  <c r="K870" i="21"/>
  <c r="K871" i="21"/>
  <c r="K872" i="21"/>
  <c r="K873" i="21"/>
  <c r="K874" i="21"/>
  <c r="K875" i="21"/>
  <c r="K876" i="21"/>
  <c r="K877" i="21"/>
  <c r="K878" i="21"/>
  <c r="K879" i="21"/>
  <c r="K880" i="21"/>
  <c r="K881" i="21"/>
  <c r="K882" i="21"/>
  <c r="K883" i="21"/>
  <c r="K884" i="21"/>
  <c r="K885" i="21"/>
  <c r="K886" i="21"/>
  <c r="K887" i="21"/>
  <c r="K888" i="21"/>
  <c r="K889" i="21"/>
  <c r="K890" i="21"/>
  <c r="K891" i="21"/>
  <c r="K892" i="21"/>
  <c r="K893" i="21"/>
  <c r="K894" i="21"/>
  <c r="K895" i="21"/>
  <c r="K896" i="21"/>
  <c r="K897" i="21"/>
  <c r="K898" i="21"/>
  <c r="K899" i="21"/>
  <c r="K900" i="21"/>
  <c r="K901" i="21"/>
  <c r="K902" i="21"/>
  <c r="K903" i="21"/>
  <c r="K904" i="21"/>
  <c r="K905" i="21"/>
  <c r="K906" i="21"/>
  <c r="K907" i="21"/>
  <c r="K908" i="21"/>
  <c r="K909" i="21"/>
  <c r="K910" i="21"/>
  <c r="K911" i="21"/>
  <c r="K912" i="21"/>
  <c r="K913" i="21"/>
  <c r="K914" i="21"/>
  <c r="K915" i="21"/>
  <c r="K916" i="21"/>
  <c r="K917" i="21"/>
  <c r="K918" i="21"/>
  <c r="K919" i="21"/>
  <c r="K920" i="21"/>
  <c r="K921" i="21"/>
  <c r="K922" i="21"/>
  <c r="K923" i="21"/>
  <c r="K924" i="21"/>
  <c r="K925" i="21"/>
  <c r="K926" i="21"/>
  <c r="K927" i="21"/>
  <c r="K928" i="21"/>
  <c r="K929" i="21"/>
  <c r="K930" i="21"/>
  <c r="K931" i="21"/>
  <c r="K932" i="21"/>
  <c r="K933" i="21"/>
  <c r="K934" i="21"/>
  <c r="K935" i="21"/>
  <c r="K936" i="21"/>
  <c r="K937" i="21"/>
  <c r="K938" i="21"/>
  <c r="K939" i="21"/>
  <c r="K940" i="21"/>
  <c r="K941" i="21"/>
  <c r="K942" i="21"/>
  <c r="K943" i="21"/>
  <c r="K944" i="21"/>
  <c r="K945" i="21"/>
  <c r="K946" i="21"/>
  <c r="K947" i="21"/>
  <c r="K948" i="21"/>
  <c r="K949" i="21"/>
  <c r="K950" i="21"/>
  <c r="K951" i="21"/>
  <c r="K952" i="21"/>
  <c r="K953" i="21"/>
  <c r="K954" i="21"/>
  <c r="K955" i="21"/>
  <c r="K956" i="21"/>
  <c r="K957" i="21"/>
  <c r="K958" i="21"/>
  <c r="K959" i="21"/>
  <c r="K960" i="21"/>
  <c r="K961" i="21"/>
  <c r="K962" i="21"/>
  <c r="K963" i="21"/>
  <c r="K964" i="21"/>
  <c r="K965" i="21"/>
  <c r="K966" i="21"/>
  <c r="K967" i="21"/>
  <c r="K968" i="21"/>
  <c r="K969" i="21"/>
  <c r="K970" i="21"/>
  <c r="K971" i="21"/>
  <c r="K972" i="21"/>
  <c r="K973" i="21"/>
  <c r="K974" i="21"/>
  <c r="K975" i="21"/>
  <c r="K976" i="21"/>
  <c r="K977" i="21"/>
  <c r="K978" i="21"/>
  <c r="K979" i="21"/>
  <c r="K980" i="21"/>
  <c r="K981" i="21"/>
  <c r="K982" i="21"/>
  <c r="K983" i="21"/>
  <c r="K984" i="21"/>
  <c r="K985" i="21"/>
  <c r="K986" i="21"/>
  <c r="K987" i="21"/>
  <c r="K988" i="21"/>
  <c r="K989" i="21"/>
  <c r="K990" i="21"/>
  <c r="K991" i="21"/>
  <c r="K992" i="21"/>
  <c r="K993" i="21"/>
  <c r="K994" i="21"/>
  <c r="K995" i="21"/>
  <c r="K996" i="21"/>
  <c r="K997" i="21"/>
  <c r="K998" i="21"/>
  <c r="K999" i="21"/>
  <c r="K1000" i="21"/>
  <c r="K1001" i="21"/>
  <c r="K1002" i="21"/>
  <c r="K1003" i="21"/>
  <c r="K1004" i="21"/>
  <c r="K1005" i="21"/>
  <c r="K1006" i="21"/>
  <c r="K1007" i="21"/>
  <c r="K1008" i="21"/>
  <c r="K1009" i="21"/>
  <c r="K1010" i="21"/>
  <c r="K1011" i="21"/>
  <c r="K1012" i="21"/>
  <c r="K1013" i="21"/>
  <c r="K1014" i="21"/>
  <c r="K1015" i="21"/>
  <c r="K1016" i="21"/>
  <c r="K1017" i="21"/>
  <c r="K1018" i="21"/>
  <c r="K1019" i="21"/>
  <c r="K1020" i="21"/>
  <c r="K1021" i="21"/>
  <c r="K1022" i="21"/>
  <c r="K1023" i="21"/>
  <c r="K1024" i="21"/>
  <c r="K1025" i="21"/>
  <c r="K1026" i="21"/>
  <c r="K1027" i="21"/>
  <c r="K1028" i="21"/>
  <c r="K1029" i="21"/>
  <c r="K1030" i="21"/>
  <c r="K1031" i="21"/>
  <c r="K1032" i="21"/>
  <c r="K1033" i="21"/>
  <c r="K1034" i="21"/>
  <c r="K1035" i="21"/>
  <c r="K1036" i="21"/>
  <c r="K1037" i="21"/>
  <c r="K1038" i="21"/>
  <c r="K1039" i="21"/>
  <c r="K1040" i="21"/>
  <c r="K1041" i="21"/>
  <c r="K1042" i="21"/>
  <c r="K1043" i="21"/>
  <c r="K1044" i="21"/>
  <c r="K1045" i="21"/>
  <c r="K1046" i="21"/>
  <c r="K1047" i="21"/>
  <c r="K1048" i="21"/>
  <c r="K1049" i="21"/>
  <c r="K1050" i="21"/>
  <c r="K1051" i="21"/>
  <c r="K1052" i="21"/>
  <c r="K1053" i="21"/>
  <c r="K1054" i="21"/>
  <c r="K1055" i="21"/>
  <c r="K1056" i="21"/>
  <c r="K1057" i="21"/>
  <c r="K1058" i="21"/>
  <c r="K1059" i="21"/>
  <c r="K1060" i="21"/>
  <c r="K1061" i="21"/>
  <c r="K1062" i="21"/>
  <c r="K1063" i="21"/>
  <c r="K1064" i="21"/>
  <c r="K1065" i="21"/>
  <c r="K1066" i="21"/>
  <c r="K1067" i="21"/>
  <c r="K1068" i="21"/>
  <c r="K1069" i="21"/>
  <c r="K1070" i="21"/>
  <c r="K1071" i="21"/>
  <c r="K1072" i="21"/>
  <c r="K1073" i="21"/>
  <c r="K1074" i="21"/>
  <c r="K1075" i="21"/>
  <c r="K1076" i="21"/>
  <c r="K1077" i="21"/>
  <c r="K1078" i="21"/>
  <c r="K1079" i="21"/>
  <c r="K1080" i="21"/>
  <c r="K1081" i="21"/>
  <c r="K1082" i="21"/>
  <c r="K1083" i="21"/>
  <c r="K1084" i="21"/>
  <c r="K1085" i="21"/>
  <c r="K1086" i="21"/>
  <c r="K1087" i="21"/>
  <c r="K1088" i="21"/>
  <c r="K1089" i="21"/>
  <c r="K1090" i="21"/>
  <c r="K1091" i="21"/>
  <c r="K1092" i="21"/>
  <c r="K1093" i="21"/>
  <c r="K1094" i="21"/>
  <c r="K1095" i="21"/>
  <c r="K1096" i="21"/>
  <c r="K1097" i="21"/>
  <c r="K1098" i="21"/>
  <c r="K1099" i="21"/>
  <c r="K1100" i="21"/>
  <c r="K1101" i="21"/>
  <c r="K1102" i="21"/>
  <c r="K1103" i="21"/>
  <c r="K1104" i="21"/>
  <c r="K1105" i="21"/>
  <c r="K1106" i="21"/>
  <c r="K1107" i="21"/>
  <c r="K1108" i="21"/>
  <c r="K1109" i="21"/>
  <c r="K1110" i="21"/>
  <c r="K1111" i="21"/>
  <c r="K1112" i="21"/>
  <c r="K1113" i="21"/>
  <c r="K1114" i="21"/>
  <c r="K1115" i="21"/>
  <c r="K1116" i="21"/>
  <c r="K1117" i="21"/>
  <c r="K1118" i="21"/>
  <c r="K1119" i="21"/>
  <c r="K1120" i="21"/>
  <c r="K1121" i="21"/>
  <c r="K1122" i="21"/>
  <c r="K1123" i="21"/>
  <c r="K1124" i="21"/>
  <c r="K1125" i="21"/>
  <c r="K1126" i="21"/>
  <c r="K1127" i="21"/>
  <c r="K1128" i="21"/>
  <c r="K1129" i="21"/>
  <c r="K1130" i="21"/>
  <c r="K1131" i="21"/>
  <c r="K1132" i="21"/>
  <c r="K1133" i="21"/>
  <c r="K1134" i="21"/>
  <c r="K1135" i="21"/>
  <c r="K1136" i="21"/>
  <c r="K1137" i="21"/>
  <c r="K1138" i="21"/>
  <c r="K1139" i="21"/>
  <c r="K1140" i="21"/>
  <c r="K1141" i="21"/>
  <c r="K1142" i="21"/>
  <c r="K1143" i="21"/>
  <c r="K1144" i="21"/>
  <c r="K1145" i="21"/>
  <c r="K1146" i="21"/>
  <c r="K1147" i="21"/>
  <c r="K1148" i="21"/>
  <c r="K1149" i="21"/>
  <c r="K1150" i="21"/>
  <c r="K1151" i="21"/>
  <c r="K1152" i="21"/>
  <c r="K1153" i="21"/>
  <c r="K1154" i="21"/>
  <c r="K1155" i="21"/>
  <c r="K1156" i="21"/>
  <c r="K1157" i="21"/>
  <c r="K1158" i="21"/>
  <c r="K1159" i="21"/>
  <c r="K1160" i="21"/>
  <c r="K1161" i="21"/>
  <c r="K1162" i="21"/>
  <c r="K1163" i="21"/>
  <c r="K1164" i="21"/>
  <c r="K1165" i="21"/>
  <c r="K1166" i="21"/>
  <c r="K1167" i="21"/>
  <c r="K1168" i="21"/>
  <c r="K1169" i="21"/>
  <c r="K1170" i="21"/>
  <c r="K1171" i="21"/>
  <c r="K1172" i="21"/>
  <c r="K1173" i="21"/>
  <c r="K1174" i="21"/>
  <c r="K1175" i="21"/>
  <c r="K1176" i="21"/>
  <c r="K1177" i="21"/>
  <c r="K1178" i="21"/>
  <c r="K1179" i="21"/>
  <c r="K1180" i="21"/>
  <c r="K1181" i="21"/>
  <c r="K1182" i="21"/>
  <c r="K1183" i="21"/>
  <c r="K1184" i="21"/>
  <c r="K1185" i="21"/>
  <c r="K1186" i="21"/>
  <c r="K1187" i="21"/>
  <c r="K1188" i="21"/>
  <c r="K1189" i="21"/>
  <c r="K1190" i="21"/>
  <c r="K1191" i="21"/>
  <c r="K1192" i="21"/>
  <c r="K1193" i="21"/>
  <c r="K1194" i="21"/>
  <c r="K1195" i="21"/>
  <c r="K1196" i="21"/>
  <c r="K1197" i="21"/>
  <c r="K1198" i="21"/>
  <c r="K1199" i="21"/>
  <c r="K1200" i="21"/>
  <c r="K1201" i="21"/>
  <c r="K1202" i="21"/>
  <c r="K1203" i="21"/>
  <c r="K1204" i="21"/>
  <c r="K1205" i="21"/>
  <c r="K1206" i="21"/>
  <c r="K1207" i="21"/>
  <c r="K1208" i="21"/>
  <c r="K1209" i="21"/>
  <c r="K1210" i="21"/>
  <c r="K1211" i="21"/>
  <c r="K1212" i="21"/>
  <c r="K1213" i="21"/>
  <c r="K1214" i="21"/>
  <c r="K1215" i="21"/>
  <c r="K1216" i="21"/>
  <c r="K1217" i="21"/>
  <c r="K1218" i="21"/>
  <c r="K1219" i="21"/>
  <c r="K1220" i="21"/>
  <c r="K1221" i="21"/>
  <c r="K1222" i="21"/>
  <c r="K1223" i="21"/>
  <c r="K1224" i="21"/>
  <c r="K1225" i="21"/>
  <c r="K1226" i="21"/>
  <c r="K1227" i="21"/>
  <c r="K1228" i="21"/>
  <c r="K1229" i="21"/>
  <c r="K1230" i="21"/>
  <c r="K1231" i="21"/>
  <c r="K1232" i="21"/>
  <c r="K1233" i="21"/>
  <c r="K1234" i="21"/>
  <c r="K1235" i="21"/>
  <c r="K1236" i="21"/>
  <c r="K1237" i="21"/>
  <c r="K1238" i="21"/>
  <c r="K1239" i="21"/>
  <c r="K1240" i="21"/>
  <c r="K1241" i="21"/>
  <c r="K1242" i="21"/>
  <c r="K1243" i="21"/>
  <c r="K1244" i="21"/>
  <c r="K1245" i="21"/>
  <c r="K1246" i="21"/>
  <c r="K1247" i="21"/>
  <c r="K1248" i="21"/>
  <c r="K1249" i="21"/>
  <c r="K1250" i="21"/>
  <c r="K1251" i="21"/>
  <c r="K1252" i="21"/>
  <c r="K1253" i="21"/>
  <c r="K1254" i="21"/>
  <c r="K1255" i="21"/>
  <c r="K1256" i="21"/>
  <c r="K1257" i="21"/>
  <c r="K1258" i="21"/>
  <c r="K1259" i="21"/>
  <c r="K1260" i="21"/>
  <c r="K1261" i="21"/>
  <c r="K1262" i="21"/>
  <c r="K1263" i="21"/>
  <c r="K1264" i="21"/>
  <c r="K1265" i="21"/>
  <c r="K1266" i="21"/>
  <c r="K1267" i="21"/>
  <c r="K1268" i="21"/>
  <c r="K1269" i="21"/>
  <c r="K1270" i="21"/>
  <c r="K1271" i="21"/>
  <c r="K1272" i="21"/>
  <c r="K1273" i="21"/>
  <c r="K1274" i="21"/>
  <c r="K1275" i="21"/>
  <c r="K1276" i="21"/>
  <c r="K1277" i="21"/>
  <c r="K1278" i="21"/>
  <c r="K1279" i="21"/>
  <c r="K1280" i="21"/>
  <c r="K1281" i="21"/>
  <c r="K1282" i="21"/>
  <c r="K1283" i="21"/>
  <c r="K1284" i="21"/>
  <c r="K1285" i="21"/>
  <c r="K1286" i="21"/>
  <c r="K1287" i="21"/>
  <c r="K1288" i="21"/>
  <c r="K1289" i="21"/>
  <c r="K1290" i="21"/>
  <c r="K1291" i="21"/>
  <c r="K1292" i="21"/>
  <c r="K1293" i="21"/>
  <c r="K1294" i="21"/>
  <c r="K1295" i="21"/>
  <c r="K1296" i="21"/>
  <c r="K1297" i="21"/>
  <c r="K1298" i="21"/>
  <c r="K1299" i="21"/>
  <c r="K1300" i="21"/>
  <c r="K1301" i="21"/>
  <c r="K1302" i="21"/>
  <c r="K1303" i="21"/>
  <c r="K1304" i="21"/>
  <c r="K1305" i="21"/>
  <c r="K1306" i="21"/>
  <c r="K1307" i="21"/>
  <c r="K1308" i="21"/>
  <c r="K1309" i="21"/>
  <c r="K1310" i="21"/>
  <c r="K1311" i="21"/>
  <c r="K1312" i="21"/>
  <c r="K1313" i="21"/>
  <c r="K1314" i="21"/>
  <c r="K1315" i="21"/>
  <c r="K1316" i="21"/>
  <c r="K1317" i="21"/>
  <c r="K1318" i="21"/>
  <c r="K1319" i="21"/>
  <c r="K1320" i="21"/>
  <c r="K1321" i="21"/>
  <c r="K1322" i="21"/>
  <c r="K1323" i="21"/>
  <c r="K1324" i="21"/>
  <c r="K1325" i="21"/>
  <c r="K1326" i="21"/>
  <c r="K1327" i="21"/>
  <c r="K1328" i="21"/>
  <c r="K1329" i="21"/>
  <c r="K1330" i="21"/>
  <c r="K1331" i="21"/>
  <c r="K1332" i="21"/>
  <c r="K1333" i="21"/>
  <c r="K1334" i="21"/>
  <c r="K1335" i="21"/>
  <c r="K1336" i="21"/>
  <c r="K1337" i="21"/>
  <c r="K1338" i="21"/>
  <c r="K1339" i="21"/>
  <c r="K1340" i="21"/>
  <c r="K1341" i="21"/>
  <c r="K1342" i="21"/>
  <c r="K1343" i="21"/>
  <c r="K1344" i="21"/>
  <c r="K1345" i="21"/>
  <c r="K1346" i="21"/>
  <c r="K1347" i="21"/>
  <c r="K1348" i="21"/>
  <c r="K1349" i="21"/>
  <c r="K1350" i="21"/>
  <c r="K1351" i="21"/>
  <c r="K1352" i="21"/>
  <c r="K1353" i="21"/>
  <c r="K1354" i="21"/>
  <c r="K1355" i="21"/>
  <c r="K1356" i="21"/>
  <c r="K1357" i="21"/>
  <c r="K1358" i="21"/>
  <c r="K1359" i="21"/>
  <c r="K1360" i="21"/>
  <c r="K1361" i="21"/>
  <c r="K1362" i="21"/>
  <c r="K1363" i="21"/>
  <c r="K1364" i="21"/>
  <c r="K1365" i="21"/>
  <c r="K1366" i="21"/>
  <c r="K1367" i="21"/>
  <c r="K1368" i="21"/>
  <c r="K1369" i="21"/>
  <c r="K1370" i="21"/>
  <c r="K1371" i="21"/>
  <c r="K1372" i="21"/>
  <c r="K1373" i="21"/>
  <c r="K1374" i="21"/>
  <c r="K1375" i="21"/>
  <c r="K1376" i="21"/>
  <c r="K1377" i="21"/>
  <c r="K1378" i="21"/>
  <c r="K1379" i="21"/>
  <c r="K1380" i="21"/>
  <c r="K1381" i="21"/>
  <c r="K1382" i="21"/>
  <c r="K1383" i="21"/>
  <c r="K1384" i="21"/>
  <c r="K1385" i="21"/>
  <c r="K1386" i="21"/>
  <c r="K1387" i="21"/>
  <c r="K1388" i="21"/>
  <c r="K1389" i="21"/>
  <c r="K1390" i="21"/>
  <c r="K1391" i="21"/>
  <c r="K1392" i="21"/>
  <c r="K1393" i="21"/>
  <c r="K1394" i="21"/>
  <c r="K1395" i="21"/>
  <c r="K1396" i="21"/>
  <c r="K1397" i="21"/>
  <c r="K1398" i="21"/>
  <c r="K1399" i="21"/>
  <c r="K1400" i="21"/>
  <c r="K1401" i="21"/>
  <c r="K1402" i="21"/>
  <c r="K1403" i="21"/>
  <c r="K1404" i="21"/>
  <c r="K1405" i="21"/>
  <c r="K1406" i="21"/>
  <c r="K1407" i="21"/>
  <c r="K1408" i="21"/>
  <c r="K1409" i="21"/>
  <c r="K1410" i="21"/>
  <c r="K1411" i="21"/>
  <c r="K1412" i="21"/>
  <c r="K1413" i="21"/>
  <c r="K1414" i="21"/>
  <c r="K1415" i="21"/>
  <c r="K1416" i="21"/>
  <c r="K1417" i="21"/>
  <c r="K1418" i="21"/>
  <c r="K1419" i="21"/>
  <c r="K1420" i="21"/>
  <c r="K1421" i="21"/>
  <c r="K1422" i="21"/>
  <c r="K1423" i="21"/>
  <c r="K1424" i="21"/>
  <c r="K1425" i="21"/>
  <c r="K1426" i="21"/>
  <c r="K1427" i="21"/>
  <c r="K1428" i="21"/>
  <c r="K1429" i="21"/>
  <c r="K1430" i="21"/>
  <c r="K1431" i="21"/>
  <c r="K1432" i="21"/>
  <c r="K1433" i="21"/>
  <c r="K1434" i="21"/>
  <c r="K1435" i="21"/>
  <c r="K1436" i="21"/>
  <c r="K1437" i="21"/>
  <c r="K1438" i="21"/>
  <c r="K1439" i="21"/>
  <c r="K1440" i="21"/>
  <c r="K1441" i="21"/>
  <c r="K1442" i="21"/>
  <c r="K1443" i="21"/>
  <c r="K1444" i="21"/>
  <c r="K1445" i="21"/>
  <c r="K1446" i="21"/>
  <c r="K1447" i="21"/>
  <c r="K1448" i="21"/>
  <c r="K1449" i="21"/>
  <c r="K1450" i="21"/>
  <c r="K1451" i="21"/>
  <c r="K1452" i="21"/>
  <c r="K1453" i="21"/>
  <c r="K1454" i="21"/>
  <c r="K1455" i="21"/>
  <c r="K1456" i="21"/>
  <c r="K1457" i="21"/>
  <c r="K1458" i="21"/>
  <c r="K1459" i="21"/>
  <c r="K1460" i="21"/>
  <c r="K1461" i="21"/>
  <c r="K1462" i="21"/>
  <c r="K1463" i="21"/>
  <c r="K1464" i="21"/>
  <c r="K1465" i="21"/>
  <c r="K1466" i="21"/>
  <c r="K1467" i="21"/>
  <c r="K1468" i="21"/>
  <c r="K1469" i="21"/>
  <c r="K1470" i="21"/>
  <c r="K1471" i="21"/>
  <c r="K1472" i="21"/>
  <c r="K1473" i="21"/>
  <c r="K1474" i="21"/>
  <c r="K1475" i="21"/>
  <c r="K1476" i="21"/>
  <c r="K1477" i="21"/>
  <c r="K1478" i="21"/>
  <c r="K1479" i="21"/>
  <c r="K1480" i="21"/>
  <c r="K1481" i="21"/>
  <c r="K1482" i="21"/>
  <c r="K1483" i="21"/>
  <c r="K1484" i="21"/>
  <c r="K1485" i="21"/>
  <c r="K1486" i="21"/>
  <c r="K1487" i="21"/>
  <c r="K1488" i="21"/>
  <c r="K1489" i="21"/>
  <c r="K1490" i="21"/>
  <c r="K1491" i="21"/>
  <c r="K1492" i="21"/>
  <c r="K1493" i="21"/>
  <c r="K1494" i="21"/>
  <c r="K1495" i="21"/>
  <c r="K1496" i="21"/>
  <c r="K1497" i="21"/>
  <c r="K1498" i="21"/>
  <c r="K1499" i="21"/>
  <c r="K1500" i="21"/>
  <c r="K1501" i="21"/>
  <c r="K1502" i="21"/>
  <c r="K1503" i="21"/>
  <c r="K1504" i="21"/>
  <c r="K1505" i="21"/>
  <c r="K1506" i="21"/>
  <c r="K1507" i="21"/>
  <c r="K1508" i="21"/>
  <c r="K1509" i="21"/>
  <c r="K1510" i="21"/>
  <c r="K1511" i="21"/>
  <c r="K1512" i="21"/>
  <c r="K1513" i="21"/>
  <c r="K1514" i="21"/>
  <c r="K1515" i="21"/>
  <c r="K1516" i="21"/>
  <c r="K1517" i="21"/>
  <c r="K1518" i="21"/>
  <c r="K1519" i="21"/>
  <c r="K1520" i="21"/>
  <c r="K1521" i="21"/>
  <c r="K1522" i="21"/>
  <c r="K1523" i="21"/>
  <c r="K1524" i="21"/>
  <c r="K1525" i="21"/>
  <c r="K1526" i="21"/>
  <c r="K1527" i="21"/>
  <c r="K1528" i="21"/>
  <c r="K1529" i="21"/>
  <c r="K1530" i="21"/>
  <c r="K1531" i="21"/>
  <c r="K1532" i="21"/>
  <c r="K1533" i="21"/>
  <c r="K1534" i="21"/>
  <c r="K1535" i="21"/>
  <c r="K1536" i="21"/>
  <c r="K1537" i="21"/>
  <c r="K1538" i="21"/>
  <c r="K1539" i="21"/>
  <c r="K1540" i="21"/>
  <c r="K1541" i="21"/>
  <c r="K1542" i="21"/>
  <c r="K1543" i="21"/>
  <c r="K1544" i="21"/>
  <c r="K1545" i="21"/>
  <c r="K1546" i="21"/>
  <c r="K1547" i="21"/>
  <c r="K1548" i="21"/>
  <c r="K1549" i="21"/>
  <c r="K1550" i="21"/>
  <c r="K1551" i="21"/>
  <c r="K1552" i="21"/>
  <c r="K1553" i="21"/>
  <c r="K1554" i="21"/>
  <c r="K1555" i="21"/>
  <c r="K1556" i="21"/>
  <c r="K1557" i="21"/>
  <c r="K1558" i="21"/>
  <c r="K1559" i="21"/>
  <c r="K1560" i="21"/>
  <c r="K1561" i="21"/>
  <c r="K1562" i="21"/>
  <c r="K1563" i="21"/>
  <c r="K1564" i="21"/>
  <c r="K1565" i="21"/>
  <c r="K1566" i="21"/>
  <c r="K1567" i="21"/>
  <c r="K1568" i="21"/>
  <c r="K1569" i="21"/>
  <c r="K1570" i="21"/>
  <c r="K1571" i="21"/>
  <c r="K1572" i="21"/>
  <c r="K1573" i="21"/>
  <c r="K1574" i="21"/>
  <c r="K1575" i="21"/>
  <c r="K1576" i="21"/>
  <c r="K1577" i="21"/>
  <c r="K1578" i="21"/>
  <c r="K1579" i="21"/>
  <c r="K1580" i="21"/>
  <c r="K1581" i="21"/>
  <c r="K1582" i="21"/>
  <c r="K1583" i="21"/>
  <c r="K1584" i="21"/>
  <c r="K1585" i="21"/>
  <c r="K1586" i="21"/>
  <c r="K1587" i="21"/>
  <c r="K1588" i="21"/>
  <c r="K1589" i="21"/>
  <c r="K1590" i="21"/>
  <c r="K1591" i="21"/>
  <c r="K1592" i="21"/>
  <c r="K1593" i="21"/>
  <c r="K1594" i="21"/>
  <c r="K1595" i="21"/>
  <c r="K1596" i="21"/>
  <c r="K1597" i="21"/>
  <c r="K1598" i="21"/>
  <c r="K1599" i="21"/>
  <c r="K1600" i="21"/>
  <c r="K1601" i="21"/>
  <c r="K1602" i="21"/>
  <c r="K1603" i="21"/>
  <c r="K1604" i="21"/>
  <c r="K1605" i="21"/>
  <c r="K1606" i="21"/>
  <c r="K1607" i="21"/>
  <c r="K1608" i="21"/>
  <c r="K1609" i="21"/>
  <c r="K1610" i="21"/>
  <c r="K1611" i="21"/>
  <c r="K1612" i="21"/>
  <c r="K1613" i="21"/>
  <c r="K1614" i="21"/>
  <c r="K1615" i="21"/>
  <c r="K1616" i="21"/>
  <c r="K1617" i="21"/>
  <c r="K1618" i="21"/>
  <c r="K1619" i="21"/>
  <c r="K1620" i="21"/>
  <c r="K1621" i="21"/>
  <c r="K1622" i="21"/>
  <c r="K1623" i="21"/>
  <c r="K1624" i="21"/>
  <c r="K1625" i="21"/>
  <c r="K1626" i="21"/>
  <c r="K1627" i="21"/>
  <c r="K1628" i="21"/>
  <c r="K1629" i="21"/>
  <c r="K1630" i="21"/>
  <c r="K1631" i="21"/>
  <c r="K1632" i="21"/>
  <c r="K1633" i="21"/>
  <c r="K1634" i="21"/>
  <c r="K1635" i="21"/>
  <c r="K1636" i="21"/>
  <c r="K1637" i="21"/>
  <c r="K1638" i="21"/>
  <c r="K1639" i="21"/>
  <c r="K1640" i="21"/>
  <c r="K1641" i="21"/>
  <c r="K1642" i="21"/>
  <c r="K1643" i="21"/>
  <c r="K1644" i="21"/>
  <c r="K1645" i="21"/>
  <c r="K1646" i="21"/>
  <c r="K1647" i="21"/>
  <c r="K1648" i="21"/>
  <c r="K1649" i="21"/>
  <c r="K1650" i="21"/>
  <c r="K1651" i="21"/>
  <c r="K1652" i="21"/>
  <c r="K1653" i="21"/>
  <c r="K1654" i="21"/>
  <c r="K1655" i="21"/>
  <c r="K1656" i="21"/>
  <c r="K1657" i="21"/>
  <c r="K1658" i="21"/>
  <c r="K1659" i="21"/>
  <c r="K1660" i="21"/>
  <c r="K1661" i="21"/>
  <c r="K1662" i="21"/>
  <c r="K1663" i="21"/>
  <c r="K1664" i="21"/>
  <c r="K1665" i="21"/>
  <c r="K1666" i="21"/>
  <c r="K1667" i="21"/>
  <c r="K1668" i="21"/>
  <c r="K1669" i="21"/>
  <c r="K1670" i="21"/>
  <c r="K1671" i="21"/>
  <c r="K1672" i="21"/>
  <c r="K1673" i="21"/>
  <c r="K1674" i="21"/>
  <c r="K1675" i="21"/>
  <c r="K1676" i="21"/>
  <c r="K1677" i="21"/>
  <c r="K1678" i="21"/>
  <c r="K1679" i="21"/>
  <c r="K1680" i="21"/>
  <c r="K1681" i="21"/>
  <c r="K1682" i="21"/>
  <c r="K1683" i="21"/>
  <c r="K1684" i="21"/>
  <c r="K1685" i="21"/>
  <c r="K1686" i="21"/>
  <c r="K1687" i="21"/>
  <c r="K1688" i="21"/>
  <c r="K1689" i="21"/>
  <c r="K1690" i="21"/>
  <c r="K1691" i="21"/>
  <c r="K1692" i="21"/>
  <c r="K1693" i="21"/>
  <c r="K1694" i="21"/>
  <c r="K1695" i="21"/>
  <c r="K1696" i="21"/>
  <c r="K1697" i="21"/>
  <c r="K1698" i="21"/>
  <c r="K1699" i="21"/>
  <c r="K1700" i="21"/>
  <c r="K1701" i="21"/>
  <c r="K1702" i="21"/>
  <c r="K1703" i="21"/>
  <c r="K1704" i="21"/>
  <c r="K1705" i="21"/>
  <c r="K1706" i="21"/>
  <c r="K1707" i="21"/>
  <c r="K1708" i="21"/>
  <c r="K1709" i="21"/>
  <c r="K1710" i="21"/>
  <c r="K1711" i="21"/>
  <c r="K1712" i="21"/>
  <c r="K1713" i="21"/>
  <c r="K1714" i="21"/>
  <c r="K1715" i="21"/>
  <c r="K1716" i="21"/>
  <c r="K1717" i="21"/>
  <c r="K1718" i="21"/>
  <c r="K1719" i="21"/>
  <c r="K1720" i="21"/>
  <c r="K1721" i="21"/>
  <c r="K1722" i="21"/>
  <c r="K1723" i="21"/>
  <c r="K1724" i="21"/>
  <c r="K1725" i="21"/>
  <c r="K1726" i="21"/>
  <c r="K1727" i="21"/>
  <c r="K1728" i="21"/>
  <c r="K1729" i="21"/>
  <c r="K1730" i="21"/>
  <c r="K1731" i="21"/>
  <c r="K1732" i="21"/>
  <c r="K1733" i="21"/>
  <c r="K1734" i="21"/>
  <c r="K1735" i="21"/>
  <c r="K1736" i="21"/>
  <c r="K1737" i="21"/>
  <c r="K1738" i="21"/>
  <c r="K1739" i="21"/>
  <c r="K1740" i="21"/>
  <c r="K1741" i="21"/>
  <c r="K1742" i="21"/>
  <c r="K1743" i="21"/>
  <c r="K1744" i="21"/>
  <c r="K1745" i="21"/>
  <c r="K1746" i="21"/>
  <c r="K1747" i="21"/>
  <c r="K1748" i="21"/>
  <c r="K1749" i="21"/>
  <c r="K1750" i="21"/>
  <c r="K1751" i="21"/>
  <c r="K1752" i="21"/>
  <c r="K1753" i="21"/>
  <c r="K1754" i="21"/>
  <c r="K1755" i="21"/>
  <c r="K1756" i="21"/>
  <c r="K1757" i="21"/>
  <c r="K1758" i="21"/>
  <c r="K1759" i="21"/>
  <c r="K1760" i="21"/>
  <c r="K1761" i="21"/>
  <c r="K1762" i="21"/>
  <c r="K1763" i="21"/>
  <c r="K1764" i="21"/>
  <c r="K1765" i="21"/>
  <c r="K1766" i="21"/>
  <c r="K1767" i="21"/>
  <c r="K1768" i="21"/>
  <c r="K1769" i="21"/>
  <c r="K1770" i="21"/>
  <c r="K1771" i="21"/>
  <c r="K1772" i="21"/>
  <c r="K1773" i="21"/>
  <c r="K1774" i="21"/>
  <c r="K1775" i="21"/>
  <c r="K1776" i="21"/>
  <c r="K1777" i="21"/>
  <c r="K1778" i="21"/>
  <c r="K1779" i="21"/>
  <c r="K1780" i="21"/>
  <c r="K1781" i="21"/>
  <c r="K1782" i="21"/>
  <c r="K1783" i="21"/>
  <c r="K1784" i="21"/>
  <c r="K1785" i="21"/>
  <c r="K1786" i="21"/>
  <c r="K1787" i="21"/>
  <c r="K1788" i="21"/>
  <c r="K1789" i="21"/>
  <c r="K1790" i="21"/>
  <c r="K1791" i="21"/>
  <c r="K1792" i="21"/>
  <c r="K1793" i="21"/>
  <c r="K1794" i="21"/>
  <c r="K1795" i="21"/>
  <c r="K1796" i="21"/>
  <c r="K1797" i="21"/>
  <c r="K1798" i="21"/>
  <c r="K1799" i="21"/>
  <c r="K1800" i="21"/>
  <c r="K1801" i="21"/>
  <c r="K1802" i="21"/>
  <c r="K1803" i="21"/>
  <c r="K1804" i="21"/>
  <c r="K1805" i="21"/>
  <c r="K1806" i="21"/>
  <c r="K1807" i="21"/>
  <c r="K1808" i="21"/>
  <c r="K1809" i="21"/>
  <c r="K1810" i="21"/>
  <c r="K1811" i="21"/>
  <c r="K1812" i="21"/>
  <c r="K1813" i="21"/>
  <c r="K1814" i="21"/>
  <c r="K1815" i="21"/>
  <c r="K1816" i="21"/>
  <c r="K1817" i="21"/>
  <c r="K1818" i="21"/>
  <c r="K1819" i="21"/>
  <c r="K1820" i="21"/>
  <c r="K1821" i="21"/>
  <c r="K1822" i="21"/>
  <c r="K1823" i="21"/>
  <c r="K1824" i="21"/>
  <c r="K1825" i="21"/>
  <c r="K1826" i="21"/>
  <c r="K1827" i="21"/>
  <c r="K1828" i="21"/>
  <c r="K1829" i="21"/>
  <c r="K1830" i="21"/>
  <c r="K1831" i="21"/>
  <c r="K1832" i="21"/>
  <c r="K1833" i="21"/>
  <c r="K1834" i="21"/>
  <c r="K1835" i="21"/>
  <c r="K1836" i="21"/>
  <c r="K1837" i="21"/>
  <c r="K1838" i="21"/>
  <c r="K1839" i="21"/>
  <c r="K1840" i="21"/>
  <c r="K1841" i="21"/>
  <c r="K1842" i="21"/>
  <c r="K1843" i="21"/>
  <c r="K1844" i="21"/>
  <c r="K1845" i="21"/>
  <c r="K1846" i="21"/>
  <c r="K1847" i="21"/>
  <c r="K1848" i="21"/>
  <c r="K1849" i="21"/>
  <c r="K1850" i="21"/>
  <c r="K1851" i="21"/>
  <c r="K1852" i="21"/>
  <c r="K1853" i="21"/>
  <c r="K1854" i="21"/>
  <c r="K1855" i="21"/>
  <c r="K1856" i="21"/>
  <c r="K1857" i="21"/>
  <c r="K1858" i="21"/>
  <c r="K1859" i="21"/>
  <c r="K1860" i="21"/>
  <c r="K1861" i="21"/>
  <c r="K1862" i="21"/>
  <c r="K1863" i="21"/>
  <c r="K1864" i="21"/>
  <c r="K1865" i="21"/>
  <c r="K1866" i="21"/>
  <c r="K1867" i="21"/>
  <c r="K1868" i="21"/>
  <c r="K1869" i="21"/>
  <c r="K1870" i="21"/>
  <c r="K1871" i="21"/>
  <c r="K1872" i="21"/>
  <c r="K1873" i="21"/>
  <c r="K1874" i="21"/>
  <c r="K1875" i="21"/>
  <c r="K1876" i="21"/>
  <c r="K1877" i="21"/>
  <c r="K1878" i="21"/>
  <c r="K1879" i="21"/>
  <c r="K1880" i="21"/>
  <c r="K1881" i="21"/>
  <c r="K1882" i="21"/>
  <c r="K1883" i="21"/>
  <c r="K1884" i="21"/>
  <c r="K1885" i="21"/>
  <c r="K1886" i="21"/>
  <c r="K1887" i="21"/>
  <c r="K1888" i="21"/>
  <c r="K1889" i="21"/>
  <c r="K1890" i="21"/>
  <c r="K1891" i="21"/>
  <c r="K1892" i="21"/>
  <c r="K1893" i="21"/>
  <c r="K1894" i="21"/>
  <c r="K1895" i="21"/>
  <c r="K1896" i="21"/>
  <c r="K1897" i="21"/>
  <c r="K1898" i="21"/>
  <c r="K1899" i="21"/>
  <c r="K1900" i="21"/>
  <c r="K1901" i="21"/>
  <c r="K1902" i="21"/>
  <c r="K1903" i="21"/>
  <c r="K1904" i="21"/>
  <c r="K1905" i="21"/>
  <c r="K1906" i="21"/>
  <c r="K1907" i="21"/>
  <c r="K1908" i="21"/>
  <c r="K1909" i="21"/>
  <c r="K1910" i="21"/>
  <c r="K1911" i="21"/>
  <c r="K1912" i="21"/>
  <c r="K1913" i="21"/>
  <c r="K1914" i="21"/>
  <c r="K1915" i="21"/>
  <c r="K1916" i="21"/>
  <c r="K1917" i="21"/>
  <c r="K1918" i="21"/>
  <c r="K1919" i="21"/>
  <c r="K1920" i="21"/>
  <c r="K1921" i="21"/>
  <c r="K1922" i="21"/>
  <c r="K1923" i="21"/>
  <c r="K1924" i="21"/>
  <c r="K1925" i="21"/>
  <c r="K1926" i="21"/>
  <c r="K1927" i="21"/>
  <c r="K1928" i="21"/>
  <c r="K1929" i="21"/>
  <c r="K1930" i="21"/>
  <c r="K1931" i="21"/>
  <c r="K1932" i="21"/>
  <c r="K1933" i="21"/>
  <c r="K1934" i="21"/>
  <c r="K1935" i="21"/>
  <c r="K1936" i="21"/>
  <c r="K1937" i="21"/>
  <c r="K1938" i="21"/>
  <c r="K1939" i="21"/>
  <c r="K1940" i="21"/>
  <c r="K1941" i="21"/>
  <c r="K1942" i="21"/>
  <c r="K1943" i="21"/>
  <c r="K1944" i="21"/>
  <c r="K1945" i="21"/>
  <c r="K1946" i="21"/>
  <c r="K1947" i="21"/>
  <c r="K1948" i="21"/>
  <c r="K1949" i="21"/>
  <c r="K1950" i="21"/>
  <c r="K1951" i="21"/>
  <c r="K1952" i="21"/>
  <c r="K1953" i="21"/>
  <c r="K1954" i="21"/>
  <c r="K1955" i="21"/>
  <c r="K1956" i="21"/>
  <c r="K1957" i="21"/>
  <c r="K1958" i="21"/>
  <c r="K1959" i="21"/>
  <c r="K1960" i="21"/>
  <c r="K1961" i="21"/>
  <c r="K1962" i="21"/>
  <c r="K1963" i="21"/>
  <c r="K1964" i="21"/>
  <c r="K1965" i="21"/>
  <c r="K1966" i="21"/>
  <c r="K1967" i="21"/>
  <c r="K1968" i="21"/>
  <c r="K1969" i="21"/>
  <c r="K1970" i="21"/>
  <c r="K1971" i="21"/>
  <c r="K1972" i="21"/>
  <c r="K1973" i="21"/>
  <c r="K1974" i="21"/>
  <c r="K1975" i="21"/>
  <c r="K1976" i="21"/>
  <c r="K1977" i="21"/>
  <c r="K1978" i="21"/>
  <c r="K1979" i="21"/>
  <c r="K1980" i="21"/>
  <c r="K1981" i="21"/>
  <c r="K1982" i="21"/>
  <c r="K1983" i="21"/>
  <c r="K1984"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10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J217" i="21"/>
  <c r="J218" i="21"/>
  <c r="J219" i="21"/>
  <c r="J220" i="21"/>
  <c r="J221" i="21"/>
  <c r="J222" i="21"/>
  <c r="J223" i="21"/>
  <c r="J224" i="21"/>
  <c r="J225" i="21"/>
  <c r="J226" i="21"/>
  <c r="J227" i="21"/>
  <c r="J228" i="21"/>
  <c r="J229" i="21"/>
  <c r="J230" i="21"/>
  <c r="J231" i="21"/>
  <c r="J232" i="21"/>
  <c r="J233" i="21"/>
  <c r="J234" i="21"/>
  <c r="J235" i="21"/>
  <c r="J236" i="21"/>
  <c r="J237" i="21"/>
  <c r="J238" i="21"/>
  <c r="J239" i="21"/>
  <c r="J240" i="21"/>
  <c r="J241" i="21"/>
  <c r="J242" i="21"/>
  <c r="J243" i="21"/>
  <c r="J244" i="21"/>
  <c r="J245" i="21"/>
  <c r="J246" i="21"/>
  <c r="J247" i="21"/>
  <c r="J248" i="21"/>
  <c r="J249" i="21"/>
  <c r="J250" i="21"/>
  <c r="J251" i="21"/>
  <c r="J252" i="21"/>
  <c r="J253" i="21"/>
  <c r="J254" i="21"/>
  <c r="J255" i="21"/>
  <c r="J256" i="21"/>
  <c r="J257" i="21"/>
  <c r="J258" i="21"/>
  <c r="J259" i="21"/>
  <c r="J260" i="21"/>
  <c r="J261" i="21"/>
  <c r="J262" i="21"/>
  <c r="J263" i="21"/>
  <c r="J264" i="21"/>
  <c r="J265" i="21"/>
  <c r="J266" i="21"/>
  <c r="J267" i="21"/>
  <c r="J268" i="21"/>
  <c r="J269" i="21"/>
  <c r="J270" i="21"/>
  <c r="J271" i="21"/>
  <c r="J272" i="21"/>
  <c r="J273" i="21"/>
  <c r="J274" i="21"/>
  <c r="J275" i="21"/>
  <c r="J276" i="21"/>
  <c r="J277" i="21"/>
  <c r="J278" i="21"/>
  <c r="J279" i="21"/>
  <c r="J280" i="21"/>
  <c r="J281" i="21"/>
  <c r="J282" i="21"/>
  <c r="J283" i="21"/>
  <c r="J284" i="21"/>
  <c r="J285" i="21"/>
  <c r="J286" i="21"/>
  <c r="J287" i="21"/>
  <c r="J288" i="21"/>
  <c r="J289" i="21"/>
  <c r="J290" i="21"/>
  <c r="J291" i="21"/>
  <c r="J292" i="21"/>
  <c r="J293" i="21"/>
  <c r="J294" i="21"/>
  <c r="J295" i="21"/>
  <c r="J296" i="21"/>
  <c r="J297" i="21"/>
  <c r="J298" i="21"/>
  <c r="J299" i="21"/>
  <c r="J300" i="21"/>
  <c r="J301" i="21"/>
  <c r="J302" i="21"/>
  <c r="J303" i="21"/>
  <c r="J304" i="21"/>
  <c r="J305" i="21"/>
  <c r="J306" i="21"/>
  <c r="J307" i="21"/>
  <c r="J308" i="21"/>
  <c r="J309" i="21"/>
  <c r="J310" i="21"/>
  <c r="J311" i="21"/>
  <c r="J312" i="21"/>
  <c r="J313" i="21"/>
  <c r="J314" i="21"/>
  <c r="J315" i="21"/>
  <c r="J316" i="21"/>
  <c r="J317" i="21"/>
  <c r="J318" i="21"/>
  <c r="J319" i="21"/>
  <c r="J320" i="21"/>
  <c r="J321" i="21"/>
  <c r="J322" i="21"/>
  <c r="J323" i="21"/>
  <c r="J324" i="21"/>
  <c r="J325" i="21"/>
  <c r="J326" i="21"/>
  <c r="J327" i="21"/>
  <c r="J328" i="21"/>
  <c r="J329" i="21"/>
  <c r="J330" i="21"/>
  <c r="J331" i="21"/>
  <c r="J332" i="21"/>
  <c r="J333" i="21"/>
  <c r="J334" i="21"/>
  <c r="J335" i="21"/>
  <c r="J336" i="21"/>
  <c r="J337" i="21"/>
  <c r="J338" i="21"/>
  <c r="J339" i="21"/>
  <c r="J340" i="21"/>
  <c r="J341" i="21"/>
  <c r="J342" i="21"/>
  <c r="J343" i="21"/>
  <c r="J344" i="21"/>
  <c r="J345" i="21"/>
  <c r="J346" i="21"/>
  <c r="J347" i="21"/>
  <c r="J348" i="21"/>
  <c r="J349" i="21"/>
  <c r="J350" i="21"/>
  <c r="J351" i="21"/>
  <c r="J352" i="21"/>
  <c r="J353" i="21"/>
  <c r="J354" i="21"/>
  <c r="J355" i="21"/>
  <c r="J356" i="21"/>
  <c r="J357" i="21"/>
  <c r="J358" i="21"/>
  <c r="J359" i="21"/>
  <c r="J360" i="21"/>
  <c r="J361" i="21"/>
  <c r="J362" i="21"/>
  <c r="J363" i="21"/>
  <c r="J364" i="21"/>
  <c r="J365" i="21"/>
  <c r="J366" i="21"/>
  <c r="J367" i="21"/>
  <c r="J368" i="21"/>
  <c r="J369" i="21"/>
  <c r="J370" i="21"/>
  <c r="J371" i="21"/>
  <c r="J372" i="21"/>
  <c r="J373" i="21"/>
  <c r="J374" i="21"/>
  <c r="J375" i="21"/>
  <c r="J376" i="21"/>
  <c r="J377" i="21"/>
  <c r="J378" i="21"/>
  <c r="J379" i="21"/>
  <c r="J380" i="21"/>
  <c r="J381" i="21"/>
  <c r="J382" i="21"/>
  <c r="J383" i="21"/>
  <c r="J384" i="21"/>
  <c r="J385" i="21"/>
  <c r="J386" i="21"/>
  <c r="J387" i="21"/>
  <c r="J388" i="21"/>
  <c r="J389" i="21"/>
  <c r="J390" i="21"/>
  <c r="J391" i="21"/>
  <c r="J392" i="21"/>
  <c r="J393" i="21"/>
  <c r="J394" i="21"/>
  <c r="J395" i="21"/>
  <c r="J396" i="21"/>
  <c r="J397" i="21"/>
  <c r="J398" i="21"/>
  <c r="J399" i="21"/>
  <c r="J400" i="21"/>
  <c r="J401" i="21"/>
  <c r="J402" i="21"/>
  <c r="J403" i="21"/>
  <c r="J404" i="21"/>
  <c r="J405" i="21"/>
  <c r="J406" i="21"/>
  <c r="J407" i="21"/>
  <c r="J408" i="21"/>
  <c r="J409" i="21"/>
  <c r="J410" i="21"/>
  <c r="J411" i="21"/>
  <c r="J412" i="21"/>
  <c r="J413" i="21"/>
  <c r="J414" i="21"/>
  <c r="J415" i="21"/>
  <c r="J416" i="21"/>
  <c r="J417" i="21"/>
  <c r="J418" i="21"/>
  <c r="J419" i="21"/>
  <c r="J420" i="21"/>
  <c r="J421" i="21"/>
  <c r="J422" i="21"/>
  <c r="J423" i="21"/>
  <c r="J424" i="21"/>
  <c r="J425" i="21"/>
  <c r="J426" i="21"/>
  <c r="J427" i="21"/>
  <c r="J428" i="21"/>
  <c r="J429" i="21"/>
  <c r="J430" i="21"/>
  <c r="J431" i="21"/>
  <c r="J432" i="21"/>
  <c r="J433" i="21"/>
  <c r="J434" i="21"/>
  <c r="J435" i="21"/>
  <c r="J436" i="21"/>
  <c r="J437" i="21"/>
  <c r="J438" i="21"/>
  <c r="J439" i="21"/>
  <c r="J440" i="21"/>
  <c r="J441" i="21"/>
  <c r="J442" i="21"/>
  <c r="J443" i="21"/>
  <c r="J444" i="21"/>
  <c r="J445" i="21"/>
  <c r="J446" i="21"/>
  <c r="J447" i="21"/>
  <c r="J448" i="21"/>
  <c r="J449" i="21"/>
  <c r="J450" i="21"/>
  <c r="J451" i="21"/>
  <c r="J452" i="21"/>
  <c r="J453" i="21"/>
  <c r="J454" i="21"/>
  <c r="J455" i="21"/>
  <c r="J456" i="21"/>
  <c r="J457" i="21"/>
  <c r="J458" i="21"/>
  <c r="J459" i="21"/>
  <c r="J460" i="21"/>
  <c r="J461" i="21"/>
  <c r="J462" i="21"/>
  <c r="J463" i="21"/>
  <c r="J464" i="21"/>
  <c r="J465" i="21"/>
  <c r="J466" i="21"/>
  <c r="J467" i="21"/>
  <c r="J468" i="21"/>
  <c r="J469" i="21"/>
  <c r="J470" i="21"/>
  <c r="J471" i="21"/>
  <c r="J472" i="21"/>
  <c r="J473" i="21"/>
  <c r="J474" i="21"/>
  <c r="J475" i="21"/>
  <c r="J476" i="21"/>
  <c r="J477" i="21"/>
  <c r="J478" i="21"/>
  <c r="J479" i="21"/>
  <c r="J480" i="21"/>
  <c r="J481" i="21"/>
  <c r="J482" i="21"/>
  <c r="J483" i="21"/>
  <c r="J484" i="21"/>
  <c r="J485" i="21"/>
  <c r="J486" i="21"/>
  <c r="J487" i="21"/>
  <c r="J488" i="21"/>
  <c r="J489" i="21"/>
  <c r="J490" i="21"/>
  <c r="J491" i="21"/>
  <c r="J492" i="21"/>
  <c r="J493" i="21"/>
  <c r="J494" i="21"/>
  <c r="J495" i="21"/>
  <c r="J496" i="21"/>
  <c r="J497" i="21"/>
  <c r="J498" i="21"/>
  <c r="J499" i="21"/>
  <c r="J500" i="21"/>
  <c r="J501" i="21"/>
  <c r="J502" i="21"/>
  <c r="J503" i="21"/>
  <c r="J504" i="21"/>
  <c r="J505" i="21"/>
  <c r="J506" i="21"/>
  <c r="J507" i="21"/>
  <c r="J508" i="21"/>
  <c r="J509" i="21"/>
  <c r="J510" i="21"/>
  <c r="J511" i="21"/>
  <c r="J512" i="21"/>
  <c r="J513" i="21"/>
  <c r="J514" i="21"/>
  <c r="J515" i="21"/>
  <c r="J516" i="21"/>
  <c r="J517" i="21"/>
  <c r="J518" i="21"/>
  <c r="J519" i="21"/>
  <c r="J520" i="21"/>
  <c r="J521" i="21"/>
  <c r="J522" i="21"/>
  <c r="J523" i="21"/>
  <c r="J524" i="21"/>
  <c r="J525" i="21"/>
  <c r="J526" i="21"/>
  <c r="J527" i="21"/>
  <c r="J528" i="21"/>
  <c r="J529" i="21"/>
  <c r="J530" i="21"/>
  <c r="J531" i="21"/>
  <c r="J532" i="21"/>
  <c r="J533" i="21"/>
  <c r="J534" i="21"/>
  <c r="J535" i="21"/>
  <c r="J536" i="21"/>
  <c r="J537" i="21"/>
  <c r="J538" i="21"/>
  <c r="J539" i="21"/>
  <c r="J540" i="21"/>
  <c r="J541" i="21"/>
  <c r="J542" i="21"/>
  <c r="J543" i="21"/>
  <c r="J544" i="21"/>
  <c r="J545" i="21"/>
  <c r="J546" i="21"/>
  <c r="J547" i="21"/>
  <c r="J548" i="21"/>
  <c r="J549" i="21"/>
  <c r="J550" i="21"/>
  <c r="J551" i="21"/>
  <c r="J552" i="21"/>
  <c r="J553" i="21"/>
  <c r="J554" i="21"/>
  <c r="J555" i="21"/>
  <c r="J556" i="21"/>
  <c r="J557" i="21"/>
  <c r="J558" i="21"/>
  <c r="J559" i="21"/>
  <c r="J560" i="21"/>
  <c r="J561" i="21"/>
  <c r="J562" i="21"/>
  <c r="J563" i="21"/>
  <c r="J564" i="21"/>
  <c r="J565" i="21"/>
  <c r="J566" i="21"/>
  <c r="J567" i="21"/>
  <c r="J568" i="21"/>
  <c r="J569" i="21"/>
  <c r="J570" i="21"/>
  <c r="J571" i="21"/>
  <c r="J572" i="21"/>
  <c r="J573" i="21"/>
  <c r="J574" i="21"/>
  <c r="J575" i="21"/>
  <c r="J576" i="21"/>
  <c r="J577" i="21"/>
  <c r="J578" i="21"/>
  <c r="J579" i="21"/>
  <c r="J580" i="21"/>
  <c r="J581" i="21"/>
  <c r="J582" i="21"/>
  <c r="J583" i="21"/>
  <c r="J584" i="21"/>
  <c r="J585" i="21"/>
  <c r="J586" i="21"/>
  <c r="J587" i="21"/>
  <c r="J588" i="21"/>
  <c r="J589" i="21"/>
  <c r="J590" i="21"/>
  <c r="J591" i="21"/>
  <c r="J592" i="21"/>
  <c r="J593" i="21"/>
  <c r="J594" i="21"/>
  <c r="J595" i="21"/>
  <c r="J596" i="21"/>
  <c r="J597" i="21"/>
  <c r="J598" i="21"/>
  <c r="J599" i="21"/>
  <c r="J600" i="21"/>
  <c r="J601" i="21"/>
  <c r="J602" i="21"/>
  <c r="J603" i="21"/>
  <c r="J604" i="21"/>
  <c r="J605" i="21"/>
  <c r="J606" i="21"/>
  <c r="J607" i="21"/>
  <c r="J608" i="21"/>
  <c r="J609" i="21"/>
  <c r="J610" i="21"/>
  <c r="J611" i="21"/>
  <c r="J612" i="21"/>
  <c r="J613" i="21"/>
  <c r="J614" i="21"/>
  <c r="J615" i="21"/>
  <c r="J616" i="21"/>
  <c r="J617" i="21"/>
  <c r="J618" i="21"/>
  <c r="J619" i="21"/>
  <c r="J620" i="21"/>
  <c r="J621" i="21"/>
  <c r="J622" i="21"/>
  <c r="J623" i="21"/>
  <c r="J624" i="21"/>
  <c r="J625" i="21"/>
  <c r="J626" i="21"/>
  <c r="J627" i="21"/>
  <c r="J628" i="21"/>
  <c r="J629" i="21"/>
  <c r="J630" i="21"/>
  <c r="J631" i="21"/>
  <c r="J632" i="21"/>
  <c r="J633" i="21"/>
  <c r="J634" i="21"/>
  <c r="J635" i="21"/>
  <c r="J636" i="21"/>
  <c r="J637" i="21"/>
  <c r="J638" i="21"/>
  <c r="J639" i="21"/>
  <c r="J640" i="21"/>
  <c r="J641" i="21"/>
  <c r="J642" i="21"/>
  <c r="J643" i="21"/>
  <c r="J644" i="21"/>
  <c r="J645" i="21"/>
  <c r="J646" i="21"/>
  <c r="J647" i="21"/>
  <c r="J648" i="21"/>
  <c r="J649" i="21"/>
  <c r="J650" i="21"/>
  <c r="J651" i="21"/>
  <c r="J652" i="21"/>
  <c r="J653" i="21"/>
  <c r="J654" i="21"/>
  <c r="J655" i="21"/>
  <c r="J656" i="21"/>
  <c r="J657" i="21"/>
  <c r="J658" i="21"/>
  <c r="J659" i="21"/>
  <c r="J660" i="21"/>
  <c r="J661" i="21"/>
  <c r="J662" i="21"/>
  <c r="J663" i="21"/>
  <c r="J664" i="21"/>
  <c r="J665" i="21"/>
  <c r="J666" i="21"/>
  <c r="J667" i="21"/>
  <c r="J668" i="21"/>
  <c r="J669" i="21"/>
  <c r="J670" i="21"/>
  <c r="J671" i="21"/>
  <c r="J672" i="21"/>
  <c r="J673" i="21"/>
  <c r="J674" i="21"/>
  <c r="J675" i="21"/>
  <c r="J676" i="21"/>
  <c r="J677" i="21"/>
  <c r="J678" i="21"/>
  <c r="J679" i="21"/>
  <c r="J680" i="21"/>
  <c r="J681" i="21"/>
  <c r="J682" i="21"/>
  <c r="J683" i="21"/>
  <c r="J684" i="21"/>
  <c r="J685" i="21"/>
  <c r="J686" i="21"/>
  <c r="J687" i="21"/>
  <c r="J688" i="21"/>
  <c r="J689" i="21"/>
  <c r="J690" i="21"/>
  <c r="J691" i="21"/>
  <c r="J692" i="21"/>
  <c r="J693" i="21"/>
  <c r="J694" i="21"/>
  <c r="J695" i="21"/>
  <c r="J696" i="21"/>
  <c r="J697" i="21"/>
  <c r="J698" i="21"/>
  <c r="J699" i="21"/>
  <c r="J700" i="21"/>
  <c r="J701" i="21"/>
  <c r="J702" i="21"/>
  <c r="J703" i="21"/>
  <c r="J704" i="21"/>
  <c r="J705" i="21"/>
  <c r="J706" i="21"/>
  <c r="J707" i="21"/>
  <c r="J708" i="21"/>
  <c r="J709" i="21"/>
  <c r="J710" i="21"/>
  <c r="J711" i="21"/>
  <c r="J712" i="21"/>
  <c r="J713" i="21"/>
  <c r="J714" i="21"/>
  <c r="J715" i="21"/>
  <c r="J716" i="21"/>
  <c r="J717" i="21"/>
  <c r="J718" i="21"/>
  <c r="J719" i="21"/>
  <c r="J720" i="21"/>
  <c r="J721" i="21"/>
  <c r="J722" i="21"/>
  <c r="J723" i="21"/>
  <c r="J724" i="21"/>
  <c r="J725" i="21"/>
  <c r="J726" i="21"/>
  <c r="J727" i="21"/>
  <c r="J728" i="21"/>
  <c r="J729" i="21"/>
  <c r="J730" i="21"/>
  <c r="J731" i="21"/>
  <c r="J732" i="21"/>
  <c r="J733" i="21"/>
  <c r="J734" i="21"/>
  <c r="J735" i="21"/>
  <c r="J736" i="21"/>
  <c r="J737" i="21"/>
  <c r="J738" i="21"/>
  <c r="J739" i="21"/>
  <c r="J740" i="21"/>
  <c r="J741" i="21"/>
  <c r="J742" i="21"/>
  <c r="J743" i="21"/>
  <c r="J744" i="21"/>
  <c r="J745" i="21"/>
  <c r="J746" i="21"/>
  <c r="J747" i="21"/>
  <c r="J748" i="21"/>
  <c r="J749" i="21"/>
  <c r="J750" i="21"/>
  <c r="J751" i="21"/>
  <c r="J752" i="21"/>
  <c r="J753" i="21"/>
  <c r="J754" i="21"/>
  <c r="J755" i="21"/>
  <c r="J756" i="21"/>
  <c r="J757" i="21"/>
  <c r="J758" i="21"/>
  <c r="J759" i="21"/>
  <c r="J760" i="21"/>
  <c r="J761" i="21"/>
  <c r="J762" i="21"/>
  <c r="J763" i="21"/>
  <c r="J764" i="21"/>
  <c r="J765" i="21"/>
  <c r="J766" i="21"/>
  <c r="J767" i="21"/>
  <c r="J768" i="21"/>
  <c r="J769" i="21"/>
  <c r="J770" i="21"/>
  <c r="J771" i="21"/>
  <c r="J772" i="21"/>
  <c r="J773" i="21"/>
  <c r="J774" i="21"/>
  <c r="J775" i="21"/>
  <c r="J776" i="21"/>
  <c r="J777" i="21"/>
  <c r="J778" i="21"/>
  <c r="J779" i="21"/>
  <c r="J780" i="21"/>
  <c r="J781" i="21"/>
  <c r="J782" i="21"/>
  <c r="J783" i="21"/>
  <c r="J784" i="21"/>
  <c r="J785" i="21"/>
  <c r="J786" i="21"/>
  <c r="J787" i="21"/>
  <c r="J788" i="21"/>
  <c r="J789" i="21"/>
  <c r="J790" i="21"/>
  <c r="J791" i="21"/>
  <c r="J792" i="21"/>
  <c r="J793" i="21"/>
  <c r="J794" i="21"/>
  <c r="J795" i="21"/>
  <c r="J796" i="21"/>
  <c r="J797" i="21"/>
  <c r="J798" i="21"/>
  <c r="J799" i="21"/>
  <c r="J800" i="21"/>
  <c r="J801" i="21"/>
  <c r="J802" i="21"/>
  <c r="J803" i="21"/>
  <c r="J804" i="21"/>
  <c r="J805" i="21"/>
  <c r="J806" i="21"/>
  <c r="J807" i="21"/>
  <c r="J808" i="21"/>
  <c r="J809" i="21"/>
  <c r="J810" i="21"/>
  <c r="J811" i="21"/>
  <c r="J812" i="21"/>
  <c r="J813" i="21"/>
  <c r="J814" i="21"/>
  <c r="J815" i="21"/>
  <c r="J816" i="21"/>
  <c r="J817" i="21"/>
  <c r="J818" i="21"/>
  <c r="J819" i="21"/>
  <c r="J820" i="21"/>
  <c r="J821" i="21"/>
  <c r="J822" i="21"/>
  <c r="J823" i="21"/>
  <c r="J824" i="21"/>
  <c r="J825" i="21"/>
  <c r="J826" i="21"/>
  <c r="J827" i="21"/>
  <c r="J828" i="21"/>
  <c r="J829" i="21"/>
  <c r="J830" i="21"/>
  <c r="J831" i="21"/>
  <c r="J832" i="21"/>
  <c r="J833" i="21"/>
  <c r="J834" i="21"/>
  <c r="J835" i="21"/>
  <c r="J836" i="21"/>
  <c r="J837" i="21"/>
  <c r="J838" i="21"/>
  <c r="J839" i="21"/>
  <c r="J840" i="21"/>
  <c r="J841" i="21"/>
  <c r="J842" i="21"/>
  <c r="J843" i="21"/>
  <c r="J844" i="21"/>
  <c r="J845" i="21"/>
  <c r="J846" i="21"/>
  <c r="J847" i="21"/>
  <c r="J848" i="21"/>
  <c r="J849" i="21"/>
  <c r="J850" i="21"/>
  <c r="J851" i="21"/>
  <c r="J852" i="21"/>
  <c r="J853" i="21"/>
  <c r="J854" i="21"/>
  <c r="J855" i="21"/>
  <c r="J856" i="21"/>
  <c r="J857" i="21"/>
  <c r="J858" i="21"/>
  <c r="J859" i="21"/>
  <c r="J860" i="21"/>
  <c r="J861" i="21"/>
  <c r="J862" i="21"/>
  <c r="J863" i="21"/>
  <c r="J864" i="21"/>
  <c r="J865" i="21"/>
  <c r="J866" i="21"/>
  <c r="J867" i="21"/>
  <c r="J868" i="21"/>
  <c r="J869" i="21"/>
  <c r="J870" i="21"/>
  <c r="J871" i="21"/>
  <c r="J872" i="21"/>
  <c r="J873" i="21"/>
  <c r="J874" i="21"/>
  <c r="J875" i="21"/>
  <c r="J876" i="21"/>
  <c r="J877" i="21"/>
  <c r="J878" i="21"/>
  <c r="J879" i="21"/>
  <c r="J880" i="21"/>
  <c r="J881" i="21"/>
  <c r="J882" i="21"/>
  <c r="J883" i="21"/>
  <c r="J884" i="21"/>
  <c r="J885" i="21"/>
  <c r="J886" i="21"/>
  <c r="J887" i="21"/>
  <c r="J888" i="21"/>
  <c r="J889" i="21"/>
  <c r="J890" i="21"/>
  <c r="J891" i="21"/>
  <c r="J892" i="21"/>
  <c r="J893" i="21"/>
  <c r="J894" i="21"/>
  <c r="J895" i="21"/>
  <c r="J896" i="21"/>
  <c r="J897" i="21"/>
  <c r="J898" i="21"/>
  <c r="J899" i="21"/>
  <c r="J900" i="21"/>
  <c r="J901" i="21"/>
  <c r="J902" i="21"/>
  <c r="J903" i="21"/>
  <c r="J904" i="21"/>
  <c r="J905" i="21"/>
  <c r="J906" i="21"/>
  <c r="J907" i="21"/>
  <c r="J908" i="21"/>
  <c r="J909" i="21"/>
  <c r="J910" i="21"/>
  <c r="J911" i="21"/>
  <c r="J912" i="21"/>
  <c r="J913" i="21"/>
  <c r="J914" i="21"/>
  <c r="J915" i="21"/>
  <c r="J916" i="21"/>
  <c r="J917" i="21"/>
  <c r="J918" i="21"/>
  <c r="J919" i="21"/>
  <c r="J920" i="21"/>
  <c r="J921" i="21"/>
  <c r="J922" i="21"/>
  <c r="J923" i="21"/>
  <c r="J924" i="21"/>
  <c r="J925" i="21"/>
  <c r="J926" i="21"/>
  <c r="J927" i="21"/>
  <c r="J928" i="21"/>
  <c r="J929" i="21"/>
  <c r="J930" i="21"/>
  <c r="J931" i="21"/>
  <c r="J932" i="21"/>
  <c r="J933" i="21"/>
  <c r="J934" i="21"/>
  <c r="J935" i="21"/>
  <c r="J936" i="21"/>
  <c r="J937" i="21"/>
  <c r="J938" i="21"/>
  <c r="J939" i="21"/>
  <c r="J940" i="21"/>
  <c r="J941" i="21"/>
  <c r="J942" i="21"/>
  <c r="J943" i="21"/>
  <c r="J944" i="21"/>
  <c r="J945" i="21"/>
  <c r="J946" i="21"/>
  <c r="J947" i="21"/>
  <c r="J948" i="21"/>
  <c r="J949" i="21"/>
  <c r="J950" i="21"/>
  <c r="J951" i="21"/>
  <c r="J952" i="21"/>
  <c r="J953" i="21"/>
  <c r="J954" i="21"/>
  <c r="J955" i="21"/>
  <c r="J956" i="21"/>
  <c r="J957" i="21"/>
  <c r="J958" i="21"/>
  <c r="J959" i="21"/>
  <c r="J960" i="21"/>
  <c r="J961" i="21"/>
  <c r="J962" i="21"/>
  <c r="J963" i="21"/>
  <c r="J964" i="21"/>
  <c r="J965" i="21"/>
  <c r="J966" i="21"/>
  <c r="J967" i="21"/>
  <c r="J968" i="21"/>
  <c r="J969" i="21"/>
  <c r="J970" i="21"/>
  <c r="J971" i="21"/>
  <c r="J972" i="21"/>
  <c r="J973" i="21"/>
  <c r="J974" i="21"/>
  <c r="J975" i="21"/>
  <c r="J976" i="21"/>
  <c r="J977" i="21"/>
  <c r="J978" i="21"/>
  <c r="J979" i="21"/>
  <c r="J980" i="21"/>
  <c r="J981" i="21"/>
  <c r="J982" i="21"/>
  <c r="J983" i="21"/>
  <c r="J984" i="21"/>
  <c r="J985" i="21"/>
  <c r="J986" i="21"/>
  <c r="J987" i="21"/>
  <c r="J988" i="21"/>
  <c r="J989" i="21"/>
  <c r="J990" i="21"/>
  <c r="J991" i="21"/>
  <c r="J992" i="21"/>
  <c r="J993" i="21"/>
  <c r="J994" i="21"/>
  <c r="J995" i="21"/>
  <c r="J996" i="21"/>
  <c r="J997" i="21"/>
  <c r="J998" i="21"/>
  <c r="J999" i="21"/>
  <c r="J1000" i="21"/>
  <c r="J1001" i="21"/>
  <c r="J1002" i="21"/>
  <c r="J1003" i="21"/>
  <c r="J1004" i="21"/>
  <c r="J1005" i="21"/>
  <c r="J1006" i="21"/>
  <c r="J1007" i="21"/>
  <c r="J1008" i="21"/>
  <c r="J1009" i="21"/>
  <c r="J1010" i="21"/>
  <c r="J1011" i="21"/>
  <c r="J1012" i="21"/>
  <c r="J1013" i="21"/>
  <c r="J1014" i="21"/>
  <c r="J1015" i="21"/>
  <c r="J1016" i="21"/>
  <c r="J1017" i="21"/>
  <c r="J1018" i="21"/>
  <c r="J1019" i="21"/>
  <c r="J1020" i="21"/>
  <c r="J1021" i="21"/>
  <c r="J1022" i="21"/>
  <c r="J1023" i="21"/>
  <c r="J1024" i="21"/>
  <c r="J1025" i="21"/>
  <c r="J1026" i="21"/>
  <c r="J1027" i="21"/>
  <c r="J1028" i="21"/>
  <c r="J1029" i="21"/>
  <c r="J1030" i="21"/>
  <c r="J1031" i="21"/>
  <c r="J1032" i="21"/>
  <c r="J1033" i="21"/>
  <c r="J1034" i="21"/>
  <c r="J1035" i="21"/>
  <c r="J1036" i="21"/>
  <c r="J1037" i="21"/>
  <c r="J1038" i="21"/>
  <c r="J1039" i="21"/>
  <c r="J1040" i="21"/>
  <c r="J1041" i="21"/>
  <c r="J1042" i="21"/>
  <c r="J1043" i="21"/>
  <c r="J1044" i="21"/>
  <c r="J1045" i="21"/>
  <c r="J1046" i="21"/>
  <c r="J1047" i="21"/>
  <c r="J1048" i="21"/>
  <c r="J1049" i="21"/>
  <c r="J1050" i="21"/>
  <c r="J1051" i="21"/>
  <c r="J1052" i="21"/>
  <c r="J1053" i="21"/>
  <c r="J1054" i="21"/>
  <c r="J1055" i="21"/>
  <c r="J1056" i="21"/>
  <c r="J1057" i="21"/>
  <c r="J1058" i="21"/>
  <c r="J1059" i="21"/>
  <c r="J1060" i="21"/>
  <c r="J1061" i="21"/>
  <c r="J1062" i="21"/>
  <c r="J1063" i="21"/>
  <c r="J1064" i="21"/>
  <c r="J1065" i="21"/>
  <c r="J1066" i="21"/>
  <c r="J1067" i="21"/>
  <c r="J1068" i="21"/>
  <c r="J1069" i="21"/>
  <c r="J1070" i="21"/>
  <c r="J1071" i="21"/>
  <c r="J1072" i="21"/>
  <c r="J1073" i="21"/>
  <c r="J1074" i="21"/>
  <c r="J1075" i="21"/>
  <c r="J1076" i="21"/>
  <c r="J1077" i="21"/>
  <c r="J1078" i="21"/>
  <c r="J1079" i="21"/>
  <c r="J1080" i="21"/>
  <c r="J1081" i="21"/>
  <c r="J1082" i="21"/>
  <c r="J1083" i="21"/>
  <c r="J1084" i="21"/>
  <c r="J1085" i="21"/>
  <c r="J1086" i="21"/>
  <c r="J1087" i="21"/>
  <c r="J1088" i="21"/>
  <c r="J1089" i="21"/>
  <c r="J1090" i="21"/>
  <c r="J1091" i="21"/>
  <c r="J1092" i="21"/>
  <c r="J1093" i="21"/>
  <c r="J1094" i="21"/>
  <c r="J1095" i="21"/>
  <c r="J1096" i="21"/>
  <c r="J1097" i="21"/>
  <c r="J1098" i="21"/>
  <c r="J1099" i="21"/>
  <c r="J1100" i="21"/>
  <c r="J1101" i="21"/>
  <c r="J1102" i="21"/>
  <c r="J1103" i="21"/>
  <c r="J1104" i="21"/>
  <c r="J1105" i="21"/>
  <c r="J1106" i="21"/>
  <c r="J1107" i="21"/>
  <c r="J1108" i="21"/>
  <c r="J1109" i="21"/>
  <c r="J1110" i="21"/>
  <c r="J1111" i="21"/>
  <c r="J1112" i="21"/>
  <c r="J1113" i="21"/>
  <c r="J1114" i="21"/>
  <c r="J1115" i="21"/>
  <c r="J1116" i="21"/>
  <c r="J1117" i="21"/>
  <c r="J1118" i="21"/>
  <c r="J1119" i="21"/>
  <c r="J1120" i="21"/>
  <c r="J1121" i="21"/>
  <c r="J1122" i="21"/>
  <c r="J1123" i="21"/>
  <c r="J1124" i="21"/>
  <c r="J1125" i="21"/>
  <c r="J1126" i="21"/>
  <c r="J1127" i="21"/>
  <c r="J1128" i="21"/>
  <c r="J1129" i="21"/>
  <c r="J1130" i="21"/>
  <c r="J1131" i="21"/>
  <c r="J1132" i="21"/>
  <c r="J1133" i="21"/>
  <c r="J1134" i="21"/>
  <c r="J1135" i="21"/>
  <c r="J1136" i="21"/>
  <c r="J1137" i="21"/>
  <c r="J1138" i="21"/>
  <c r="J1139" i="21"/>
  <c r="J1140" i="21"/>
  <c r="J1141" i="21"/>
  <c r="J1142" i="21"/>
  <c r="J1143" i="21"/>
  <c r="J1144" i="21"/>
  <c r="J1145" i="21"/>
  <c r="J1146" i="21"/>
  <c r="J1147" i="21"/>
  <c r="J1148" i="21"/>
  <c r="J1149" i="21"/>
  <c r="J1150" i="21"/>
  <c r="J1151" i="21"/>
  <c r="J1152" i="21"/>
  <c r="J1153" i="21"/>
  <c r="J1154" i="21"/>
  <c r="J1155" i="21"/>
  <c r="J1156" i="21"/>
  <c r="J1157" i="21"/>
  <c r="J1158" i="21"/>
  <c r="J1159" i="21"/>
  <c r="J1160" i="21"/>
  <c r="J1161" i="21"/>
  <c r="J1162" i="21"/>
  <c r="J1163" i="21"/>
  <c r="J1164" i="21"/>
  <c r="J1165" i="21"/>
  <c r="J1166" i="21"/>
  <c r="J1167" i="21"/>
  <c r="J1168" i="21"/>
  <c r="J1169" i="21"/>
  <c r="J1170" i="21"/>
  <c r="J1171" i="21"/>
  <c r="J1172" i="21"/>
  <c r="J1173" i="21"/>
  <c r="J1174" i="21"/>
  <c r="J1175" i="21"/>
  <c r="J1176" i="21"/>
  <c r="J1177" i="21"/>
  <c r="J1178" i="21"/>
  <c r="J1179" i="21"/>
  <c r="J1180" i="21"/>
  <c r="J1181" i="21"/>
  <c r="J1182" i="21"/>
  <c r="J1183" i="21"/>
  <c r="J1184" i="21"/>
  <c r="J1185" i="21"/>
  <c r="J1186" i="21"/>
  <c r="J1187" i="21"/>
  <c r="J1188" i="21"/>
  <c r="J1189" i="21"/>
  <c r="J1190" i="21"/>
  <c r="J1191" i="21"/>
  <c r="J1192" i="21"/>
  <c r="J1193" i="21"/>
  <c r="J1194" i="21"/>
  <c r="J1195" i="21"/>
  <c r="J1196" i="21"/>
  <c r="J1197" i="21"/>
  <c r="J1198" i="21"/>
  <c r="J1199" i="21"/>
  <c r="J1200" i="21"/>
  <c r="J1201" i="21"/>
  <c r="J1202" i="21"/>
  <c r="J1203" i="21"/>
  <c r="J1204" i="21"/>
  <c r="J1205" i="21"/>
  <c r="J1206" i="21"/>
  <c r="J1207" i="21"/>
  <c r="J1208" i="21"/>
  <c r="J1209" i="21"/>
  <c r="J1210" i="21"/>
  <c r="J1211" i="21"/>
  <c r="J1212" i="21"/>
  <c r="J1213" i="21"/>
  <c r="J1214" i="21"/>
  <c r="J1215" i="21"/>
  <c r="J1216" i="21"/>
  <c r="J1217" i="21"/>
  <c r="J1218" i="21"/>
  <c r="J1219" i="21"/>
  <c r="J1220" i="21"/>
  <c r="J1221" i="21"/>
  <c r="J1222" i="21"/>
  <c r="J1223" i="21"/>
  <c r="J1224" i="21"/>
  <c r="J1225" i="21"/>
  <c r="J1226" i="21"/>
  <c r="J1227" i="21"/>
  <c r="J1228" i="21"/>
  <c r="J1229" i="21"/>
  <c r="J1230" i="21"/>
  <c r="J1231" i="21"/>
  <c r="J1232" i="21"/>
  <c r="J1233" i="21"/>
  <c r="J1234" i="21"/>
  <c r="J1235" i="21"/>
  <c r="J1236" i="21"/>
  <c r="J1237" i="21"/>
  <c r="J1238" i="21"/>
  <c r="J1239" i="21"/>
  <c r="J1240" i="21"/>
  <c r="J1241" i="21"/>
  <c r="J1242" i="21"/>
  <c r="J1243" i="21"/>
  <c r="J1244" i="21"/>
  <c r="J1245" i="21"/>
  <c r="J1246" i="21"/>
  <c r="J1247" i="21"/>
  <c r="J1248" i="21"/>
  <c r="J1249" i="21"/>
  <c r="J1250" i="21"/>
  <c r="J1251" i="21"/>
  <c r="J1252" i="21"/>
  <c r="J1253" i="21"/>
  <c r="J1254" i="21"/>
  <c r="J1255" i="21"/>
  <c r="J1256" i="21"/>
  <c r="J1257" i="21"/>
  <c r="J1258" i="21"/>
  <c r="J1259" i="21"/>
  <c r="J1260" i="21"/>
  <c r="J1261" i="21"/>
  <c r="J1262" i="21"/>
  <c r="J1263" i="21"/>
  <c r="J1264" i="21"/>
  <c r="J1265" i="21"/>
  <c r="J1266" i="21"/>
  <c r="J1267" i="21"/>
  <c r="J1268" i="21"/>
  <c r="J1269" i="21"/>
  <c r="J1270" i="21"/>
  <c r="J1271" i="21"/>
  <c r="J1272" i="21"/>
  <c r="J1273" i="21"/>
  <c r="J1274" i="21"/>
  <c r="J1275" i="21"/>
  <c r="J1276" i="21"/>
  <c r="J1277" i="21"/>
  <c r="J1278" i="21"/>
  <c r="J1279" i="21"/>
  <c r="J1280" i="21"/>
  <c r="J1281" i="21"/>
  <c r="J1282" i="21"/>
  <c r="J1283" i="21"/>
  <c r="J1284" i="21"/>
  <c r="J1285" i="21"/>
  <c r="J1286" i="21"/>
  <c r="J1287" i="21"/>
  <c r="J1288" i="21"/>
  <c r="J1289" i="21"/>
  <c r="J1290" i="21"/>
  <c r="J1291" i="21"/>
  <c r="J1292" i="21"/>
  <c r="J1293" i="21"/>
  <c r="J1294" i="21"/>
  <c r="J1295" i="21"/>
  <c r="J1296" i="21"/>
  <c r="J1297" i="21"/>
  <c r="J1298" i="21"/>
  <c r="J1299" i="21"/>
  <c r="J1300" i="21"/>
  <c r="J1301" i="21"/>
  <c r="J1302" i="21"/>
  <c r="J1303" i="21"/>
  <c r="J1304" i="21"/>
  <c r="J1305" i="21"/>
  <c r="J1306" i="21"/>
  <c r="J1307" i="21"/>
  <c r="J1308" i="21"/>
  <c r="J1309" i="21"/>
  <c r="J1310" i="21"/>
  <c r="J1311" i="21"/>
  <c r="J1312" i="21"/>
  <c r="J1313" i="21"/>
  <c r="J1314" i="21"/>
  <c r="J1315" i="21"/>
  <c r="J1316" i="21"/>
  <c r="J1317" i="21"/>
  <c r="J1318" i="21"/>
  <c r="J1319" i="21"/>
  <c r="J1320" i="21"/>
  <c r="J1321" i="21"/>
  <c r="J1322" i="21"/>
  <c r="J1323" i="21"/>
  <c r="J1324" i="21"/>
  <c r="J1325" i="21"/>
  <c r="J1326" i="21"/>
  <c r="J1327" i="21"/>
  <c r="J1328" i="21"/>
  <c r="J1329" i="21"/>
  <c r="J1330" i="21"/>
  <c r="J1331" i="21"/>
  <c r="J1332" i="21"/>
  <c r="J1333" i="21"/>
  <c r="J1334" i="21"/>
  <c r="J1335" i="21"/>
  <c r="J1336" i="21"/>
  <c r="J1337" i="21"/>
  <c r="J1338" i="21"/>
  <c r="J1339" i="21"/>
  <c r="J1340" i="21"/>
  <c r="J1341" i="21"/>
  <c r="J1342" i="21"/>
  <c r="J1343" i="21"/>
  <c r="J1344" i="21"/>
  <c r="J1345" i="21"/>
  <c r="J1346" i="21"/>
  <c r="J1347" i="21"/>
  <c r="J1348" i="21"/>
  <c r="J1349" i="21"/>
  <c r="J1350" i="21"/>
  <c r="J1351" i="21"/>
  <c r="J1352" i="21"/>
  <c r="J1353" i="21"/>
  <c r="J1354" i="21"/>
  <c r="J1355" i="21"/>
  <c r="J1356" i="21"/>
  <c r="J1357" i="21"/>
  <c r="J1358" i="21"/>
  <c r="J1359" i="21"/>
  <c r="J1360" i="21"/>
  <c r="J1361" i="21"/>
  <c r="J1362" i="21"/>
  <c r="J1363" i="21"/>
  <c r="J1364" i="21"/>
  <c r="J1365" i="21"/>
  <c r="J1366" i="21"/>
  <c r="J1367" i="21"/>
  <c r="J1368" i="21"/>
  <c r="J1369" i="21"/>
  <c r="J1370" i="21"/>
  <c r="J1371" i="21"/>
  <c r="J1372" i="21"/>
  <c r="J1373" i="21"/>
  <c r="J1374" i="21"/>
  <c r="J1375" i="21"/>
  <c r="J1376" i="21"/>
  <c r="J1377" i="21"/>
  <c r="J1378" i="21"/>
  <c r="J1379" i="21"/>
  <c r="J1380" i="21"/>
  <c r="J1381" i="21"/>
  <c r="J1382" i="21"/>
  <c r="J1383" i="21"/>
  <c r="J1384" i="21"/>
  <c r="J1385" i="21"/>
  <c r="J1386" i="21"/>
  <c r="J1387" i="21"/>
  <c r="J1388" i="21"/>
  <c r="J1389" i="21"/>
  <c r="J1390" i="21"/>
  <c r="J1391" i="21"/>
  <c r="J1392" i="21"/>
  <c r="J1393" i="21"/>
  <c r="J1394" i="21"/>
  <c r="J1395" i="21"/>
  <c r="J1396" i="21"/>
  <c r="J1397" i="21"/>
  <c r="J1398" i="21"/>
  <c r="J1399" i="21"/>
  <c r="J1400" i="21"/>
  <c r="J1401" i="21"/>
  <c r="J1402" i="21"/>
  <c r="J1403" i="21"/>
  <c r="J1404" i="21"/>
  <c r="J1405" i="21"/>
  <c r="J1406" i="21"/>
  <c r="J1407" i="21"/>
  <c r="J1408" i="21"/>
  <c r="J1409" i="21"/>
  <c r="J1410" i="21"/>
  <c r="J1411" i="21"/>
  <c r="J1412" i="21"/>
  <c r="J1413" i="21"/>
  <c r="J1414" i="21"/>
  <c r="J1415" i="21"/>
  <c r="J1416" i="21"/>
  <c r="J1417" i="21"/>
  <c r="J1418" i="21"/>
  <c r="J1419" i="21"/>
  <c r="J1420" i="21"/>
  <c r="J1421" i="21"/>
  <c r="J1422" i="21"/>
  <c r="J1423" i="21"/>
  <c r="J1424" i="21"/>
  <c r="J1425" i="21"/>
  <c r="J1426" i="21"/>
  <c r="J1427" i="21"/>
  <c r="J1428" i="21"/>
  <c r="J1429" i="21"/>
  <c r="J1430" i="21"/>
  <c r="J1431" i="21"/>
  <c r="J1432" i="21"/>
  <c r="J1433" i="21"/>
  <c r="J1434" i="21"/>
  <c r="J1435" i="21"/>
  <c r="J1436" i="21"/>
  <c r="J1437" i="21"/>
  <c r="J1438" i="21"/>
  <c r="J1439" i="21"/>
  <c r="J1440" i="21"/>
  <c r="J1441" i="21"/>
  <c r="J1442" i="21"/>
  <c r="J1443" i="21"/>
  <c r="J1444" i="21"/>
  <c r="J1445" i="21"/>
  <c r="J1446" i="21"/>
  <c r="J1447" i="21"/>
  <c r="J1448" i="21"/>
  <c r="J1449" i="21"/>
  <c r="J1450" i="21"/>
  <c r="J1451" i="21"/>
  <c r="J1452" i="21"/>
  <c r="J1453" i="21"/>
  <c r="J1454" i="21"/>
  <c r="J1455" i="21"/>
  <c r="J1456" i="21"/>
  <c r="J1457" i="21"/>
  <c r="J1458" i="21"/>
  <c r="J1459" i="21"/>
  <c r="J1460" i="21"/>
  <c r="J1461" i="21"/>
  <c r="J1462" i="21"/>
  <c r="J1463" i="21"/>
  <c r="J1464" i="21"/>
  <c r="J1465" i="21"/>
  <c r="J1466" i="21"/>
  <c r="J1467" i="21"/>
  <c r="J1468" i="21"/>
  <c r="J1469" i="21"/>
  <c r="J1470" i="21"/>
  <c r="J1471" i="21"/>
  <c r="J1472" i="21"/>
  <c r="J1473" i="21"/>
  <c r="J1474" i="21"/>
  <c r="J1475" i="21"/>
  <c r="J1476" i="21"/>
  <c r="J1477" i="21"/>
  <c r="J1478" i="21"/>
  <c r="J1479" i="21"/>
  <c r="J1480" i="21"/>
  <c r="J1481" i="21"/>
  <c r="J1482" i="21"/>
  <c r="J1483" i="21"/>
  <c r="J1484" i="21"/>
  <c r="J1485" i="21"/>
  <c r="J1486" i="21"/>
  <c r="J1487" i="21"/>
  <c r="J1488" i="21"/>
  <c r="J1489" i="21"/>
  <c r="J1490" i="21"/>
  <c r="J1491" i="21"/>
  <c r="J1492" i="21"/>
  <c r="J1493" i="21"/>
  <c r="J1494" i="21"/>
  <c r="J1495" i="21"/>
  <c r="J1496" i="21"/>
  <c r="J1497" i="21"/>
  <c r="J1498" i="21"/>
  <c r="J1499" i="21"/>
  <c r="J1500" i="21"/>
  <c r="J1501" i="21"/>
  <c r="J1502" i="21"/>
  <c r="J1503" i="21"/>
  <c r="J1504" i="21"/>
  <c r="J1505" i="21"/>
  <c r="J1506" i="21"/>
  <c r="J1507" i="21"/>
  <c r="J1508" i="21"/>
  <c r="J1509" i="21"/>
  <c r="J1510" i="21"/>
  <c r="J1511" i="21"/>
  <c r="J1512" i="21"/>
  <c r="J1513" i="21"/>
  <c r="J1514" i="21"/>
  <c r="J1515" i="21"/>
  <c r="J1516" i="21"/>
  <c r="J1517" i="21"/>
  <c r="J1518" i="21"/>
  <c r="J1519" i="21"/>
  <c r="J1520" i="21"/>
  <c r="J1521" i="21"/>
  <c r="J1522" i="21"/>
  <c r="J1523" i="21"/>
  <c r="J1524" i="21"/>
  <c r="J1525" i="21"/>
  <c r="J1526" i="21"/>
  <c r="J1527" i="21"/>
  <c r="J1528" i="21"/>
  <c r="J1529" i="21"/>
  <c r="J1530" i="21"/>
  <c r="J1531" i="21"/>
  <c r="J1532" i="21"/>
  <c r="J1533" i="21"/>
  <c r="J1534" i="21"/>
  <c r="J1535" i="21"/>
  <c r="J1536" i="21"/>
  <c r="J1537" i="21"/>
  <c r="J1538" i="21"/>
  <c r="J1539" i="21"/>
  <c r="J1540" i="21"/>
  <c r="J1541" i="21"/>
  <c r="J1542" i="21"/>
  <c r="J1543" i="21"/>
  <c r="J1544" i="21"/>
  <c r="J1545" i="21"/>
  <c r="J1546" i="21"/>
  <c r="J1547" i="21"/>
  <c r="J1548" i="21"/>
  <c r="J1549" i="21"/>
  <c r="J1550" i="21"/>
  <c r="J1551" i="21"/>
  <c r="J1552" i="21"/>
  <c r="J1553" i="21"/>
  <c r="J1554" i="21"/>
  <c r="J1555" i="21"/>
  <c r="J1556" i="21"/>
  <c r="J1557" i="21"/>
  <c r="J1558" i="21"/>
  <c r="J1559" i="21"/>
  <c r="J1560" i="21"/>
  <c r="J1561" i="21"/>
  <c r="J1562" i="21"/>
  <c r="J1563" i="21"/>
  <c r="J1564" i="21"/>
  <c r="J1565" i="21"/>
  <c r="J1566" i="21"/>
  <c r="J1567" i="21"/>
  <c r="J1568" i="21"/>
  <c r="J1569" i="21"/>
  <c r="J1570" i="21"/>
  <c r="J1571" i="21"/>
  <c r="J1572" i="21"/>
  <c r="J1573" i="21"/>
  <c r="J1574" i="21"/>
  <c r="J1575" i="21"/>
  <c r="J1576" i="21"/>
  <c r="J1577" i="21"/>
  <c r="J1578" i="21"/>
  <c r="J1579" i="21"/>
  <c r="J1580" i="21"/>
  <c r="J1581" i="21"/>
  <c r="J1582" i="21"/>
  <c r="J1583" i="21"/>
  <c r="J1584" i="21"/>
  <c r="J1585" i="21"/>
  <c r="J1586" i="21"/>
  <c r="J1587" i="21"/>
  <c r="J1588" i="21"/>
  <c r="J1589" i="21"/>
  <c r="J1590" i="21"/>
  <c r="J1591" i="21"/>
  <c r="J1592" i="21"/>
  <c r="J1593" i="21"/>
  <c r="J1594" i="21"/>
  <c r="J1595" i="21"/>
  <c r="J1596" i="21"/>
  <c r="J1597" i="21"/>
  <c r="J1598" i="21"/>
  <c r="J1599" i="21"/>
  <c r="J1600" i="21"/>
  <c r="J1601" i="21"/>
  <c r="J1602" i="21"/>
  <c r="J1603" i="21"/>
  <c r="J1604" i="21"/>
  <c r="J1605" i="21"/>
  <c r="J1606" i="21"/>
  <c r="J1607" i="21"/>
  <c r="J1608" i="21"/>
  <c r="J1609" i="21"/>
  <c r="J1610" i="21"/>
  <c r="J1611" i="21"/>
  <c r="J1612" i="21"/>
  <c r="J1613" i="21"/>
  <c r="J1614" i="21"/>
  <c r="J1615" i="21"/>
  <c r="J1616" i="21"/>
  <c r="J1617" i="21"/>
  <c r="J1618" i="21"/>
  <c r="J1619" i="21"/>
  <c r="J1620" i="21"/>
  <c r="J1621" i="21"/>
  <c r="J1622" i="21"/>
  <c r="J1623" i="21"/>
  <c r="J1624" i="21"/>
  <c r="J1625" i="21"/>
  <c r="J1626" i="21"/>
  <c r="J1627" i="21"/>
  <c r="J1628" i="21"/>
  <c r="J1629" i="21"/>
  <c r="J1630" i="21"/>
  <c r="J1631" i="21"/>
  <c r="J1632" i="21"/>
  <c r="J1633" i="21"/>
  <c r="J1634" i="21"/>
  <c r="J1635" i="21"/>
  <c r="J1636" i="21"/>
  <c r="J1637" i="21"/>
  <c r="J1638" i="21"/>
  <c r="J1639" i="21"/>
  <c r="J1640" i="21"/>
  <c r="J1641" i="21"/>
  <c r="J1642" i="21"/>
  <c r="J1643" i="21"/>
  <c r="J1644" i="21"/>
  <c r="J1645" i="21"/>
  <c r="J1646" i="21"/>
  <c r="J1647" i="21"/>
  <c r="J1648" i="21"/>
  <c r="J1649" i="21"/>
  <c r="J1650" i="21"/>
  <c r="J1651" i="21"/>
  <c r="J1652" i="21"/>
  <c r="J1653" i="21"/>
  <c r="J1654" i="21"/>
  <c r="J1655" i="21"/>
  <c r="J1656" i="21"/>
  <c r="J1657" i="21"/>
  <c r="J1658" i="21"/>
  <c r="J1659" i="21"/>
  <c r="J1660" i="21"/>
  <c r="J1661" i="21"/>
  <c r="J1662" i="21"/>
  <c r="J1663" i="21"/>
  <c r="J1664" i="21"/>
  <c r="J1665" i="21"/>
  <c r="J1666" i="21"/>
  <c r="J1667" i="21"/>
  <c r="J1668" i="21"/>
  <c r="J1669" i="21"/>
  <c r="J1670" i="21"/>
  <c r="J1671" i="21"/>
  <c r="J1672" i="21"/>
  <c r="J1673" i="21"/>
  <c r="J1674" i="21"/>
  <c r="J1675" i="21"/>
  <c r="J1676" i="21"/>
  <c r="J1677" i="21"/>
  <c r="J1678" i="21"/>
  <c r="J1679" i="21"/>
  <c r="J1680" i="21"/>
  <c r="J1681" i="21"/>
  <c r="J1682" i="21"/>
  <c r="J1683" i="21"/>
  <c r="J1684" i="21"/>
  <c r="J1685" i="21"/>
  <c r="J1686" i="21"/>
  <c r="J1687" i="21"/>
  <c r="J1688" i="21"/>
  <c r="J1689" i="21"/>
  <c r="J1690" i="21"/>
  <c r="J1691" i="21"/>
  <c r="J1692" i="21"/>
  <c r="J1693" i="21"/>
  <c r="J1694" i="21"/>
  <c r="J1695" i="21"/>
  <c r="J1696" i="21"/>
  <c r="J1697" i="21"/>
  <c r="J1698" i="21"/>
  <c r="J1699" i="21"/>
  <c r="J1700" i="21"/>
  <c r="J1701" i="21"/>
  <c r="J1702" i="21"/>
  <c r="J1703" i="21"/>
  <c r="J1704" i="21"/>
  <c r="J1705" i="21"/>
  <c r="J1706" i="21"/>
  <c r="J1707" i="21"/>
  <c r="J1708" i="21"/>
  <c r="J1709" i="21"/>
  <c r="J1710" i="21"/>
  <c r="J1711" i="21"/>
  <c r="J1712" i="21"/>
  <c r="J1713" i="21"/>
  <c r="J1714" i="21"/>
  <c r="J1715" i="21"/>
  <c r="J1716" i="21"/>
  <c r="J1717" i="21"/>
  <c r="J1718" i="21"/>
  <c r="J1719" i="21"/>
  <c r="J1720" i="21"/>
  <c r="J1721" i="21"/>
  <c r="J1722" i="21"/>
  <c r="J1723" i="21"/>
  <c r="J1724" i="21"/>
  <c r="J1725" i="21"/>
  <c r="J1726" i="21"/>
  <c r="J1727" i="21"/>
  <c r="J1728" i="21"/>
  <c r="J1729" i="21"/>
  <c r="J1730" i="21"/>
  <c r="J1731" i="21"/>
  <c r="J1732" i="21"/>
  <c r="J1733" i="21"/>
  <c r="J1734" i="21"/>
  <c r="J1735" i="21"/>
  <c r="J1736" i="21"/>
  <c r="J1737" i="21"/>
  <c r="J1738" i="21"/>
  <c r="J1739" i="21"/>
  <c r="J1740" i="21"/>
  <c r="J1741" i="21"/>
  <c r="J1742" i="21"/>
  <c r="J1743" i="21"/>
  <c r="J1744" i="21"/>
  <c r="J1745" i="21"/>
  <c r="J1746" i="21"/>
  <c r="J1747" i="21"/>
  <c r="J1748" i="21"/>
  <c r="J1749" i="21"/>
  <c r="J1750" i="21"/>
  <c r="J1751" i="21"/>
  <c r="J1752" i="21"/>
  <c r="J1753" i="21"/>
  <c r="J1754" i="21"/>
  <c r="J1755" i="21"/>
  <c r="J1756" i="21"/>
  <c r="J1757" i="21"/>
  <c r="J1758" i="21"/>
  <c r="J1759" i="21"/>
  <c r="J1760" i="21"/>
  <c r="J1761" i="21"/>
  <c r="J1762" i="21"/>
  <c r="J1763" i="21"/>
  <c r="J1764" i="21"/>
  <c r="J1765" i="21"/>
  <c r="J1766" i="21"/>
  <c r="J1767" i="21"/>
  <c r="J1768" i="21"/>
  <c r="J1769" i="21"/>
  <c r="J1770" i="21"/>
  <c r="J1771" i="21"/>
  <c r="J1772" i="21"/>
  <c r="J1773" i="21"/>
  <c r="J1774" i="21"/>
  <c r="J1775" i="21"/>
  <c r="J1776" i="21"/>
  <c r="J1777" i="21"/>
  <c r="J1778" i="21"/>
  <c r="J1779" i="21"/>
  <c r="J1780" i="21"/>
  <c r="J1781" i="21"/>
  <c r="J1782" i="21"/>
  <c r="J1783" i="21"/>
  <c r="J1784" i="21"/>
  <c r="J1785" i="21"/>
  <c r="J1786" i="21"/>
  <c r="J1787" i="21"/>
  <c r="J1788" i="21"/>
  <c r="J1789" i="21"/>
  <c r="J1790" i="21"/>
  <c r="J1791" i="21"/>
  <c r="J1792" i="21"/>
  <c r="J1793" i="21"/>
  <c r="J1794" i="21"/>
  <c r="J1795" i="21"/>
  <c r="J1796" i="21"/>
  <c r="J1797" i="21"/>
  <c r="J1798" i="21"/>
  <c r="J1799" i="21"/>
  <c r="J1800" i="21"/>
  <c r="J1801" i="21"/>
  <c r="J1802" i="21"/>
  <c r="J1803" i="21"/>
  <c r="J1804" i="21"/>
  <c r="J1805" i="21"/>
  <c r="J1806" i="21"/>
  <c r="J1807" i="21"/>
  <c r="J1808" i="21"/>
  <c r="J1809" i="21"/>
  <c r="J1810" i="21"/>
  <c r="J1811" i="21"/>
  <c r="J1812" i="21"/>
  <c r="J1813" i="21"/>
  <c r="J1814" i="21"/>
  <c r="J1815" i="21"/>
  <c r="J1816" i="21"/>
  <c r="J1817" i="21"/>
  <c r="J1818" i="21"/>
  <c r="J1819" i="21"/>
  <c r="J1820" i="21"/>
  <c r="J1821" i="21"/>
  <c r="J1822" i="21"/>
  <c r="J1823" i="21"/>
  <c r="J1824" i="21"/>
  <c r="J1825" i="21"/>
  <c r="J1826" i="21"/>
  <c r="J1827" i="21"/>
  <c r="J1828" i="21"/>
  <c r="J1829" i="21"/>
  <c r="J1830" i="21"/>
  <c r="J1831" i="21"/>
  <c r="J1832" i="21"/>
  <c r="J1833" i="21"/>
  <c r="J1834" i="21"/>
  <c r="J1835" i="21"/>
  <c r="J1836" i="21"/>
  <c r="J1837" i="21"/>
  <c r="J1838" i="21"/>
  <c r="J1839" i="21"/>
  <c r="J1840" i="21"/>
  <c r="J1841" i="21"/>
  <c r="J1842" i="21"/>
  <c r="J1843" i="21"/>
  <c r="J1844" i="21"/>
  <c r="J1845" i="21"/>
  <c r="J1846" i="21"/>
  <c r="J1847" i="21"/>
  <c r="J1848" i="21"/>
  <c r="J1849" i="21"/>
  <c r="J1850" i="21"/>
  <c r="J1851" i="21"/>
  <c r="J1852" i="21"/>
  <c r="J1853" i="21"/>
  <c r="J1854" i="21"/>
  <c r="J1855" i="21"/>
  <c r="J1856" i="21"/>
  <c r="J1857" i="21"/>
  <c r="J1858" i="21"/>
  <c r="J1859" i="21"/>
  <c r="J1860" i="21"/>
  <c r="J1861" i="21"/>
  <c r="J1862" i="21"/>
  <c r="J1863" i="21"/>
  <c r="J1864" i="21"/>
  <c r="J1865" i="21"/>
  <c r="J1866" i="21"/>
  <c r="J1867" i="21"/>
  <c r="J1868" i="21"/>
  <c r="J1869" i="21"/>
  <c r="J1870" i="21"/>
  <c r="J1871" i="21"/>
  <c r="J1872" i="21"/>
  <c r="J1873" i="21"/>
  <c r="J1874" i="21"/>
  <c r="J1875" i="21"/>
  <c r="J1876" i="21"/>
  <c r="J1877" i="21"/>
  <c r="J1878" i="21"/>
  <c r="J1879" i="21"/>
  <c r="J1880" i="21"/>
  <c r="J1881" i="21"/>
  <c r="J1882" i="21"/>
  <c r="J1883" i="21"/>
  <c r="J1884" i="21"/>
  <c r="J1885" i="21"/>
  <c r="J1886" i="21"/>
  <c r="J1887" i="21"/>
  <c r="J1888" i="21"/>
  <c r="J1889" i="21"/>
  <c r="J1890" i="21"/>
  <c r="J1891" i="21"/>
  <c r="J1892" i="21"/>
  <c r="J1893" i="21"/>
  <c r="J1894" i="21"/>
  <c r="J1895" i="21"/>
  <c r="J1896" i="21"/>
  <c r="J1897" i="21"/>
  <c r="J1898" i="21"/>
  <c r="J1899" i="21"/>
  <c r="J1900" i="21"/>
  <c r="J1901" i="21"/>
  <c r="J1902" i="21"/>
  <c r="J1903" i="21"/>
  <c r="J1904" i="21"/>
  <c r="J1905" i="21"/>
  <c r="J1906" i="21"/>
  <c r="J1907" i="21"/>
  <c r="J1908" i="21"/>
  <c r="J1909" i="21"/>
  <c r="J1910" i="21"/>
  <c r="J1911" i="21"/>
  <c r="J1912" i="21"/>
  <c r="J1913" i="21"/>
  <c r="J1914" i="21"/>
  <c r="J1915" i="21"/>
  <c r="J1916" i="21"/>
  <c r="J1917" i="21"/>
  <c r="J1918" i="21"/>
  <c r="J1919" i="21"/>
  <c r="J1920" i="21"/>
  <c r="J1921" i="21"/>
  <c r="J1922" i="21"/>
  <c r="J1923" i="21"/>
  <c r="J1924" i="21"/>
  <c r="J1925" i="21"/>
  <c r="J1926" i="21"/>
  <c r="J1927" i="21"/>
  <c r="J1928" i="21"/>
  <c r="J1929" i="21"/>
  <c r="J1930" i="21"/>
  <c r="J1931" i="21"/>
  <c r="J1932" i="21"/>
  <c r="J1933" i="21"/>
  <c r="J1934" i="21"/>
  <c r="J1935" i="21"/>
  <c r="J1936" i="21"/>
  <c r="J1937" i="21"/>
  <c r="J1938" i="21"/>
  <c r="J1939" i="21"/>
  <c r="J1940" i="21"/>
  <c r="J1941" i="21"/>
  <c r="J1942" i="21"/>
  <c r="J1943" i="21"/>
  <c r="J1944" i="21"/>
  <c r="J1945" i="21"/>
  <c r="J1946" i="21"/>
  <c r="J1947" i="21"/>
  <c r="J1948" i="21"/>
  <c r="J1949" i="21"/>
  <c r="J1950" i="21"/>
  <c r="J1951" i="21"/>
  <c r="J1952" i="21"/>
  <c r="J1953" i="21"/>
  <c r="J1954" i="21"/>
  <c r="J1955" i="21"/>
  <c r="J1956" i="21"/>
  <c r="J1957" i="21"/>
  <c r="J1958" i="21"/>
  <c r="J1959" i="21"/>
  <c r="J1960" i="21"/>
  <c r="J1961" i="21"/>
  <c r="J1962" i="21"/>
  <c r="J1963" i="21"/>
  <c r="J1964" i="21"/>
  <c r="J1965" i="21"/>
  <c r="J1966" i="21"/>
  <c r="J1967" i="21"/>
  <c r="J1968" i="21"/>
  <c r="J1969" i="21"/>
  <c r="J1970" i="21"/>
  <c r="J1971" i="21"/>
  <c r="J1972" i="21"/>
  <c r="J1973" i="21"/>
  <c r="J1974" i="21"/>
  <c r="J1975" i="21"/>
  <c r="J1976" i="21"/>
  <c r="J1977" i="21"/>
  <c r="J1978" i="21"/>
  <c r="J1979" i="21"/>
  <c r="J1980" i="21"/>
  <c r="J1981" i="21"/>
  <c r="J1982" i="21"/>
  <c r="J1983" i="21"/>
  <c r="J1984"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3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384" i="21"/>
  <c r="I385" i="21"/>
  <c r="I386" i="21"/>
  <c r="I387" i="21"/>
  <c r="I388" i="21"/>
  <c r="I389" i="21"/>
  <c r="I390" i="21"/>
  <c r="I391" i="21"/>
  <c r="I392" i="21"/>
  <c r="I393" i="21"/>
  <c r="I394" i="21"/>
  <c r="I395" i="21"/>
  <c r="I396" i="21"/>
  <c r="I397" i="21"/>
  <c r="I398" i="21"/>
  <c r="I399" i="21"/>
  <c r="I400" i="21"/>
  <c r="I401" i="21"/>
  <c r="I402" i="21"/>
  <c r="I403" i="21"/>
  <c r="I404" i="21"/>
  <c r="I405" i="21"/>
  <c r="I406" i="21"/>
  <c r="I407" i="21"/>
  <c r="I408" i="21"/>
  <c r="I409" i="21"/>
  <c r="I410" i="21"/>
  <c r="I411" i="21"/>
  <c r="I412" i="21"/>
  <c r="I413" i="21"/>
  <c r="I414" i="21"/>
  <c r="I415" i="21"/>
  <c r="I416" i="21"/>
  <c r="I417" i="21"/>
  <c r="I418" i="21"/>
  <c r="I419" i="21"/>
  <c r="I420" i="21"/>
  <c r="I421" i="21"/>
  <c r="I422" i="21"/>
  <c r="I423" i="21"/>
  <c r="I424" i="21"/>
  <c r="I425" i="21"/>
  <c r="I426" i="21"/>
  <c r="I427" i="21"/>
  <c r="I428" i="21"/>
  <c r="I429" i="21"/>
  <c r="I430" i="21"/>
  <c r="I431" i="21"/>
  <c r="I432" i="21"/>
  <c r="I433" i="21"/>
  <c r="I434" i="21"/>
  <c r="I435" i="21"/>
  <c r="I436" i="21"/>
  <c r="I437" i="21"/>
  <c r="I438" i="21"/>
  <c r="I439" i="21"/>
  <c r="I440" i="21"/>
  <c r="I441" i="21"/>
  <c r="I442" i="21"/>
  <c r="I443" i="21"/>
  <c r="I444" i="21"/>
  <c r="I445" i="21"/>
  <c r="I446" i="21"/>
  <c r="I447" i="21"/>
  <c r="I448" i="21"/>
  <c r="I449" i="21"/>
  <c r="I450" i="21"/>
  <c r="I451" i="21"/>
  <c r="I452" i="21"/>
  <c r="I453" i="21"/>
  <c r="I454" i="21"/>
  <c r="I455" i="21"/>
  <c r="I456" i="21"/>
  <c r="I457" i="21"/>
  <c r="I458" i="21"/>
  <c r="I459" i="21"/>
  <c r="I460" i="21"/>
  <c r="I461" i="21"/>
  <c r="I462" i="21"/>
  <c r="I463" i="21"/>
  <c r="I464" i="21"/>
  <c r="I465" i="21"/>
  <c r="I466" i="21"/>
  <c r="I467" i="21"/>
  <c r="I468" i="21"/>
  <c r="I469" i="21"/>
  <c r="I470" i="21"/>
  <c r="I471" i="21"/>
  <c r="I472" i="21"/>
  <c r="I473" i="21"/>
  <c r="I474" i="21"/>
  <c r="I475" i="21"/>
  <c r="I476" i="21"/>
  <c r="I477" i="21"/>
  <c r="I478" i="21"/>
  <c r="I479" i="21"/>
  <c r="I480" i="21"/>
  <c r="I481" i="21"/>
  <c r="I482" i="21"/>
  <c r="I483" i="21"/>
  <c r="I484" i="21"/>
  <c r="I485" i="21"/>
  <c r="I486" i="21"/>
  <c r="I487" i="21"/>
  <c r="I488" i="21"/>
  <c r="I489" i="21"/>
  <c r="I490" i="21"/>
  <c r="I491" i="21"/>
  <c r="I492" i="21"/>
  <c r="I493" i="21"/>
  <c r="I494" i="21"/>
  <c r="I495" i="21"/>
  <c r="I496" i="21"/>
  <c r="I497" i="21"/>
  <c r="I498" i="21"/>
  <c r="I499" i="21"/>
  <c r="I500" i="21"/>
  <c r="I501" i="21"/>
  <c r="I502" i="21"/>
  <c r="I503" i="21"/>
  <c r="I504" i="21"/>
  <c r="I505" i="21"/>
  <c r="I506" i="21"/>
  <c r="I507" i="21"/>
  <c r="I508" i="21"/>
  <c r="I509" i="21"/>
  <c r="I510" i="21"/>
  <c r="I511" i="21"/>
  <c r="I512" i="21"/>
  <c r="I513" i="21"/>
  <c r="I514" i="21"/>
  <c r="I515" i="21"/>
  <c r="I516" i="21"/>
  <c r="I517" i="21"/>
  <c r="I518" i="21"/>
  <c r="I519" i="21"/>
  <c r="I520" i="21"/>
  <c r="I521" i="21"/>
  <c r="I522" i="21"/>
  <c r="I523" i="21"/>
  <c r="I524" i="21"/>
  <c r="I525" i="21"/>
  <c r="I526" i="21"/>
  <c r="I527" i="21"/>
  <c r="I528" i="21"/>
  <c r="I529" i="21"/>
  <c r="I530" i="21"/>
  <c r="I531" i="21"/>
  <c r="I532" i="21"/>
  <c r="I533" i="21"/>
  <c r="I534" i="21"/>
  <c r="I535" i="21"/>
  <c r="I536" i="21"/>
  <c r="I537" i="21"/>
  <c r="I538" i="21"/>
  <c r="I539" i="21"/>
  <c r="I540" i="21"/>
  <c r="I541" i="21"/>
  <c r="I542" i="21"/>
  <c r="I543" i="21"/>
  <c r="I544" i="21"/>
  <c r="I545" i="21"/>
  <c r="I546" i="21"/>
  <c r="I547" i="21"/>
  <c r="I548" i="21"/>
  <c r="I549" i="21"/>
  <c r="I550" i="21"/>
  <c r="I551" i="21"/>
  <c r="I552" i="21"/>
  <c r="I553" i="21"/>
  <c r="I554" i="21"/>
  <c r="I555" i="21"/>
  <c r="I556" i="21"/>
  <c r="I557" i="21"/>
  <c r="I558" i="21"/>
  <c r="I559" i="21"/>
  <c r="I560" i="21"/>
  <c r="I561" i="21"/>
  <c r="I562" i="21"/>
  <c r="I563" i="21"/>
  <c r="I564" i="21"/>
  <c r="I565" i="21"/>
  <c r="I566" i="21"/>
  <c r="I567" i="21"/>
  <c r="I568" i="21"/>
  <c r="I569" i="21"/>
  <c r="I570" i="21"/>
  <c r="I571" i="21"/>
  <c r="I572" i="21"/>
  <c r="I573" i="21"/>
  <c r="I574" i="21"/>
  <c r="I575" i="21"/>
  <c r="I576" i="21"/>
  <c r="I577" i="21"/>
  <c r="I578" i="21"/>
  <c r="I579" i="21"/>
  <c r="I580" i="21"/>
  <c r="I581" i="21"/>
  <c r="I582" i="21"/>
  <c r="I583" i="21"/>
  <c r="I584" i="21"/>
  <c r="I585" i="21"/>
  <c r="I586" i="21"/>
  <c r="I587" i="21"/>
  <c r="I588" i="21"/>
  <c r="I589" i="21"/>
  <c r="I590" i="21"/>
  <c r="I591" i="21"/>
  <c r="I592" i="21"/>
  <c r="I593" i="21"/>
  <c r="I594" i="21"/>
  <c r="I595" i="21"/>
  <c r="I596" i="21"/>
  <c r="I597" i="21"/>
  <c r="I598" i="21"/>
  <c r="I599" i="21"/>
  <c r="I600" i="21"/>
  <c r="I601" i="21"/>
  <c r="I602" i="21"/>
  <c r="I603" i="21"/>
  <c r="I604" i="21"/>
  <c r="I605" i="21"/>
  <c r="I606" i="21"/>
  <c r="I607" i="21"/>
  <c r="I608" i="21"/>
  <c r="I609" i="21"/>
  <c r="I610" i="21"/>
  <c r="I611" i="21"/>
  <c r="I612" i="21"/>
  <c r="I613" i="21"/>
  <c r="I614" i="21"/>
  <c r="I615" i="21"/>
  <c r="I616" i="21"/>
  <c r="I617" i="21"/>
  <c r="I618" i="21"/>
  <c r="I619" i="21"/>
  <c r="I620" i="21"/>
  <c r="I621" i="21"/>
  <c r="I622" i="21"/>
  <c r="I623" i="21"/>
  <c r="I624" i="21"/>
  <c r="I625" i="21"/>
  <c r="I626" i="21"/>
  <c r="I627" i="21"/>
  <c r="I628" i="21"/>
  <c r="I629" i="21"/>
  <c r="I630" i="21"/>
  <c r="I631" i="21"/>
  <c r="I632" i="21"/>
  <c r="I633" i="21"/>
  <c r="I634" i="21"/>
  <c r="I635" i="21"/>
  <c r="I636" i="21"/>
  <c r="I637" i="21"/>
  <c r="I638" i="21"/>
  <c r="I639" i="21"/>
  <c r="I640" i="21"/>
  <c r="I641" i="21"/>
  <c r="I642" i="21"/>
  <c r="I643" i="21"/>
  <c r="I644" i="21"/>
  <c r="I645" i="21"/>
  <c r="I646" i="21"/>
  <c r="I647" i="21"/>
  <c r="I648" i="21"/>
  <c r="I649" i="21"/>
  <c r="I650" i="21"/>
  <c r="I651" i="21"/>
  <c r="I652" i="21"/>
  <c r="I653" i="21"/>
  <c r="I654" i="21"/>
  <c r="I655" i="21"/>
  <c r="I656" i="21"/>
  <c r="I657" i="21"/>
  <c r="I658" i="21"/>
  <c r="I659" i="21"/>
  <c r="I660" i="21"/>
  <c r="I661" i="21"/>
  <c r="I662" i="21"/>
  <c r="I663" i="21"/>
  <c r="I664" i="21"/>
  <c r="I665" i="21"/>
  <c r="I666" i="21"/>
  <c r="I667" i="21"/>
  <c r="I668" i="21"/>
  <c r="I669" i="21"/>
  <c r="I670" i="21"/>
  <c r="I671" i="21"/>
  <c r="I672" i="21"/>
  <c r="I673" i="21"/>
  <c r="I674" i="21"/>
  <c r="I675" i="21"/>
  <c r="I676" i="21"/>
  <c r="I677" i="21"/>
  <c r="I678" i="21"/>
  <c r="I679" i="21"/>
  <c r="I680" i="21"/>
  <c r="I681" i="21"/>
  <c r="I682" i="21"/>
  <c r="I683" i="21"/>
  <c r="I684" i="21"/>
  <c r="I685" i="21"/>
  <c r="I686" i="21"/>
  <c r="I687" i="21"/>
  <c r="I688" i="21"/>
  <c r="I689" i="21"/>
  <c r="I690" i="21"/>
  <c r="I691" i="21"/>
  <c r="I692" i="21"/>
  <c r="I693" i="21"/>
  <c r="I694" i="21"/>
  <c r="I695" i="21"/>
  <c r="I696" i="21"/>
  <c r="I697" i="21"/>
  <c r="I698" i="21"/>
  <c r="I699" i="21"/>
  <c r="I700" i="21"/>
  <c r="I701" i="21"/>
  <c r="I702" i="21"/>
  <c r="I703" i="21"/>
  <c r="I704" i="21"/>
  <c r="I705" i="21"/>
  <c r="I706" i="21"/>
  <c r="I707" i="21"/>
  <c r="I708" i="21"/>
  <c r="I709" i="21"/>
  <c r="I710" i="21"/>
  <c r="I711" i="21"/>
  <c r="I712" i="21"/>
  <c r="I713" i="21"/>
  <c r="I714" i="21"/>
  <c r="I715" i="21"/>
  <c r="I716" i="21"/>
  <c r="I717" i="21"/>
  <c r="I718" i="21"/>
  <c r="I719" i="21"/>
  <c r="I720" i="21"/>
  <c r="I721" i="21"/>
  <c r="I722" i="21"/>
  <c r="I723" i="21"/>
  <c r="I724" i="21"/>
  <c r="I725" i="21"/>
  <c r="I726" i="21"/>
  <c r="I727" i="21"/>
  <c r="I728" i="21"/>
  <c r="I729" i="21"/>
  <c r="I730" i="21"/>
  <c r="I731" i="21"/>
  <c r="I732" i="21"/>
  <c r="I733" i="21"/>
  <c r="I734" i="21"/>
  <c r="I735" i="21"/>
  <c r="I736" i="21"/>
  <c r="I737" i="21"/>
  <c r="I738" i="21"/>
  <c r="I739" i="21"/>
  <c r="I740" i="21"/>
  <c r="I741" i="21"/>
  <c r="I742" i="21"/>
  <c r="I743" i="21"/>
  <c r="I744" i="21"/>
  <c r="I745" i="21"/>
  <c r="I746" i="21"/>
  <c r="I747" i="21"/>
  <c r="I748" i="21"/>
  <c r="I749" i="21"/>
  <c r="I750" i="21"/>
  <c r="I751" i="21"/>
  <c r="I752" i="21"/>
  <c r="I753" i="21"/>
  <c r="I754" i="21"/>
  <c r="I755" i="21"/>
  <c r="I756" i="21"/>
  <c r="I757" i="21"/>
  <c r="I758" i="21"/>
  <c r="I759" i="21"/>
  <c r="I760" i="21"/>
  <c r="I761" i="21"/>
  <c r="I762" i="21"/>
  <c r="I763" i="21"/>
  <c r="I764" i="21"/>
  <c r="I765" i="21"/>
  <c r="I766" i="21"/>
  <c r="I767" i="21"/>
  <c r="I768" i="21"/>
  <c r="I769" i="21"/>
  <c r="I770" i="21"/>
  <c r="I771" i="21"/>
  <c r="I772" i="21"/>
  <c r="I773" i="21"/>
  <c r="I774" i="21"/>
  <c r="I775" i="21"/>
  <c r="I776" i="21"/>
  <c r="I777" i="21"/>
  <c r="I778" i="21"/>
  <c r="I779" i="21"/>
  <c r="I780" i="21"/>
  <c r="I781" i="21"/>
  <c r="I782" i="21"/>
  <c r="I783" i="21"/>
  <c r="I784" i="21"/>
  <c r="I785" i="21"/>
  <c r="I786" i="21"/>
  <c r="I787" i="21"/>
  <c r="I788" i="21"/>
  <c r="I789" i="21"/>
  <c r="I790" i="21"/>
  <c r="I791" i="21"/>
  <c r="I792" i="21"/>
  <c r="I793" i="21"/>
  <c r="I794" i="21"/>
  <c r="I795" i="21"/>
  <c r="I796" i="21"/>
  <c r="I797" i="21"/>
  <c r="I798" i="21"/>
  <c r="I799" i="21"/>
  <c r="I800" i="21"/>
  <c r="I801" i="21"/>
  <c r="I802" i="21"/>
  <c r="I803" i="21"/>
  <c r="I804" i="21"/>
  <c r="I805" i="21"/>
  <c r="I806" i="21"/>
  <c r="I807" i="21"/>
  <c r="I808" i="21"/>
  <c r="I809" i="21"/>
  <c r="I810" i="21"/>
  <c r="I811" i="21"/>
  <c r="I812" i="21"/>
  <c r="I813" i="21"/>
  <c r="I814" i="21"/>
  <c r="I815" i="21"/>
  <c r="I816" i="21"/>
  <c r="I817" i="21"/>
  <c r="I818" i="21"/>
  <c r="I819" i="21"/>
  <c r="I820" i="21"/>
  <c r="I821" i="21"/>
  <c r="I822" i="21"/>
  <c r="I823" i="21"/>
  <c r="I824" i="21"/>
  <c r="I825" i="21"/>
  <c r="I826" i="21"/>
  <c r="I827" i="21"/>
  <c r="I828" i="21"/>
  <c r="I829" i="21"/>
  <c r="I830" i="21"/>
  <c r="I831" i="21"/>
  <c r="I832" i="21"/>
  <c r="I833" i="21"/>
  <c r="I834" i="21"/>
  <c r="I835" i="21"/>
  <c r="I836" i="21"/>
  <c r="I837" i="21"/>
  <c r="I838" i="21"/>
  <c r="I839" i="21"/>
  <c r="I840" i="21"/>
  <c r="I841" i="21"/>
  <c r="I842" i="21"/>
  <c r="I843" i="21"/>
  <c r="I844" i="21"/>
  <c r="I845" i="21"/>
  <c r="I846" i="21"/>
  <c r="I847" i="21"/>
  <c r="I848" i="21"/>
  <c r="I849" i="21"/>
  <c r="I850" i="21"/>
  <c r="I851" i="21"/>
  <c r="I852" i="21"/>
  <c r="I853" i="21"/>
  <c r="I854" i="21"/>
  <c r="I855" i="21"/>
  <c r="I856" i="21"/>
  <c r="I857" i="21"/>
  <c r="I858" i="21"/>
  <c r="I859" i="21"/>
  <c r="I860" i="21"/>
  <c r="I861" i="21"/>
  <c r="I862" i="21"/>
  <c r="I863" i="21"/>
  <c r="I864" i="21"/>
  <c r="I865" i="21"/>
  <c r="I866" i="21"/>
  <c r="I867" i="21"/>
  <c r="I868" i="21"/>
  <c r="I869" i="21"/>
  <c r="I870" i="21"/>
  <c r="I871" i="21"/>
  <c r="I872" i="21"/>
  <c r="I873" i="21"/>
  <c r="I874" i="21"/>
  <c r="I875" i="21"/>
  <c r="I876" i="21"/>
  <c r="I877" i="21"/>
  <c r="I878" i="21"/>
  <c r="I879" i="21"/>
  <c r="I880" i="21"/>
  <c r="I881" i="21"/>
  <c r="I882" i="21"/>
  <c r="I883" i="21"/>
  <c r="I884" i="21"/>
  <c r="I885" i="21"/>
  <c r="I886" i="21"/>
  <c r="I887" i="21"/>
  <c r="I888" i="21"/>
  <c r="I889" i="21"/>
  <c r="I890" i="21"/>
  <c r="I891" i="21"/>
  <c r="I892" i="21"/>
  <c r="I893" i="21"/>
  <c r="I894" i="21"/>
  <c r="I895" i="21"/>
  <c r="I896" i="21"/>
  <c r="I897" i="21"/>
  <c r="I898" i="21"/>
  <c r="I899" i="21"/>
  <c r="I900" i="21"/>
  <c r="I901" i="21"/>
  <c r="I902" i="21"/>
  <c r="I903" i="21"/>
  <c r="I904" i="21"/>
  <c r="I905" i="21"/>
  <c r="I906" i="21"/>
  <c r="I907" i="21"/>
  <c r="I908" i="21"/>
  <c r="I909" i="21"/>
  <c r="I910" i="21"/>
  <c r="I911" i="21"/>
  <c r="I912" i="21"/>
  <c r="I913" i="21"/>
  <c r="I914" i="21"/>
  <c r="I915" i="21"/>
  <c r="I916" i="21"/>
  <c r="I917" i="21"/>
  <c r="I918" i="21"/>
  <c r="I919" i="21"/>
  <c r="I920" i="21"/>
  <c r="I921" i="21"/>
  <c r="I922" i="21"/>
  <c r="I923" i="21"/>
  <c r="I924" i="21"/>
  <c r="I925" i="21"/>
  <c r="I926" i="21"/>
  <c r="I927" i="21"/>
  <c r="I928" i="21"/>
  <c r="I929" i="21"/>
  <c r="I930" i="21"/>
  <c r="I931" i="21"/>
  <c r="I932" i="21"/>
  <c r="I933" i="21"/>
  <c r="I934" i="21"/>
  <c r="I935" i="21"/>
  <c r="I936" i="21"/>
  <c r="I937" i="21"/>
  <c r="I938" i="21"/>
  <c r="I939" i="21"/>
  <c r="I940" i="21"/>
  <c r="I941" i="21"/>
  <c r="I942" i="21"/>
  <c r="I943" i="21"/>
  <c r="I944" i="21"/>
  <c r="I945" i="21"/>
  <c r="I946" i="21"/>
  <c r="I947" i="21"/>
  <c r="I948" i="21"/>
  <c r="I949" i="21"/>
  <c r="I950" i="21"/>
  <c r="I951" i="21"/>
  <c r="I952" i="21"/>
  <c r="I953" i="21"/>
  <c r="I954" i="21"/>
  <c r="I955" i="21"/>
  <c r="I956" i="21"/>
  <c r="I957" i="21"/>
  <c r="I958" i="21"/>
  <c r="I959" i="21"/>
  <c r="I960" i="21"/>
  <c r="I961" i="21"/>
  <c r="I962" i="21"/>
  <c r="I963" i="21"/>
  <c r="I964" i="21"/>
  <c r="I965" i="21"/>
  <c r="I966" i="21"/>
  <c r="I967" i="21"/>
  <c r="I968" i="21"/>
  <c r="I969" i="21"/>
  <c r="I970" i="21"/>
  <c r="I971" i="21"/>
  <c r="I972" i="21"/>
  <c r="I973" i="21"/>
  <c r="I974" i="21"/>
  <c r="I975" i="21"/>
  <c r="I976" i="21"/>
  <c r="I977" i="21"/>
  <c r="I978" i="21"/>
  <c r="I979" i="21"/>
  <c r="I980" i="21"/>
  <c r="I981" i="21"/>
  <c r="I982" i="21"/>
  <c r="I983" i="21"/>
  <c r="I984" i="21"/>
  <c r="I985" i="21"/>
  <c r="I986" i="21"/>
  <c r="I987" i="21"/>
  <c r="I988" i="21"/>
  <c r="I989" i="21"/>
  <c r="I990" i="21"/>
  <c r="I991" i="21"/>
  <c r="I992" i="21"/>
  <c r="I993" i="21"/>
  <c r="I994" i="21"/>
  <c r="I995" i="21"/>
  <c r="I996" i="21"/>
  <c r="I997" i="21"/>
  <c r="I998" i="21"/>
  <c r="I999" i="21"/>
  <c r="I1000" i="21"/>
  <c r="I1001" i="21"/>
  <c r="I1002" i="21"/>
  <c r="I1003" i="21"/>
  <c r="I1004" i="21"/>
  <c r="I1005" i="21"/>
  <c r="I1006" i="21"/>
  <c r="I1007" i="21"/>
  <c r="I1008" i="21"/>
  <c r="I1009" i="21"/>
  <c r="I1010" i="21"/>
  <c r="I1011" i="21"/>
  <c r="I1012" i="21"/>
  <c r="I1013" i="21"/>
  <c r="I1014" i="21"/>
  <c r="I1015" i="21"/>
  <c r="I1016" i="21"/>
  <c r="I1017" i="21"/>
  <c r="I1018" i="21"/>
  <c r="I1019" i="21"/>
  <c r="I1020" i="21"/>
  <c r="I1021" i="21"/>
  <c r="I1022" i="21"/>
  <c r="I1023" i="21"/>
  <c r="I1024" i="21"/>
  <c r="I1025" i="21"/>
  <c r="I1026" i="21"/>
  <c r="I1027" i="21"/>
  <c r="I1028" i="21"/>
  <c r="I1029" i="21"/>
  <c r="I1030" i="21"/>
  <c r="I1031" i="21"/>
  <c r="I1032" i="21"/>
  <c r="I1033" i="21"/>
  <c r="I1034" i="21"/>
  <c r="I1035" i="21"/>
  <c r="I1036" i="21"/>
  <c r="I1037" i="21"/>
  <c r="I1038" i="21"/>
  <c r="I1039" i="21"/>
  <c r="I1040" i="21"/>
  <c r="I1041" i="21"/>
  <c r="I1042" i="21"/>
  <c r="I1043" i="21"/>
  <c r="I1044" i="21"/>
  <c r="I1045" i="21"/>
  <c r="I1046" i="21"/>
  <c r="I1047" i="21"/>
  <c r="I1048" i="21"/>
  <c r="I1049" i="21"/>
  <c r="I1050" i="21"/>
  <c r="I1051" i="21"/>
  <c r="I1052" i="21"/>
  <c r="I1053" i="21"/>
  <c r="I1054" i="21"/>
  <c r="I1055" i="21"/>
  <c r="I1056" i="21"/>
  <c r="I1057" i="21"/>
  <c r="I1058" i="21"/>
  <c r="I1059" i="21"/>
  <c r="I1060" i="21"/>
  <c r="I1061" i="21"/>
  <c r="I1062" i="21"/>
  <c r="I1063" i="21"/>
  <c r="I1064" i="21"/>
  <c r="I1065" i="21"/>
  <c r="I1066" i="21"/>
  <c r="I1067" i="21"/>
  <c r="I1068" i="21"/>
  <c r="I1069" i="21"/>
  <c r="I1070" i="21"/>
  <c r="I1071" i="21"/>
  <c r="I1072" i="21"/>
  <c r="I1073" i="21"/>
  <c r="I1074" i="21"/>
  <c r="I1075" i="21"/>
  <c r="I1076" i="21"/>
  <c r="I1077" i="21"/>
  <c r="I1078" i="21"/>
  <c r="I1079" i="21"/>
  <c r="I1080" i="21"/>
  <c r="I1081" i="21"/>
  <c r="I1082" i="21"/>
  <c r="I1083" i="21"/>
  <c r="I1084" i="21"/>
  <c r="I1085" i="21"/>
  <c r="I1086" i="21"/>
  <c r="I1087" i="21"/>
  <c r="I1088" i="21"/>
  <c r="I1089" i="21"/>
  <c r="I1090" i="21"/>
  <c r="I1091" i="21"/>
  <c r="I1092" i="21"/>
  <c r="I1093" i="21"/>
  <c r="I1094" i="21"/>
  <c r="I1095" i="21"/>
  <c r="I1096" i="21"/>
  <c r="I1097" i="21"/>
  <c r="I1098" i="21"/>
  <c r="I1099" i="21"/>
  <c r="I1100" i="21"/>
  <c r="I1101" i="21"/>
  <c r="I1102" i="21"/>
  <c r="I1103" i="21"/>
  <c r="I1104" i="21"/>
  <c r="I1105" i="21"/>
  <c r="I1106" i="21"/>
  <c r="I1107" i="21"/>
  <c r="I1108" i="21"/>
  <c r="I1109" i="21"/>
  <c r="I1110" i="21"/>
  <c r="I1111" i="21"/>
  <c r="I1112" i="21"/>
  <c r="I1113" i="21"/>
  <c r="I1114" i="21"/>
  <c r="I1115" i="21"/>
  <c r="I1116" i="21"/>
  <c r="I1117" i="21"/>
  <c r="I1118" i="21"/>
  <c r="I1119" i="21"/>
  <c r="I1120" i="21"/>
  <c r="I1121" i="21"/>
  <c r="I1122" i="21"/>
  <c r="I1123" i="21"/>
  <c r="I1124" i="21"/>
  <c r="I1125" i="21"/>
  <c r="I1126" i="21"/>
  <c r="I1127" i="21"/>
  <c r="I1128" i="21"/>
  <c r="I1129" i="21"/>
  <c r="I1130" i="21"/>
  <c r="I1131" i="21"/>
  <c r="I1132" i="21"/>
  <c r="I1133" i="21"/>
  <c r="I1134" i="21"/>
  <c r="I1135" i="21"/>
  <c r="I1136" i="21"/>
  <c r="I1137" i="21"/>
  <c r="I1138" i="21"/>
  <c r="I1139" i="21"/>
  <c r="I1140" i="21"/>
  <c r="I1141" i="21"/>
  <c r="I1142" i="21"/>
  <c r="I1143" i="21"/>
  <c r="I1144" i="21"/>
  <c r="I1145" i="21"/>
  <c r="I1146" i="21"/>
  <c r="I1147" i="21"/>
  <c r="I1148" i="21"/>
  <c r="I1149" i="21"/>
  <c r="I1150" i="21"/>
  <c r="I1151" i="21"/>
  <c r="I1152" i="21"/>
  <c r="I1153" i="21"/>
  <c r="I1154" i="21"/>
  <c r="I1155" i="21"/>
  <c r="I1156" i="21"/>
  <c r="I1157" i="21"/>
  <c r="I1158" i="21"/>
  <c r="I1159" i="21"/>
  <c r="I1160" i="21"/>
  <c r="I1161" i="21"/>
  <c r="I1162" i="21"/>
  <c r="I1163" i="21"/>
  <c r="I1164" i="21"/>
  <c r="I1165" i="21"/>
  <c r="I1166" i="21"/>
  <c r="I1167" i="21"/>
  <c r="I1168" i="21"/>
  <c r="I1169" i="21"/>
  <c r="I1170" i="21"/>
  <c r="I1171" i="21"/>
  <c r="I1172" i="21"/>
  <c r="I1173" i="21"/>
  <c r="I1174" i="21"/>
  <c r="I1175" i="21"/>
  <c r="I1176" i="21"/>
  <c r="I1177" i="21"/>
  <c r="I1178" i="21"/>
  <c r="I1179" i="21"/>
  <c r="I1180" i="21"/>
  <c r="I1181" i="21"/>
  <c r="I1182" i="21"/>
  <c r="I1183" i="21"/>
  <c r="I1184" i="21"/>
  <c r="I1185" i="21"/>
  <c r="I1186" i="21"/>
  <c r="I1187" i="21"/>
  <c r="I1188" i="21"/>
  <c r="I1189" i="21"/>
  <c r="I1190" i="21"/>
  <c r="I1191" i="21"/>
  <c r="I1192" i="21"/>
  <c r="I1193" i="21"/>
  <c r="I1194" i="21"/>
  <c r="I1195" i="21"/>
  <c r="I1196" i="21"/>
  <c r="I1197" i="21"/>
  <c r="I1198" i="21"/>
  <c r="I1199" i="21"/>
  <c r="I1200" i="21"/>
  <c r="I1201" i="21"/>
  <c r="I1202" i="21"/>
  <c r="I1203" i="21"/>
  <c r="I1204" i="21"/>
  <c r="I1205" i="21"/>
  <c r="I1206" i="21"/>
  <c r="I1207" i="21"/>
  <c r="I1208" i="21"/>
  <c r="I1209" i="21"/>
  <c r="I1210" i="21"/>
  <c r="I1211" i="21"/>
  <c r="I1212" i="21"/>
  <c r="I1213" i="21"/>
  <c r="I1214" i="21"/>
  <c r="I1215" i="21"/>
  <c r="I1216" i="21"/>
  <c r="I1217" i="21"/>
  <c r="I1218" i="21"/>
  <c r="I1219" i="21"/>
  <c r="I1220" i="21"/>
  <c r="I1221" i="21"/>
  <c r="I1222" i="21"/>
  <c r="I1223" i="21"/>
  <c r="I1224" i="21"/>
  <c r="I1225" i="21"/>
  <c r="I1226" i="21"/>
  <c r="I1227" i="21"/>
  <c r="I1228" i="21"/>
  <c r="I1229" i="21"/>
  <c r="I1230" i="21"/>
  <c r="I1231" i="21"/>
  <c r="I1232" i="21"/>
  <c r="I1233" i="21"/>
  <c r="I1234" i="21"/>
  <c r="I1235" i="21"/>
  <c r="I1236" i="21"/>
  <c r="I1237" i="21"/>
  <c r="I1238" i="21"/>
  <c r="I1239" i="21"/>
  <c r="I1240" i="21"/>
  <c r="I1241" i="21"/>
  <c r="I1242" i="21"/>
  <c r="I1243" i="21"/>
  <c r="I1244" i="21"/>
  <c r="I1245" i="21"/>
  <c r="I1246" i="21"/>
  <c r="I1247" i="21"/>
  <c r="I1248" i="21"/>
  <c r="I1249" i="21"/>
  <c r="I1250" i="21"/>
  <c r="I1251" i="21"/>
  <c r="I1252" i="21"/>
  <c r="I1253" i="21"/>
  <c r="I1254" i="21"/>
  <c r="I1255" i="21"/>
  <c r="I1256" i="21"/>
  <c r="I1257" i="21"/>
  <c r="I1258" i="21"/>
  <c r="I1259" i="21"/>
  <c r="I1260" i="21"/>
  <c r="I1261" i="21"/>
  <c r="I1262" i="21"/>
  <c r="I1263" i="21"/>
  <c r="I1264" i="21"/>
  <c r="I1265" i="21"/>
  <c r="I1266" i="21"/>
  <c r="I1267" i="21"/>
  <c r="I1268" i="21"/>
  <c r="I1269" i="21"/>
  <c r="I1270" i="21"/>
  <c r="I1271" i="21"/>
  <c r="I1272" i="21"/>
  <c r="I1273" i="21"/>
  <c r="I1274" i="21"/>
  <c r="I1275" i="21"/>
  <c r="I1276" i="21"/>
  <c r="I1277" i="21"/>
  <c r="I1278" i="21"/>
  <c r="I1279" i="21"/>
  <c r="I1280" i="21"/>
  <c r="I1281" i="21"/>
  <c r="I1282" i="21"/>
  <c r="I1283" i="21"/>
  <c r="I1284" i="21"/>
  <c r="I1285" i="21"/>
  <c r="I1286" i="21"/>
  <c r="I1287" i="21"/>
  <c r="I1288" i="21"/>
  <c r="I1289" i="21"/>
  <c r="I1290" i="21"/>
  <c r="I1291" i="21"/>
  <c r="I1292" i="21"/>
  <c r="I1293" i="21"/>
  <c r="I1294" i="21"/>
  <c r="I1295" i="21"/>
  <c r="I1296" i="21"/>
  <c r="I1297" i="21"/>
  <c r="I1298" i="21"/>
  <c r="I1299" i="21"/>
  <c r="I1300" i="21"/>
  <c r="I1301" i="21"/>
  <c r="I1302" i="21"/>
  <c r="I1303" i="21"/>
  <c r="I1304" i="21"/>
  <c r="I1305" i="21"/>
  <c r="I1306" i="21"/>
  <c r="I1307" i="21"/>
  <c r="I1308" i="21"/>
  <c r="I1309" i="21"/>
  <c r="I1310" i="21"/>
  <c r="I1311" i="21"/>
  <c r="I1312" i="21"/>
  <c r="I1313" i="21"/>
  <c r="I1314" i="21"/>
  <c r="I1315" i="21"/>
  <c r="I1316" i="21"/>
  <c r="I1317" i="21"/>
  <c r="I1318" i="21"/>
  <c r="I1319" i="21"/>
  <c r="I1320" i="21"/>
  <c r="I1321" i="21"/>
  <c r="I1322" i="21"/>
  <c r="I1323" i="21"/>
  <c r="I1324" i="21"/>
  <c r="I1325" i="21"/>
  <c r="I1326" i="21"/>
  <c r="I1327" i="21"/>
  <c r="I1328" i="21"/>
  <c r="I1329" i="21"/>
  <c r="I1330" i="21"/>
  <c r="I1331" i="21"/>
  <c r="I1332" i="21"/>
  <c r="I1333" i="21"/>
  <c r="I1334" i="21"/>
  <c r="I1335" i="21"/>
  <c r="I1336" i="21"/>
  <c r="I1337" i="21"/>
  <c r="I1338" i="21"/>
  <c r="I1339" i="21"/>
  <c r="I1340" i="21"/>
  <c r="I1341" i="21"/>
  <c r="I1342" i="21"/>
  <c r="I1343" i="21"/>
  <c r="I1344" i="21"/>
  <c r="I1345" i="21"/>
  <c r="I1346" i="21"/>
  <c r="I1347" i="21"/>
  <c r="I1348" i="21"/>
  <c r="I1349" i="21"/>
  <c r="I1350" i="21"/>
  <c r="I1351" i="21"/>
  <c r="I1352" i="21"/>
  <c r="I1353" i="21"/>
  <c r="I1354" i="21"/>
  <c r="I1355" i="21"/>
  <c r="I1356" i="21"/>
  <c r="I1357" i="21"/>
  <c r="I1358" i="21"/>
  <c r="I1359" i="21"/>
  <c r="I1360" i="21"/>
  <c r="I1361" i="21"/>
  <c r="I1362" i="21"/>
  <c r="I1363" i="21"/>
  <c r="I1364" i="21"/>
  <c r="I1365" i="21"/>
  <c r="I1366" i="21"/>
  <c r="I1367" i="21"/>
  <c r="I1368" i="21"/>
  <c r="I1369" i="21"/>
  <c r="I1370" i="21"/>
  <c r="I1371" i="21"/>
  <c r="I1372" i="21"/>
  <c r="I1373" i="21"/>
  <c r="I1374" i="21"/>
  <c r="I1375" i="21"/>
  <c r="I1376" i="21"/>
  <c r="I1377" i="21"/>
  <c r="I1378" i="21"/>
  <c r="I1379" i="21"/>
  <c r="I1380" i="21"/>
  <c r="I1381" i="21"/>
  <c r="I1382" i="21"/>
  <c r="I1383" i="21"/>
  <c r="I1384" i="21"/>
  <c r="I1385" i="21"/>
  <c r="I1386" i="21"/>
  <c r="I1387" i="21"/>
  <c r="I1388" i="21"/>
  <c r="I1389" i="21"/>
  <c r="I1390" i="21"/>
  <c r="I1391" i="21"/>
  <c r="I1392" i="21"/>
  <c r="I1393" i="21"/>
  <c r="I1394" i="21"/>
  <c r="I1395" i="21"/>
  <c r="I1396" i="21"/>
  <c r="I1397" i="21"/>
  <c r="I1398" i="21"/>
  <c r="I1399" i="21"/>
  <c r="I1400" i="21"/>
  <c r="I1401" i="21"/>
  <c r="I1402" i="21"/>
  <c r="I1403" i="21"/>
  <c r="I1404" i="21"/>
  <c r="I1405" i="21"/>
  <c r="I1406" i="21"/>
  <c r="I1407" i="21"/>
  <c r="I1408" i="21"/>
  <c r="I1409" i="21"/>
  <c r="I1410" i="21"/>
  <c r="I1411" i="21"/>
  <c r="I1412" i="21"/>
  <c r="I1413" i="21"/>
  <c r="I1414" i="21"/>
  <c r="I1415" i="21"/>
  <c r="I1416" i="21"/>
  <c r="I1417" i="21"/>
  <c r="I1418" i="21"/>
  <c r="I1419" i="21"/>
  <c r="I1420" i="21"/>
  <c r="I1421" i="21"/>
  <c r="I1422" i="21"/>
  <c r="I1423" i="21"/>
  <c r="I1424" i="21"/>
  <c r="I1425" i="21"/>
  <c r="I1426" i="21"/>
  <c r="I1427" i="21"/>
  <c r="I1428" i="21"/>
  <c r="I1429" i="21"/>
  <c r="I1430" i="21"/>
  <c r="I1431" i="21"/>
  <c r="I1432" i="21"/>
  <c r="I1433" i="21"/>
  <c r="I1434" i="21"/>
  <c r="I1435" i="21"/>
  <c r="I1436" i="21"/>
  <c r="I1437" i="21"/>
  <c r="I1438" i="21"/>
  <c r="I1439" i="21"/>
  <c r="I1440" i="21"/>
  <c r="I1441" i="21"/>
  <c r="I1442" i="21"/>
  <c r="I1443" i="21"/>
  <c r="I1444" i="21"/>
  <c r="I1445" i="21"/>
  <c r="I1446" i="21"/>
  <c r="I1447" i="21"/>
  <c r="I1448" i="21"/>
  <c r="I1449" i="21"/>
  <c r="I1450" i="21"/>
  <c r="I1451" i="21"/>
  <c r="I1452" i="21"/>
  <c r="I1453" i="21"/>
  <c r="I1454" i="21"/>
  <c r="I1455" i="21"/>
  <c r="I1456" i="21"/>
  <c r="I1457" i="21"/>
  <c r="I1458" i="21"/>
  <c r="I1459" i="21"/>
  <c r="I1460" i="21"/>
  <c r="I1461" i="21"/>
  <c r="I1462" i="21"/>
  <c r="I1463" i="21"/>
  <c r="I1464" i="21"/>
  <c r="I1465" i="21"/>
  <c r="I1466" i="21"/>
  <c r="I1467" i="21"/>
  <c r="I1468" i="21"/>
  <c r="I1469" i="21"/>
  <c r="I1470" i="21"/>
  <c r="I1471" i="21"/>
  <c r="I1472" i="21"/>
  <c r="I1473" i="21"/>
  <c r="I1474" i="21"/>
  <c r="I1475" i="21"/>
  <c r="I1476" i="21"/>
  <c r="I1477" i="21"/>
  <c r="I1478" i="21"/>
  <c r="I1479" i="21"/>
  <c r="I1480" i="21"/>
  <c r="I1481" i="21"/>
  <c r="I1482" i="21"/>
  <c r="I1483" i="21"/>
  <c r="I1484" i="21"/>
  <c r="I1485" i="21"/>
  <c r="I1486" i="21"/>
  <c r="I1487" i="21"/>
  <c r="I1488" i="21"/>
  <c r="I1489" i="21"/>
  <c r="I1490" i="21"/>
  <c r="I1491" i="21"/>
  <c r="I1492" i="21"/>
  <c r="I1493" i="21"/>
  <c r="I1494" i="21"/>
  <c r="I1495" i="21"/>
  <c r="I1496" i="21"/>
  <c r="I1497" i="21"/>
  <c r="I1498" i="21"/>
  <c r="I1499" i="21"/>
  <c r="I1500" i="21"/>
  <c r="I1501" i="21"/>
  <c r="I1502" i="21"/>
  <c r="I1503" i="21"/>
  <c r="I1504" i="21"/>
  <c r="I1505" i="21"/>
  <c r="I1506" i="21"/>
  <c r="I1507" i="21"/>
  <c r="I1508" i="21"/>
  <c r="I1509" i="21"/>
  <c r="I1510" i="21"/>
  <c r="I1511" i="21"/>
  <c r="I1512" i="21"/>
  <c r="I1513" i="21"/>
  <c r="I1514" i="21"/>
  <c r="I1515" i="21"/>
  <c r="I1516" i="21"/>
  <c r="I1517" i="21"/>
  <c r="I1518" i="21"/>
  <c r="I1519" i="21"/>
  <c r="I1520" i="21"/>
  <c r="I1521" i="21"/>
  <c r="I1522" i="21"/>
  <c r="I1523" i="21"/>
  <c r="I1524" i="21"/>
  <c r="I1525" i="21"/>
  <c r="I1526" i="21"/>
  <c r="I1527" i="21"/>
  <c r="I1528" i="21"/>
  <c r="I1529" i="21"/>
  <c r="I1530" i="21"/>
  <c r="I1531" i="21"/>
  <c r="I1532" i="21"/>
  <c r="I1533" i="21"/>
  <c r="I1534" i="21"/>
  <c r="I1535" i="21"/>
  <c r="I1536" i="21"/>
  <c r="I1537" i="21"/>
  <c r="I1538" i="21"/>
  <c r="I1539" i="21"/>
  <c r="I1540" i="21"/>
  <c r="I1541" i="21"/>
  <c r="I1542" i="21"/>
  <c r="I1543" i="21"/>
  <c r="I1544" i="21"/>
  <c r="I1545" i="21"/>
  <c r="I1546" i="21"/>
  <c r="I1547" i="21"/>
  <c r="I1548" i="21"/>
  <c r="I1549" i="21"/>
  <c r="I1550" i="21"/>
  <c r="I1551" i="21"/>
  <c r="I1552" i="21"/>
  <c r="I1553" i="21"/>
  <c r="I1554" i="21"/>
  <c r="I1555" i="21"/>
  <c r="I1556" i="21"/>
  <c r="I1557" i="21"/>
  <c r="I1558" i="21"/>
  <c r="I1559" i="21"/>
  <c r="I1560" i="21"/>
  <c r="I1561" i="21"/>
  <c r="I1562" i="21"/>
  <c r="I1563" i="21"/>
  <c r="I1564" i="21"/>
  <c r="I1565" i="21"/>
  <c r="I1566" i="21"/>
  <c r="I1567" i="21"/>
  <c r="I1568" i="21"/>
  <c r="I1569" i="21"/>
  <c r="I1570" i="21"/>
  <c r="I1571" i="21"/>
  <c r="I1572" i="21"/>
  <c r="I1573" i="21"/>
  <c r="I1574" i="21"/>
  <c r="I1575" i="21"/>
  <c r="I1576" i="21"/>
  <c r="I1577" i="21"/>
  <c r="I1578" i="21"/>
  <c r="I1579" i="21"/>
  <c r="I1580" i="21"/>
  <c r="I1581" i="21"/>
  <c r="I1582" i="21"/>
  <c r="I1583" i="21"/>
  <c r="I1584" i="21"/>
  <c r="I1585" i="21"/>
  <c r="I1586" i="21"/>
  <c r="I1587" i="21"/>
  <c r="I1588" i="21"/>
  <c r="I1589" i="21"/>
  <c r="I1590" i="21"/>
  <c r="I1591" i="21"/>
  <c r="I1592" i="21"/>
  <c r="I1593" i="21"/>
  <c r="I1594" i="21"/>
  <c r="I1595" i="21"/>
  <c r="I1596" i="21"/>
  <c r="I1597" i="21"/>
  <c r="I1598" i="21"/>
  <c r="I1599" i="21"/>
  <c r="I1600" i="21"/>
  <c r="I1601" i="21"/>
  <c r="I1602" i="21"/>
  <c r="I1603" i="21"/>
  <c r="I1604" i="21"/>
  <c r="I1605" i="21"/>
  <c r="I1606" i="21"/>
  <c r="I1607" i="21"/>
  <c r="I1608" i="21"/>
  <c r="I1609" i="21"/>
  <c r="I1610" i="21"/>
  <c r="I1611" i="21"/>
  <c r="I1612" i="21"/>
  <c r="I1613" i="21"/>
  <c r="I1614" i="21"/>
  <c r="I1615" i="21"/>
  <c r="I1616" i="21"/>
  <c r="I1617" i="21"/>
  <c r="I1618" i="21"/>
  <c r="I1619" i="21"/>
  <c r="I1620" i="21"/>
  <c r="I1621" i="21"/>
  <c r="I1622" i="21"/>
  <c r="I1623" i="21"/>
  <c r="I1624" i="21"/>
  <c r="I1625" i="21"/>
  <c r="I1626" i="21"/>
  <c r="I1627" i="21"/>
  <c r="I1628" i="21"/>
  <c r="I1629" i="21"/>
  <c r="I1630" i="21"/>
  <c r="I1631" i="21"/>
  <c r="I1632" i="21"/>
  <c r="I1633" i="21"/>
  <c r="I1634" i="21"/>
  <c r="I1635" i="21"/>
  <c r="I1636" i="21"/>
  <c r="I1637" i="21"/>
  <c r="I1638" i="21"/>
  <c r="I1639" i="21"/>
  <c r="I1640" i="21"/>
  <c r="I1641" i="21"/>
  <c r="I1642" i="21"/>
  <c r="I1643" i="21"/>
  <c r="I1644" i="21"/>
  <c r="I1645" i="21"/>
  <c r="I1646" i="21"/>
  <c r="I1647" i="21"/>
  <c r="I1648" i="21"/>
  <c r="I1649" i="21"/>
  <c r="I1650" i="21"/>
  <c r="I1651" i="21"/>
  <c r="I1652" i="21"/>
  <c r="I1653" i="21"/>
  <c r="I1654" i="21"/>
  <c r="I1655" i="21"/>
  <c r="I1656" i="21"/>
  <c r="I1657" i="21"/>
  <c r="I1658" i="21"/>
  <c r="I1659" i="21"/>
  <c r="I1660" i="21"/>
  <c r="I1661" i="21"/>
  <c r="I1662" i="21"/>
  <c r="I1663" i="21"/>
  <c r="I1664" i="21"/>
  <c r="I1665" i="21"/>
  <c r="I1666" i="21"/>
  <c r="I1667" i="21"/>
  <c r="I1668" i="21"/>
  <c r="I1669" i="21"/>
  <c r="I1670" i="21"/>
  <c r="I1671" i="21"/>
  <c r="I1672" i="21"/>
  <c r="I1673" i="21"/>
  <c r="I1674" i="21"/>
  <c r="I1675" i="21"/>
  <c r="I1676" i="21"/>
  <c r="I1677" i="21"/>
  <c r="I1678" i="21"/>
  <c r="I1679" i="21"/>
  <c r="I1680" i="21"/>
  <c r="I1681" i="21"/>
  <c r="I1682" i="21"/>
  <c r="I1683" i="21"/>
  <c r="I1684" i="21"/>
  <c r="I1685" i="21"/>
  <c r="I1686" i="21"/>
  <c r="I1687" i="21"/>
  <c r="I1688" i="21"/>
  <c r="I1689" i="21"/>
  <c r="I1690" i="21"/>
  <c r="I1691" i="21"/>
  <c r="I1692" i="21"/>
  <c r="I1693" i="21"/>
  <c r="I1694" i="21"/>
  <c r="I1695" i="21"/>
  <c r="I1696" i="21"/>
  <c r="I1697" i="21"/>
  <c r="I1698" i="21"/>
  <c r="I1699" i="21"/>
  <c r="I1700" i="21"/>
  <c r="I1701" i="21"/>
  <c r="I1702" i="21"/>
  <c r="I1703" i="21"/>
  <c r="I1704" i="21"/>
  <c r="I1705" i="21"/>
  <c r="I1706" i="21"/>
  <c r="I1707" i="21"/>
  <c r="I1708" i="21"/>
  <c r="I1709" i="21"/>
  <c r="I1710" i="21"/>
  <c r="I1711" i="21"/>
  <c r="I1712" i="21"/>
  <c r="I1713" i="21"/>
  <c r="I1714" i="21"/>
  <c r="I1715" i="21"/>
  <c r="I1716" i="21"/>
  <c r="I1717" i="21"/>
  <c r="I1718" i="21"/>
  <c r="I1719" i="21"/>
  <c r="I1720" i="21"/>
  <c r="I1721" i="21"/>
  <c r="I1722" i="21"/>
  <c r="I1723" i="21"/>
  <c r="I1724" i="21"/>
  <c r="I1725" i="21"/>
  <c r="I1726" i="21"/>
  <c r="I1727" i="21"/>
  <c r="I1728" i="21"/>
  <c r="I1729" i="21"/>
  <c r="I1730" i="21"/>
  <c r="I1731" i="21"/>
  <c r="I1732" i="21"/>
  <c r="I1733" i="21"/>
  <c r="I1734" i="21"/>
  <c r="I1735" i="21"/>
  <c r="I1736" i="21"/>
  <c r="I1737" i="21"/>
  <c r="I1738" i="21"/>
  <c r="I1739" i="21"/>
  <c r="I1740" i="21"/>
  <c r="I1741" i="21"/>
  <c r="I1742" i="21"/>
  <c r="I1743" i="21"/>
  <c r="I1744" i="21"/>
  <c r="I1745" i="21"/>
  <c r="I1746" i="21"/>
  <c r="I1747" i="21"/>
  <c r="I1748" i="21"/>
  <c r="I1749" i="21"/>
  <c r="I1750" i="21"/>
  <c r="I1751" i="21"/>
  <c r="I1752" i="21"/>
  <c r="I1753" i="21"/>
  <c r="I1754" i="21"/>
  <c r="I1755" i="21"/>
  <c r="I1756" i="21"/>
  <c r="I1757" i="21"/>
  <c r="I1758" i="21"/>
  <c r="I1759" i="21"/>
  <c r="I1760" i="21"/>
  <c r="I1761" i="21"/>
  <c r="I1762" i="21"/>
  <c r="I1763" i="21"/>
  <c r="I1764" i="21"/>
  <c r="I1765" i="21"/>
  <c r="I1766" i="21"/>
  <c r="I1767" i="21"/>
  <c r="I1768" i="21"/>
  <c r="I1769" i="21"/>
  <c r="I1770" i="21"/>
  <c r="I1771" i="21"/>
  <c r="I1772" i="21"/>
  <c r="I1773" i="21"/>
  <c r="I1774" i="21"/>
  <c r="I1775" i="21"/>
  <c r="I1776" i="21"/>
  <c r="I1777" i="21"/>
  <c r="I1778" i="21"/>
  <c r="I1779" i="21"/>
  <c r="I1780" i="21"/>
  <c r="I1781" i="21"/>
  <c r="I1782" i="21"/>
  <c r="I1783" i="21"/>
  <c r="I1784" i="21"/>
  <c r="I1785" i="21"/>
  <c r="I1786" i="21"/>
  <c r="I1787" i="21"/>
  <c r="I1788" i="21"/>
  <c r="I1789" i="21"/>
  <c r="I1790" i="21"/>
  <c r="I1791" i="21"/>
  <c r="I1792" i="21"/>
  <c r="I1793" i="21"/>
  <c r="I1794" i="21"/>
  <c r="I1795" i="21"/>
  <c r="I1796" i="21"/>
  <c r="I1797" i="21"/>
  <c r="I1798" i="21"/>
  <c r="I1799" i="21"/>
  <c r="I1800" i="21"/>
  <c r="I1801" i="21"/>
  <c r="I1802" i="21"/>
  <c r="I1803" i="21"/>
  <c r="I1804" i="21"/>
  <c r="I1805" i="21"/>
  <c r="I1806" i="21"/>
  <c r="I1807" i="21"/>
  <c r="I1808" i="21"/>
  <c r="I1809" i="21"/>
  <c r="I1810" i="21"/>
  <c r="I1811" i="21"/>
  <c r="I1812" i="21"/>
  <c r="I1813" i="21"/>
  <c r="I1814" i="21"/>
  <c r="I1815" i="21"/>
  <c r="I1816" i="21"/>
  <c r="I1817" i="21"/>
  <c r="I1818" i="21"/>
  <c r="I1819" i="21"/>
  <c r="I1820" i="21"/>
  <c r="I1821" i="21"/>
  <c r="I1822" i="21"/>
  <c r="I1823" i="21"/>
  <c r="I1824" i="21"/>
  <c r="I1825" i="21"/>
  <c r="I1826" i="21"/>
  <c r="I1827" i="21"/>
  <c r="I1828" i="21"/>
  <c r="I1829" i="21"/>
  <c r="I1830" i="21"/>
  <c r="I1831" i="21"/>
  <c r="I1832" i="21"/>
  <c r="I1833" i="21"/>
  <c r="I1834" i="21"/>
  <c r="I1835" i="21"/>
  <c r="I1836" i="21"/>
  <c r="I1837" i="21"/>
  <c r="I1838" i="21"/>
  <c r="I1839" i="21"/>
  <c r="I1840" i="21"/>
  <c r="I1841" i="21"/>
  <c r="I1842" i="21"/>
  <c r="I1843" i="21"/>
  <c r="I1844" i="21"/>
  <c r="I1845" i="21"/>
  <c r="I1846" i="21"/>
  <c r="I1847" i="21"/>
  <c r="I1848" i="21"/>
  <c r="I1849" i="21"/>
  <c r="I1850" i="21"/>
  <c r="I1851" i="21"/>
  <c r="I1852" i="21"/>
  <c r="I1853" i="21"/>
  <c r="I1854" i="21"/>
  <c r="I1855" i="21"/>
  <c r="I1856" i="21"/>
  <c r="I1857" i="21"/>
  <c r="I1858" i="21"/>
  <c r="I1859" i="21"/>
  <c r="I1860" i="21"/>
  <c r="I1861" i="21"/>
  <c r="I1862" i="21"/>
  <c r="I1863" i="21"/>
  <c r="I1864" i="21"/>
  <c r="I1865" i="21"/>
  <c r="I1866" i="21"/>
  <c r="I1867" i="21"/>
  <c r="I1868" i="21"/>
  <c r="I1869" i="21"/>
  <c r="I1870" i="21"/>
  <c r="I1871" i="21"/>
  <c r="I1872" i="21"/>
  <c r="I1873" i="21"/>
  <c r="I1874" i="21"/>
  <c r="I1875" i="21"/>
  <c r="I1876" i="21"/>
  <c r="I1877" i="21"/>
  <c r="I1878" i="21"/>
  <c r="I1879" i="21"/>
  <c r="I1880" i="21"/>
  <c r="I1881" i="21"/>
  <c r="I1882" i="21"/>
  <c r="I1883" i="21"/>
  <c r="I1884" i="21"/>
  <c r="I1885" i="21"/>
  <c r="I1886" i="21"/>
  <c r="I1887" i="21"/>
  <c r="I1888" i="21"/>
  <c r="I1889" i="21"/>
  <c r="I1890" i="21"/>
  <c r="I1891" i="21"/>
  <c r="I1892" i="21"/>
  <c r="I1893" i="21"/>
  <c r="I1894" i="21"/>
  <c r="I1895" i="21"/>
  <c r="I1896" i="21"/>
  <c r="I1897" i="21"/>
  <c r="I1898" i="21"/>
  <c r="I1899" i="21"/>
  <c r="I1900" i="21"/>
  <c r="I1901" i="21"/>
  <c r="I1902" i="21"/>
  <c r="I1903" i="21"/>
  <c r="I1904" i="21"/>
  <c r="I1905" i="21"/>
  <c r="I1906" i="21"/>
  <c r="I1907" i="21"/>
  <c r="I1908" i="21"/>
  <c r="I1909" i="21"/>
  <c r="I1910" i="21"/>
  <c r="I1911" i="21"/>
  <c r="I1912" i="21"/>
  <c r="I1913" i="21"/>
  <c r="I1914" i="21"/>
  <c r="I1915" i="21"/>
  <c r="I1916" i="21"/>
  <c r="I1917" i="21"/>
  <c r="I1918" i="21"/>
  <c r="I1919" i="21"/>
  <c r="I1920" i="21"/>
  <c r="I1921" i="21"/>
  <c r="I1922" i="21"/>
  <c r="I1923" i="21"/>
  <c r="I1924" i="21"/>
  <c r="I1925" i="21"/>
  <c r="I1926" i="21"/>
  <c r="I1927" i="21"/>
  <c r="I1928" i="21"/>
  <c r="I1929" i="21"/>
  <c r="I1930" i="21"/>
  <c r="I1931" i="21"/>
  <c r="I1932" i="21"/>
  <c r="I1933" i="21"/>
  <c r="I1934" i="21"/>
  <c r="I1935" i="21"/>
  <c r="I1936" i="21"/>
  <c r="I1937" i="21"/>
  <c r="I1938" i="21"/>
  <c r="I1939" i="21"/>
  <c r="I1940" i="21"/>
  <c r="I1941" i="21"/>
  <c r="I1942" i="21"/>
  <c r="I1943" i="21"/>
  <c r="I1944" i="21"/>
  <c r="I1945" i="21"/>
  <c r="I1946" i="21"/>
  <c r="I1947" i="21"/>
  <c r="I1948" i="21"/>
  <c r="I1949" i="21"/>
  <c r="I1950" i="21"/>
  <c r="I1951" i="21"/>
  <c r="I1952" i="21"/>
  <c r="I1953" i="21"/>
  <c r="I1954" i="21"/>
  <c r="I1955" i="21"/>
  <c r="I1956" i="21"/>
  <c r="I1957" i="21"/>
  <c r="I1958" i="21"/>
  <c r="I1959" i="21"/>
  <c r="I1960" i="21"/>
  <c r="I1961" i="21"/>
  <c r="I1962" i="21"/>
  <c r="I1963" i="21"/>
  <c r="I1964" i="21"/>
  <c r="I1965" i="21"/>
  <c r="I1966" i="21"/>
  <c r="I1967" i="21"/>
  <c r="I1968" i="21"/>
  <c r="I1969" i="21"/>
  <c r="I1970" i="21"/>
  <c r="I1971" i="21"/>
  <c r="I1972" i="21"/>
  <c r="I1973" i="21"/>
  <c r="I1974" i="21"/>
  <c r="I1975" i="21"/>
  <c r="I1976" i="21"/>
  <c r="I1977" i="21"/>
  <c r="I1978" i="21"/>
  <c r="I1979" i="21"/>
  <c r="I1980" i="21"/>
  <c r="I1981" i="21"/>
  <c r="I1982" i="21"/>
  <c r="I1983" i="21"/>
  <c r="I1984" i="21"/>
  <c r="AB1208" i="21"/>
  <c r="AB1204" i="21"/>
  <c r="AA1208" i="21"/>
  <c r="AA1204" i="21"/>
  <c r="R1204" i="21"/>
  <c r="N1208" i="21"/>
  <c r="R1208" i="21" s="1"/>
  <c r="N1204" i="21"/>
  <c r="M1375" i="14"/>
  <c r="M1371" i="14"/>
  <c r="L1375" i="14"/>
  <c r="L1371" i="14"/>
  <c r="K1375" i="14"/>
  <c r="K1371" i="14"/>
  <c r="I1375" i="14"/>
  <c r="I1371" i="14"/>
  <c r="AB950" i="21"/>
  <c r="AB949" i="21"/>
  <c r="AB948" i="21"/>
  <c r="AA950" i="21"/>
  <c r="AA949" i="21"/>
  <c r="AA948" i="21"/>
  <c r="O950" i="21"/>
  <c r="O948" i="21"/>
  <c r="N950" i="21"/>
  <c r="R950" i="21" s="1"/>
  <c r="N948" i="21"/>
  <c r="M950" i="21"/>
  <c r="M948" i="21"/>
  <c r="N949" i="21"/>
  <c r="R949" i="21" s="1"/>
  <c r="I1095" i="14"/>
  <c r="AA889" i="21"/>
  <c r="AB889" i="21"/>
  <c r="M1031" i="14"/>
  <c r="L1031" i="14"/>
  <c r="N481" i="21"/>
  <c r="R481" i="21" s="1"/>
  <c r="I541" i="14"/>
  <c r="S540" i="14"/>
  <c r="S541" i="14" s="1"/>
  <c r="I40" i="14"/>
  <c r="I39" i="14" s="1"/>
  <c r="M39" i="21"/>
  <c r="O39" i="21"/>
  <c r="S39" i="21" s="1"/>
  <c r="I85" i="14"/>
  <c r="I73" i="14"/>
  <c r="I55" i="14"/>
  <c r="I35" i="14"/>
  <c r="O74" i="14"/>
  <c r="Z555" i="21"/>
  <c r="Z554" i="21"/>
  <c r="Z553" i="21"/>
  <c r="Z552" i="21"/>
  <c r="Z545" i="21"/>
  <c r="Z544" i="21"/>
  <c r="Z543" i="21"/>
  <c r="Z542" i="21"/>
  <c r="Z532" i="21"/>
  <c r="Z531" i="21"/>
  <c r="Z530" i="21"/>
  <c r="Z529" i="21"/>
  <c r="Z521" i="21"/>
  <c r="Z520" i="21"/>
  <c r="Z519" i="21"/>
  <c r="Z518" i="21"/>
  <c r="Z509" i="21"/>
  <c r="Z508" i="21"/>
  <c r="Z507" i="21"/>
  <c r="Z506" i="21"/>
  <c r="Z499" i="21"/>
  <c r="Z498" i="21"/>
  <c r="Z497" i="21"/>
  <c r="Z496" i="21"/>
  <c r="AB532" i="21"/>
  <c r="AA532" i="21"/>
  <c r="N532" i="21"/>
  <c r="J596" i="14"/>
  <c r="M596" i="14"/>
  <c r="L596" i="14"/>
  <c r="I596" i="14"/>
  <c r="H596" i="14"/>
  <c r="S948" i="21" l="1"/>
  <c r="T948" i="21" s="1"/>
  <c r="P948" i="21" s="1"/>
  <c r="S950" i="21"/>
  <c r="T950" i="21" s="1"/>
  <c r="P950" i="21" s="1"/>
  <c r="Q948" i="21"/>
  <c r="Q950" i="21"/>
  <c r="Q949" i="21" s="1"/>
  <c r="M949" i="21" s="1"/>
  <c r="R948" i="21"/>
  <c r="W949" i="21"/>
  <c r="W948" i="21"/>
  <c r="W950" i="21"/>
  <c r="N40" i="21"/>
  <c r="I38" i="14"/>
  <c r="N39" i="21"/>
  <c r="Q39" i="21"/>
  <c r="R532" i="21"/>
  <c r="Z53" i="21"/>
  <c r="Z52" i="21"/>
  <c r="M40" i="21"/>
  <c r="M38" i="21"/>
  <c r="Q38" i="21" s="1"/>
  <c r="Y13" i="21"/>
  <c r="L13" i="21"/>
  <c r="O13" i="21" s="1"/>
  <c r="S13" i="21" s="1"/>
  <c r="K13" i="21"/>
  <c r="N13" i="21" s="1"/>
  <c r="R13" i="21" s="1"/>
  <c r="G13" i="14"/>
  <c r="I13" i="21" s="1"/>
  <c r="H13" i="14"/>
  <c r="J13" i="21" s="1"/>
  <c r="M13" i="21" s="1"/>
  <c r="Q13" i="21" s="1"/>
  <c r="Z30" i="21"/>
  <c r="Z22" i="21"/>
  <c r="AC1128" i="21"/>
  <c r="AC1119" i="21"/>
  <c r="AC1110" i="21"/>
  <c r="AC953" i="21"/>
  <c r="AC925" i="21"/>
  <c r="AC505" i="21"/>
  <c r="AA1984" i="21"/>
  <c r="AA1983" i="21"/>
  <c r="AA1982" i="21"/>
  <c r="AA1981" i="21"/>
  <c r="AA1980" i="21"/>
  <c r="AA1979" i="21"/>
  <c r="AA1978" i="21"/>
  <c r="AA1977" i="21"/>
  <c r="AA1976" i="21"/>
  <c r="AA1975" i="21"/>
  <c r="AA1974" i="21"/>
  <c r="AA1973" i="21"/>
  <c r="AA1972" i="21"/>
  <c r="AA1951" i="21"/>
  <c r="AA1950" i="21"/>
  <c r="AA1949" i="21"/>
  <c r="AA1948" i="21"/>
  <c r="AA1947" i="21"/>
  <c r="AA1946" i="21"/>
  <c r="AA1945" i="21"/>
  <c r="AA1944" i="21"/>
  <c r="AA1943" i="21"/>
  <c r="AA1942" i="21"/>
  <c r="AA1912" i="21"/>
  <c r="AA1911" i="21"/>
  <c r="AA1910" i="21"/>
  <c r="AA1909" i="21"/>
  <c r="AA1908" i="21"/>
  <c r="AA1907" i="21"/>
  <c r="AA1906" i="21"/>
  <c r="AA1905" i="21"/>
  <c r="AA1904" i="21"/>
  <c r="AA1903" i="21"/>
  <c r="AA1873" i="21"/>
  <c r="AA1872" i="21"/>
  <c r="AA1871" i="21"/>
  <c r="AA1870" i="21"/>
  <c r="AA1869" i="21"/>
  <c r="AA1868" i="21"/>
  <c r="AA1867" i="21"/>
  <c r="AA1866" i="21"/>
  <c r="AA1865" i="21"/>
  <c r="AA1864" i="21"/>
  <c r="AA1834" i="21"/>
  <c r="AA1833" i="21"/>
  <c r="AA1832" i="21"/>
  <c r="AA1831" i="21"/>
  <c r="AA1830" i="21"/>
  <c r="AA1829" i="21"/>
  <c r="AA1828" i="21"/>
  <c r="AA1827" i="21"/>
  <c r="AA1826" i="21"/>
  <c r="AA1825" i="21"/>
  <c r="AA1796" i="21"/>
  <c r="AA1795" i="21"/>
  <c r="AA1794" i="21"/>
  <c r="AA1793" i="21"/>
  <c r="AA1792" i="21"/>
  <c r="AA1791" i="21"/>
  <c r="AA1790" i="21"/>
  <c r="AA1789" i="21"/>
  <c r="AA1788" i="21"/>
  <c r="AA1787" i="21"/>
  <c r="AA1758" i="21"/>
  <c r="AA1757" i="21"/>
  <c r="AA1756" i="21"/>
  <c r="AA1755" i="21"/>
  <c r="AA1754" i="21"/>
  <c r="AA1753" i="21"/>
  <c r="AA1752" i="21"/>
  <c r="AA1751" i="21"/>
  <c r="AA1750" i="21"/>
  <c r="AA1749" i="21"/>
  <c r="AA1719" i="21"/>
  <c r="AA1718" i="21"/>
  <c r="AA1717" i="21"/>
  <c r="AA1716" i="21"/>
  <c r="AA1715" i="21"/>
  <c r="AA1714" i="21"/>
  <c r="AA1713" i="21"/>
  <c r="AA1712" i="21"/>
  <c r="AA1711" i="21"/>
  <c r="AA1710" i="21"/>
  <c r="AA1680" i="21"/>
  <c r="AA1679" i="21"/>
  <c r="AA1678" i="21"/>
  <c r="AA1677" i="21"/>
  <c r="AA1676" i="21"/>
  <c r="AA1675" i="21"/>
  <c r="AA1674" i="21"/>
  <c r="AA1673" i="21"/>
  <c r="AA1672" i="21"/>
  <c r="AA1671" i="21"/>
  <c r="AA1640" i="21"/>
  <c r="AA1639" i="21"/>
  <c r="AA1638" i="21"/>
  <c r="AA1637" i="21"/>
  <c r="AA1636" i="21"/>
  <c r="AA1635" i="21"/>
  <c r="AA1634" i="21"/>
  <c r="AA1633" i="21"/>
  <c r="AA1632" i="21"/>
  <c r="AA1631" i="21"/>
  <c r="AA1600" i="21"/>
  <c r="AA1599" i="21"/>
  <c r="AA1598" i="21"/>
  <c r="AA1597" i="21"/>
  <c r="AA1596" i="21"/>
  <c r="AA1595" i="21"/>
  <c r="AA1594" i="21"/>
  <c r="AA1593" i="21"/>
  <c r="AA1592" i="21"/>
  <c r="AA1591" i="21"/>
  <c r="AA1561" i="21"/>
  <c r="AA1560" i="21"/>
  <c r="AA1559" i="21"/>
  <c r="AA1558" i="21"/>
  <c r="AA1557" i="21"/>
  <c r="AA1556" i="21"/>
  <c r="AA1555" i="21"/>
  <c r="AA1554" i="21"/>
  <c r="AA1553" i="21"/>
  <c r="AA1552" i="21"/>
  <c r="AA1537" i="21"/>
  <c r="AA1536" i="21"/>
  <c r="AA1535" i="21"/>
  <c r="AA1534" i="21"/>
  <c r="AA1533" i="21"/>
  <c r="AA1532" i="21"/>
  <c r="AA1531" i="21"/>
  <c r="AA1530" i="21"/>
  <c r="AA1529" i="21"/>
  <c r="AA1528" i="21"/>
  <c r="AA1523" i="21"/>
  <c r="AA1522" i="21"/>
  <c r="AA1521" i="21"/>
  <c r="AA1520" i="21"/>
  <c r="AA1519" i="21"/>
  <c r="AA1518" i="21"/>
  <c r="AA1517" i="21"/>
  <c r="AA1516" i="21"/>
  <c r="AA1515" i="21"/>
  <c r="AA1514" i="21"/>
  <c r="AA1513" i="21"/>
  <c r="AA1512" i="21"/>
  <c r="AA1511" i="21"/>
  <c r="AA1510" i="21"/>
  <c r="AA1509" i="21"/>
  <c r="AA1508" i="21"/>
  <c r="AA1505" i="21"/>
  <c r="AA1504" i="21"/>
  <c r="AA1503" i="21"/>
  <c r="AA1502" i="21"/>
  <c r="AA1501" i="21"/>
  <c r="AA1500" i="21"/>
  <c r="AA1499" i="21"/>
  <c r="AA1498" i="21"/>
  <c r="AA1497" i="21"/>
  <c r="AA1496" i="21"/>
  <c r="AA1495" i="21"/>
  <c r="AA1494" i="21"/>
  <c r="AA1493" i="21"/>
  <c r="AA1492" i="21"/>
  <c r="AA1491" i="21"/>
  <c r="AA1490" i="21"/>
  <c r="AA1488" i="21"/>
  <c r="AA1487" i="21"/>
  <c r="AA1486" i="21"/>
  <c r="AA1485" i="21"/>
  <c r="AA1477" i="21"/>
  <c r="AA1476" i="21"/>
  <c r="AA1473" i="21"/>
  <c r="AA1472" i="21"/>
  <c r="AA1471" i="21"/>
  <c r="AA1470" i="21"/>
  <c r="AA1469" i="21"/>
  <c r="AA1468" i="21"/>
  <c r="AA1467" i="21"/>
  <c r="AA1460" i="21"/>
  <c r="AA1459" i="21"/>
  <c r="AA1456" i="21"/>
  <c r="AA1455" i="21"/>
  <c r="AA1454" i="21"/>
  <c r="AA1453" i="21"/>
  <c r="AA1446" i="21"/>
  <c r="AA1445" i="21"/>
  <c r="AA1442" i="21"/>
  <c r="AA1441" i="21"/>
  <c r="AA1440" i="21"/>
  <c r="AA1439" i="21"/>
  <c r="AA1438" i="21"/>
  <c r="AA1437" i="21"/>
  <c r="AA1436" i="21"/>
  <c r="AA1429" i="21"/>
  <c r="AA1428" i="21"/>
  <c r="AA1425" i="21"/>
  <c r="AA1424" i="21"/>
  <c r="AA1423" i="21"/>
  <c r="AA1422" i="21"/>
  <c r="AA1421" i="21"/>
  <c r="AA1420" i="21"/>
  <c r="AA1419" i="21"/>
  <c r="AA1414" i="21"/>
  <c r="AA1413" i="21"/>
  <c r="AA1410" i="21"/>
  <c r="AA1409" i="21"/>
  <c r="AA1408" i="21"/>
  <c r="AA1407" i="21"/>
  <c r="AA1403" i="21"/>
  <c r="AA1402" i="21"/>
  <c r="AA1399" i="21"/>
  <c r="AA1398" i="21"/>
  <c r="AA1397" i="21"/>
  <c r="AA1396" i="21"/>
  <c r="AA1392" i="21"/>
  <c r="AA1391" i="21"/>
  <c r="AA1388" i="21"/>
  <c r="AA1387" i="21"/>
  <c r="AA1386" i="21"/>
  <c r="AA1385" i="21"/>
  <c r="AA1384" i="21"/>
  <c r="AA1383" i="21"/>
  <c r="AA1382" i="21"/>
  <c r="AA1378" i="21"/>
  <c r="AA1377" i="21"/>
  <c r="AA1374" i="21"/>
  <c r="AA1373" i="21"/>
  <c r="AA1372" i="21"/>
  <c r="AA1371" i="21"/>
  <c r="AA1369" i="21"/>
  <c r="AA1368" i="21"/>
  <c r="AA1366" i="21"/>
  <c r="AA1365" i="21"/>
  <c r="AA1361" i="21"/>
  <c r="AA1360" i="21"/>
  <c r="AA1359" i="21"/>
  <c r="AA1358" i="21"/>
  <c r="AA1354" i="21"/>
  <c r="AA1353" i="21"/>
  <c r="AA1349" i="21"/>
  <c r="AA1348" i="21"/>
  <c r="AA1347" i="21"/>
  <c r="AA1346" i="21"/>
  <c r="AA1342" i="21"/>
  <c r="AA1341" i="21"/>
  <c r="AA1338" i="21"/>
  <c r="AA1337" i="21"/>
  <c r="AA1336" i="21"/>
  <c r="AA1335" i="21"/>
  <c r="AA1334" i="21"/>
  <c r="AA1333" i="21"/>
  <c r="AA1332" i="21"/>
  <c r="AA1328" i="21"/>
  <c r="AA1327" i="21"/>
  <c r="AA1323" i="21"/>
  <c r="AA1322" i="21"/>
  <c r="AA1321" i="21"/>
  <c r="AA1320" i="21"/>
  <c r="AA1319" i="21"/>
  <c r="AA1318" i="21"/>
  <c r="AA1317" i="21"/>
  <c r="AA1314" i="21"/>
  <c r="AA1313" i="21"/>
  <c r="AA1312" i="21"/>
  <c r="AA1310" i="21"/>
  <c r="AA1309" i="21"/>
  <c r="AA1308" i="21"/>
  <c r="AA1306" i="21"/>
  <c r="AA1305" i="21"/>
  <c r="AA1304" i="21"/>
  <c r="AA1302" i="21"/>
  <c r="AA1301" i="21"/>
  <c r="AA1300" i="21"/>
  <c r="AA1298" i="21"/>
  <c r="AA1297" i="21"/>
  <c r="AA1296" i="21"/>
  <c r="AA1294" i="21"/>
  <c r="AA1293" i="21"/>
  <c r="AA1292" i="21"/>
  <c r="AA1289" i="21"/>
  <c r="AA1288" i="21"/>
  <c r="AA1287" i="21"/>
  <c r="AA1285" i="21"/>
  <c r="AA1284" i="21"/>
  <c r="AA1283" i="21"/>
  <c r="AA1282" i="21"/>
  <c r="AA1280" i="21"/>
  <c r="AA1279" i="21"/>
  <c r="AA1278" i="21"/>
  <c r="AA1276" i="21"/>
  <c r="AA1275" i="21"/>
  <c r="AA1274" i="21"/>
  <c r="AA1273" i="21"/>
  <c r="AA1271" i="21"/>
  <c r="AA1270" i="21"/>
  <c r="AA1269" i="21"/>
  <c r="AA1266" i="21"/>
  <c r="AA1265" i="21"/>
  <c r="AA1264" i="21"/>
  <c r="AA1263" i="21"/>
  <c r="AA1261" i="21"/>
  <c r="AA1260" i="21"/>
  <c r="AA1257" i="21"/>
  <c r="AA1256" i="21"/>
  <c r="AA1255" i="21"/>
  <c r="AA1253" i="21"/>
  <c r="AA1252" i="21"/>
  <c r="AA1251" i="21"/>
  <c r="AA1249" i="21"/>
  <c r="AA1248" i="21"/>
  <c r="AA1247" i="21"/>
  <c r="AA1245" i="21"/>
  <c r="AA1244" i="21"/>
  <c r="AA1243" i="21"/>
  <c r="AA1241" i="21"/>
  <c r="AA1240" i="21"/>
  <c r="AA1239" i="21"/>
  <c r="AA1237" i="21"/>
  <c r="AA1236" i="21"/>
  <c r="AA1235" i="21"/>
  <c r="AA1232" i="21"/>
  <c r="AA1231" i="21"/>
  <c r="AA1230" i="21"/>
  <c r="AA1228" i="21"/>
  <c r="AA1227" i="21"/>
  <c r="AA1226" i="21"/>
  <c r="AA1224" i="21"/>
  <c r="AA1223" i="21"/>
  <c r="AA1222" i="21"/>
  <c r="AA1220" i="21"/>
  <c r="AA1219" i="21"/>
  <c r="AA1218" i="21"/>
  <c r="AA1216" i="21"/>
  <c r="AA1215" i="21"/>
  <c r="AA1214" i="21"/>
  <c r="AA1211" i="21"/>
  <c r="AA1210" i="21"/>
  <c r="AA1209" i="21"/>
  <c r="AA1207" i="21"/>
  <c r="AA1206" i="21"/>
  <c r="AA1205" i="21"/>
  <c r="AA1203" i="21"/>
  <c r="AA1202" i="21"/>
  <c r="AA1200" i="21"/>
  <c r="AA1197" i="21"/>
  <c r="AA1196" i="21"/>
  <c r="AA1195" i="21"/>
  <c r="AA1194" i="21"/>
  <c r="AA1192" i="21"/>
  <c r="AA1191" i="21"/>
  <c r="AA1190" i="21"/>
  <c r="AA1189" i="21"/>
  <c r="AA1188" i="21"/>
  <c r="AA1186" i="21"/>
  <c r="AA1185" i="21"/>
  <c r="AA1184" i="21"/>
  <c r="AA1182" i="21"/>
  <c r="AA1181" i="21"/>
  <c r="AA1180" i="21"/>
  <c r="AA1179" i="21"/>
  <c r="AA1177" i="21"/>
  <c r="AA1176" i="21"/>
  <c r="AA1175" i="21"/>
  <c r="AA1174" i="21"/>
  <c r="AA1173" i="21"/>
  <c r="AA1171" i="21"/>
  <c r="AA1170" i="21"/>
  <c r="AA1169" i="21"/>
  <c r="AA1168" i="21"/>
  <c r="AA1167" i="21"/>
  <c r="AA1166" i="21"/>
  <c r="AA1165" i="21"/>
  <c r="AA1164" i="21"/>
  <c r="AA1163" i="21"/>
  <c r="AA1162" i="21"/>
  <c r="AA1159" i="21"/>
  <c r="AA1158" i="21"/>
  <c r="AA1157" i="21"/>
  <c r="AA1156" i="21"/>
  <c r="AA1154" i="21"/>
  <c r="AA1153" i="21"/>
  <c r="AA1152" i="21"/>
  <c r="AA1151" i="21"/>
  <c r="AA1150" i="21"/>
  <c r="AA1148" i="21"/>
  <c r="AA1147" i="21"/>
  <c r="AA1146" i="21"/>
  <c r="AA1144" i="21"/>
  <c r="AA1143" i="21"/>
  <c r="AA1142" i="21"/>
  <c r="AA1141" i="21"/>
  <c r="AA1139" i="21"/>
  <c r="AA1138" i="21"/>
  <c r="AA1137" i="21"/>
  <c r="AA1136" i="21"/>
  <c r="AA1135" i="21"/>
  <c r="AA1132" i="21"/>
  <c r="AA1131" i="21"/>
  <c r="AA1130" i="21"/>
  <c r="AA1127" i="21"/>
  <c r="AA1126" i="21"/>
  <c r="AA1125" i="21"/>
  <c r="AA1124" i="21"/>
  <c r="AA1123" i="21"/>
  <c r="AA1122" i="21"/>
  <c r="AA1121" i="21"/>
  <c r="AA1120" i="21"/>
  <c r="AA1118" i="21"/>
  <c r="AA1117" i="21"/>
  <c r="AA1116" i="21"/>
  <c r="AA1115" i="21"/>
  <c r="AA1114" i="21"/>
  <c r="AA1113" i="21"/>
  <c r="AA1112" i="21"/>
  <c r="AA1111" i="21"/>
  <c r="AA1109" i="21"/>
  <c r="AA1108" i="21"/>
  <c r="AA1107" i="21"/>
  <c r="AA1104" i="21"/>
  <c r="AA1103" i="21"/>
  <c r="AA1102" i="21"/>
  <c r="AA1101" i="21"/>
  <c r="AA1099" i="21"/>
  <c r="AA1098" i="21"/>
  <c r="AA1097" i="21"/>
  <c r="AA1096" i="21"/>
  <c r="AA1095" i="21"/>
  <c r="AA1093" i="21"/>
  <c r="AA1092" i="21"/>
  <c r="AA1091" i="21"/>
  <c r="AA1089" i="21"/>
  <c r="AA1088" i="21"/>
  <c r="AA1087" i="21"/>
  <c r="AA1086" i="21"/>
  <c r="AA1084" i="21"/>
  <c r="AA1083" i="21"/>
  <c r="AA1082" i="21"/>
  <c r="AA1081" i="21"/>
  <c r="AA1080" i="21"/>
  <c r="AA1078" i="21"/>
  <c r="AA1077" i="21"/>
  <c r="AA1076" i="21"/>
  <c r="AA1075" i="21"/>
  <c r="AA1074" i="21"/>
  <c r="AA1073" i="21"/>
  <c r="AA1072" i="21"/>
  <c r="AA1071" i="21"/>
  <c r="AA1070" i="21"/>
  <c r="AA1069" i="21"/>
  <c r="AA1066" i="21"/>
  <c r="AA1065" i="21"/>
  <c r="AA1064" i="21"/>
  <c r="AA1063" i="21"/>
  <c r="AA1061" i="21"/>
  <c r="AA1060" i="21"/>
  <c r="AA1059" i="21"/>
  <c r="AA1058" i="21"/>
  <c r="AA1057" i="21"/>
  <c r="AA1055" i="21"/>
  <c r="AA1054" i="21"/>
  <c r="AA1053" i="21"/>
  <c r="AA1051" i="21"/>
  <c r="AA1050" i="21"/>
  <c r="AA1049" i="21"/>
  <c r="AA1048" i="21"/>
  <c r="AA1046" i="21"/>
  <c r="AA1045" i="21"/>
  <c r="AA1044" i="21"/>
  <c r="AA1043" i="21"/>
  <c r="AA1042" i="21"/>
  <c r="AA1039" i="21"/>
  <c r="AA1038" i="21"/>
  <c r="AA1037" i="21"/>
  <c r="AA1036" i="21"/>
  <c r="AA1035" i="21"/>
  <c r="AA1034" i="21"/>
  <c r="AA1033" i="21"/>
  <c r="AA1032" i="21"/>
  <c r="AA1031" i="21"/>
  <c r="AA1030" i="21"/>
  <c r="AA1029" i="21"/>
  <c r="AA1025" i="21"/>
  <c r="AA1024" i="21"/>
  <c r="AA1023" i="21"/>
  <c r="AA1022" i="21"/>
  <c r="AA1020" i="21"/>
  <c r="AA1019" i="21"/>
  <c r="AA1018" i="21"/>
  <c r="AA1017" i="21"/>
  <c r="AA1016" i="21"/>
  <c r="AA1014" i="21"/>
  <c r="AA1013" i="21"/>
  <c r="AA1012" i="21"/>
  <c r="AA1010" i="21"/>
  <c r="AA1009" i="21"/>
  <c r="AA1008" i="21"/>
  <c r="AA1007" i="21"/>
  <c r="AA1005" i="21"/>
  <c r="AA1004" i="21"/>
  <c r="AA1003" i="21"/>
  <c r="AA1002" i="21"/>
  <c r="AA1001" i="21"/>
  <c r="AA999" i="21"/>
  <c r="AA998" i="21"/>
  <c r="AA997" i="21"/>
  <c r="AA996" i="21"/>
  <c r="AA995" i="21"/>
  <c r="AA994" i="21"/>
  <c r="AA993" i="21"/>
  <c r="AA992" i="21"/>
  <c r="AA991" i="21"/>
  <c r="AA990" i="21"/>
  <c r="AA987" i="21"/>
  <c r="AA986" i="21"/>
  <c r="AA985" i="21"/>
  <c r="AA984" i="21"/>
  <c r="AA982" i="21"/>
  <c r="AA981" i="21"/>
  <c r="AA980" i="21"/>
  <c r="AA979" i="21"/>
  <c r="AA978" i="21"/>
  <c r="AA976" i="21"/>
  <c r="AA975" i="21"/>
  <c r="AA974" i="21"/>
  <c r="AA972" i="21"/>
  <c r="AA971" i="21"/>
  <c r="AA970" i="21"/>
  <c r="AA969" i="21"/>
  <c r="AA967" i="21"/>
  <c r="AA966" i="21"/>
  <c r="AA965" i="21"/>
  <c r="AA964" i="21"/>
  <c r="AA963" i="21"/>
  <c r="AA961" i="21"/>
  <c r="AA960" i="21"/>
  <c r="AA959" i="21"/>
  <c r="AA957" i="21"/>
  <c r="AA956" i="21"/>
  <c r="AA955" i="21"/>
  <c r="AA954" i="21"/>
  <c r="AA952" i="21"/>
  <c r="AA951" i="21"/>
  <c r="AA947" i="21"/>
  <c r="AA946" i="21"/>
  <c r="AA945" i="21"/>
  <c r="AA943" i="21"/>
  <c r="AA942" i="21"/>
  <c r="AA941" i="21"/>
  <c r="AA940" i="21"/>
  <c r="AA939" i="21"/>
  <c r="AA938" i="21"/>
  <c r="AA937" i="21"/>
  <c r="AA936" i="21"/>
  <c r="AA935" i="21"/>
  <c r="AA934" i="21"/>
  <c r="AA933" i="21"/>
  <c r="AA932" i="21"/>
  <c r="AA931" i="21"/>
  <c r="AA930" i="21"/>
  <c r="AA929" i="21"/>
  <c r="AA928" i="21"/>
  <c r="AA927" i="21"/>
  <c r="AA926" i="21"/>
  <c r="AA924" i="21"/>
  <c r="AA923" i="21"/>
  <c r="AA922" i="21"/>
  <c r="AA921" i="21"/>
  <c r="AA920" i="21"/>
  <c r="AA919" i="21"/>
  <c r="AA918" i="21"/>
  <c r="AA917" i="21"/>
  <c r="AA916" i="21"/>
  <c r="AA915" i="21"/>
  <c r="AA914" i="21"/>
  <c r="AA913" i="21"/>
  <c r="AA912" i="21"/>
  <c r="AA911" i="21"/>
  <c r="AA910" i="21"/>
  <c r="AA909" i="21"/>
  <c r="AA908" i="21"/>
  <c r="AA907" i="21"/>
  <c r="AA903" i="21"/>
  <c r="AA902" i="21"/>
  <c r="AA900" i="21"/>
  <c r="AA899" i="21"/>
  <c r="AA897" i="21"/>
  <c r="AA895" i="21"/>
  <c r="AA894" i="21"/>
  <c r="AA892" i="21"/>
  <c r="AA891" i="21"/>
  <c r="AA888" i="21"/>
  <c r="AA885" i="21"/>
  <c r="AA884" i="21"/>
  <c r="AA882" i="21"/>
  <c r="AA881" i="21"/>
  <c r="AA879" i="21"/>
  <c r="AA878" i="21"/>
  <c r="AA875" i="21"/>
  <c r="AA874" i="21"/>
  <c r="AA872" i="21"/>
  <c r="AA871" i="21"/>
  <c r="AA869" i="21"/>
  <c r="AA868" i="21"/>
  <c r="AA865" i="21"/>
  <c r="AA864" i="21"/>
  <c r="AA862" i="21"/>
  <c r="AA861" i="21"/>
  <c r="AA859" i="21"/>
  <c r="AA858" i="21"/>
  <c r="AA855" i="21"/>
  <c r="AA854" i="21"/>
  <c r="AA852" i="21"/>
  <c r="AA851" i="21"/>
  <c r="AA845" i="21"/>
  <c r="AA844" i="21"/>
  <c r="AA842" i="21"/>
  <c r="AA841" i="21"/>
  <c r="AA840" i="21"/>
  <c r="AA839" i="21"/>
  <c r="AA837" i="21"/>
  <c r="AA836" i="21"/>
  <c r="AA835" i="21"/>
  <c r="AA828" i="21"/>
  <c r="AA827" i="21"/>
  <c r="AA821" i="21"/>
  <c r="AA820" i="21"/>
  <c r="AA817" i="21"/>
  <c r="AA816" i="21"/>
  <c r="AA815" i="21"/>
  <c r="AA814" i="21"/>
  <c r="AA806" i="21"/>
  <c r="AA805" i="21"/>
  <c r="AA799" i="21"/>
  <c r="AA798" i="21"/>
  <c r="AA796" i="21"/>
  <c r="AA795" i="21"/>
  <c r="AA794" i="21"/>
  <c r="AA793" i="21"/>
  <c r="AA786" i="21"/>
  <c r="AA785" i="21"/>
  <c r="AA777" i="21"/>
  <c r="AA776" i="21"/>
  <c r="AA773" i="21"/>
  <c r="AA772" i="21"/>
  <c r="AA771" i="21"/>
  <c r="AA770" i="21"/>
  <c r="AA756" i="21"/>
  <c r="AA755" i="21"/>
  <c r="AA753" i="21"/>
  <c r="AA752" i="21"/>
  <c r="AA751" i="21"/>
  <c r="AA750" i="21"/>
  <c r="AA749" i="21"/>
  <c r="AA748" i="21"/>
  <c r="AA746" i="21"/>
  <c r="AA745" i="21"/>
  <c r="AA744" i="21"/>
  <c r="AA743" i="21"/>
  <c r="AA740" i="21"/>
  <c r="AA739" i="21"/>
  <c r="AA727" i="21"/>
  <c r="AA726" i="21"/>
  <c r="AA723" i="21"/>
  <c r="AA722" i="21"/>
  <c r="AA721" i="21"/>
  <c r="AA720" i="21"/>
  <c r="AA713" i="21"/>
  <c r="AA712" i="21"/>
  <c r="AA704" i="21"/>
  <c r="AA703" i="21"/>
  <c r="AA700" i="21"/>
  <c r="AA699" i="21"/>
  <c r="AA698" i="21"/>
  <c r="AA697" i="21"/>
  <c r="AA690" i="21"/>
  <c r="AA689" i="21"/>
  <c r="AA681" i="21"/>
  <c r="AA680" i="21"/>
  <c r="AA677" i="21"/>
  <c r="AA676" i="21"/>
  <c r="AA675" i="21"/>
  <c r="AA674" i="21"/>
  <c r="AA667" i="21"/>
  <c r="AA666" i="21"/>
  <c r="AA658" i="21"/>
  <c r="AA657" i="21"/>
  <c r="AA654" i="21"/>
  <c r="AA653" i="21"/>
  <c r="AA652" i="21"/>
  <c r="AA651" i="21"/>
  <c r="AA644" i="21"/>
  <c r="AA643" i="21"/>
  <c r="AA635" i="21"/>
  <c r="AA634" i="21"/>
  <c r="AA631" i="21"/>
  <c r="AA630" i="21"/>
  <c r="AA629" i="21"/>
  <c r="AA628" i="21"/>
  <c r="AA621" i="21"/>
  <c r="AA620" i="21"/>
  <c r="AA611" i="21"/>
  <c r="AA610" i="21"/>
  <c r="AA607" i="21"/>
  <c r="AA606" i="21"/>
  <c r="AA605" i="21"/>
  <c r="AA604" i="21"/>
  <c r="AA596" i="21"/>
  <c r="AA595" i="21"/>
  <c r="AA586" i="21"/>
  <c r="AA585" i="21"/>
  <c r="AA580" i="21"/>
  <c r="AA579" i="21"/>
  <c r="AA578" i="21"/>
  <c r="AA577" i="21"/>
  <c r="AA576" i="21"/>
  <c r="AA575" i="21"/>
  <c r="AA574" i="21"/>
  <c r="AA573" i="21"/>
  <c r="AA572" i="21"/>
  <c r="AA569" i="21"/>
  <c r="AA568" i="21"/>
  <c r="AA567" i="21"/>
  <c r="AA565" i="21"/>
  <c r="AA564" i="21"/>
  <c r="AA563" i="21"/>
  <c r="AA562" i="21"/>
  <c r="AA561" i="21"/>
  <c r="AA560" i="21"/>
  <c r="AA559" i="21"/>
  <c r="AA558" i="21"/>
  <c r="AA557" i="21"/>
  <c r="AA554" i="21"/>
  <c r="AA553" i="21"/>
  <c r="AA552" i="21"/>
  <c r="AA551" i="21"/>
  <c r="AA549" i="21"/>
  <c r="AA548" i="21"/>
  <c r="AA547" i="21"/>
  <c r="AA544" i="21"/>
  <c r="AA543" i="21"/>
  <c r="AA542" i="21"/>
  <c r="AA541" i="21"/>
  <c r="AA540" i="21"/>
  <c r="AA539" i="21"/>
  <c r="AA538" i="21"/>
  <c r="AA535" i="21"/>
  <c r="AA534" i="21"/>
  <c r="AA533" i="21"/>
  <c r="AA531" i="21"/>
  <c r="AA530" i="21"/>
  <c r="AA529" i="21"/>
  <c r="AA528" i="21"/>
  <c r="AA527" i="21"/>
  <c r="AA526" i="21"/>
  <c r="AA525" i="21"/>
  <c r="AA522" i="21"/>
  <c r="AA520" i="21"/>
  <c r="AA519" i="21"/>
  <c r="AA518" i="21"/>
  <c r="AA517" i="21"/>
  <c r="AA516" i="21"/>
  <c r="AA515" i="21"/>
  <c r="AA513" i="21"/>
  <c r="AA512" i="21"/>
  <c r="AA511" i="21"/>
  <c r="AA509" i="21"/>
  <c r="AA508" i="21"/>
  <c r="AA507" i="21"/>
  <c r="AA506" i="21"/>
  <c r="AA504" i="21"/>
  <c r="AA503" i="21"/>
  <c r="AA502" i="21"/>
  <c r="AA499" i="21"/>
  <c r="AA498" i="21"/>
  <c r="AA497" i="21"/>
  <c r="AA496" i="21"/>
  <c r="AA494" i="21"/>
  <c r="AA493" i="21"/>
  <c r="AA492" i="21"/>
  <c r="AA491" i="21"/>
  <c r="AA490" i="21"/>
  <c r="AA489" i="21"/>
  <c r="AA487" i="21"/>
  <c r="AA486" i="21"/>
  <c r="AA485" i="21"/>
  <c r="AA484" i="21"/>
  <c r="AA483" i="21"/>
  <c r="AA482" i="21"/>
  <c r="AA478" i="21"/>
  <c r="AA477" i="21"/>
  <c r="AA476" i="21"/>
  <c r="AA474" i="21"/>
  <c r="AA473" i="21"/>
  <c r="AA472" i="21"/>
  <c r="AA471" i="21"/>
  <c r="AA470" i="21"/>
  <c r="AA469" i="21"/>
  <c r="AA461" i="21"/>
  <c r="AA460" i="21"/>
  <c r="AA452" i="21"/>
  <c r="AA451" i="21"/>
  <c r="AA448" i="21"/>
  <c r="AA447" i="21"/>
  <c r="AA446" i="21"/>
  <c r="AA445" i="21"/>
  <c r="AA444" i="21"/>
  <c r="AA443" i="21"/>
  <c r="AA436" i="21"/>
  <c r="AA435" i="21"/>
  <c r="AA427" i="21"/>
  <c r="AA426" i="21"/>
  <c r="AA423" i="21"/>
  <c r="AA422" i="21"/>
  <c r="AA421" i="21"/>
  <c r="AA420" i="21"/>
  <c r="AA419" i="21"/>
  <c r="AA418" i="21"/>
  <c r="AA411" i="21"/>
  <c r="AA410" i="21"/>
  <c r="AA402" i="21"/>
  <c r="AA401" i="21"/>
  <c r="AA398" i="21"/>
  <c r="AA397" i="21"/>
  <c r="AA396" i="21"/>
  <c r="AA395" i="21"/>
  <c r="AA394" i="21"/>
  <c r="AA393" i="21"/>
  <c r="AA386" i="21"/>
  <c r="AA385" i="21"/>
  <c r="AA377" i="21"/>
  <c r="AA376" i="21"/>
  <c r="AA373" i="21"/>
  <c r="AA372" i="21"/>
  <c r="AA371" i="21"/>
  <c r="AA370" i="21"/>
  <c r="AA369" i="21"/>
  <c r="AA368" i="21"/>
  <c r="AA361" i="21"/>
  <c r="AA360" i="21"/>
  <c r="AA352" i="21"/>
  <c r="AA351" i="21"/>
  <c r="AA348" i="21"/>
  <c r="AA347" i="21"/>
  <c r="AA346" i="21"/>
  <c r="AA345" i="21"/>
  <c r="AA344" i="21"/>
  <c r="AA343" i="21"/>
  <c r="AA336" i="21"/>
  <c r="AA335" i="21"/>
  <c r="AA327" i="21"/>
  <c r="AA326" i="21"/>
  <c r="AA323" i="21"/>
  <c r="AA322" i="21"/>
  <c r="AA321" i="21"/>
  <c r="AA320" i="21"/>
  <c r="AA319" i="21"/>
  <c r="AA318" i="21"/>
  <c r="AA311" i="21"/>
  <c r="AA310" i="21"/>
  <c r="AA302" i="21"/>
  <c r="AA301" i="21"/>
  <c r="AA298" i="21"/>
  <c r="AA297" i="21"/>
  <c r="AA296" i="21"/>
  <c r="AA295" i="21"/>
  <c r="AA294" i="21"/>
  <c r="AA293" i="21"/>
  <c r="AA286" i="21"/>
  <c r="AA285" i="21"/>
  <c r="AA277" i="21"/>
  <c r="AA276" i="21"/>
  <c r="AA271" i="21"/>
  <c r="AA270" i="21"/>
  <c r="AA269" i="21"/>
  <c r="AA268" i="21"/>
  <c r="AA267" i="21"/>
  <c r="AA266" i="21"/>
  <c r="AA264" i="21"/>
  <c r="AA263" i="21"/>
  <c r="AA262" i="21"/>
  <c r="AA261" i="21"/>
  <c r="AA260" i="21"/>
  <c r="AA259" i="21"/>
  <c r="AA254" i="21"/>
  <c r="AA253" i="21"/>
  <c r="AA249" i="21"/>
  <c r="AA248" i="21"/>
  <c r="AA245" i="21"/>
  <c r="AA244" i="21"/>
  <c r="AA243" i="21"/>
  <c r="AA242" i="21"/>
  <c r="AA241" i="21"/>
  <c r="AA240" i="21"/>
  <c r="AA236" i="21"/>
  <c r="AA235" i="21"/>
  <c r="AA231" i="21"/>
  <c r="AA230" i="21"/>
  <c r="AA226" i="21"/>
  <c r="AA225" i="21"/>
  <c r="AA224" i="21"/>
  <c r="AA223" i="21"/>
  <c r="AA222" i="21"/>
  <c r="AA221" i="21"/>
  <c r="AA217" i="21"/>
  <c r="AA216" i="21"/>
  <c r="AA212" i="21"/>
  <c r="AA211" i="21"/>
  <c r="AA208" i="21"/>
  <c r="AA207" i="21"/>
  <c r="AA206" i="21"/>
  <c r="AA205" i="21"/>
  <c r="AA204" i="21"/>
  <c r="AA203" i="21"/>
  <c r="AA199" i="21"/>
  <c r="AA198" i="21"/>
  <c r="AA194" i="21"/>
  <c r="AA193" i="21"/>
  <c r="AA189" i="21"/>
  <c r="AA188" i="21"/>
  <c r="AA187" i="21"/>
  <c r="AA186" i="21"/>
  <c r="AA185" i="21"/>
  <c r="AA184" i="21"/>
  <c r="AA180" i="21"/>
  <c r="AA179" i="21"/>
  <c r="AA176" i="21"/>
  <c r="AA175" i="21"/>
  <c r="AA174" i="21"/>
  <c r="AA173" i="21"/>
  <c r="AA172" i="21"/>
  <c r="AA171" i="21"/>
  <c r="AA167" i="21"/>
  <c r="AA166" i="21"/>
  <c r="AA161" i="21"/>
  <c r="AA160" i="21"/>
  <c r="AA157" i="21"/>
  <c r="AA156" i="21"/>
  <c r="AA155" i="21"/>
  <c r="AA154" i="21"/>
  <c r="AA153" i="21"/>
  <c r="AA152" i="21"/>
  <c r="AA148" i="21"/>
  <c r="AA147" i="21"/>
  <c r="AA141" i="21"/>
  <c r="AA140" i="21"/>
  <c r="AA139" i="21"/>
  <c r="AA138" i="21"/>
  <c r="AA137" i="21"/>
  <c r="AA136" i="21"/>
  <c r="AA135" i="21"/>
  <c r="AA134" i="21"/>
  <c r="AA132" i="21"/>
  <c r="AA131" i="21"/>
  <c r="AA130" i="21"/>
  <c r="AA129" i="21"/>
  <c r="AA128" i="21"/>
  <c r="AA127" i="21"/>
  <c r="AA126" i="21"/>
  <c r="AA125" i="21"/>
  <c r="AA124" i="21"/>
  <c r="AA123" i="21"/>
  <c r="AA122" i="21"/>
  <c r="AA120" i="21"/>
  <c r="AA119" i="21"/>
  <c r="AA118" i="21"/>
  <c r="AA116" i="21"/>
  <c r="AA115" i="21"/>
  <c r="AA114" i="21"/>
  <c r="AA112" i="21"/>
  <c r="AA111" i="21"/>
  <c r="AA110" i="21"/>
  <c r="AA109" i="21"/>
  <c r="AA108" i="21"/>
  <c r="AA107" i="21"/>
  <c r="AA106" i="21"/>
  <c r="AA105" i="21"/>
  <c r="AA104" i="21"/>
  <c r="AA103" i="21"/>
  <c r="AA101" i="21"/>
  <c r="AA100" i="21"/>
  <c r="AA97" i="21"/>
  <c r="AA96" i="21"/>
  <c r="AA95" i="21"/>
  <c r="AA93" i="21"/>
  <c r="AA92" i="21"/>
  <c r="AA91" i="21"/>
  <c r="AA90" i="21"/>
  <c r="AA89" i="21"/>
  <c r="AA88" i="21"/>
  <c r="AA86" i="21"/>
  <c r="AA85" i="21"/>
  <c r="AA82" i="21"/>
  <c r="AA81" i="21"/>
  <c r="AA80" i="21"/>
  <c r="AA79" i="21"/>
  <c r="AA70" i="21"/>
  <c r="AA69" i="21"/>
  <c r="AA68" i="21"/>
  <c r="AA67" i="21"/>
  <c r="AA65" i="21"/>
  <c r="AA64" i="21"/>
  <c r="AA62" i="21"/>
  <c r="AA61" i="21"/>
  <c r="AA60" i="21"/>
  <c r="AA59" i="21"/>
  <c r="AA57" i="21"/>
  <c r="AA56" i="21"/>
  <c r="AA52" i="21"/>
  <c r="AA51" i="21"/>
  <c r="AA50" i="21"/>
  <c r="AA48" i="21"/>
  <c r="AA46" i="21"/>
  <c r="AA45" i="21"/>
  <c r="AA42" i="21"/>
  <c r="AA37" i="21"/>
  <c r="AA36" i="21"/>
  <c r="AA34" i="21"/>
  <c r="AA33" i="21"/>
  <c r="AA32" i="21"/>
  <c r="AA31" i="21"/>
  <c r="AA28" i="21"/>
  <c r="AA27" i="21"/>
  <c r="AA26" i="21"/>
  <c r="AA25" i="21"/>
  <c r="AA24" i="21"/>
  <c r="AA22" i="21"/>
  <c r="AA21" i="21"/>
  <c r="AA20" i="21"/>
  <c r="AA19" i="21"/>
  <c r="AA18" i="21"/>
  <c r="AA15" i="21"/>
  <c r="AA14" i="21"/>
  <c r="AB1984" i="21"/>
  <c r="AB1983" i="21"/>
  <c r="AB1982" i="21"/>
  <c r="AB1981" i="21"/>
  <c r="AB1980" i="21"/>
  <c r="AB1979" i="21"/>
  <c r="AB1978" i="21"/>
  <c r="AB1977" i="21"/>
  <c r="AB1976" i="21"/>
  <c r="AB1975" i="21"/>
  <c r="AB1974" i="21"/>
  <c r="AB1973" i="21"/>
  <c r="AB1972" i="21"/>
  <c r="AB1951" i="21"/>
  <c r="AB1950" i="21"/>
  <c r="AB1949" i="21"/>
  <c r="AB1948" i="21"/>
  <c r="AB1947" i="21"/>
  <c r="AB1946" i="21"/>
  <c r="AB1945" i="21"/>
  <c r="AB1944" i="21"/>
  <c r="AB1943" i="21"/>
  <c r="AB1942" i="21"/>
  <c r="AB1912" i="21"/>
  <c r="AB1911" i="21"/>
  <c r="AB1910" i="21"/>
  <c r="AB1909" i="21"/>
  <c r="AB1908" i="21"/>
  <c r="AB1907" i="21"/>
  <c r="AB1906" i="21"/>
  <c r="AB1905" i="21"/>
  <c r="AB1904" i="21"/>
  <c r="AB1903" i="21"/>
  <c r="AB1873" i="21"/>
  <c r="AB1872" i="21"/>
  <c r="AB1871" i="21"/>
  <c r="AB1870" i="21"/>
  <c r="AB1869" i="21"/>
  <c r="AB1868" i="21"/>
  <c r="AB1867" i="21"/>
  <c r="AB1866" i="21"/>
  <c r="AB1865" i="21"/>
  <c r="AB1864" i="21"/>
  <c r="AB1834" i="21"/>
  <c r="AB1833" i="21"/>
  <c r="AB1832" i="21"/>
  <c r="AB1831" i="21"/>
  <c r="AB1830" i="21"/>
  <c r="AB1829" i="21"/>
  <c r="AB1828" i="21"/>
  <c r="AB1827" i="21"/>
  <c r="AB1826" i="21"/>
  <c r="AB1825" i="21"/>
  <c r="AB1796" i="21"/>
  <c r="AB1795" i="21"/>
  <c r="AB1794" i="21"/>
  <c r="AB1793" i="21"/>
  <c r="AB1792" i="21"/>
  <c r="AB1791" i="21"/>
  <c r="AB1790" i="21"/>
  <c r="AB1789" i="21"/>
  <c r="AB1788" i="21"/>
  <c r="AB1787" i="21"/>
  <c r="AB1758" i="21"/>
  <c r="AB1757" i="21"/>
  <c r="AB1756" i="21"/>
  <c r="AB1755" i="21"/>
  <c r="AB1754" i="21"/>
  <c r="AB1753" i="21"/>
  <c r="AB1752" i="21"/>
  <c r="AB1751" i="21"/>
  <c r="AB1750" i="21"/>
  <c r="AB1749" i="21"/>
  <c r="AB1719" i="21"/>
  <c r="AB1718" i="21"/>
  <c r="AB1717" i="21"/>
  <c r="AB1716" i="21"/>
  <c r="AB1715" i="21"/>
  <c r="AB1714" i="21"/>
  <c r="AB1713" i="21"/>
  <c r="AB1712" i="21"/>
  <c r="AB1711" i="21"/>
  <c r="AB1710" i="21"/>
  <c r="AB1680" i="21"/>
  <c r="AB1679" i="21"/>
  <c r="AB1678" i="21"/>
  <c r="AB1677" i="21"/>
  <c r="AB1676" i="21"/>
  <c r="AB1675" i="21"/>
  <c r="AB1674" i="21"/>
  <c r="AB1673" i="21"/>
  <c r="AB1672" i="21"/>
  <c r="AB1671" i="21"/>
  <c r="AB1640" i="21"/>
  <c r="AB1639" i="21"/>
  <c r="AB1638" i="21"/>
  <c r="AB1637" i="21"/>
  <c r="AB1636" i="21"/>
  <c r="AB1635" i="21"/>
  <c r="AB1634" i="21"/>
  <c r="AB1633" i="21"/>
  <c r="AB1632" i="21"/>
  <c r="AB1631" i="21"/>
  <c r="AB1600" i="21"/>
  <c r="AB1599" i="21"/>
  <c r="AB1598" i="21"/>
  <c r="AB1597" i="21"/>
  <c r="AB1596" i="21"/>
  <c r="AB1595" i="21"/>
  <c r="AB1594" i="21"/>
  <c r="AB1593" i="21"/>
  <c r="AB1592" i="21"/>
  <c r="AB1591" i="21"/>
  <c r="AB1561" i="21"/>
  <c r="AB1560" i="21"/>
  <c r="AB1559" i="21"/>
  <c r="AB1558" i="21"/>
  <c r="AB1557" i="21"/>
  <c r="AB1556" i="21"/>
  <c r="AB1555" i="21"/>
  <c r="AB1554" i="21"/>
  <c r="AB1553" i="21"/>
  <c r="AB1552" i="21"/>
  <c r="AB1537" i="21"/>
  <c r="AB1536" i="21"/>
  <c r="AB1535" i="21"/>
  <c r="AB1534" i="21"/>
  <c r="AB1533" i="21"/>
  <c r="AB1532" i="21"/>
  <c r="AB1531" i="21"/>
  <c r="AB1530" i="21"/>
  <c r="AB1529" i="21"/>
  <c r="AB1528" i="21"/>
  <c r="AB1523" i="21"/>
  <c r="AB1522" i="21"/>
  <c r="AB1521" i="21"/>
  <c r="AB1520" i="21"/>
  <c r="AB1519" i="21"/>
  <c r="AB1518" i="21"/>
  <c r="AB1517" i="21"/>
  <c r="AB1516" i="21"/>
  <c r="AB1515" i="21"/>
  <c r="AB1514" i="21"/>
  <c r="AB1513" i="21"/>
  <c r="AB1512" i="21"/>
  <c r="AB1511" i="21"/>
  <c r="AB1510" i="21"/>
  <c r="AB1509" i="21"/>
  <c r="AB1508" i="21"/>
  <c r="AB1505" i="21"/>
  <c r="AB1504" i="21"/>
  <c r="AB1503" i="21"/>
  <c r="AB1502" i="21"/>
  <c r="AB1501" i="21"/>
  <c r="AB1500" i="21"/>
  <c r="AB1499" i="21"/>
  <c r="AB1498" i="21"/>
  <c r="AB1497" i="21"/>
  <c r="AB1496" i="21"/>
  <c r="AB1495" i="21"/>
  <c r="AB1494" i="21"/>
  <c r="AB1493" i="21"/>
  <c r="AB1492" i="21"/>
  <c r="AB1491" i="21"/>
  <c r="AB1490" i="21"/>
  <c r="AB1488" i="21"/>
  <c r="AB1487" i="21"/>
  <c r="AB1486" i="21"/>
  <c r="AB1485" i="21"/>
  <c r="AB1477" i="21"/>
  <c r="AB1476" i="21"/>
  <c r="AB1473" i="21"/>
  <c r="AB1472" i="21"/>
  <c r="AB1471" i="21"/>
  <c r="AB1470" i="21"/>
  <c r="AB1469" i="21"/>
  <c r="AB1468" i="21"/>
  <c r="AB1467" i="21"/>
  <c r="AB1460" i="21"/>
  <c r="AB1459" i="21"/>
  <c r="AB1456" i="21"/>
  <c r="AB1455" i="21"/>
  <c r="AB1454" i="21"/>
  <c r="AB1453" i="21"/>
  <c r="AB1446" i="21"/>
  <c r="AB1445" i="21"/>
  <c r="AB1442" i="21"/>
  <c r="AB1441" i="21"/>
  <c r="AB1440" i="21"/>
  <c r="AB1439" i="21"/>
  <c r="AB1438" i="21"/>
  <c r="AB1437" i="21"/>
  <c r="AB1436" i="21"/>
  <c r="AB1429" i="21"/>
  <c r="AB1428" i="21"/>
  <c r="AB1425" i="21"/>
  <c r="AB1424" i="21"/>
  <c r="AB1423" i="21"/>
  <c r="AB1422" i="21"/>
  <c r="AB1421" i="21"/>
  <c r="AB1420" i="21"/>
  <c r="AB1419" i="21"/>
  <c r="AB1414" i="21"/>
  <c r="AB1413" i="21"/>
  <c r="AB1410" i="21"/>
  <c r="AB1409" i="21"/>
  <c r="AB1408" i="21"/>
  <c r="AB1407" i="21"/>
  <c r="AB1403" i="21"/>
  <c r="AB1402" i="21"/>
  <c r="AB1399" i="21"/>
  <c r="AB1398" i="21"/>
  <c r="AB1397" i="21"/>
  <c r="AB1396" i="21"/>
  <c r="AB1392" i="21"/>
  <c r="AB1391" i="21"/>
  <c r="AB1388" i="21"/>
  <c r="AB1387" i="21"/>
  <c r="AB1386" i="21"/>
  <c r="AB1385" i="21"/>
  <c r="AB1384" i="21"/>
  <c r="AB1383" i="21"/>
  <c r="AB1382" i="21"/>
  <c r="AB1378" i="21"/>
  <c r="AB1377" i="21"/>
  <c r="AB1374" i="21"/>
  <c r="AB1373" i="21"/>
  <c r="AB1372" i="21"/>
  <c r="AB1371" i="21"/>
  <c r="AB1369" i="21"/>
  <c r="AB1368" i="21"/>
  <c r="AB1366" i="21"/>
  <c r="AB1365" i="21"/>
  <c r="AB1361" i="21"/>
  <c r="AB1360" i="21"/>
  <c r="AB1359" i="21"/>
  <c r="AB1358" i="21"/>
  <c r="AB1354" i="21"/>
  <c r="AB1353" i="21"/>
  <c r="AB1349" i="21"/>
  <c r="AB1348" i="21"/>
  <c r="AB1347" i="21"/>
  <c r="AB1346" i="21"/>
  <c r="AB1342" i="21"/>
  <c r="AB1341" i="21"/>
  <c r="AB1338" i="21"/>
  <c r="AB1337" i="21"/>
  <c r="AB1336" i="21"/>
  <c r="AB1335" i="21"/>
  <c r="AB1334" i="21"/>
  <c r="AB1333" i="21"/>
  <c r="AB1332" i="21"/>
  <c r="AB1328" i="21"/>
  <c r="AB1327" i="21"/>
  <c r="AB1323" i="21"/>
  <c r="AB1322" i="21"/>
  <c r="AB1321" i="21"/>
  <c r="AB1320" i="21"/>
  <c r="AB1319" i="21"/>
  <c r="AB1318" i="21"/>
  <c r="AB1317" i="21"/>
  <c r="AB1314" i="21"/>
  <c r="AB1313" i="21"/>
  <c r="AB1312" i="21"/>
  <c r="AB1310" i="21"/>
  <c r="AB1309" i="21"/>
  <c r="AB1308" i="21"/>
  <c r="AB1306" i="21"/>
  <c r="AB1305" i="21"/>
  <c r="AB1304" i="21"/>
  <c r="AB1302" i="21"/>
  <c r="AB1301" i="21"/>
  <c r="AB1300" i="21"/>
  <c r="AB1298" i="21"/>
  <c r="AB1297" i="21"/>
  <c r="AB1296" i="21"/>
  <c r="AB1294" i="21"/>
  <c r="AB1293" i="21"/>
  <c r="AB1292" i="21"/>
  <c r="AB1289" i="21"/>
  <c r="AB1288" i="21"/>
  <c r="AB1287" i="21"/>
  <c r="AB1285" i="21"/>
  <c r="AB1284" i="21"/>
  <c r="AB1283" i="21"/>
  <c r="AB1282" i="21"/>
  <c r="AB1280" i="21"/>
  <c r="AB1279" i="21"/>
  <c r="AB1278" i="21"/>
  <c r="AB1276" i="21"/>
  <c r="AB1275" i="21"/>
  <c r="AB1274" i="21"/>
  <c r="AB1273" i="21"/>
  <c r="AB1271" i="21"/>
  <c r="AB1270" i="21"/>
  <c r="AB1269" i="21"/>
  <c r="AB1266" i="21"/>
  <c r="AB1265" i="21"/>
  <c r="AB1264" i="21"/>
  <c r="AB1263" i="21"/>
  <c r="AB1261" i="21"/>
  <c r="AB1260" i="21"/>
  <c r="AB1257" i="21"/>
  <c r="AB1256" i="21"/>
  <c r="AB1255" i="21"/>
  <c r="AB1253" i="21"/>
  <c r="AB1252" i="21"/>
  <c r="AB1251" i="21"/>
  <c r="AB1249" i="21"/>
  <c r="AB1248" i="21"/>
  <c r="AB1247" i="21"/>
  <c r="AB1245" i="21"/>
  <c r="AB1244" i="21"/>
  <c r="AB1243" i="21"/>
  <c r="AB1241" i="21"/>
  <c r="AB1240" i="21"/>
  <c r="AB1239" i="21"/>
  <c r="AB1237" i="21"/>
  <c r="AB1236" i="21"/>
  <c r="AB1235" i="21"/>
  <c r="AB1232" i="21"/>
  <c r="AB1231" i="21"/>
  <c r="AB1230" i="21"/>
  <c r="AB1228" i="21"/>
  <c r="AB1227" i="21"/>
  <c r="AB1226" i="21"/>
  <c r="AB1224" i="21"/>
  <c r="AB1223" i="21"/>
  <c r="AB1222" i="21"/>
  <c r="AB1220" i="21"/>
  <c r="AB1219" i="21"/>
  <c r="AB1218" i="21"/>
  <c r="AB1216" i="21"/>
  <c r="AB1215" i="21"/>
  <c r="AB1214" i="21"/>
  <c r="AB1211" i="21"/>
  <c r="AB1210" i="21"/>
  <c r="AB1209" i="21"/>
  <c r="AB1207" i="21"/>
  <c r="AB1206" i="21"/>
  <c r="AB1205" i="21"/>
  <c r="AB1203" i="21"/>
  <c r="AB1202" i="21"/>
  <c r="AB1200" i="21"/>
  <c r="AB1197" i="21"/>
  <c r="AB1196" i="21"/>
  <c r="AB1195" i="21"/>
  <c r="AB1194" i="21"/>
  <c r="AB1192" i="21"/>
  <c r="AB1191" i="21"/>
  <c r="AB1190" i="21"/>
  <c r="AB1189" i="21"/>
  <c r="AB1188" i="21"/>
  <c r="AB1186" i="21"/>
  <c r="AB1185" i="21"/>
  <c r="AB1184" i="21"/>
  <c r="AB1182" i="21"/>
  <c r="AB1181" i="21"/>
  <c r="AB1180" i="21"/>
  <c r="AB1179" i="21"/>
  <c r="AB1177" i="21"/>
  <c r="AB1176" i="21"/>
  <c r="AB1175" i="21"/>
  <c r="AB1174" i="21"/>
  <c r="AB1173" i="21"/>
  <c r="AB1171" i="21"/>
  <c r="AB1170" i="21"/>
  <c r="AB1169" i="21"/>
  <c r="AB1168" i="21"/>
  <c r="AB1167" i="21"/>
  <c r="AB1166" i="21"/>
  <c r="AB1165" i="21"/>
  <c r="AB1164" i="21"/>
  <c r="AB1163" i="21"/>
  <c r="AB1162" i="21"/>
  <c r="AB1159" i="21"/>
  <c r="AB1158" i="21"/>
  <c r="AB1157" i="21"/>
  <c r="AB1156" i="21"/>
  <c r="AB1154" i="21"/>
  <c r="AB1153" i="21"/>
  <c r="AB1152" i="21"/>
  <c r="AB1151" i="21"/>
  <c r="AB1150" i="21"/>
  <c r="AB1148" i="21"/>
  <c r="AB1147" i="21"/>
  <c r="AB1146" i="21"/>
  <c r="AB1144" i="21"/>
  <c r="AB1143" i="21"/>
  <c r="AB1142" i="21"/>
  <c r="AB1141" i="21"/>
  <c r="AB1139" i="21"/>
  <c r="AB1138" i="21"/>
  <c r="AB1137" i="21"/>
  <c r="AB1136" i="21"/>
  <c r="AB1135" i="21"/>
  <c r="AB1132" i="21"/>
  <c r="AB1131" i="21"/>
  <c r="AB1130" i="21"/>
  <c r="AB1127" i="21"/>
  <c r="AB1126" i="21"/>
  <c r="AB1125" i="21"/>
  <c r="AB1124" i="21"/>
  <c r="AB1123" i="21"/>
  <c r="AB1122" i="21"/>
  <c r="AB1121" i="21"/>
  <c r="AB1120" i="21"/>
  <c r="AB1118" i="21"/>
  <c r="AB1117" i="21"/>
  <c r="AB1116" i="21"/>
  <c r="AB1115" i="21"/>
  <c r="AB1114" i="21"/>
  <c r="AB1113" i="21"/>
  <c r="AB1112" i="21"/>
  <c r="AB1111" i="21"/>
  <c r="AB1109" i="21"/>
  <c r="AB1108" i="21"/>
  <c r="AB1107" i="21"/>
  <c r="AB1104" i="21"/>
  <c r="AB1103" i="21"/>
  <c r="AB1102" i="21"/>
  <c r="AB1101" i="21"/>
  <c r="AB1099" i="21"/>
  <c r="AB1098" i="21"/>
  <c r="AB1097" i="21"/>
  <c r="AB1096" i="21"/>
  <c r="AB1095" i="21"/>
  <c r="AB1093" i="21"/>
  <c r="AB1092" i="21"/>
  <c r="AB1091" i="21"/>
  <c r="AB1089" i="21"/>
  <c r="AB1088" i="21"/>
  <c r="AB1087" i="21"/>
  <c r="AB1086" i="21"/>
  <c r="AB1084" i="21"/>
  <c r="AB1083" i="21"/>
  <c r="AB1082" i="21"/>
  <c r="AB1081" i="21"/>
  <c r="AB1080" i="21"/>
  <c r="AB1078" i="21"/>
  <c r="AB1077" i="21"/>
  <c r="AB1076" i="21"/>
  <c r="AB1075" i="21"/>
  <c r="AB1074" i="21"/>
  <c r="AB1073" i="21"/>
  <c r="AB1072" i="21"/>
  <c r="AB1071" i="21"/>
  <c r="AB1070" i="21"/>
  <c r="AB1069" i="21"/>
  <c r="AB1066" i="21"/>
  <c r="AB1065" i="21"/>
  <c r="AB1064" i="21"/>
  <c r="AB1063" i="21"/>
  <c r="AB1061" i="21"/>
  <c r="AB1060" i="21"/>
  <c r="AB1059" i="21"/>
  <c r="AB1058" i="21"/>
  <c r="AB1057" i="21"/>
  <c r="AB1055" i="21"/>
  <c r="AB1054" i="21"/>
  <c r="AB1053" i="21"/>
  <c r="AB1051" i="21"/>
  <c r="AB1050" i="21"/>
  <c r="AB1049" i="21"/>
  <c r="AB1048" i="21"/>
  <c r="AB1046" i="21"/>
  <c r="AB1045" i="21"/>
  <c r="AB1044" i="21"/>
  <c r="AB1043" i="21"/>
  <c r="AB1042" i="21"/>
  <c r="AB1039" i="21"/>
  <c r="AB1038" i="21"/>
  <c r="AB1037" i="21"/>
  <c r="AB1036" i="21"/>
  <c r="AB1035" i="21"/>
  <c r="AB1034" i="21"/>
  <c r="AB1033" i="21"/>
  <c r="AB1032" i="21"/>
  <c r="AB1031" i="21"/>
  <c r="AB1030" i="21"/>
  <c r="AB1029" i="21"/>
  <c r="AB1025" i="21"/>
  <c r="AB1024" i="21"/>
  <c r="AB1023" i="21"/>
  <c r="AB1022" i="21"/>
  <c r="AB1020" i="21"/>
  <c r="AB1019" i="21"/>
  <c r="AB1018" i="21"/>
  <c r="AB1017" i="21"/>
  <c r="AB1016" i="21"/>
  <c r="AB1014" i="21"/>
  <c r="AB1013" i="21"/>
  <c r="AB1012" i="21"/>
  <c r="AB1010" i="21"/>
  <c r="AB1009" i="21"/>
  <c r="AB1008" i="21"/>
  <c r="AB1007" i="21"/>
  <c r="AB1005" i="21"/>
  <c r="AB1004" i="21"/>
  <c r="AB1003" i="21"/>
  <c r="AB1002" i="21"/>
  <c r="AB1001" i="21"/>
  <c r="AB999" i="21"/>
  <c r="AB998" i="21"/>
  <c r="AB997" i="21"/>
  <c r="AB996" i="21"/>
  <c r="AB995" i="21"/>
  <c r="AB994" i="21"/>
  <c r="AB993" i="21"/>
  <c r="AB992" i="21"/>
  <c r="AB991" i="21"/>
  <c r="AB990" i="21"/>
  <c r="AB987" i="21"/>
  <c r="AB986" i="21"/>
  <c r="AB985" i="21"/>
  <c r="AB984" i="21"/>
  <c r="AB982" i="21"/>
  <c r="AB981" i="21"/>
  <c r="AB980" i="21"/>
  <c r="AB979" i="21"/>
  <c r="AB978" i="21"/>
  <c r="AB976" i="21"/>
  <c r="AB975" i="21"/>
  <c r="AB974" i="21"/>
  <c r="AB972" i="21"/>
  <c r="AB971" i="21"/>
  <c r="AB970" i="21"/>
  <c r="AB969" i="21"/>
  <c r="AB967" i="21"/>
  <c r="AB966" i="21"/>
  <c r="AB965" i="21"/>
  <c r="AB964" i="21"/>
  <c r="AB963" i="21"/>
  <c r="AB961" i="21"/>
  <c r="AB960" i="21"/>
  <c r="AB959" i="21"/>
  <c r="AB957" i="21"/>
  <c r="AB956" i="21"/>
  <c r="AB955" i="21"/>
  <c r="AB954" i="21"/>
  <c r="AB952" i="21"/>
  <c r="AB951" i="21"/>
  <c r="AB947" i="21"/>
  <c r="AB946" i="21"/>
  <c r="AB945" i="21"/>
  <c r="AB943" i="21"/>
  <c r="AB942" i="21"/>
  <c r="AB941" i="21"/>
  <c r="AB940" i="21"/>
  <c r="AB939" i="21"/>
  <c r="AB938" i="21"/>
  <c r="AB937" i="21"/>
  <c r="AB936" i="21"/>
  <c r="AB935" i="21"/>
  <c r="AB934" i="21"/>
  <c r="AB933" i="21"/>
  <c r="AB932" i="21"/>
  <c r="AB931" i="21"/>
  <c r="AB930" i="21"/>
  <c r="AB929" i="21"/>
  <c r="AB928" i="21"/>
  <c r="AB927" i="21"/>
  <c r="AB926" i="21"/>
  <c r="AB924" i="21"/>
  <c r="AB923" i="21"/>
  <c r="AB922" i="21"/>
  <c r="AB921" i="21"/>
  <c r="AB920" i="21"/>
  <c r="AB919" i="21"/>
  <c r="AB918" i="21"/>
  <c r="AB917" i="21"/>
  <c r="AB916" i="21"/>
  <c r="AB915" i="21"/>
  <c r="AB914" i="21"/>
  <c r="AB913" i="21"/>
  <c r="AB912" i="21"/>
  <c r="AB911" i="21"/>
  <c r="AB910" i="21"/>
  <c r="AB909" i="21"/>
  <c r="AB908" i="21"/>
  <c r="AB907" i="21"/>
  <c r="AB903" i="21"/>
  <c r="AB902" i="21"/>
  <c r="AB900" i="21"/>
  <c r="AB899" i="21"/>
  <c r="AB897" i="21"/>
  <c r="AB895" i="21"/>
  <c r="AB894" i="21"/>
  <c r="AB892" i="21"/>
  <c r="AB891" i="21"/>
  <c r="AB888" i="21"/>
  <c r="AB885" i="21"/>
  <c r="AB884" i="21"/>
  <c r="AB882" i="21"/>
  <c r="AB881" i="21"/>
  <c r="AB879" i="21"/>
  <c r="AB878" i="21"/>
  <c r="AB875" i="21"/>
  <c r="AB874" i="21"/>
  <c r="AB872" i="21"/>
  <c r="AB871" i="21"/>
  <c r="AB869" i="21"/>
  <c r="AB868" i="21"/>
  <c r="AB865" i="21"/>
  <c r="AB864" i="21"/>
  <c r="AB862" i="21"/>
  <c r="AB861" i="21"/>
  <c r="AB859" i="21"/>
  <c r="AB858" i="21"/>
  <c r="AB855" i="21"/>
  <c r="AB854" i="21"/>
  <c r="AB852" i="21"/>
  <c r="AB851" i="21"/>
  <c r="AB845" i="21"/>
  <c r="AB844" i="21"/>
  <c r="AB842" i="21"/>
  <c r="AB841" i="21"/>
  <c r="AB840" i="21"/>
  <c r="AB839" i="21"/>
  <c r="AB837" i="21"/>
  <c r="AB836" i="21"/>
  <c r="AB835" i="21"/>
  <c r="AB828" i="21"/>
  <c r="AB827" i="21"/>
  <c r="AB821" i="21"/>
  <c r="AB820" i="21"/>
  <c r="AB817" i="21"/>
  <c r="AB816" i="21"/>
  <c r="AB815" i="21"/>
  <c r="AB814" i="21"/>
  <c r="AB806" i="21"/>
  <c r="AB805" i="21"/>
  <c r="AB799" i="21"/>
  <c r="AB798" i="21"/>
  <c r="AB796" i="21"/>
  <c r="AB795" i="21"/>
  <c r="AB794" i="21"/>
  <c r="AB793" i="21"/>
  <c r="AB786" i="21"/>
  <c r="AB785" i="21"/>
  <c r="AB777" i="21"/>
  <c r="AB776" i="21"/>
  <c r="AB773" i="21"/>
  <c r="AB772" i="21"/>
  <c r="AB771" i="21"/>
  <c r="AB770" i="21"/>
  <c r="AB756" i="21"/>
  <c r="AB755" i="21"/>
  <c r="AB753" i="21"/>
  <c r="AB752" i="21"/>
  <c r="AB751" i="21"/>
  <c r="AB750" i="21"/>
  <c r="AB749" i="21"/>
  <c r="AB748" i="21"/>
  <c r="AB746" i="21"/>
  <c r="AB745" i="21"/>
  <c r="AB744" i="21"/>
  <c r="AB743" i="21"/>
  <c r="AB740" i="21"/>
  <c r="AB739" i="21"/>
  <c r="AB727" i="21"/>
  <c r="AB726" i="21"/>
  <c r="AB723" i="21"/>
  <c r="AB722" i="21"/>
  <c r="AB721" i="21"/>
  <c r="AB720" i="21"/>
  <c r="AB713" i="21"/>
  <c r="AB712" i="21"/>
  <c r="AB704" i="21"/>
  <c r="AB703" i="21"/>
  <c r="AB700" i="21"/>
  <c r="AB699" i="21"/>
  <c r="AB698" i="21"/>
  <c r="AB697" i="21"/>
  <c r="AB690" i="21"/>
  <c r="AB689" i="21"/>
  <c r="AB681" i="21"/>
  <c r="AB680" i="21"/>
  <c r="AB677" i="21"/>
  <c r="AB676" i="21"/>
  <c r="AB675" i="21"/>
  <c r="AB674" i="21"/>
  <c r="AB667" i="21"/>
  <c r="AB666" i="21"/>
  <c r="AB658" i="21"/>
  <c r="AB657" i="21"/>
  <c r="AB654" i="21"/>
  <c r="AB653" i="21"/>
  <c r="AB652" i="21"/>
  <c r="AB651" i="21"/>
  <c r="AB644" i="21"/>
  <c r="AB643" i="21"/>
  <c r="AB635" i="21"/>
  <c r="AB634" i="21"/>
  <c r="AB631" i="21"/>
  <c r="AB630" i="21"/>
  <c r="AB629" i="21"/>
  <c r="AB628" i="21"/>
  <c r="AB621" i="21"/>
  <c r="AB620" i="21"/>
  <c r="AB611" i="21"/>
  <c r="AB610" i="21"/>
  <c r="AB607" i="21"/>
  <c r="AB606" i="21"/>
  <c r="AB605" i="21"/>
  <c r="AB604" i="21"/>
  <c r="AB596" i="21"/>
  <c r="AB595" i="21"/>
  <c r="AB586" i="21"/>
  <c r="AB585" i="21"/>
  <c r="AB580" i="21"/>
  <c r="AB579" i="21"/>
  <c r="AB578" i="21"/>
  <c r="AB577" i="21"/>
  <c r="AB576" i="21"/>
  <c r="AB575" i="21"/>
  <c r="AB574" i="21"/>
  <c r="AB573" i="21"/>
  <c r="AB572" i="21"/>
  <c r="AB569" i="21"/>
  <c r="AB568" i="21"/>
  <c r="AB567" i="21"/>
  <c r="AB565" i="21"/>
  <c r="AB564" i="21"/>
  <c r="AB563" i="21"/>
  <c r="AB562" i="21"/>
  <c r="AB561" i="21"/>
  <c r="AB560" i="21"/>
  <c r="AB559" i="21"/>
  <c r="AB558" i="21"/>
  <c r="AB557" i="21"/>
  <c r="AB554" i="21"/>
  <c r="AB553" i="21"/>
  <c r="AB552" i="21"/>
  <c r="AB551" i="21"/>
  <c r="AB549" i="21"/>
  <c r="AB548" i="21"/>
  <c r="AB547" i="21"/>
  <c r="AB544" i="21"/>
  <c r="AB543" i="21"/>
  <c r="AB542" i="21"/>
  <c r="AB541" i="21"/>
  <c r="AB540" i="21"/>
  <c r="AB539" i="21"/>
  <c r="AB538" i="21"/>
  <c r="AB535" i="21"/>
  <c r="AB534" i="21"/>
  <c r="AB533" i="21"/>
  <c r="AB531" i="21"/>
  <c r="AB530" i="21"/>
  <c r="AB529" i="21"/>
  <c r="AB528" i="21"/>
  <c r="AB527" i="21"/>
  <c r="AB526" i="21"/>
  <c r="AB525" i="21"/>
  <c r="AB522" i="21"/>
  <c r="AB520" i="21"/>
  <c r="AB519" i="21"/>
  <c r="AB518" i="21"/>
  <c r="AB517" i="21"/>
  <c r="AB516" i="21"/>
  <c r="AB515" i="21"/>
  <c r="AB513" i="21"/>
  <c r="AB512" i="21"/>
  <c r="AB511" i="21"/>
  <c r="AB509" i="21"/>
  <c r="AB508" i="21"/>
  <c r="AB507" i="21"/>
  <c r="AB506" i="21"/>
  <c r="AB504" i="21"/>
  <c r="AB503" i="21"/>
  <c r="AB502" i="21"/>
  <c r="AB499" i="21"/>
  <c r="AB498" i="21"/>
  <c r="AB497" i="21"/>
  <c r="AB496" i="21"/>
  <c r="AB494" i="21"/>
  <c r="AB493" i="21"/>
  <c r="AB492" i="21"/>
  <c r="AB491" i="21"/>
  <c r="AB490" i="21"/>
  <c r="AB489" i="21"/>
  <c r="AB487" i="21"/>
  <c r="AB486" i="21"/>
  <c r="AB485" i="21"/>
  <c r="AB484" i="21"/>
  <c r="AB483" i="21"/>
  <c r="AB482" i="21"/>
  <c r="AB478" i="21"/>
  <c r="AB477" i="21"/>
  <c r="AB476" i="21"/>
  <c r="AB474" i="21"/>
  <c r="AB473" i="21"/>
  <c r="AB472" i="21"/>
  <c r="AB471" i="21"/>
  <c r="AB470" i="21"/>
  <c r="AB469" i="21"/>
  <c r="AB461" i="21"/>
  <c r="AB460" i="21"/>
  <c r="AB452" i="21"/>
  <c r="AB451" i="21"/>
  <c r="AB448" i="21"/>
  <c r="AB447" i="21"/>
  <c r="AB446" i="21"/>
  <c r="AB445" i="21"/>
  <c r="AB444" i="21"/>
  <c r="AB443" i="21"/>
  <c r="AB436" i="21"/>
  <c r="AB435" i="21"/>
  <c r="AB427" i="21"/>
  <c r="AB426" i="21"/>
  <c r="AB423" i="21"/>
  <c r="AB422" i="21"/>
  <c r="AB421" i="21"/>
  <c r="AB420" i="21"/>
  <c r="AB419" i="21"/>
  <c r="AB418" i="21"/>
  <c r="AB411" i="21"/>
  <c r="AB410" i="21"/>
  <c r="AB402" i="21"/>
  <c r="AB401" i="21"/>
  <c r="AB398" i="21"/>
  <c r="AB397" i="21"/>
  <c r="AB396" i="21"/>
  <c r="AB395" i="21"/>
  <c r="AB394" i="21"/>
  <c r="AB393" i="21"/>
  <c r="AB386" i="21"/>
  <c r="AB385" i="21"/>
  <c r="AB377" i="21"/>
  <c r="AB376" i="21"/>
  <c r="AB373" i="21"/>
  <c r="AB372" i="21"/>
  <c r="AB371" i="21"/>
  <c r="AB370" i="21"/>
  <c r="AB369" i="21"/>
  <c r="AB368" i="21"/>
  <c r="AB361" i="21"/>
  <c r="AB360" i="21"/>
  <c r="AB352" i="21"/>
  <c r="AB351" i="21"/>
  <c r="AB348" i="21"/>
  <c r="AB347" i="21"/>
  <c r="AB346" i="21"/>
  <c r="AB345" i="21"/>
  <c r="AB344" i="21"/>
  <c r="AB343" i="21"/>
  <c r="AB336" i="21"/>
  <c r="AB335" i="21"/>
  <c r="AB327" i="21"/>
  <c r="AB326" i="21"/>
  <c r="AB323" i="21"/>
  <c r="AB322" i="21"/>
  <c r="AB321" i="21"/>
  <c r="AB320" i="21"/>
  <c r="AB319" i="21"/>
  <c r="AB318" i="21"/>
  <c r="AB311" i="21"/>
  <c r="AB310" i="21"/>
  <c r="AB302" i="21"/>
  <c r="AB301" i="21"/>
  <c r="AB298" i="21"/>
  <c r="AB297" i="21"/>
  <c r="AB296" i="21"/>
  <c r="AB295" i="21"/>
  <c r="AB294" i="21"/>
  <c r="AB293" i="21"/>
  <c r="AB286" i="21"/>
  <c r="AB285" i="21"/>
  <c r="AB277" i="21"/>
  <c r="AB276" i="21"/>
  <c r="AB271" i="21"/>
  <c r="AB270" i="21"/>
  <c r="AB269" i="21"/>
  <c r="AB268" i="21"/>
  <c r="AB267" i="21"/>
  <c r="AB266" i="21"/>
  <c r="AB264" i="21"/>
  <c r="AB263" i="21"/>
  <c r="AB262" i="21"/>
  <c r="AB261" i="21"/>
  <c r="AB260" i="21"/>
  <c r="AB259" i="21"/>
  <c r="AB254" i="21"/>
  <c r="AB253" i="21"/>
  <c r="AB249" i="21"/>
  <c r="AB248" i="21"/>
  <c r="AB245" i="21"/>
  <c r="AB244" i="21"/>
  <c r="AB243" i="21"/>
  <c r="AB242" i="21"/>
  <c r="AB241" i="21"/>
  <c r="AB240" i="21"/>
  <c r="AB236" i="21"/>
  <c r="AB235" i="21"/>
  <c r="AB231" i="21"/>
  <c r="AB230" i="21"/>
  <c r="AB226" i="21"/>
  <c r="AB225" i="21"/>
  <c r="AB224" i="21"/>
  <c r="AB223" i="21"/>
  <c r="AB222" i="21"/>
  <c r="AB221" i="21"/>
  <c r="AB217" i="21"/>
  <c r="AB216" i="21"/>
  <c r="AB212" i="21"/>
  <c r="AB211" i="21"/>
  <c r="AB208" i="21"/>
  <c r="AB207" i="21"/>
  <c r="AB206" i="21"/>
  <c r="AB205" i="21"/>
  <c r="AB204" i="21"/>
  <c r="AB203" i="21"/>
  <c r="AB199" i="21"/>
  <c r="AB198" i="21"/>
  <c r="AB194" i="21"/>
  <c r="AB193" i="21"/>
  <c r="AB189" i="21"/>
  <c r="AB188" i="21"/>
  <c r="AB187" i="21"/>
  <c r="AB186" i="21"/>
  <c r="AB185" i="21"/>
  <c r="AB184" i="21"/>
  <c r="AB180" i="21"/>
  <c r="AB179" i="21"/>
  <c r="AB176" i="21"/>
  <c r="AB175" i="21"/>
  <c r="AB174" i="21"/>
  <c r="AB173" i="21"/>
  <c r="AB172" i="21"/>
  <c r="AB171" i="21"/>
  <c r="AB167" i="21"/>
  <c r="AB166" i="21"/>
  <c r="AB161" i="21"/>
  <c r="AB160" i="21"/>
  <c r="AB157" i="21"/>
  <c r="AB156" i="21"/>
  <c r="AB155" i="21"/>
  <c r="AB154" i="21"/>
  <c r="AB153" i="21"/>
  <c r="AB152" i="21"/>
  <c r="AB148" i="21"/>
  <c r="AB147" i="21"/>
  <c r="AB141" i="21"/>
  <c r="AB140" i="21"/>
  <c r="AB139" i="21"/>
  <c r="AB138" i="21"/>
  <c r="AB137" i="21"/>
  <c r="AB136" i="21"/>
  <c r="AB135" i="21"/>
  <c r="AB134" i="21"/>
  <c r="AB132" i="21"/>
  <c r="AB131" i="21"/>
  <c r="AB130" i="21"/>
  <c r="AB129" i="21"/>
  <c r="AB128" i="21"/>
  <c r="AB127" i="21"/>
  <c r="AB126" i="21"/>
  <c r="AB125" i="21"/>
  <c r="AB124" i="21"/>
  <c r="AB123" i="21"/>
  <c r="AB122" i="21"/>
  <c r="AB120" i="21"/>
  <c r="AB119" i="21"/>
  <c r="AB118" i="21"/>
  <c r="AB116" i="21"/>
  <c r="AB115" i="21"/>
  <c r="AB114" i="21"/>
  <c r="AB112" i="21"/>
  <c r="AB111" i="21"/>
  <c r="AB110" i="21"/>
  <c r="AB109" i="21"/>
  <c r="AB108" i="21"/>
  <c r="AB107" i="21"/>
  <c r="AB106" i="21"/>
  <c r="AB105" i="21"/>
  <c r="AB104" i="21"/>
  <c r="AB103" i="21"/>
  <c r="AB101" i="21"/>
  <c r="AB100" i="21"/>
  <c r="AB97" i="21"/>
  <c r="AB96" i="21"/>
  <c r="AB95" i="21"/>
  <c r="AB93" i="21"/>
  <c r="AB92" i="21"/>
  <c r="AB91" i="21"/>
  <c r="AB90" i="21"/>
  <c r="AB89" i="21"/>
  <c r="AB88" i="21"/>
  <c r="AB86" i="21"/>
  <c r="AB85" i="21"/>
  <c r="AB82" i="21"/>
  <c r="AB81" i="21"/>
  <c r="AB80" i="21"/>
  <c r="AB79" i="21"/>
  <c r="AB70" i="21"/>
  <c r="AB69" i="21"/>
  <c r="AB68" i="21"/>
  <c r="AB67" i="21"/>
  <c r="AB65" i="21"/>
  <c r="AB64" i="21"/>
  <c r="AB62" i="21"/>
  <c r="AB61" i="21"/>
  <c r="AB60" i="21"/>
  <c r="AB59" i="21"/>
  <c r="AB57" i="21"/>
  <c r="AB56" i="21"/>
  <c r="AB52" i="21"/>
  <c r="AB51" i="21"/>
  <c r="AB50" i="21"/>
  <c r="AB48" i="21"/>
  <c r="AB46" i="21"/>
  <c r="AB45" i="21"/>
  <c r="AB42" i="21"/>
  <c r="AB37" i="21"/>
  <c r="AB36" i="21"/>
  <c r="AB34" i="21"/>
  <c r="AB33" i="21"/>
  <c r="AB32" i="21"/>
  <c r="AB31" i="21"/>
  <c r="AB28" i="21"/>
  <c r="AB27" i="21"/>
  <c r="AB26" i="21"/>
  <c r="AB25" i="21"/>
  <c r="AB24" i="21"/>
  <c r="AB22" i="21"/>
  <c r="AB21" i="21"/>
  <c r="AB20" i="21"/>
  <c r="AB19" i="21"/>
  <c r="AB18" i="21"/>
  <c r="AB15" i="21"/>
  <c r="AB14" i="21"/>
  <c r="O1064" i="21"/>
  <c r="O932" i="21"/>
  <c r="M1064" i="21"/>
  <c r="I1495" i="14"/>
  <c r="N1318" i="21" s="1"/>
  <c r="I589" i="14"/>
  <c r="I860" i="14"/>
  <c r="N752" i="21" s="1"/>
  <c r="I857" i="14"/>
  <c r="N749" i="21" s="1"/>
  <c r="N1071" i="21"/>
  <c r="G128" i="14"/>
  <c r="G135" i="14"/>
  <c r="I125" i="14"/>
  <c r="N123" i="21" s="1"/>
  <c r="R123" i="21" s="1"/>
  <c r="I121" i="14"/>
  <c r="N119" i="21" s="1"/>
  <c r="R119" i="21" s="1"/>
  <c r="I117" i="14"/>
  <c r="N115" i="21" s="1"/>
  <c r="R115" i="21" s="1"/>
  <c r="M25" i="21"/>
  <c r="N25" i="21"/>
  <c r="O25" i="21"/>
  <c r="M28" i="21"/>
  <c r="N28" i="21"/>
  <c r="O28" i="21"/>
  <c r="M59" i="21"/>
  <c r="N59" i="21"/>
  <c r="O59" i="21"/>
  <c r="M64" i="21"/>
  <c r="N64" i="21"/>
  <c r="O64" i="21"/>
  <c r="M70" i="21"/>
  <c r="N70" i="21"/>
  <c r="O70" i="21"/>
  <c r="M88" i="21"/>
  <c r="N88" i="21"/>
  <c r="O88" i="21"/>
  <c r="M90" i="21"/>
  <c r="N90" i="21"/>
  <c r="O90" i="21"/>
  <c r="M93" i="21"/>
  <c r="N93" i="21"/>
  <c r="O93" i="21"/>
  <c r="M96" i="21"/>
  <c r="N96" i="21"/>
  <c r="O96" i="21"/>
  <c r="M101" i="21"/>
  <c r="N101" i="21"/>
  <c r="O101" i="21"/>
  <c r="M105" i="21"/>
  <c r="N105" i="21"/>
  <c r="O105" i="21"/>
  <c r="M106" i="21"/>
  <c r="N106" i="21"/>
  <c r="O106" i="21"/>
  <c r="M107" i="21"/>
  <c r="N107" i="21"/>
  <c r="O107" i="21"/>
  <c r="M108" i="21"/>
  <c r="N108" i="21"/>
  <c r="O108" i="21"/>
  <c r="M110" i="21"/>
  <c r="N110" i="21"/>
  <c r="O110" i="21"/>
  <c r="M111" i="21"/>
  <c r="N111" i="21"/>
  <c r="O111" i="21"/>
  <c r="M112" i="21"/>
  <c r="N112" i="21"/>
  <c r="O112" i="21"/>
  <c r="M114" i="21"/>
  <c r="N114" i="21"/>
  <c r="O114" i="21"/>
  <c r="M116" i="21"/>
  <c r="N116" i="21"/>
  <c r="O116" i="21"/>
  <c r="M118" i="21"/>
  <c r="N118" i="21"/>
  <c r="O118" i="21"/>
  <c r="M120" i="21"/>
  <c r="N120" i="21"/>
  <c r="O120" i="21"/>
  <c r="M122" i="21"/>
  <c r="N122" i="21"/>
  <c r="O122" i="21"/>
  <c r="M124" i="21"/>
  <c r="N124" i="21"/>
  <c r="O124" i="21"/>
  <c r="M125" i="21"/>
  <c r="N125" i="21"/>
  <c r="O125" i="21"/>
  <c r="M126" i="21"/>
  <c r="N126" i="21"/>
  <c r="O126" i="21"/>
  <c r="M127" i="21"/>
  <c r="N127" i="21"/>
  <c r="O127" i="21"/>
  <c r="M128" i="21"/>
  <c r="N128" i="21"/>
  <c r="O128" i="21"/>
  <c r="M131" i="21"/>
  <c r="N131" i="21"/>
  <c r="O131" i="21"/>
  <c r="M132" i="21"/>
  <c r="N132" i="21"/>
  <c r="O132" i="21"/>
  <c r="M134" i="21"/>
  <c r="N134" i="21"/>
  <c r="O134" i="21"/>
  <c r="M136" i="21"/>
  <c r="N136" i="21"/>
  <c r="O136" i="21"/>
  <c r="M137" i="21"/>
  <c r="N137" i="21"/>
  <c r="O137" i="21"/>
  <c r="M139" i="21"/>
  <c r="N139" i="21"/>
  <c r="O139" i="21"/>
  <c r="M140" i="21"/>
  <c r="N140" i="21"/>
  <c r="O140" i="21"/>
  <c r="M141" i="21"/>
  <c r="N141" i="21"/>
  <c r="O141" i="21"/>
  <c r="M152" i="21"/>
  <c r="N152" i="21"/>
  <c r="O152" i="21"/>
  <c r="M154" i="21"/>
  <c r="N154" i="21"/>
  <c r="O154" i="21"/>
  <c r="M155" i="21"/>
  <c r="N155" i="21"/>
  <c r="O155" i="21"/>
  <c r="M157" i="21"/>
  <c r="N157" i="21"/>
  <c r="O157" i="21"/>
  <c r="M171" i="21"/>
  <c r="N171" i="21"/>
  <c r="O171" i="21"/>
  <c r="M173" i="21"/>
  <c r="N173" i="21"/>
  <c r="O173" i="21"/>
  <c r="M176" i="21"/>
  <c r="N176" i="21"/>
  <c r="O176" i="21"/>
  <c r="M184" i="21"/>
  <c r="N184" i="21"/>
  <c r="O184" i="21"/>
  <c r="M186" i="21"/>
  <c r="N186" i="21"/>
  <c r="O186" i="21"/>
  <c r="M189" i="21"/>
  <c r="N189" i="21"/>
  <c r="O189" i="21"/>
  <c r="M203" i="21"/>
  <c r="N203" i="21"/>
  <c r="O203" i="21"/>
  <c r="M205" i="21"/>
  <c r="N205" i="21"/>
  <c r="O205" i="21"/>
  <c r="M208" i="21"/>
  <c r="N208" i="21"/>
  <c r="O208" i="21"/>
  <c r="M221" i="21"/>
  <c r="N221" i="21"/>
  <c r="O221" i="21"/>
  <c r="M223" i="21"/>
  <c r="N223" i="21"/>
  <c r="O223" i="21"/>
  <c r="M226" i="21"/>
  <c r="N226" i="21"/>
  <c r="O226" i="21"/>
  <c r="M240" i="21"/>
  <c r="N240" i="21"/>
  <c r="O240" i="21"/>
  <c r="M242" i="21"/>
  <c r="N242" i="21"/>
  <c r="O242" i="21"/>
  <c r="M245" i="21"/>
  <c r="N245" i="21"/>
  <c r="O245" i="21"/>
  <c r="M259" i="21"/>
  <c r="N259" i="21"/>
  <c r="O259" i="21"/>
  <c r="M261" i="21"/>
  <c r="N261" i="21"/>
  <c r="O261" i="21"/>
  <c r="M264" i="21"/>
  <c r="N264" i="21"/>
  <c r="O264" i="21"/>
  <c r="M266" i="21"/>
  <c r="N266" i="21"/>
  <c r="O266" i="21"/>
  <c r="M268" i="21"/>
  <c r="N268" i="21"/>
  <c r="O268" i="21"/>
  <c r="M269" i="21"/>
  <c r="N269" i="21"/>
  <c r="O269" i="21"/>
  <c r="M271" i="21"/>
  <c r="N271" i="21"/>
  <c r="O271" i="21"/>
  <c r="M293" i="21"/>
  <c r="N293" i="21"/>
  <c r="O293" i="21"/>
  <c r="M295" i="21"/>
  <c r="N295" i="21"/>
  <c r="O295" i="21"/>
  <c r="M298" i="21"/>
  <c r="N298" i="21"/>
  <c r="O298" i="21"/>
  <c r="M318" i="21"/>
  <c r="N318" i="21"/>
  <c r="O318" i="21"/>
  <c r="M320" i="21"/>
  <c r="N320" i="21"/>
  <c r="O320" i="21"/>
  <c r="M323" i="21"/>
  <c r="N323" i="21"/>
  <c r="O323" i="21"/>
  <c r="M343" i="21"/>
  <c r="N343" i="21"/>
  <c r="O343" i="21"/>
  <c r="M345" i="21"/>
  <c r="N345" i="21"/>
  <c r="O345" i="21"/>
  <c r="M348" i="21"/>
  <c r="N348" i="21"/>
  <c r="O348" i="21"/>
  <c r="M368" i="21"/>
  <c r="N368" i="21"/>
  <c r="O368" i="21"/>
  <c r="M370" i="21"/>
  <c r="N370" i="21"/>
  <c r="O370" i="21"/>
  <c r="M373" i="21"/>
  <c r="N373" i="21"/>
  <c r="O373" i="21"/>
  <c r="M393" i="21"/>
  <c r="N393" i="21"/>
  <c r="O393" i="21"/>
  <c r="M395" i="21"/>
  <c r="N395" i="21"/>
  <c r="O395" i="21"/>
  <c r="M398" i="21"/>
  <c r="N398" i="21"/>
  <c r="O398" i="21"/>
  <c r="M418" i="21"/>
  <c r="N418" i="21"/>
  <c r="O418" i="21"/>
  <c r="M420" i="21"/>
  <c r="N420" i="21"/>
  <c r="O420" i="21"/>
  <c r="M423" i="21"/>
  <c r="N423" i="21"/>
  <c r="O423" i="21"/>
  <c r="M443" i="21"/>
  <c r="N443" i="21"/>
  <c r="O443" i="21"/>
  <c r="M445" i="21"/>
  <c r="N445" i="21"/>
  <c r="O445" i="21"/>
  <c r="M448" i="21"/>
  <c r="N448" i="21"/>
  <c r="O448" i="21"/>
  <c r="M469" i="21"/>
  <c r="N469" i="21"/>
  <c r="O469" i="21"/>
  <c r="M471" i="21"/>
  <c r="N471" i="21"/>
  <c r="O471" i="21"/>
  <c r="M472" i="21"/>
  <c r="N472" i="21"/>
  <c r="O472" i="21"/>
  <c r="M474" i="21"/>
  <c r="N474" i="21"/>
  <c r="O474" i="21"/>
  <c r="M476" i="21"/>
  <c r="N476" i="21"/>
  <c r="O476" i="21"/>
  <c r="M478" i="21"/>
  <c r="N478" i="21"/>
  <c r="O478" i="21"/>
  <c r="M482" i="21"/>
  <c r="N482" i="21"/>
  <c r="O482" i="21"/>
  <c r="M484" i="21"/>
  <c r="N484" i="21"/>
  <c r="O484" i="21"/>
  <c r="M485" i="21"/>
  <c r="N485" i="21"/>
  <c r="O485" i="21"/>
  <c r="M487" i="21"/>
  <c r="N487" i="21"/>
  <c r="O487" i="21"/>
  <c r="M489" i="21"/>
  <c r="N489" i="21"/>
  <c r="O489" i="21"/>
  <c r="M491" i="21"/>
  <c r="N491" i="21"/>
  <c r="O491" i="21"/>
  <c r="M492" i="21"/>
  <c r="N492" i="21"/>
  <c r="O492" i="21"/>
  <c r="M494" i="21"/>
  <c r="N494" i="21"/>
  <c r="O494" i="21"/>
  <c r="M496" i="21"/>
  <c r="N496" i="21"/>
  <c r="O496" i="21"/>
  <c r="M497" i="21"/>
  <c r="N497" i="21"/>
  <c r="O497" i="21"/>
  <c r="M507" i="21"/>
  <c r="N507" i="21"/>
  <c r="O507" i="21"/>
  <c r="M508" i="21"/>
  <c r="N508" i="21"/>
  <c r="O508" i="21"/>
  <c r="M509" i="21"/>
  <c r="N509" i="21"/>
  <c r="O509" i="21"/>
  <c r="M511" i="21"/>
  <c r="N511" i="21"/>
  <c r="O511" i="21"/>
  <c r="M513" i="21"/>
  <c r="N513" i="21"/>
  <c r="O513" i="21"/>
  <c r="M515" i="21"/>
  <c r="N515" i="21"/>
  <c r="O515" i="21"/>
  <c r="M517" i="21"/>
  <c r="N517" i="21"/>
  <c r="O517" i="21"/>
  <c r="M518" i="21"/>
  <c r="N518" i="21"/>
  <c r="O518" i="21"/>
  <c r="M519" i="21"/>
  <c r="N519" i="21"/>
  <c r="O519" i="21"/>
  <c r="M520" i="21"/>
  <c r="N520" i="21"/>
  <c r="O520" i="21"/>
  <c r="M522" i="21"/>
  <c r="N522" i="21"/>
  <c r="O522" i="21"/>
  <c r="M525" i="21"/>
  <c r="N525" i="21"/>
  <c r="O525" i="21"/>
  <c r="M527" i="21"/>
  <c r="N527" i="21"/>
  <c r="O527" i="21"/>
  <c r="M528" i="21"/>
  <c r="N528" i="21"/>
  <c r="O528" i="21"/>
  <c r="M529" i="21"/>
  <c r="N529" i="21"/>
  <c r="O529" i="21"/>
  <c r="M530" i="21"/>
  <c r="N530" i="21"/>
  <c r="O530" i="21"/>
  <c r="M531" i="21"/>
  <c r="N531" i="21"/>
  <c r="O531" i="21"/>
  <c r="M533" i="21"/>
  <c r="N533" i="21"/>
  <c r="O533" i="21"/>
  <c r="M535" i="21"/>
  <c r="N535" i="21"/>
  <c r="O535" i="21"/>
  <c r="M538" i="21"/>
  <c r="N538" i="21"/>
  <c r="O538" i="21"/>
  <c r="M540" i="21"/>
  <c r="N540" i="21"/>
  <c r="O540" i="21"/>
  <c r="M541" i="21"/>
  <c r="N541" i="21"/>
  <c r="O541" i="21"/>
  <c r="M542" i="21"/>
  <c r="N542" i="21"/>
  <c r="O542" i="21"/>
  <c r="M543" i="21"/>
  <c r="N543" i="21"/>
  <c r="O543" i="21"/>
  <c r="M544" i="21"/>
  <c r="N544" i="21"/>
  <c r="O544" i="21"/>
  <c r="M547" i="21"/>
  <c r="N547" i="21"/>
  <c r="O547" i="21"/>
  <c r="M549" i="21"/>
  <c r="N549" i="21"/>
  <c r="O549" i="21"/>
  <c r="M551" i="21"/>
  <c r="N551" i="21"/>
  <c r="O551" i="21"/>
  <c r="M552" i="21"/>
  <c r="N552" i="21"/>
  <c r="O552" i="21"/>
  <c r="M553" i="21"/>
  <c r="N553" i="21"/>
  <c r="O553" i="21"/>
  <c r="M554" i="21"/>
  <c r="N554" i="21"/>
  <c r="O554" i="21"/>
  <c r="M557" i="21"/>
  <c r="N557" i="21"/>
  <c r="O557" i="21"/>
  <c r="M559" i="21"/>
  <c r="N559" i="21"/>
  <c r="O559" i="21"/>
  <c r="M560" i="21"/>
  <c r="N560" i="21"/>
  <c r="O560" i="21"/>
  <c r="M562" i="21"/>
  <c r="N562" i="21"/>
  <c r="O562" i="21"/>
  <c r="M563" i="21"/>
  <c r="N563" i="21"/>
  <c r="O563" i="21"/>
  <c r="M565" i="21"/>
  <c r="N565" i="21"/>
  <c r="O565" i="21"/>
  <c r="M567" i="21"/>
  <c r="N567" i="21"/>
  <c r="O567" i="21"/>
  <c r="M569" i="21"/>
  <c r="N569" i="21"/>
  <c r="O569" i="21"/>
  <c r="M572" i="21"/>
  <c r="N572" i="21"/>
  <c r="O572" i="21"/>
  <c r="M574" i="21"/>
  <c r="N574" i="21"/>
  <c r="O574" i="21"/>
  <c r="M575" i="21"/>
  <c r="N575" i="21"/>
  <c r="O575" i="21"/>
  <c r="M577" i="21"/>
  <c r="N577" i="21"/>
  <c r="O577" i="21"/>
  <c r="M578" i="21"/>
  <c r="N578" i="21"/>
  <c r="O578" i="21"/>
  <c r="M580" i="21"/>
  <c r="N580" i="21"/>
  <c r="O580" i="21"/>
  <c r="M604" i="21"/>
  <c r="N604" i="21"/>
  <c r="O604" i="21"/>
  <c r="M607" i="21"/>
  <c r="N607" i="21"/>
  <c r="O607" i="21"/>
  <c r="M628" i="21"/>
  <c r="N628" i="21"/>
  <c r="O628" i="21"/>
  <c r="M631" i="21"/>
  <c r="N631" i="21"/>
  <c r="O631" i="21"/>
  <c r="M651" i="21"/>
  <c r="N651" i="21"/>
  <c r="O651" i="21"/>
  <c r="M654" i="21"/>
  <c r="N654" i="21"/>
  <c r="O654" i="21"/>
  <c r="M674" i="21"/>
  <c r="N674" i="21"/>
  <c r="O674" i="21"/>
  <c r="M677" i="21"/>
  <c r="N677" i="21"/>
  <c r="O677" i="21"/>
  <c r="M697" i="21"/>
  <c r="N697" i="21"/>
  <c r="O697" i="21"/>
  <c r="M700" i="21"/>
  <c r="N700" i="21"/>
  <c r="O700" i="21"/>
  <c r="M720" i="21"/>
  <c r="N720" i="21"/>
  <c r="O720" i="21"/>
  <c r="M723" i="21"/>
  <c r="N723" i="21"/>
  <c r="O723" i="21"/>
  <c r="M743" i="21"/>
  <c r="N743" i="21"/>
  <c r="O743" i="21"/>
  <c r="M746" i="21"/>
  <c r="N746" i="21"/>
  <c r="O746" i="21"/>
  <c r="M748" i="21"/>
  <c r="N748" i="21"/>
  <c r="O748" i="21"/>
  <c r="M750" i="21"/>
  <c r="N750" i="21"/>
  <c r="O750" i="21"/>
  <c r="M751" i="21"/>
  <c r="N751" i="21"/>
  <c r="O751" i="21"/>
  <c r="M753" i="21"/>
  <c r="N753" i="21"/>
  <c r="O753" i="21"/>
  <c r="M770" i="21"/>
  <c r="N770" i="21"/>
  <c r="O770" i="21"/>
  <c r="M773" i="21"/>
  <c r="N773" i="21"/>
  <c r="O773" i="21"/>
  <c r="M793" i="21"/>
  <c r="N793" i="21"/>
  <c r="O793" i="21"/>
  <c r="M796" i="21"/>
  <c r="N796" i="21"/>
  <c r="O796" i="21"/>
  <c r="M814" i="21"/>
  <c r="N814" i="21"/>
  <c r="O814" i="21"/>
  <c r="M817" i="21"/>
  <c r="N817" i="21"/>
  <c r="O817" i="21"/>
  <c r="M835" i="21"/>
  <c r="N835" i="21"/>
  <c r="O835" i="21"/>
  <c r="M837" i="21"/>
  <c r="N837" i="21"/>
  <c r="O837" i="21"/>
  <c r="M839" i="21"/>
  <c r="N839" i="21"/>
  <c r="O839" i="21"/>
  <c r="M841" i="21"/>
  <c r="N841" i="21"/>
  <c r="O841" i="21"/>
  <c r="M907" i="21"/>
  <c r="N907" i="21"/>
  <c r="O907" i="21"/>
  <c r="M909" i="21"/>
  <c r="N909" i="21"/>
  <c r="O909" i="21"/>
  <c r="M910" i="21"/>
  <c r="N910" i="21"/>
  <c r="O910" i="21"/>
  <c r="M912" i="21"/>
  <c r="N912" i="21"/>
  <c r="O912" i="21"/>
  <c r="M913" i="21"/>
  <c r="N913" i="21"/>
  <c r="O913" i="21"/>
  <c r="M915" i="21"/>
  <c r="N915" i="21"/>
  <c r="O915" i="21"/>
  <c r="M916" i="21"/>
  <c r="N916" i="21"/>
  <c r="O916" i="21"/>
  <c r="M918" i="21"/>
  <c r="N918" i="21"/>
  <c r="O918" i="21"/>
  <c r="M919" i="21"/>
  <c r="N919" i="21"/>
  <c r="O919" i="21"/>
  <c r="M921" i="21"/>
  <c r="N921" i="21"/>
  <c r="O921" i="21"/>
  <c r="M922" i="21"/>
  <c r="N922" i="21"/>
  <c r="O922" i="21"/>
  <c r="M924" i="21"/>
  <c r="N924" i="21"/>
  <c r="O924" i="21"/>
  <c r="M926" i="21"/>
  <c r="N926" i="21"/>
  <c r="O926" i="21"/>
  <c r="M928" i="21"/>
  <c r="N928" i="21"/>
  <c r="O928" i="21"/>
  <c r="M929" i="21"/>
  <c r="N929" i="21"/>
  <c r="O929" i="21"/>
  <c r="M931" i="21"/>
  <c r="N931" i="21"/>
  <c r="O931" i="21"/>
  <c r="M932" i="21"/>
  <c r="N932" i="21"/>
  <c r="M934" i="21"/>
  <c r="N934" i="21"/>
  <c r="O934" i="21"/>
  <c r="M935" i="21"/>
  <c r="N935" i="21"/>
  <c r="O935" i="21"/>
  <c r="M937" i="21"/>
  <c r="N937" i="21"/>
  <c r="O937" i="21"/>
  <c r="M938" i="21"/>
  <c r="N938" i="21"/>
  <c r="O938" i="21"/>
  <c r="M940" i="21"/>
  <c r="N940" i="21"/>
  <c r="O940" i="21"/>
  <c r="M941" i="21"/>
  <c r="N941" i="21"/>
  <c r="O941" i="21"/>
  <c r="M943" i="21"/>
  <c r="N943" i="21"/>
  <c r="O943" i="21"/>
  <c r="M945" i="21"/>
  <c r="N945" i="21"/>
  <c r="O945" i="21"/>
  <c r="M947" i="21"/>
  <c r="N947" i="21"/>
  <c r="O947" i="21"/>
  <c r="M951" i="21"/>
  <c r="N951" i="21"/>
  <c r="O951" i="21"/>
  <c r="M954" i="21"/>
  <c r="N954" i="21"/>
  <c r="O954" i="21"/>
  <c r="M955" i="21"/>
  <c r="N955" i="21"/>
  <c r="O955" i="21"/>
  <c r="M957" i="21"/>
  <c r="N957" i="21"/>
  <c r="O957" i="21"/>
  <c r="M959" i="21"/>
  <c r="N959" i="21"/>
  <c r="O959" i="21"/>
  <c r="M961" i="21"/>
  <c r="N961" i="21"/>
  <c r="O961" i="21"/>
  <c r="M963" i="21"/>
  <c r="N963" i="21"/>
  <c r="O963" i="21"/>
  <c r="M965" i="21"/>
  <c r="N965" i="21"/>
  <c r="O965" i="21"/>
  <c r="M966" i="21"/>
  <c r="N966" i="21"/>
  <c r="O966" i="21"/>
  <c r="M969" i="21"/>
  <c r="N969" i="21"/>
  <c r="O969" i="21"/>
  <c r="M970" i="21"/>
  <c r="N970" i="21"/>
  <c r="O970" i="21"/>
  <c r="M972" i="21"/>
  <c r="N972" i="21"/>
  <c r="O972" i="21"/>
  <c r="M974" i="21"/>
  <c r="N974" i="21"/>
  <c r="O974" i="21"/>
  <c r="M976" i="21"/>
  <c r="N976" i="21"/>
  <c r="O976" i="21"/>
  <c r="M978" i="21"/>
  <c r="N978" i="21"/>
  <c r="O978" i="21"/>
  <c r="M980" i="21"/>
  <c r="N980" i="21"/>
  <c r="O980" i="21"/>
  <c r="M981" i="21"/>
  <c r="N981" i="21"/>
  <c r="O981" i="21"/>
  <c r="M984" i="21"/>
  <c r="N984" i="21"/>
  <c r="O984" i="21"/>
  <c r="M985" i="21"/>
  <c r="N985" i="21"/>
  <c r="O985" i="21"/>
  <c r="M987" i="21"/>
  <c r="N987" i="21"/>
  <c r="O987" i="21"/>
  <c r="M990" i="21"/>
  <c r="N990" i="21"/>
  <c r="O990" i="21"/>
  <c r="M992" i="21"/>
  <c r="N992" i="21"/>
  <c r="O992" i="21"/>
  <c r="M993" i="21"/>
  <c r="N993" i="21"/>
  <c r="O993" i="21"/>
  <c r="M995" i="21"/>
  <c r="N995" i="21"/>
  <c r="O995" i="21"/>
  <c r="M997" i="21"/>
  <c r="N997" i="21"/>
  <c r="O997" i="21"/>
  <c r="M999" i="21"/>
  <c r="N999" i="21"/>
  <c r="O999" i="21"/>
  <c r="M1001" i="21"/>
  <c r="N1001" i="21"/>
  <c r="O1001" i="21"/>
  <c r="M1003" i="21"/>
  <c r="N1003" i="21"/>
  <c r="O1003" i="21"/>
  <c r="M1004" i="21"/>
  <c r="N1004" i="21"/>
  <c r="O1004" i="21"/>
  <c r="M1007" i="21"/>
  <c r="N1007" i="21"/>
  <c r="O1007" i="21"/>
  <c r="M1008" i="21"/>
  <c r="N1008" i="21"/>
  <c r="O1008" i="21"/>
  <c r="M1010" i="21"/>
  <c r="N1010" i="21"/>
  <c r="O1010" i="21"/>
  <c r="M1012" i="21"/>
  <c r="N1012" i="21"/>
  <c r="O1012" i="21"/>
  <c r="M1014" i="21"/>
  <c r="N1014" i="21"/>
  <c r="O1014" i="21"/>
  <c r="M1016" i="21"/>
  <c r="N1016" i="21"/>
  <c r="O1016" i="21"/>
  <c r="M1018" i="21"/>
  <c r="N1018" i="21"/>
  <c r="O1018" i="21"/>
  <c r="M1019" i="21"/>
  <c r="N1019" i="21"/>
  <c r="O1019" i="21"/>
  <c r="M1022" i="21"/>
  <c r="N1022" i="21"/>
  <c r="O1022" i="21"/>
  <c r="M1023" i="21"/>
  <c r="N1023" i="21"/>
  <c r="O1023" i="21"/>
  <c r="M1025" i="21"/>
  <c r="N1025" i="21"/>
  <c r="O1025" i="21"/>
  <c r="M1029" i="21"/>
  <c r="N1029" i="21"/>
  <c r="O1029" i="21"/>
  <c r="M1031" i="21"/>
  <c r="N1031" i="21"/>
  <c r="O1031" i="21"/>
  <c r="M1033" i="21"/>
  <c r="N1033" i="21"/>
  <c r="O1033" i="21"/>
  <c r="M1035" i="21"/>
  <c r="N1035" i="21"/>
  <c r="O1035" i="21"/>
  <c r="M1037" i="21"/>
  <c r="N1037" i="21"/>
  <c r="O1037" i="21"/>
  <c r="M1039" i="21"/>
  <c r="N1039" i="21"/>
  <c r="O1039" i="21"/>
  <c r="M1042" i="21"/>
  <c r="N1042" i="21"/>
  <c r="O1042" i="21"/>
  <c r="M1044" i="21"/>
  <c r="N1044" i="21"/>
  <c r="O1044" i="21"/>
  <c r="M1045" i="21"/>
  <c r="N1045" i="21"/>
  <c r="O1045" i="21"/>
  <c r="M1048" i="21"/>
  <c r="N1048" i="21"/>
  <c r="O1048" i="21"/>
  <c r="M1049" i="21"/>
  <c r="N1049" i="21"/>
  <c r="O1049" i="21"/>
  <c r="M1051" i="21"/>
  <c r="N1051" i="21"/>
  <c r="O1051" i="21"/>
  <c r="M1053" i="21"/>
  <c r="N1053" i="21"/>
  <c r="O1053" i="21"/>
  <c r="M1055" i="21"/>
  <c r="N1055" i="21"/>
  <c r="O1055" i="21"/>
  <c r="M1057" i="21"/>
  <c r="N1057" i="21"/>
  <c r="O1057" i="21"/>
  <c r="M1059" i="21"/>
  <c r="N1059" i="21"/>
  <c r="O1059" i="21"/>
  <c r="M1060" i="21"/>
  <c r="N1060" i="21"/>
  <c r="O1060" i="21"/>
  <c r="M1063" i="21"/>
  <c r="N1063" i="21"/>
  <c r="O1063" i="21"/>
  <c r="N1064" i="21"/>
  <c r="M1066" i="21"/>
  <c r="N1066" i="21"/>
  <c r="O1066" i="21"/>
  <c r="M1069" i="21"/>
  <c r="N1069" i="21"/>
  <c r="O1069" i="21"/>
  <c r="M1071" i="21"/>
  <c r="O1071" i="21"/>
  <c r="M1072" i="21"/>
  <c r="N1072" i="21"/>
  <c r="O1072" i="21"/>
  <c r="M1074" i="21"/>
  <c r="N1074" i="21"/>
  <c r="O1074" i="21"/>
  <c r="M1076" i="21"/>
  <c r="N1076" i="21"/>
  <c r="O1076" i="21"/>
  <c r="M1078" i="21"/>
  <c r="N1078" i="21"/>
  <c r="O1078" i="21"/>
  <c r="M1080" i="21"/>
  <c r="N1080" i="21"/>
  <c r="O1080" i="21"/>
  <c r="M1082" i="21"/>
  <c r="N1082" i="21"/>
  <c r="O1082" i="21"/>
  <c r="M1083" i="21"/>
  <c r="N1083" i="21"/>
  <c r="O1083" i="21"/>
  <c r="M1086" i="21"/>
  <c r="N1086" i="21"/>
  <c r="O1086" i="21"/>
  <c r="M1087" i="21"/>
  <c r="N1087" i="21"/>
  <c r="O1087" i="21"/>
  <c r="M1089" i="21"/>
  <c r="N1089" i="21"/>
  <c r="O1089" i="21"/>
  <c r="M1091" i="21"/>
  <c r="N1091" i="21"/>
  <c r="O1091" i="21"/>
  <c r="M1093" i="21"/>
  <c r="N1093" i="21"/>
  <c r="O1093" i="21"/>
  <c r="M1095" i="21"/>
  <c r="N1095" i="21"/>
  <c r="O1095" i="21"/>
  <c r="M1097" i="21"/>
  <c r="N1097" i="21"/>
  <c r="O1097" i="21"/>
  <c r="M1098" i="21"/>
  <c r="N1098" i="21"/>
  <c r="O1098" i="21"/>
  <c r="M1101" i="21"/>
  <c r="N1101" i="21"/>
  <c r="O1101" i="21"/>
  <c r="M1102" i="21"/>
  <c r="N1102" i="21"/>
  <c r="O1102" i="21"/>
  <c r="M1104" i="21"/>
  <c r="N1104" i="21"/>
  <c r="O1104" i="21"/>
  <c r="M1107" i="21"/>
  <c r="N1107" i="21"/>
  <c r="O1107" i="21"/>
  <c r="M1109" i="21"/>
  <c r="N1109" i="21"/>
  <c r="O1109" i="21"/>
  <c r="M1111" i="21"/>
  <c r="N1111" i="21"/>
  <c r="O1111" i="21"/>
  <c r="M1113" i="21"/>
  <c r="N1113" i="21"/>
  <c r="O1113" i="21"/>
  <c r="M1116" i="21"/>
  <c r="N1116" i="21"/>
  <c r="O1116" i="21"/>
  <c r="M1118" i="21"/>
  <c r="N1118" i="21"/>
  <c r="O1118" i="21"/>
  <c r="M1120" i="21"/>
  <c r="N1120" i="21"/>
  <c r="O1120" i="21"/>
  <c r="M1122" i="21"/>
  <c r="N1122" i="21"/>
  <c r="O1122" i="21"/>
  <c r="M1125" i="21"/>
  <c r="N1125" i="21"/>
  <c r="O1125" i="21"/>
  <c r="M1127" i="21"/>
  <c r="N1127" i="21"/>
  <c r="O1127" i="21"/>
  <c r="M1135" i="21"/>
  <c r="N1135" i="21"/>
  <c r="O1135" i="21"/>
  <c r="M1137" i="21"/>
  <c r="N1137" i="21"/>
  <c r="O1137" i="21"/>
  <c r="M1138" i="21"/>
  <c r="N1138" i="21"/>
  <c r="O1138" i="21"/>
  <c r="M1141" i="21"/>
  <c r="N1141" i="21"/>
  <c r="O1141" i="21"/>
  <c r="M1142" i="21"/>
  <c r="N1142" i="21"/>
  <c r="O1142" i="21"/>
  <c r="M1144" i="21"/>
  <c r="N1144" i="21"/>
  <c r="O1144" i="21"/>
  <c r="M1146" i="21"/>
  <c r="N1146" i="21"/>
  <c r="O1146" i="21"/>
  <c r="M1148" i="21"/>
  <c r="N1148" i="21"/>
  <c r="O1148" i="21"/>
  <c r="M1150" i="21"/>
  <c r="N1150" i="21"/>
  <c r="O1150" i="21"/>
  <c r="M1152" i="21"/>
  <c r="N1152" i="21"/>
  <c r="O1152" i="21"/>
  <c r="M1153" i="21"/>
  <c r="N1153" i="21"/>
  <c r="O1153" i="21"/>
  <c r="M1156" i="21"/>
  <c r="N1156" i="21"/>
  <c r="O1156" i="21"/>
  <c r="M1157" i="21"/>
  <c r="N1157" i="21"/>
  <c r="O1157" i="21"/>
  <c r="M1159" i="21"/>
  <c r="N1159" i="21"/>
  <c r="O1159" i="21"/>
  <c r="M1162" i="21"/>
  <c r="N1162" i="21"/>
  <c r="O1162" i="21"/>
  <c r="M1164" i="21"/>
  <c r="N1164" i="21"/>
  <c r="O1164" i="21"/>
  <c r="M1165" i="21"/>
  <c r="N1165" i="21"/>
  <c r="O1165" i="21"/>
  <c r="M1167" i="21"/>
  <c r="N1167" i="21"/>
  <c r="O1167" i="21"/>
  <c r="M1169" i="21"/>
  <c r="N1169" i="21"/>
  <c r="O1169" i="21"/>
  <c r="M1171" i="21"/>
  <c r="N1171" i="21"/>
  <c r="O1171" i="21"/>
  <c r="M1173" i="21"/>
  <c r="N1173" i="21"/>
  <c r="O1173" i="21"/>
  <c r="M1175" i="21"/>
  <c r="N1175" i="21"/>
  <c r="O1175" i="21"/>
  <c r="M1176" i="21"/>
  <c r="N1176" i="21"/>
  <c r="O1176" i="21"/>
  <c r="M1179" i="21"/>
  <c r="N1179" i="21"/>
  <c r="O1179" i="21"/>
  <c r="M1180" i="21"/>
  <c r="N1180" i="21"/>
  <c r="O1180" i="21"/>
  <c r="M1182" i="21"/>
  <c r="N1182" i="21"/>
  <c r="O1182" i="21"/>
  <c r="M1184" i="21"/>
  <c r="N1184" i="21"/>
  <c r="O1184" i="21"/>
  <c r="M1186" i="21"/>
  <c r="N1186" i="21"/>
  <c r="O1186" i="21"/>
  <c r="M1188" i="21"/>
  <c r="N1188" i="21"/>
  <c r="O1188" i="21"/>
  <c r="M1190" i="21"/>
  <c r="N1190" i="21"/>
  <c r="O1190" i="21"/>
  <c r="M1191" i="21"/>
  <c r="N1191" i="21"/>
  <c r="O1191" i="21"/>
  <c r="M1194" i="21"/>
  <c r="N1194" i="21"/>
  <c r="O1194" i="21"/>
  <c r="M1195" i="21"/>
  <c r="N1195" i="21"/>
  <c r="O1195" i="21"/>
  <c r="M1197" i="21"/>
  <c r="N1197" i="21"/>
  <c r="O1197" i="21"/>
  <c r="M1200" i="21"/>
  <c r="N1200" i="21"/>
  <c r="O1200" i="21"/>
  <c r="M1203" i="21"/>
  <c r="N1203" i="21"/>
  <c r="O1203" i="21"/>
  <c r="M1205" i="21"/>
  <c r="N1205" i="21"/>
  <c r="O1205" i="21"/>
  <c r="M1207" i="21"/>
  <c r="N1207" i="21"/>
  <c r="O1207" i="21"/>
  <c r="M1209" i="21"/>
  <c r="N1209" i="21"/>
  <c r="O1209" i="21"/>
  <c r="M1211" i="21"/>
  <c r="N1211" i="21"/>
  <c r="O1211" i="21"/>
  <c r="M1214" i="21"/>
  <c r="N1214" i="21"/>
  <c r="O1214" i="21"/>
  <c r="M1216" i="21"/>
  <c r="N1216" i="21"/>
  <c r="O1216" i="21"/>
  <c r="M1218" i="21"/>
  <c r="N1218" i="21"/>
  <c r="O1218" i="21"/>
  <c r="M1220" i="21"/>
  <c r="N1220" i="21"/>
  <c r="O1220" i="21"/>
  <c r="M1222" i="21"/>
  <c r="N1222" i="21"/>
  <c r="O1222" i="21"/>
  <c r="M1224" i="21"/>
  <c r="N1224" i="21"/>
  <c r="O1224" i="21"/>
  <c r="M1226" i="21"/>
  <c r="N1226" i="21"/>
  <c r="O1226" i="21"/>
  <c r="M1228" i="21"/>
  <c r="N1228" i="21"/>
  <c r="O1228" i="21"/>
  <c r="M1230" i="21"/>
  <c r="N1230" i="21"/>
  <c r="O1230" i="21"/>
  <c r="M1232" i="21"/>
  <c r="N1232" i="21"/>
  <c r="O1232" i="21"/>
  <c r="M1235" i="21"/>
  <c r="N1235" i="21"/>
  <c r="O1235" i="21"/>
  <c r="M1237" i="21"/>
  <c r="N1237" i="21"/>
  <c r="O1237" i="21"/>
  <c r="M1239" i="21"/>
  <c r="N1239" i="21"/>
  <c r="O1239" i="21"/>
  <c r="M1241" i="21"/>
  <c r="N1241" i="21"/>
  <c r="O1241" i="21"/>
  <c r="M1243" i="21"/>
  <c r="N1243" i="21"/>
  <c r="O1243" i="21"/>
  <c r="M1245" i="21"/>
  <c r="N1245" i="21"/>
  <c r="O1245" i="21"/>
  <c r="M1247" i="21"/>
  <c r="N1247" i="21"/>
  <c r="O1247" i="21"/>
  <c r="M1249" i="21"/>
  <c r="N1249" i="21"/>
  <c r="O1249" i="21"/>
  <c r="M1251" i="21"/>
  <c r="N1251" i="21"/>
  <c r="O1251" i="21"/>
  <c r="M1253" i="21"/>
  <c r="N1253" i="21"/>
  <c r="O1253" i="21"/>
  <c r="M1255" i="21"/>
  <c r="N1255" i="21"/>
  <c r="O1255" i="21"/>
  <c r="M1257" i="21"/>
  <c r="N1257" i="21"/>
  <c r="O1257" i="21"/>
  <c r="M1260" i="21"/>
  <c r="N1260" i="21"/>
  <c r="O1260" i="21"/>
  <c r="M1263" i="21"/>
  <c r="N1263" i="21"/>
  <c r="O1263" i="21"/>
  <c r="M1265" i="21"/>
  <c r="N1265" i="21"/>
  <c r="O1265" i="21"/>
  <c r="M1269" i="21"/>
  <c r="N1269" i="21"/>
  <c r="O1269" i="21"/>
  <c r="M1271" i="21"/>
  <c r="N1271" i="21"/>
  <c r="O1271" i="21"/>
  <c r="M1273" i="21"/>
  <c r="N1273" i="21"/>
  <c r="O1273" i="21"/>
  <c r="M1275" i="21"/>
  <c r="N1275" i="21"/>
  <c r="O1275" i="21"/>
  <c r="M1278" i="21"/>
  <c r="N1278" i="21"/>
  <c r="O1278" i="21"/>
  <c r="M1280" i="21"/>
  <c r="N1280" i="21"/>
  <c r="O1280" i="21"/>
  <c r="M1283" i="21"/>
  <c r="N1283" i="21"/>
  <c r="O1283" i="21"/>
  <c r="M1285" i="21"/>
  <c r="N1285" i="21"/>
  <c r="O1285" i="21"/>
  <c r="M1287" i="21"/>
  <c r="N1287" i="21"/>
  <c r="O1287" i="21"/>
  <c r="M1289" i="21"/>
  <c r="N1289" i="21"/>
  <c r="O1289" i="21"/>
  <c r="M1292" i="21"/>
  <c r="N1292" i="21"/>
  <c r="O1292" i="21"/>
  <c r="M1294" i="21"/>
  <c r="N1294" i="21"/>
  <c r="O1294" i="21"/>
  <c r="M1296" i="21"/>
  <c r="N1296" i="21"/>
  <c r="O1296" i="21"/>
  <c r="M1298" i="21"/>
  <c r="N1298" i="21"/>
  <c r="O1298" i="21"/>
  <c r="M1300" i="21"/>
  <c r="N1300" i="21"/>
  <c r="O1300" i="21"/>
  <c r="M1302" i="21"/>
  <c r="N1302" i="21"/>
  <c r="O1302" i="21"/>
  <c r="M1304" i="21"/>
  <c r="N1304" i="21"/>
  <c r="O1304" i="21"/>
  <c r="M1306" i="21"/>
  <c r="N1306" i="21"/>
  <c r="O1306" i="21"/>
  <c r="M1308" i="21"/>
  <c r="N1308" i="21"/>
  <c r="O1308" i="21"/>
  <c r="M1310" i="21"/>
  <c r="N1310" i="21"/>
  <c r="O1310" i="21"/>
  <c r="M1312" i="21"/>
  <c r="N1312" i="21"/>
  <c r="O1312" i="21"/>
  <c r="M1314" i="21"/>
  <c r="N1314" i="21"/>
  <c r="O1314" i="21"/>
  <c r="M1317" i="21"/>
  <c r="N1317" i="21"/>
  <c r="O1317" i="21"/>
  <c r="M1319" i="21"/>
  <c r="N1319" i="21"/>
  <c r="O1319" i="21"/>
  <c r="M1321" i="21"/>
  <c r="N1321" i="21"/>
  <c r="O1321" i="21"/>
  <c r="M1323" i="21"/>
  <c r="N1323" i="21"/>
  <c r="O1323" i="21"/>
  <c r="M1332" i="21"/>
  <c r="N1332" i="21"/>
  <c r="O1332" i="21"/>
  <c r="M1334" i="21"/>
  <c r="N1334" i="21"/>
  <c r="O1334" i="21"/>
  <c r="M1336" i="21"/>
  <c r="N1336" i="21"/>
  <c r="O1336" i="21"/>
  <c r="M1338" i="21"/>
  <c r="N1338" i="21"/>
  <c r="O1338" i="21"/>
  <c r="M1346" i="21"/>
  <c r="N1346" i="21"/>
  <c r="O1346" i="21"/>
  <c r="M1349" i="21"/>
  <c r="N1349" i="21"/>
  <c r="O1349" i="21"/>
  <c r="M1358" i="21"/>
  <c r="N1358" i="21"/>
  <c r="O1358" i="21"/>
  <c r="M1361" i="21"/>
  <c r="N1361" i="21"/>
  <c r="O1361" i="21"/>
  <c r="M1371" i="21"/>
  <c r="N1371" i="21"/>
  <c r="O1371" i="21"/>
  <c r="M1374" i="21"/>
  <c r="N1374" i="21"/>
  <c r="O1374" i="21"/>
  <c r="M1382" i="21"/>
  <c r="N1382" i="21"/>
  <c r="O1382" i="21"/>
  <c r="M1384" i="21"/>
  <c r="N1384" i="21"/>
  <c r="O1384" i="21"/>
  <c r="M1386" i="21"/>
  <c r="N1386" i="21"/>
  <c r="O1386" i="21"/>
  <c r="M1388" i="21"/>
  <c r="N1388" i="21"/>
  <c r="O1388" i="21"/>
  <c r="M1396" i="21"/>
  <c r="N1396" i="21"/>
  <c r="O1396" i="21"/>
  <c r="M1399" i="21"/>
  <c r="N1399" i="21"/>
  <c r="O1399" i="21"/>
  <c r="M1407" i="21"/>
  <c r="N1407" i="21"/>
  <c r="O1407" i="21"/>
  <c r="M1410" i="21"/>
  <c r="N1410" i="21"/>
  <c r="O1410" i="21"/>
  <c r="M1419" i="21"/>
  <c r="N1419" i="21"/>
  <c r="O1419" i="21"/>
  <c r="M1421" i="21"/>
  <c r="N1421" i="21"/>
  <c r="O1421" i="21"/>
  <c r="M1423" i="21"/>
  <c r="N1423" i="21"/>
  <c r="O1423" i="21"/>
  <c r="M1425" i="21"/>
  <c r="N1425" i="21"/>
  <c r="O1425" i="21"/>
  <c r="M1438" i="21"/>
  <c r="N1438" i="21"/>
  <c r="O1438" i="21"/>
  <c r="M1440" i="21"/>
  <c r="N1440" i="21"/>
  <c r="O1440" i="21"/>
  <c r="M1442" i="21"/>
  <c r="N1442" i="21"/>
  <c r="O1442" i="21"/>
  <c r="M1453" i="21"/>
  <c r="N1453" i="21"/>
  <c r="O1453" i="21"/>
  <c r="M1455" i="21"/>
  <c r="N1455" i="21"/>
  <c r="O1455" i="21"/>
  <c r="M1467" i="21"/>
  <c r="N1467" i="21"/>
  <c r="O1467" i="21"/>
  <c r="M1469" i="21"/>
  <c r="N1469" i="21"/>
  <c r="O1469" i="21"/>
  <c r="M1471" i="21"/>
  <c r="N1471" i="21"/>
  <c r="O1471" i="21"/>
  <c r="M1473" i="21"/>
  <c r="N1473" i="21"/>
  <c r="O1473" i="21"/>
  <c r="M1485" i="21"/>
  <c r="N1485" i="21"/>
  <c r="O1485" i="21"/>
  <c r="M1488" i="21"/>
  <c r="N1488" i="21"/>
  <c r="O1488" i="21"/>
  <c r="M1491" i="21"/>
  <c r="N1491" i="21"/>
  <c r="O1491" i="21"/>
  <c r="M1495" i="21"/>
  <c r="N1495" i="21"/>
  <c r="O1495" i="21"/>
  <c r="M1497" i="21"/>
  <c r="N1497" i="21"/>
  <c r="O1497" i="21"/>
  <c r="M1499" i="21"/>
  <c r="N1499" i="21"/>
  <c r="O1499" i="21"/>
  <c r="M1503" i="21"/>
  <c r="N1503" i="21"/>
  <c r="O1503" i="21"/>
  <c r="M1505" i="21"/>
  <c r="N1505" i="21"/>
  <c r="O1505" i="21"/>
  <c r="M1509" i="21"/>
  <c r="N1509" i="21"/>
  <c r="O1509" i="21"/>
  <c r="M1511" i="21"/>
  <c r="N1511" i="21"/>
  <c r="O1511" i="21"/>
  <c r="M1515" i="21"/>
  <c r="N1515" i="21"/>
  <c r="O1515" i="21"/>
  <c r="M1517" i="21"/>
  <c r="N1517" i="21"/>
  <c r="O1517" i="21"/>
  <c r="M1519" i="21"/>
  <c r="N1519" i="21"/>
  <c r="O1519" i="21"/>
  <c r="M1523" i="21"/>
  <c r="N1523" i="21"/>
  <c r="O1523" i="21"/>
  <c r="M1528" i="21"/>
  <c r="N1528" i="21"/>
  <c r="O1528" i="21"/>
  <c r="M1530" i="21"/>
  <c r="N1530" i="21"/>
  <c r="O1530" i="21"/>
  <c r="M1531" i="21"/>
  <c r="N1531" i="21"/>
  <c r="O1531" i="21"/>
  <c r="M1533" i="21"/>
  <c r="N1533" i="21"/>
  <c r="O1533" i="21"/>
  <c r="M1535" i="21"/>
  <c r="N1535" i="21"/>
  <c r="O1535" i="21"/>
  <c r="M1537" i="21"/>
  <c r="N1537" i="21"/>
  <c r="O1537" i="21"/>
  <c r="M1552" i="21"/>
  <c r="N1552" i="21"/>
  <c r="O1552" i="21"/>
  <c r="M1554" i="21"/>
  <c r="N1554" i="21"/>
  <c r="O1554" i="21"/>
  <c r="M1555" i="21"/>
  <c r="N1555" i="21"/>
  <c r="O1555" i="21"/>
  <c r="M1557" i="21"/>
  <c r="N1557" i="21"/>
  <c r="O1557" i="21"/>
  <c r="M1559" i="21"/>
  <c r="N1559" i="21"/>
  <c r="O1559" i="21"/>
  <c r="M1561" i="21"/>
  <c r="N1561" i="21"/>
  <c r="O1561" i="21"/>
  <c r="M1591" i="21"/>
  <c r="N1591" i="21"/>
  <c r="O1591" i="21"/>
  <c r="M1593" i="21"/>
  <c r="N1593" i="21"/>
  <c r="O1593" i="21"/>
  <c r="M1594" i="21"/>
  <c r="N1594" i="21"/>
  <c r="O1594" i="21"/>
  <c r="M1596" i="21"/>
  <c r="N1596" i="21"/>
  <c r="O1596" i="21"/>
  <c r="M1598" i="21"/>
  <c r="N1598" i="21"/>
  <c r="O1598" i="21"/>
  <c r="M1600" i="21"/>
  <c r="N1600" i="21"/>
  <c r="O1600" i="21"/>
  <c r="M1631" i="21"/>
  <c r="N1631" i="21"/>
  <c r="O1631" i="21"/>
  <c r="M1633" i="21"/>
  <c r="N1633" i="21"/>
  <c r="O1633" i="21"/>
  <c r="M1634" i="21"/>
  <c r="N1634" i="21"/>
  <c r="O1634" i="21"/>
  <c r="M1636" i="21"/>
  <c r="N1636" i="21"/>
  <c r="O1636" i="21"/>
  <c r="M1638" i="21"/>
  <c r="N1638" i="21"/>
  <c r="O1638" i="21"/>
  <c r="M1640" i="21"/>
  <c r="N1640" i="21"/>
  <c r="O1640" i="21"/>
  <c r="M1671" i="21"/>
  <c r="N1671" i="21"/>
  <c r="O1671" i="21"/>
  <c r="M1673" i="21"/>
  <c r="N1673" i="21"/>
  <c r="O1673" i="21"/>
  <c r="M1674" i="21"/>
  <c r="N1674" i="21"/>
  <c r="O1674" i="21"/>
  <c r="M1678" i="21"/>
  <c r="N1678" i="21"/>
  <c r="O1678" i="21"/>
  <c r="M1680" i="21"/>
  <c r="N1680" i="21"/>
  <c r="O1680" i="21"/>
  <c r="M1710" i="21"/>
  <c r="N1710" i="21"/>
  <c r="O1710" i="21"/>
  <c r="M1712" i="21"/>
  <c r="N1712" i="21"/>
  <c r="O1712" i="21"/>
  <c r="M1713" i="21"/>
  <c r="N1713" i="21"/>
  <c r="O1713" i="21"/>
  <c r="M1715" i="21"/>
  <c r="N1715" i="21"/>
  <c r="O1715" i="21"/>
  <c r="M1717" i="21"/>
  <c r="N1717" i="21"/>
  <c r="O1717" i="21"/>
  <c r="M1719" i="21"/>
  <c r="N1719" i="21"/>
  <c r="O1719" i="21"/>
  <c r="M1749" i="21"/>
  <c r="N1749" i="21"/>
  <c r="O1749" i="21"/>
  <c r="M1751" i="21"/>
  <c r="N1751" i="21"/>
  <c r="O1751" i="21"/>
  <c r="M1752" i="21"/>
  <c r="N1752" i="21"/>
  <c r="O1752" i="21"/>
  <c r="M1754" i="21"/>
  <c r="N1754" i="21"/>
  <c r="O1754" i="21"/>
  <c r="M1756" i="21"/>
  <c r="N1756" i="21"/>
  <c r="O1756" i="21"/>
  <c r="M1758" i="21"/>
  <c r="N1758" i="21"/>
  <c r="O1758" i="21"/>
  <c r="M1787" i="21"/>
  <c r="N1787" i="21"/>
  <c r="O1787" i="21"/>
  <c r="M1789" i="21"/>
  <c r="N1789" i="21"/>
  <c r="O1789" i="21"/>
  <c r="M1790" i="21"/>
  <c r="N1790" i="21"/>
  <c r="O1790" i="21"/>
  <c r="M1792" i="21"/>
  <c r="N1792" i="21"/>
  <c r="O1792" i="21"/>
  <c r="M1794" i="21"/>
  <c r="N1794" i="21"/>
  <c r="O1794" i="21"/>
  <c r="M1796" i="21"/>
  <c r="N1796" i="21"/>
  <c r="O1796" i="21"/>
  <c r="M1825" i="21"/>
  <c r="N1825" i="21"/>
  <c r="O1825" i="21"/>
  <c r="M1827" i="21"/>
  <c r="N1827" i="21"/>
  <c r="O1827" i="21"/>
  <c r="M1828" i="21"/>
  <c r="N1828" i="21"/>
  <c r="O1828" i="21"/>
  <c r="M1830" i="21"/>
  <c r="N1830" i="21"/>
  <c r="O1830" i="21"/>
  <c r="M1832" i="21"/>
  <c r="N1832" i="21"/>
  <c r="O1832" i="21"/>
  <c r="M1834" i="21"/>
  <c r="N1834" i="21"/>
  <c r="O1834" i="21"/>
  <c r="M1864" i="21"/>
  <c r="N1864" i="21"/>
  <c r="O1864" i="21"/>
  <c r="M1866" i="21"/>
  <c r="N1866" i="21"/>
  <c r="O1866" i="21"/>
  <c r="M1867" i="21"/>
  <c r="N1867" i="21"/>
  <c r="O1867" i="21"/>
  <c r="M1869" i="21"/>
  <c r="N1869" i="21"/>
  <c r="O1869" i="21"/>
  <c r="M1871" i="21"/>
  <c r="N1871" i="21"/>
  <c r="O1871" i="21"/>
  <c r="M1873" i="21"/>
  <c r="N1873" i="21"/>
  <c r="O1873" i="21"/>
  <c r="M1903" i="21"/>
  <c r="N1903" i="21"/>
  <c r="O1903" i="21"/>
  <c r="M1905" i="21"/>
  <c r="N1905" i="21"/>
  <c r="O1905" i="21"/>
  <c r="M1906" i="21"/>
  <c r="N1906" i="21"/>
  <c r="O1906" i="21"/>
  <c r="M1908" i="21"/>
  <c r="N1908" i="21"/>
  <c r="O1908" i="21"/>
  <c r="M1910" i="21"/>
  <c r="N1910" i="21"/>
  <c r="O1910" i="21"/>
  <c r="M1912" i="21"/>
  <c r="N1912" i="21"/>
  <c r="O1912" i="21"/>
  <c r="M1942" i="21"/>
  <c r="N1942" i="21"/>
  <c r="O1942" i="21"/>
  <c r="M1944" i="21"/>
  <c r="N1944" i="21"/>
  <c r="O1944" i="21"/>
  <c r="M1945" i="21"/>
  <c r="N1945" i="21"/>
  <c r="O1945" i="21"/>
  <c r="M1947" i="21"/>
  <c r="N1947" i="21"/>
  <c r="O1947" i="21"/>
  <c r="M1949" i="21"/>
  <c r="N1949" i="21"/>
  <c r="O1949" i="21"/>
  <c r="M1951" i="21"/>
  <c r="N1951" i="21"/>
  <c r="O1951" i="21"/>
  <c r="M1972" i="21"/>
  <c r="N1972" i="21"/>
  <c r="O1972" i="21"/>
  <c r="M1974" i="21"/>
  <c r="N1974" i="21"/>
  <c r="O1974" i="21"/>
  <c r="M1975" i="21"/>
  <c r="N1975" i="21"/>
  <c r="O1975" i="21"/>
  <c r="M1977" i="21"/>
  <c r="N1977" i="21"/>
  <c r="O1977" i="21"/>
  <c r="M1979" i="21"/>
  <c r="N1979" i="21"/>
  <c r="O1979" i="21"/>
  <c r="M1981" i="21"/>
  <c r="N1981" i="21"/>
  <c r="O1981" i="21"/>
  <c r="M15" i="21"/>
  <c r="Q15" i="21" s="1"/>
  <c r="N15" i="21"/>
  <c r="R15" i="21" s="1"/>
  <c r="O15" i="21"/>
  <c r="S15" i="21" s="1"/>
  <c r="M16" i="21"/>
  <c r="Q16" i="21" s="1"/>
  <c r="N16" i="21"/>
  <c r="R16" i="21" s="1"/>
  <c r="O16" i="21"/>
  <c r="S16" i="21" s="1"/>
  <c r="M17" i="21"/>
  <c r="Q17" i="21" s="1"/>
  <c r="N17" i="21"/>
  <c r="R17" i="21" s="1"/>
  <c r="O17" i="21"/>
  <c r="S17" i="21" s="1"/>
  <c r="M18" i="21"/>
  <c r="Q18" i="21" s="1"/>
  <c r="N18" i="21"/>
  <c r="R18" i="21" s="1"/>
  <c r="O18" i="21"/>
  <c r="S18" i="21" s="1"/>
  <c r="M19" i="21"/>
  <c r="Q19" i="21" s="1"/>
  <c r="N19" i="21"/>
  <c r="R19" i="21" s="1"/>
  <c r="O19" i="21"/>
  <c r="S19" i="21" s="1"/>
  <c r="M20" i="21"/>
  <c r="Q20" i="21" s="1"/>
  <c r="N20" i="21"/>
  <c r="R20" i="21" s="1"/>
  <c r="O20" i="21"/>
  <c r="S20" i="21" s="1"/>
  <c r="M21" i="21"/>
  <c r="Q21" i="21" s="1"/>
  <c r="N21" i="21"/>
  <c r="R21" i="21" s="1"/>
  <c r="O21" i="21"/>
  <c r="S21" i="21" s="1"/>
  <c r="M22" i="21"/>
  <c r="Q22" i="21" s="1"/>
  <c r="N22" i="21"/>
  <c r="R22" i="21" s="1"/>
  <c r="O22" i="21"/>
  <c r="S22" i="21" s="1"/>
  <c r="N23" i="21"/>
  <c r="R23" i="21" s="1"/>
  <c r="N24" i="21"/>
  <c r="R24" i="21" s="1"/>
  <c r="N26" i="21"/>
  <c r="R26" i="21" s="1"/>
  <c r="N27" i="21"/>
  <c r="R27" i="21" s="1"/>
  <c r="N29" i="21"/>
  <c r="R29" i="21" s="1"/>
  <c r="M30" i="21"/>
  <c r="Q30" i="21" s="1"/>
  <c r="N30" i="21"/>
  <c r="R30" i="21" s="1"/>
  <c r="O30" i="21"/>
  <c r="S30" i="21" s="1"/>
  <c r="M31" i="21"/>
  <c r="Q31" i="21" s="1"/>
  <c r="N31" i="21"/>
  <c r="R31" i="21" s="1"/>
  <c r="O31" i="21"/>
  <c r="S31" i="21" s="1"/>
  <c r="M32" i="21"/>
  <c r="Q32" i="21" s="1"/>
  <c r="N32" i="21"/>
  <c r="R32" i="21" s="1"/>
  <c r="O32" i="21"/>
  <c r="S32" i="21" s="1"/>
  <c r="N33" i="21"/>
  <c r="R33" i="21" s="1"/>
  <c r="N34" i="21"/>
  <c r="R34" i="21" s="1"/>
  <c r="N35" i="21"/>
  <c r="R35" i="21" s="1"/>
  <c r="M41" i="21"/>
  <c r="O41" i="21"/>
  <c r="S41" i="21" s="1"/>
  <c r="M42" i="21"/>
  <c r="Q42" i="21" s="1"/>
  <c r="N42" i="21"/>
  <c r="R42" i="21" s="1"/>
  <c r="O42" i="21"/>
  <c r="S42" i="21" s="1"/>
  <c r="M43" i="21"/>
  <c r="Q43" i="21" s="1"/>
  <c r="N43" i="21"/>
  <c r="R43" i="21" s="1"/>
  <c r="O43" i="21"/>
  <c r="S43" i="21" s="1"/>
  <c r="M44" i="21"/>
  <c r="Q44" i="21" s="1"/>
  <c r="N44" i="21"/>
  <c r="R44" i="21" s="1"/>
  <c r="O44" i="21"/>
  <c r="S44" i="21" s="1"/>
  <c r="M45" i="21"/>
  <c r="Q45" i="21" s="1"/>
  <c r="N45" i="21"/>
  <c r="R45" i="21" s="1"/>
  <c r="O45" i="21"/>
  <c r="S45" i="21" s="1"/>
  <c r="M46" i="21"/>
  <c r="Q46" i="21" s="1"/>
  <c r="N46" i="21"/>
  <c r="R46" i="21" s="1"/>
  <c r="O46" i="21"/>
  <c r="S46" i="21" s="1"/>
  <c r="N47" i="21"/>
  <c r="R47" i="21" s="1"/>
  <c r="M48" i="21"/>
  <c r="Q48" i="21" s="1"/>
  <c r="N48" i="21"/>
  <c r="R48" i="21" s="1"/>
  <c r="O48" i="21"/>
  <c r="S48" i="21" s="1"/>
  <c r="M49" i="21"/>
  <c r="Q49" i="21" s="1"/>
  <c r="O49" i="21"/>
  <c r="S49" i="21" s="1"/>
  <c r="M50" i="21"/>
  <c r="Q50" i="21" s="1"/>
  <c r="N50" i="21"/>
  <c r="R50" i="21" s="1"/>
  <c r="O50" i="21"/>
  <c r="S50" i="21" s="1"/>
  <c r="M51" i="21"/>
  <c r="Q51" i="21" s="1"/>
  <c r="N51" i="21"/>
  <c r="R51" i="21" s="1"/>
  <c r="O51" i="21"/>
  <c r="S51" i="21" s="1"/>
  <c r="M52" i="21"/>
  <c r="Q52" i="21" s="1"/>
  <c r="N52" i="21"/>
  <c r="R52" i="21" s="1"/>
  <c r="O52" i="21"/>
  <c r="S52" i="21" s="1"/>
  <c r="M53" i="21"/>
  <c r="Q53" i="21" s="1"/>
  <c r="N53" i="21"/>
  <c r="R53" i="21" s="1"/>
  <c r="O53" i="21"/>
  <c r="S53" i="21" s="1"/>
  <c r="N54" i="21"/>
  <c r="R54" i="21" s="1"/>
  <c r="M55" i="21"/>
  <c r="O55" i="21"/>
  <c r="S55" i="21" s="1"/>
  <c r="M56" i="21"/>
  <c r="N56" i="21"/>
  <c r="O56" i="21"/>
  <c r="S56" i="21" s="1"/>
  <c r="M57" i="21"/>
  <c r="N57" i="21"/>
  <c r="O57" i="21"/>
  <c r="S57" i="21" s="1"/>
  <c r="N58" i="21"/>
  <c r="R58" i="21" s="1"/>
  <c r="N60" i="21"/>
  <c r="R60" i="21" s="1"/>
  <c r="M61" i="21"/>
  <c r="N61" i="21"/>
  <c r="O61" i="21"/>
  <c r="S61" i="21" s="1"/>
  <c r="M62" i="21"/>
  <c r="N62" i="21"/>
  <c r="O62" i="21"/>
  <c r="S62" i="21" s="1"/>
  <c r="M63" i="21"/>
  <c r="O63" i="21"/>
  <c r="S63" i="21" s="1"/>
  <c r="N65" i="21"/>
  <c r="R65" i="21" s="1"/>
  <c r="M66" i="21"/>
  <c r="N66" i="21"/>
  <c r="O66" i="21"/>
  <c r="S66" i="21" s="1"/>
  <c r="M67" i="21"/>
  <c r="O67" i="21"/>
  <c r="S67" i="21" s="1"/>
  <c r="M68" i="21"/>
  <c r="O68" i="21"/>
  <c r="S68" i="21" s="1"/>
  <c r="N69" i="21"/>
  <c r="R69" i="21" s="1"/>
  <c r="N71" i="21"/>
  <c r="R71" i="21" s="1"/>
  <c r="N72" i="21"/>
  <c r="R72" i="21" s="1"/>
  <c r="M75" i="21"/>
  <c r="N75" i="21"/>
  <c r="O75" i="21"/>
  <c r="S75" i="21" s="1"/>
  <c r="N76" i="21"/>
  <c r="R76" i="21" s="1"/>
  <c r="M77" i="21"/>
  <c r="N77" i="21"/>
  <c r="O77" i="21"/>
  <c r="S77" i="21" s="1"/>
  <c r="M78" i="21"/>
  <c r="O78" i="21"/>
  <c r="S78" i="21" s="1"/>
  <c r="M79" i="21"/>
  <c r="N79" i="21"/>
  <c r="M80" i="21"/>
  <c r="N80" i="21"/>
  <c r="O80" i="21"/>
  <c r="S80" i="21" s="1"/>
  <c r="M81" i="21"/>
  <c r="N81" i="21"/>
  <c r="O81" i="21"/>
  <c r="S81" i="21" s="1"/>
  <c r="M82" i="21"/>
  <c r="N82" i="21"/>
  <c r="O82" i="21"/>
  <c r="S82" i="21" s="1"/>
  <c r="N83" i="21"/>
  <c r="R83" i="21" s="1"/>
  <c r="N84" i="21"/>
  <c r="R84" i="21" s="1"/>
  <c r="M85" i="21"/>
  <c r="N85" i="21"/>
  <c r="O85" i="21"/>
  <c r="S85" i="21" s="1"/>
  <c r="M86" i="21"/>
  <c r="N86" i="21"/>
  <c r="O86" i="21"/>
  <c r="S86" i="21" s="1"/>
  <c r="M87" i="21"/>
  <c r="O87" i="21"/>
  <c r="S87" i="21" s="1"/>
  <c r="N89" i="21"/>
  <c r="R89" i="21" s="1"/>
  <c r="N91" i="21"/>
  <c r="R91" i="21" s="1"/>
  <c r="N92" i="21"/>
  <c r="R92" i="21" s="1"/>
  <c r="N94" i="21"/>
  <c r="R94" i="21" s="1"/>
  <c r="M95" i="21"/>
  <c r="N95" i="21"/>
  <c r="O95" i="21"/>
  <c r="S95" i="21" s="1"/>
  <c r="M97" i="21"/>
  <c r="N97" i="21"/>
  <c r="M98" i="21"/>
  <c r="O98" i="21"/>
  <c r="S98" i="21" s="1"/>
  <c r="M99" i="21"/>
  <c r="O99" i="21"/>
  <c r="S99" i="21" s="1"/>
  <c r="M100" i="21"/>
  <c r="N100" i="21"/>
  <c r="O100" i="21"/>
  <c r="S100" i="21" s="1"/>
  <c r="N102" i="21"/>
  <c r="R102" i="21" s="1"/>
  <c r="M103" i="21"/>
  <c r="N103" i="21"/>
  <c r="O103" i="21"/>
  <c r="S103" i="21" s="1"/>
  <c r="M104" i="21"/>
  <c r="N104" i="21"/>
  <c r="O104" i="21"/>
  <c r="S104" i="21" s="1"/>
  <c r="N109" i="21"/>
  <c r="R109" i="21" s="1"/>
  <c r="N113" i="21"/>
  <c r="R113" i="21" s="1"/>
  <c r="N117" i="21"/>
  <c r="R117" i="21" s="1"/>
  <c r="N121" i="21"/>
  <c r="R121" i="21" s="1"/>
  <c r="N129" i="21"/>
  <c r="R129" i="21" s="1"/>
  <c r="N130" i="21"/>
  <c r="R130" i="21" s="1"/>
  <c r="N135" i="21"/>
  <c r="N138" i="21"/>
  <c r="N153" i="21"/>
  <c r="N156" i="21"/>
  <c r="N172" i="21"/>
  <c r="N174" i="21"/>
  <c r="N175" i="21"/>
  <c r="N185" i="21"/>
  <c r="N187" i="21"/>
  <c r="N188" i="21"/>
  <c r="N204" i="21"/>
  <c r="N206" i="21"/>
  <c r="N207" i="21"/>
  <c r="N222" i="21"/>
  <c r="N224" i="21"/>
  <c r="N225" i="21"/>
  <c r="N241" i="21"/>
  <c r="N243" i="21"/>
  <c r="N244" i="21"/>
  <c r="N260" i="21"/>
  <c r="N262" i="21"/>
  <c r="N263" i="21"/>
  <c r="N267" i="21"/>
  <c r="N270" i="21"/>
  <c r="N294" i="21"/>
  <c r="N296" i="21"/>
  <c r="N297" i="21"/>
  <c r="N319" i="21"/>
  <c r="N321" i="21"/>
  <c r="N322" i="21"/>
  <c r="N344" i="21"/>
  <c r="N346" i="21"/>
  <c r="N347" i="21"/>
  <c r="N369" i="21"/>
  <c r="N371" i="21"/>
  <c r="N372" i="21"/>
  <c r="N394" i="21"/>
  <c r="N396" i="21"/>
  <c r="N397" i="21"/>
  <c r="N419" i="21"/>
  <c r="N421" i="21"/>
  <c r="N422" i="21"/>
  <c r="N444" i="21"/>
  <c r="N446" i="21"/>
  <c r="N447" i="21"/>
  <c r="N470" i="21"/>
  <c r="N473" i="21"/>
  <c r="N477" i="21"/>
  <c r="N483" i="21"/>
  <c r="N486" i="21"/>
  <c r="R486" i="21" s="1"/>
  <c r="N490" i="21"/>
  <c r="N493" i="21"/>
  <c r="N498" i="21"/>
  <c r="N499" i="21"/>
  <c r="N502" i="21"/>
  <c r="N504" i="21"/>
  <c r="N506" i="21"/>
  <c r="R506" i="21" s="1"/>
  <c r="N558" i="21"/>
  <c r="N561" i="21"/>
  <c r="N564" i="21"/>
  <c r="N568" i="21"/>
  <c r="N573" i="21"/>
  <c r="N576" i="21"/>
  <c r="N579" i="21"/>
  <c r="N605" i="21"/>
  <c r="N606" i="21"/>
  <c r="N629" i="21"/>
  <c r="N630" i="21"/>
  <c r="N652" i="21"/>
  <c r="N653" i="21"/>
  <c r="N675" i="21"/>
  <c r="N676" i="21"/>
  <c r="N698" i="21"/>
  <c r="N699" i="21"/>
  <c r="N721" i="21"/>
  <c r="N722" i="21"/>
  <c r="N744" i="21"/>
  <c r="N745" i="21"/>
  <c r="N771" i="21"/>
  <c r="N772" i="21"/>
  <c r="N794" i="21"/>
  <c r="N795" i="21"/>
  <c r="N805" i="21"/>
  <c r="N806" i="21"/>
  <c r="N815" i="21"/>
  <c r="N816" i="21"/>
  <c r="N827" i="21"/>
  <c r="N828" i="21"/>
  <c r="N836" i="21"/>
  <c r="N840" i="21"/>
  <c r="N908" i="21"/>
  <c r="N911" i="21"/>
  <c r="N914" i="21"/>
  <c r="N917" i="21"/>
  <c r="N920" i="21"/>
  <c r="N923" i="21"/>
  <c r="N927" i="21"/>
  <c r="N930" i="21"/>
  <c r="N933" i="21"/>
  <c r="N936" i="21"/>
  <c r="N939" i="21"/>
  <c r="N942" i="21"/>
  <c r="N946" i="21"/>
  <c r="N952" i="21"/>
  <c r="R952" i="21" s="1"/>
  <c r="N956" i="21"/>
  <c r="N960" i="21"/>
  <c r="N964" i="21"/>
  <c r="N967" i="21"/>
  <c r="N971" i="21"/>
  <c r="N975" i="21"/>
  <c r="N979" i="21"/>
  <c r="N982" i="21"/>
  <c r="N986" i="21"/>
  <c r="N991" i="21"/>
  <c r="N994" i="21"/>
  <c r="N996" i="21"/>
  <c r="N998" i="21"/>
  <c r="N1002" i="21"/>
  <c r="N1005" i="21"/>
  <c r="N1009" i="21"/>
  <c r="N1013" i="21"/>
  <c r="N1017" i="21"/>
  <c r="N1020" i="21"/>
  <c r="N1024" i="21"/>
  <c r="N1030" i="21"/>
  <c r="N1034" i="21"/>
  <c r="N1038" i="21"/>
  <c r="N1043" i="21"/>
  <c r="N1046" i="21"/>
  <c r="N1050" i="21"/>
  <c r="N1054" i="21"/>
  <c r="N1058" i="21"/>
  <c r="N1061" i="21"/>
  <c r="N1065" i="21"/>
  <c r="N1070" i="21"/>
  <c r="N1073" i="21"/>
  <c r="N1075" i="21"/>
  <c r="N1077" i="21"/>
  <c r="N1081" i="21"/>
  <c r="N1084" i="21"/>
  <c r="N1088" i="21"/>
  <c r="N1092" i="21"/>
  <c r="R1092" i="21" s="1"/>
  <c r="N1096" i="21"/>
  <c r="N1099" i="21"/>
  <c r="N1103" i="21"/>
  <c r="N1108" i="21"/>
  <c r="N1112" i="21"/>
  <c r="R1112" i="21" s="1"/>
  <c r="N1114" i="21"/>
  <c r="N1115" i="21"/>
  <c r="N1117" i="21"/>
  <c r="N1121" i="21"/>
  <c r="N1123" i="21"/>
  <c r="N1124" i="21"/>
  <c r="N1126" i="21"/>
  <c r="N1130" i="21"/>
  <c r="N1131" i="21"/>
  <c r="N1132" i="21"/>
  <c r="R1132" i="21" s="1"/>
  <c r="N1134" i="21"/>
  <c r="N1136" i="21"/>
  <c r="N1139" i="21"/>
  <c r="N1143" i="21"/>
  <c r="N1145" i="21"/>
  <c r="N1147" i="21"/>
  <c r="N1149" i="21"/>
  <c r="N1151" i="21"/>
  <c r="N1154" i="21"/>
  <c r="N1158" i="21"/>
  <c r="N1160" i="21"/>
  <c r="N1163" i="21"/>
  <c r="N1166" i="21"/>
  <c r="N1168" i="21"/>
  <c r="N1170" i="21"/>
  <c r="N1174" i="21"/>
  <c r="N1177" i="21"/>
  <c r="N1181" i="21"/>
  <c r="N1185" i="21"/>
  <c r="N1189" i="21"/>
  <c r="N1192" i="21"/>
  <c r="R1192" i="21" s="1"/>
  <c r="N1196" i="21"/>
  <c r="N1202" i="21"/>
  <c r="N1206" i="21"/>
  <c r="N1210" i="21"/>
  <c r="N1215" i="21"/>
  <c r="N1219" i="21"/>
  <c r="N1223" i="21"/>
  <c r="N1225" i="21"/>
  <c r="N1227" i="21"/>
  <c r="N1231" i="21"/>
  <c r="N1233" i="21"/>
  <c r="N1236" i="21"/>
  <c r="N1240" i="21"/>
  <c r="N1244" i="21"/>
  <c r="N1248" i="21"/>
  <c r="N1252" i="21"/>
  <c r="N1256" i="21"/>
  <c r="N1261" i="21"/>
  <c r="N1264" i="21"/>
  <c r="N1266" i="21"/>
  <c r="N1270" i="21"/>
  <c r="N1274" i="21"/>
  <c r="R1274" i="21" s="1"/>
  <c r="N1279" i="21"/>
  <c r="N1284" i="21"/>
  <c r="N1288" i="21"/>
  <c r="N1293" i="21"/>
  <c r="N1297" i="21"/>
  <c r="N1301" i="21"/>
  <c r="N1305" i="21"/>
  <c r="N1309" i="21"/>
  <c r="N1313" i="21"/>
  <c r="N1320" i="21"/>
  <c r="N1322" i="21"/>
  <c r="N1333" i="21"/>
  <c r="N1335" i="21"/>
  <c r="N1337" i="21"/>
  <c r="N1347" i="21"/>
  <c r="N1348" i="21"/>
  <c r="N1359" i="21"/>
  <c r="N1360" i="21"/>
  <c r="N1372" i="21"/>
  <c r="N1373" i="21"/>
  <c r="N1383" i="21"/>
  <c r="N1385" i="21"/>
  <c r="N1387" i="21"/>
  <c r="N1397" i="21"/>
  <c r="N1398" i="21"/>
  <c r="N1408" i="21"/>
  <c r="N1409" i="21"/>
  <c r="N1420" i="21"/>
  <c r="N1422" i="21"/>
  <c r="N1424" i="21"/>
  <c r="N1436" i="21"/>
  <c r="N1437" i="21"/>
  <c r="N1439" i="21"/>
  <c r="N1441" i="21"/>
  <c r="N1454" i="21"/>
  <c r="R1454" i="21" s="1"/>
  <c r="N1456" i="21"/>
  <c r="N1468" i="21"/>
  <c r="N1470" i="21"/>
  <c r="N1472" i="21"/>
  <c r="N1486" i="21"/>
  <c r="N1487" i="21"/>
  <c r="N1490" i="21"/>
  <c r="N1492" i="21"/>
  <c r="N1493" i="21"/>
  <c r="N1494" i="21"/>
  <c r="R1494" i="21" s="1"/>
  <c r="N1496" i="21"/>
  <c r="N1498" i="21"/>
  <c r="N1500" i="21"/>
  <c r="N1501" i="21"/>
  <c r="N1502" i="21"/>
  <c r="N1504" i="21"/>
  <c r="N1508" i="21"/>
  <c r="N1510" i="21"/>
  <c r="N1512" i="21"/>
  <c r="N1513" i="21"/>
  <c r="N1514" i="21"/>
  <c r="N1516" i="21"/>
  <c r="N1518" i="21"/>
  <c r="N1520" i="21"/>
  <c r="N1521" i="21"/>
  <c r="N1522" i="21"/>
  <c r="N1529" i="21"/>
  <c r="N1532" i="21"/>
  <c r="N1534" i="21"/>
  <c r="R1534" i="21" s="1"/>
  <c r="N1536" i="21"/>
  <c r="N1553" i="21"/>
  <c r="N1556" i="21"/>
  <c r="N1558" i="21"/>
  <c r="N1560" i="21"/>
  <c r="N1592" i="21"/>
  <c r="N1595" i="21"/>
  <c r="N1597" i="21"/>
  <c r="N1599" i="21"/>
  <c r="N1632" i="21"/>
  <c r="N1635" i="21"/>
  <c r="N1637" i="21"/>
  <c r="N1639" i="21"/>
  <c r="N1672" i="21"/>
  <c r="N1675" i="21"/>
  <c r="N1676" i="21"/>
  <c r="N1677" i="21"/>
  <c r="N1679" i="21"/>
  <c r="N1711" i="21"/>
  <c r="N1714" i="21"/>
  <c r="R1714" i="21" s="1"/>
  <c r="N1716" i="21"/>
  <c r="N1718" i="21"/>
  <c r="N1750" i="21"/>
  <c r="N1753" i="21"/>
  <c r="N1755" i="21"/>
  <c r="N1757" i="21"/>
  <c r="N1788" i="21"/>
  <c r="N1791" i="21"/>
  <c r="N1793" i="21"/>
  <c r="N1795" i="21"/>
  <c r="N1826" i="21"/>
  <c r="N1829" i="21"/>
  <c r="N1831" i="21"/>
  <c r="N1833" i="21"/>
  <c r="N1865" i="21"/>
  <c r="N1868" i="21"/>
  <c r="N1870" i="21"/>
  <c r="N1872" i="21"/>
  <c r="N1904" i="21"/>
  <c r="N1907" i="21"/>
  <c r="N1909" i="21"/>
  <c r="N1911" i="21"/>
  <c r="N1943" i="21"/>
  <c r="N1946" i="21"/>
  <c r="N1948" i="21"/>
  <c r="N1950" i="21"/>
  <c r="N1973" i="21"/>
  <c r="N1976" i="21"/>
  <c r="N1978" i="21"/>
  <c r="N1980" i="21"/>
  <c r="N1982" i="21"/>
  <c r="N1983" i="21"/>
  <c r="N1984" i="21"/>
  <c r="N14" i="21"/>
  <c r="R14" i="21" s="1"/>
  <c r="M14" i="21"/>
  <c r="Q14" i="21" s="1"/>
  <c r="S949" i="21" l="1"/>
  <c r="U948" i="21"/>
  <c r="U950" i="21"/>
  <c r="U949" i="21"/>
  <c r="R40" i="21"/>
  <c r="O949" i="21"/>
  <c r="T949" i="21"/>
  <c r="P949" i="21" s="1"/>
  <c r="Z40" i="21"/>
  <c r="X40" i="21" s="1"/>
  <c r="Q40" i="21"/>
  <c r="O38" i="21"/>
  <c r="S38" i="21" s="1"/>
  <c r="O40" i="21"/>
  <c r="S40" i="21" s="1"/>
  <c r="T40" i="21" s="1"/>
  <c r="P40" i="21" s="1"/>
  <c r="Q41" i="21"/>
  <c r="R39" i="21"/>
  <c r="N38" i="21"/>
  <c r="T39" i="21"/>
  <c r="P39" i="21" s="1"/>
  <c r="X53" i="21"/>
  <c r="X30" i="21"/>
  <c r="X22" i="21"/>
  <c r="Z541" i="21"/>
  <c r="X52" i="21"/>
  <c r="X15" i="21"/>
  <c r="X14" i="21"/>
  <c r="Z141" i="21"/>
  <c r="Z101" i="21"/>
  <c r="Z81" i="21"/>
  <c r="Z62" i="21"/>
  <c r="Z104" i="21"/>
  <c r="Z86" i="21"/>
  <c r="Z97" i="21"/>
  <c r="Z103" i="21"/>
  <c r="Z82" i="21"/>
  <c r="Z85" i="21"/>
  <c r="Z61" i="21"/>
  <c r="R269" i="21"/>
  <c r="Z46" i="21"/>
  <c r="X46" i="21" s="1"/>
  <c r="T13" i="21"/>
  <c r="Z17" i="21"/>
  <c r="X17" i="21" s="1"/>
  <c r="Z18" i="21"/>
  <c r="X18" i="21" s="1"/>
  <c r="Z19" i="21"/>
  <c r="X19" i="21" s="1"/>
  <c r="Z20" i="21"/>
  <c r="X20" i="21" s="1"/>
  <c r="Z21" i="21"/>
  <c r="X21" i="21" s="1"/>
  <c r="Z31" i="21"/>
  <c r="X31" i="21" s="1"/>
  <c r="Z32" i="21"/>
  <c r="X32" i="21" s="1"/>
  <c r="Z43" i="21"/>
  <c r="X43" i="21" s="1"/>
  <c r="Z44" i="21"/>
  <c r="X44" i="21" s="1"/>
  <c r="Z45" i="21"/>
  <c r="X45" i="21" s="1"/>
  <c r="Z48" i="21"/>
  <c r="X48" i="21" s="1"/>
  <c r="Z16" i="21"/>
  <c r="X16" i="21" s="1"/>
  <c r="S140" i="21"/>
  <c r="T140" i="21" s="1"/>
  <c r="P140" i="21" s="1"/>
  <c r="W1305" i="21"/>
  <c r="W1051" i="21"/>
  <c r="W1009" i="21"/>
  <c r="W970" i="21"/>
  <c r="W1864" i="21"/>
  <c r="W1632" i="21"/>
  <c r="W1088" i="21"/>
  <c r="W1048" i="21"/>
  <c r="W1336" i="21"/>
  <c r="W1241" i="21"/>
  <c r="W1197" i="21"/>
  <c r="W1159" i="21"/>
  <c r="W1113" i="21"/>
  <c r="W908" i="21"/>
  <c r="W562" i="21"/>
  <c r="Q134" i="21"/>
  <c r="W1788" i="21"/>
  <c r="W1296" i="21"/>
  <c r="W1071" i="21"/>
  <c r="W964" i="21"/>
  <c r="W1309" i="21"/>
  <c r="W1263" i="21"/>
  <c r="W924" i="21"/>
  <c r="W1631" i="21"/>
  <c r="W1321" i="21"/>
  <c r="W1190" i="21"/>
  <c r="W1104" i="21"/>
  <c r="W932" i="21"/>
  <c r="W1834" i="21"/>
  <c r="W1004" i="21"/>
  <c r="W1951" i="21"/>
  <c r="W1711" i="21"/>
  <c r="W1312" i="21"/>
  <c r="W1269" i="21"/>
  <c r="W1059" i="21"/>
  <c r="W1017" i="21"/>
  <c r="W979" i="21"/>
  <c r="W940" i="21"/>
  <c r="W474" i="21"/>
  <c r="W1639" i="21"/>
  <c r="W917" i="21"/>
  <c r="W750" i="21"/>
  <c r="W574" i="21"/>
  <c r="W268" i="21"/>
  <c r="W1979" i="21"/>
  <c r="W1751" i="21"/>
  <c r="W1284" i="21"/>
  <c r="W1031" i="21"/>
  <c r="W992" i="21"/>
  <c r="W954" i="21"/>
  <c r="W487" i="21"/>
  <c r="W1222" i="21"/>
  <c r="W1180" i="21"/>
  <c r="W1144" i="21"/>
  <c r="W1095" i="21"/>
  <c r="W928" i="21"/>
  <c r="W1192" i="21"/>
  <c r="W841" i="21"/>
  <c r="W558" i="21"/>
  <c r="W136" i="21"/>
  <c r="W1308" i="21"/>
  <c r="W976" i="21"/>
  <c r="W1530" i="21"/>
  <c r="W1249" i="21"/>
  <c r="W1082" i="21"/>
  <c r="W154" i="21"/>
  <c r="W1865" i="21"/>
  <c r="W1719" i="21"/>
  <c r="W1280" i="21"/>
  <c r="W482" i="21"/>
  <c r="W1220" i="21"/>
  <c r="W1179" i="21"/>
  <c r="W1138" i="21"/>
  <c r="W1093" i="21"/>
  <c r="W472" i="21"/>
  <c r="W1904" i="21"/>
  <c r="W1294" i="21"/>
  <c r="W999" i="21"/>
  <c r="W473" i="21"/>
  <c r="W1633" i="21"/>
  <c r="W1203" i="21"/>
  <c r="W1164" i="21"/>
  <c r="W1118" i="21"/>
  <c r="W565" i="21"/>
  <c r="W1972" i="21"/>
  <c r="W1833" i="21"/>
  <c r="W1274" i="21"/>
  <c r="W1063" i="21"/>
  <c r="W1022" i="21"/>
  <c r="W984" i="21"/>
  <c r="W943" i="21"/>
  <c r="W478" i="21"/>
  <c r="W1672" i="21"/>
  <c r="W1256" i="21"/>
  <c r="W1173" i="21"/>
  <c r="W1137" i="21"/>
  <c r="W1089" i="21"/>
  <c r="W920" i="21"/>
  <c r="W753" i="21"/>
  <c r="W1135" i="21"/>
  <c r="W1873" i="21"/>
  <c r="W1289" i="21"/>
  <c r="W1035" i="21"/>
  <c r="W490" i="21"/>
  <c r="W1175" i="21"/>
  <c r="W1560" i="21"/>
  <c r="W1228" i="21"/>
  <c r="W1185" i="21"/>
  <c r="W1148" i="21"/>
  <c r="W1099" i="21"/>
  <c r="W930" i="21"/>
  <c r="W1218" i="21"/>
  <c r="W1910" i="21"/>
  <c r="W1471" i="21"/>
  <c r="W1257" i="21"/>
  <c r="W1174" i="21"/>
  <c r="W1087" i="21"/>
  <c r="W1046" i="21"/>
  <c r="W1007" i="21"/>
  <c r="W969" i="21"/>
  <c r="W957" i="21"/>
  <c r="W921" i="21"/>
  <c r="W1219" i="21"/>
  <c r="W527" i="21"/>
  <c r="W963" i="21"/>
  <c r="W1310" i="21"/>
  <c r="W1827" i="21"/>
  <c r="W1825" i="21"/>
  <c r="W1679" i="21"/>
  <c r="W1678" i="21"/>
  <c r="W1264" i="21"/>
  <c r="W1055" i="21"/>
  <c r="W1054" i="21"/>
  <c r="W1014" i="21"/>
  <c r="W1013" i="21"/>
  <c r="W937" i="21"/>
  <c r="W935" i="21"/>
  <c r="W471" i="21"/>
  <c r="W469" i="21"/>
  <c r="W560" i="21"/>
  <c r="W926" i="21"/>
  <c r="W965" i="21"/>
  <c r="W1005" i="21"/>
  <c r="W1049" i="21"/>
  <c r="W1136" i="21"/>
  <c r="W1176" i="21"/>
  <c r="W1265" i="21"/>
  <c r="W1205" i="21"/>
  <c r="W1120" i="21"/>
  <c r="W914" i="21"/>
  <c r="W913" i="21"/>
  <c r="W567" i="21"/>
  <c r="W107" i="21"/>
  <c r="W476" i="21"/>
  <c r="W561" i="21"/>
  <c r="W927" i="21"/>
  <c r="W966" i="21"/>
  <c r="W1050" i="21"/>
  <c r="W1091" i="21"/>
  <c r="W1469" i="21"/>
  <c r="W1638" i="21"/>
  <c r="W1872" i="21"/>
  <c r="W1866" i="21"/>
  <c r="W1025" i="21"/>
  <c r="W986" i="21"/>
  <c r="W985" i="21"/>
  <c r="W945" i="21"/>
  <c r="W477" i="21"/>
  <c r="W967" i="21"/>
  <c r="W1008" i="21"/>
  <c r="W1226" i="21"/>
  <c r="W1470" i="21"/>
  <c r="W1154" i="21"/>
  <c r="W1153" i="21"/>
  <c r="W1554" i="21"/>
  <c r="W1553" i="21"/>
  <c r="W1552" i="21"/>
  <c r="W1386" i="21"/>
  <c r="W1385" i="21"/>
  <c r="W1384" i="21"/>
  <c r="W1177" i="21"/>
  <c r="W1141" i="21"/>
  <c r="W1139" i="21"/>
  <c r="W1092" i="21"/>
  <c r="W923" i="21"/>
  <c r="W922" i="21"/>
  <c r="W580" i="21"/>
  <c r="W579" i="21"/>
  <c r="W578" i="21"/>
  <c r="W563" i="21"/>
  <c r="W929" i="21"/>
  <c r="W1010" i="21"/>
  <c r="W1053" i="21"/>
  <c r="W1142" i="21"/>
  <c r="W1227" i="21"/>
  <c r="W1278" i="21"/>
  <c r="W1319" i="21"/>
  <c r="W1671" i="21"/>
  <c r="W1044" i="21"/>
  <c r="W1043" i="21"/>
  <c r="W1042" i="21"/>
  <c r="W1237" i="21"/>
  <c r="W1903" i="21"/>
  <c r="W1757" i="21"/>
  <c r="W1066" i="21"/>
  <c r="W1037" i="21"/>
  <c r="W961" i="21"/>
  <c r="W960" i="21"/>
  <c r="W959" i="21"/>
  <c r="W494" i="21"/>
  <c r="W493" i="21"/>
  <c r="W492" i="21"/>
  <c r="W483" i="21"/>
  <c r="W564" i="21"/>
  <c r="W931" i="21"/>
  <c r="W1012" i="21"/>
  <c r="W1057" i="21"/>
  <c r="W1143" i="21"/>
  <c r="W1188" i="21"/>
  <c r="W1279" i="21"/>
  <c r="W1320" i="21"/>
  <c r="W1905" i="21"/>
  <c r="W1109" i="21"/>
  <c r="W1591" i="21"/>
  <c r="W1232" i="21"/>
  <c r="W1152" i="21"/>
  <c r="W837" i="21"/>
  <c r="W836" i="21"/>
  <c r="W130" i="21"/>
  <c r="W132" i="21"/>
  <c r="W131" i="21"/>
  <c r="W484" i="21"/>
  <c r="W835" i="21"/>
  <c r="W974" i="21"/>
  <c r="W1058" i="21"/>
  <c r="W1102" i="21"/>
  <c r="W1189" i="21"/>
  <c r="W1230" i="21"/>
  <c r="W1680" i="21"/>
  <c r="W1911" i="21"/>
  <c r="W1944" i="21"/>
  <c r="W1943" i="21"/>
  <c r="W1942" i="21"/>
  <c r="W1796" i="21"/>
  <c r="W1795" i="21"/>
  <c r="W972" i="21"/>
  <c r="W971" i="21"/>
  <c r="W934" i="21"/>
  <c r="W933" i="21"/>
  <c r="W485" i="21"/>
  <c r="W568" i="21"/>
  <c r="W839" i="21"/>
  <c r="W936" i="21"/>
  <c r="W975" i="21"/>
  <c r="W1019" i="21"/>
  <c r="W1103" i="21"/>
  <c r="W1146" i="21"/>
  <c r="W1231" i="21"/>
  <c r="W1283" i="21"/>
  <c r="W1912" i="21"/>
  <c r="W526" i="21"/>
  <c r="W525" i="21"/>
  <c r="W1243" i="21"/>
  <c r="W1076" i="21"/>
  <c r="W912" i="21"/>
  <c r="W486" i="21"/>
  <c r="W569" i="21"/>
  <c r="W840" i="21"/>
  <c r="W938" i="21"/>
  <c r="W1020" i="21"/>
  <c r="W1060" i="21"/>
  <c r="W1147" i="21"/>
  <c r="W1191" i="21"/>
  <c r="W1235" i="21"/>
  <c r="W1717" i="21"/>
  <c r="W1949" i="21"/>
  <c r="W559" i="21"/>
  <c r="W557" i="21"/>
  <c r="W1275" i="21"/>
  <c r="W1273" i="21"/>
  <c r="W572" i="21"/>
  <c r="W939" i="21"/>
  <c r="W978" i="21"/>
  <c r="W1061" i="21"/>
  <c r="W1107" i="21"/>
  <c r="W1150" i="21"/>
  <c r="W1236" i="21"/>
  <c r="W1288" i="21"/>
  <c r="W1528" i="21"/>
  <c r="W1718" i="21"/>
  <c r="T86" i="21"/>
  <c r="P86" i="21" s="1"/>
  <c r="W1673" i="21"/>
  <c r="W1535" i="21"/>
  <c r="W1215" i="21"/>
  <c r="W575" i="21"/>
  <c r="W271" i="21"/>
  <c r="W573" i="21"/>
  <c r="W907" i="21"/>
  <c r="W1023" i="21"/>
  <c r="W1064" i="21"/>
  <c r="W1108" i="21"/>
  <c r="W1151" i="21"/>
  <c r="W1196" i="21"/>
  <c r="W1529" i="21"/>
  <c r="W1973" i="21"/>
  <c r="W1002" i="21"/>
  <c r="W1001" i="21"/>
  <c r="W1423" i="21"/>
  <c r="W1194" i="21"/>
  <c r="W1871" i="21"/>
  <c r="W1440" i="21"/>
  <c r="W1438" i="21"/>
  <c r="W1287" i="21"/>
  <c r="W955" i="21"/>
  <c r="W489" i="21"/>
  <c r="W491" i="21"/>
  <c r="W941" i="21"/>
  <c r="W981" i="21"/>
  <c r="W1024" i="21"/>
  <c r="W1065" i="21"/>
  <c r="W1112" i="21"/>
  <c r="W1156" i="21"/>
  <c r="W1244" i="21"/>
  <c r="W1292" i="21"/>
  <c r="W1421" i="21"/>
  <c r="W1974" i="21"/>
  <c r="W1186" i="21"/>
  <c r="W1184" i="21"/>
  <c r="W1101" i="21"/>
  <c r="W1098" i="21"/>
  <c r="W576" i="21"/>
  <c r="W910" i="21"/>
  <c r="W942" i="21"/>
  <c r="W982" i="21"/>
  <c r="W1030" i="21"/>
  <c r="W1158" i="21"/>
  <c r="W1200" i="21"/>
  <c r="W1245" i="21"/>
  <c r="W1293" i="21"/>
  <c r="W1422" i="21"/>
  <c r="W1536" i="21"/>
  <c r="W1756" i="21"/>
  <c r="W1302" i="21"/>
  <c r="W1301" i="21"/>
  <c r="W1300" i="21"/>
  <c r="W577" i="21"/>
  <c r="W911" i="21"/>
  <c r="W946" i="21"/>
  <c r="W987" i="21"/>
  <c r="W1077" i="21"/>
  <c r="W1116" i="21"/>
  <c r="W1202" i="21"/>
  <c r="W1247" i="21"/>
  <c r="W1537" i="21"/>
  <c r="W1758" i="21"/>
  <c r="W1070" i="21"/>
  <c r="W1069" i="21"/>
  <c r="W1600" i="21"/>
  <c r="W1599" i="21"/>
  <c r="W1335" i="21"/>
  <c r="W1334" i="21"/>
  <c r="W1240" i="21"/>
  <c r="W1239" i="21"/>
  <c r="W1195" i="21"/>
  <c r="W1157" i="21"/>
  <c r="W1111" i="21"/>
  <c r="W909" i="21"/>
  <c r="W139" i="21"/>
  <c r="W749" i="21"/>
  <c r="W915" i="21"/>
  <c r="W947" i="21"/>
  <c r="W991" i="21"/>
  <c r="W1033" i="21"/>
  <c r="W1078" i="21"/>
  <c r="W1117" i="21"/>
  <c r="W1162" i="21"/>
  <c r="W1248" i="21"/>
  <c r="W1297" i="21"/>
  <c r="W1559" i="21"/>
  <c r="W1787" i="21"/>
  <c r="W1950" i="21"/>
  <c r="W1712" i="21"/>
  <c r="W1710" i="21"/>
  <c r="W1314" i="21"/>
  <c r="W1313" i="21"/>
  <c r="W1271" i="21"/>
  <c r="W1270" i="21"/>
  <c r="W1018" i="21"/>
  <c r="W1016" i="21"/>
  <c r="W980" i="21"/>
  <c r="W951" i="21"/>
  <c r="W1034" i="21"/>
  <c r="W1080" i="21"/>
  <c r="W1163" i="21"/>
  <c r="W1206" i="21"/>
  <c r="W1298" i="21"/>
  <c r="W1439" i="21"/>
  <c r="W1561" i="21"/>
  <c r="W1789" i="21"/>
  <c r="W1640" i="21"/>
  <c r="W1252" i="21"/>
  <c r="W1251" i="21"/>
  <c r="W1211" i="21"/>
  <c r="W1210" i="21"/>
  <c r="W1209" i="21"/>
  <c r="W1170" i="21"/>
  <c r="W1169" i="21"/>
  <c r="W1127" i="21"/>
  <c r="W1126" i="21"/>
  <c r="W1125" i="21"/>
  <c r="W1084" i="21"/>
  <c r="W1083" i="21"/>
  <c r="W916" i="21"/>
  <c r="W748" i="21"/>
  <c r="W267" i="21"/>
  <c r="W157" i="21"/>
  <c r="W156" i="21"/>
  <c r="W751" i="21"/>
  <c r="W918" i="21"/>
  <c r="W952" i="21"/>
  <c r="W997" i="21"/>
  <c r="W1081" i="21"/>
  <c r="W1121" i="21"/>
  <c r="W1207" i="21"/>
  <c r="W1253" i="21"/>
  <c r="W1304" i="21"/>
  <c r="W1592" i="21"/>
  <c r="W1794" i="21"/>
  <c r="W1981" i="21"/>
  <c r="W1980" i="21"/>
  <c r="W1029" i="21"/>
  <c r="W990" i="21"/>
  <c r="W752" i="21"/>
  <c r="W919" i="21"/>
  <c r="W998" i="21"/>
  <c r="W1038" i="21"/>
  <c r="W1122" i="21"/>
  <c r="W1171" i="21"/>
  <c r="W1214" i="21"/>
  <c r="W1255" i="21"/>
  <c r="W1306" i="21"/>
  <c r="W1593" i="21"/>
  <c r="W1826" i="21"/>
  <c r="W1750" i="21"/>
  <c r="W1749" i="21"/>
  <c r="W1285" i="21"/>
  <c r="W1224" i="21"/>
  <c r="W1223" i="21"/>
  <c r="W1182" i="21"/>
  <c r="W1181" i="21"/>
  <c r="W1097" i="21"/>
  <c r="W1096" i="21"/>
  <c r="W470" i="21"/>
  <c r="W956" i="21"/>
  <c r="W1039" i="21"/>
  <c r="W1086" i="21"/>
  <c r="W1216" i="21"/>
  <c r="W1598" i="21"/>
  <c r="W1832" i="21"/>
  <c r="W1003" i="21"/>
  <c r="W1045" i="21"/>
  <c r="W108" i="21"/>
  <c r="W109" i="21"/>
  <c r="W110" i="21"/>
  <c r="W134" i="21"/>
  <c r="W111" i="21"/>
  <c r="W135" i="21"/>
  <c r="W112" i="21"/>
  <c r="W125" i="21"/>
  <c r="W137" i="21"/>
  <c r="W126" i="21"/>
  <c r="W138" i="21"/>
  <c r="W127" i="21"/>
  <c r="W128" i="21"/>
  <c r="W152" i="21"/>
  <c r="W129" i="21"/>
  <c r="W153" i="21"/>
  <c r="W266" i="21"/>
  <c r="W155" i="21"/>
  <c r="W269" i="21"/>
  <c r="W270" i="21"/>
  <c r="W105" i="21"/>
  <c r="W106" i="21"/>
  <c r="Q154" i="21"/>
  <c r="T30" i="21"/>
  <c r="P30" i="21" s="1"/>
  <c r="T18" i="21"/>
  <c r="P18" i="21" s="1"/>
  <c r="T62" i="21"/>
  <c r="P62" i="21" s="1"/>
  <c r="T22" i="21"/>
  <c r="P22" i="21" s="1"/>
  <c r="T17" i="21"/>
  <c r="P17" i="21" s="1"/>
  <c r="T85" i="21"/>
  <c r="P85" i="21" s="1"/>
  <c r="T42" i="21"/>
  <c r="P42" i="21" s="1"/>
  <c r="O14" i="21"/>
  <c r="S14" i="21" s="1"/>
  <c r="T14" i="21" s="1"/>
  <c r="P14" i="21" s="1"/>
  <c r="O97" i="21"/>
  <c r="S97" i="21" s="1"/>
  <c r="T97" i="21" s="1"/>
  <c r="P97" i="21" s="1"/>
  <c r="O79" i="21"/>
  <c r="S79" i="21" s="1"/>
  <c r="T79" i="21" s="1"/>
  <c r="P79" i="21" s="1"/>
  <c r="T95" i="21"/>
  <c r="P95" i="21" s="1"/>
  <c r="T75" i="21"/>
  <c r="P75" i="21" s="1"/>
  <c r="T61" i="21"/>
  <c r="P61" i="21" s="1"/>
  <c r="T21" i="21"/>
  <c r="P21" i="21" s="1"/>
  <c r="T43" i="21"/>
  <c r="P43" i="21" s="1"/>
  <c r="T15" i="21"/>
  <c r="P15" i="21" s="1"/>
  <c r="T66" i="21"/>
  <c r="P66" i="21" s="1"/>
  <c r="T32" i="21"/>
  <c r="P32" i="21" s="1"/>
  <c r="T20" i="21"/>
  <c r="P20" i="21" s="1"/>
  <c r="T53" i="21"/>
  <c r="P53" i="21" s="1"/>
  <c r="T77" i="21"/>
  <c r="P77" i="21" s="1"/>
  <c r="T57" i="21"/>
  <c r="P57" i="21" s="1"/>
  <c r="T51" i="21"/>
  <c r="P51" i="21" s="1"/>
  <c r="T82" i="21"/>
  <c r="P82" i="21" s="1"/>
  <c r="T45" i="21"/>
  <c r="P45" i="21" s="1"/>
  <c r="T56" i="21"/>
  <c r="P56" i="21" s="1"/>
  <c r="T50" i="21"/>
  <c r="P50" i="21" s="1"/>
  <c r="T100" i="21"/>
  <c r="P100" i="21" s="1"/>
  <c r="T81" i="21"/>
  <c r="P81" i="21" s="1"/>
  <c r="T44" i="21"/>
  <c r="P44" i="21" s="1"/>
  <c r="T16" i="21"/>
  <c r="P16" i="21" s="1"/>
  <c r="T80" i="21"/>
  <c r="P80" i="21" s="1"/>
  <c r="T48" i="21"/>
  <c r="P48" i="21" s="1"/>
  <c r="T104" i="21"/>
  <c r="P104" i="21" s="1"/>
  <c r="T31" i="21"/>
  <c r="P31" i="21" s="1"/>
  <c r="T19" i="21"/>
  <c r="P19" i="21" s="1"/>
  <c r="T103" i="21"/>
  <c r="P103" i="21" s="1"/>
  <c r="T52" i="21"/>
  <c r="P52" i="21" s="1"/>
  <c r="T46" i="21"/>
  <c r="P46" i="21" s="1"/>
  <c r="Q916" i="21"/>
  <c r="S1867" i="21"/>
  <c r="T1867" i="21" s="1"/>
  <c r="P1867" i="21" s="1"/>
  <c r="S1025" i="21"/>
  <c r="T1025" i="21" s="1"/>
  <c r="P1025" i="21" s="1"/>
  <c r="Q1179" i="21"/>
  <c r="S985" i="21"/>
  <c r="T985" i="21" s="1"/>
  <c r="P985" i="21" s="1"/>
  <c r="Q674" i="21"/>
  <c r="Q654" i="21"/>
  <c r="Q554" i="21"/>
  <c r="S1407" i="21"/>
  <c r="S720" i="21"/>
  <c r="T720" i="21" s="1"/>
  <c r="P720" i="21" s="1"/>
  <c r="S700" i="21"/>
  <c r="T700" i="21" s="1"/>
  <c r="P700" i="21" s="1"/>
  <c r="Q814" i="21"/>
  <c r="S560" i="21"/>
  <c r="T560" i="21" s="1"/>
  <c r="P560" i="21" s="1"/>
  <c r="S1947" i="21"/>
  <c r="S1827" i="21"/>
  <c r="Q1361" i="21"/>
  <c r="Q472" i="21"/>
  <c r="Q1039" i="21"/>
  <c r="Q999" i="21"/>
  <c r="Q513" i="21"/>
  <c r="Q959" i="21"/>
  <c r="S478" i="21"/>
  <c r="T478" i="21" s="1"/>
  <c r="P478" i="21" s="1"/>
  <c r="S519" i="21"/>
  <c r="T519" i="21" s="1"/>
  <c r="P519" i="21" s="1"/>
  <c r="Q1241" i="21"/>
  <c r="Q1159" i="21"/>
  <c r="S1045" i="21"/>
  <c r="T1045" i="21" s="1"/>
  <c r="P1045" i="21" s="1"/>
  <c r="Q1981" i="21"/>
  <c r="S1467" i="21"/>
  <c r="S1125" i="21"/>
  <c r="T1125" i="21" s="1"/>
  <c r="P1125" i="21" s="1"/>
  <c r="S965" i="21"/>
  <c r="T965" i="21" s="1"/>
  <c r="P965" i="21" s="1"/>
  <c r="Q574" i="21"/>
  <c r="S1787" i="21"/>
  <c r="Q1421" i="21"/>
  <c r="S1247" i="21"/>
  <c r="T1247" i="21" s="1"/>
  <c r="P1247" i="21" s="1"/>
  <c r="S1165" i="21"/>
  <c r="T1165" i="21" s="1"/>
  <c r="P1165" i="21" s="1"/>
  <c r="S580" i="21"/>
  <c r="T580" i="21" s="1"/>
  <c r="P580" i="21" s="1"/>
  <c r="Q1321" i="21"/>
  <c r="S922" i="21"/>
  <c r="T922" i="21" s="1"/>
  <c r="P922" i="21" s="1"/>
  <c r="Q1561" i="21"/>
  <c r="S1287" i="21"/>
  <c r="T1287" i="21" s="1"/>
  <c r="P1287" i="21" s="1"/>
  <c r="Q1019" i="21"/>
  <c r="Q1059" i="21"/>
  <c r="S540" i="21"/>
  <c r="T540" i="21" s="1"/>
  <c r="P540" i="21" s="1"/>
  <c r="R1594" i="21"/>
  <c r="R929" i="21"/>
  <c r="R1974" i="21"/>
  <c r="R1834" i="21"/>
  <c r="R1334" i="21"/>
  <c r="R607" i="21"/>
  <c r="R547" i="21"/>
  <c r="R1152" i="21"/>
  <c r="R1072" i="21"/>
  <c r="R992" i="21"/>
  <c r="R1554" i="21"/>
  <c r="R1314" i="21"/>
  <c r="R445" i="21"/>
  <c r="R1794" i="21"/>
  <c r="R1674" i="21"/>
  <c r="R1374" i="21"/>
  <c r="R909" i="21"/>
  <c r="R1634" i="21"/>
  <c r="R1214" i="21"/>
  <c r="R1012" i="21"/>
  <c r="R972" i="21"/>
  <c r="R1294" i="21"/>
  <c r="R1981" i="21"/>
  <c r="S1974" i="21"/>
  <c r="Q1908" i="21"/>
  <c r="S1834" i="21"/>
  <c r="Q1828" i="21"/>
  <c r="S1794" i="21"/>
  <c r="S1754" i="21"/>
  <c r="S1674" i="21"/>
  <c r="T1674" i="21" s="1"/>
  <c r="P1674" i="21" s="1"/>
  <c r="S1634" i="21"/>
  <c r="T1634" i="21" s="1"/>
  <c r="P1634" i="21" s="1"/>
  <c r="S1594" i="21"/>
  <c r="T1594" i="21" s="1"/>
  <c r="P1594" i="21" s="1"/>
  <c r="R1561" i="21"/>
  <c r="S1554" i="21"/>
  <c r="Q1528" i="21"/>
  <c r="R1521" i="21"/>
  <c r="R1501" i="21"/>
  <c r="Q1488" i="21"/>
  <c r="R1441" i="21"/>
  <c r="R1421" i="21"/>
  <c r="Q1388" i="21"/>
  <c r="S1374" i="21"/>
  <c r="R1361" i="21"/>
  <c r="S1334" i="21"/>
  <c r="R1321" i="21"/>
  <c r="S1314" i="21"/>
  <c r="Q1308" i="21"/>
  <c r="R1301" i="21"/>
  <c r="S1294" i="21"/>
  <c r="T1294" i="21" s="1"/>
  <c r="P1294" i="21" s="1"/>
  <c r="R1261" i="21"/>
  <c r="R1241" i="21"/>
  <c r="Q1228" i="21"/>
  <c r="S1214" i="21"/>
  <c r="T1214" i="21" s="1"/>
  <c r="P1214" i="21" s="1"/>
  <c r="Q1207" i="21"/>
  <c r="Q1186" i="21"/>
  <c r="R1179" i="21"/>
  <c r="R1159" i="21"/>
  <c r="S1152" i="21"/>
  <c r="T1152" i="21" s="1"/>
  <c r="P1152" i="21" s="1"/>
  <c r="Q1146" i="21"/>
  <c r="R1139" i="21"/>
  <c r="R1099" i="21"/>
  <c r="Q1086" i="21"/>
  <c r="S1072" i="21"/>
  <c r="T1072" i="21" s="1"/>
  <c r="P1072" i="21" s="1"/>
  <c r="Q1066" i="21"/>
  <c r="R1059" i="21"/>
  <c r="R1039" i="21"/>
  <c r="R1019" i="21"/>
  <c r="S1012" i="21"/>
  <c r="T1012" i="21" s="1"/>
  <c r="P1012" i="21" s="1"/>
  <c r="R999" i="21"/>
  <c r="S992" i="21"/>
  <c r="T992" i="21" s="1"/>
  <c r="P992" i="21" s="1"/>
  <c r="R979" i="21"/>
  <c r="S972" i="21"/>
  <c r="T972" i="21" s="1"/>
  <c r="P972" i="21" s="1"/>
  <c r="Q966" i="21"/>
  <c r="R959" i="21"/>
  <c r="Q103" i="21"/>
  <c r="R103" i="21"/>
  <c r="Q1974" i="21"/>
  <c r="R1947" i="21"/>
  <c r="Q86" i="21"/>
  <c r="R86" i="21"/>
  <c r="Q81" i="21"/>
  <c r="R81" i="21"/>
  <c r="R1980" i="21"/>
  <c r="Q1947" i="21"/>
  <c r="S1873" i="21"/>
  <c r="Q1867" i="21"/>
  <c r="Q1827" i="21"/>
  <c r="Q1787" i="21"/>
  <c r="S1713" i="21"/>
  <c r="T1713" i="21" s="1"/>
  <c r="P1713" i="21" s="1"/>
  <c r="R1680" i="21"/>
  <c r="S1673" i="21"/>
  <c r="R1640" i="21"/>
  <c r="S1633" i="21"/>
  <c r="R1600" i="21"/>
  <c r="S1593" i="21"/>
  <c r="R1560" i="21"/>
  <c r="S1533" i="21"/>
  <c r="R1520" i="21"/>
  <c r="R1500" i="21"/>
  <c r="S1473" i="21"/>
  <c r="Q1467" i="21"/>
  <c r="S1453" i="21"/>
  <c r="R1440" i="21"/>
  <c r="R1420" i="21"/>
  <c r="Q1407" i="21"/>
  <c r="R1360" i="21"/>
  <c r="R1320" i="21"/>
  <c r="R1300" i="21"/>
  <c r="Q1287" i="21"/>
  <c r="R1280" i="21"/>
  <c r="S1273" i="21"/>
  <c r="T1273" i="21" s="1"/>
  <c r="P1273" i="21" s="1"/>
  <c r="R1260" i="21"/>
  <c r="S1253" i="21"/>
  <c r="T1253" i="21" s="1"/>
  <c r="P1253" i="21" s="1"/>
  <c r="Q1247" i="21"/>
  <c r="R1240" i="21"/>
  <c r="R1220" i="21"/>
  <c r="S1191" i="21"/>
  <c r="T1191" i="21" s="1"/>
  <c r="P1191" i="21" s="1"/>
  <c r="S1171" i="21"/>
  <c r="T1171" i="21" s="1"/>
  <c r="P1171" i="21" s="1"/>
  <c r="Q1165" i="21"/>
  <c r="R1158" i="21"/>
  <c r="Q97" i="21"/>
  <c r="R97" i="21"/>
  <c r="R567" i="21"/>
  <c r="Q75" i="21"/>
  <c r="R75" i="21"/>
  <c r="S1979" i="21"/>
  <c r="R1946" i="21"/>
  <c r="R1906" i="21"/>
  <c r="Q1873" i="21"/>
  <c r="R1866" i="21"/>
  <c r="R1826" i="21"/>
  <c r="S1719" i="21"/>
  <c r="Q1713" i="21"/>
  <c r="Q1673" i="21"/>
  <c r="Q1633" i="21"/>
  <c r="R1514" i="21"/>
  <c r="R827" i="21"/>
  <c r="R1754" i="21"/>
  <c r="Q943" i="21"/>
  <c r="R1138" i="21"/>
  <c r="Q1125" i="21"/>
  <c r="R1118" i="21"/>
  <c r="S1111" i="21"/>
  <c r="T1111" i="21" s="1"/>
  <c r="P1111" i="21" s="1"/>
  <c r="R1098" i="21"/>
  <c r="S1091" i="21"/>
  <c r="T1091" i="21" s="1"/>
  <c r="P1091" i="21" s="1"/>
  <c r="R1078" i="21"/>
  <c r="S1071" i="21"/>
  <c r="T1071" i="21" s="1"/>
  <c r="P1071" i="21" s="1"/>
  <c r="R1058" i="21"/>
  <c r="S1051" i="21"/>
  <c r="T1051" i="21" s="1"/>
  <c r="P1051" i="21" s="1"/>
  <c r="Q1045" i="21"/>
  <c r="R1038" i="21"/>
  <c r="S1031" i="21"/>
  <c r="T1031" i="21" s="1"/>
  <c r="P1031" i="21" s="1"/>
  <c r="Q1025" i="21"/>
  <c r="R1018" i="21"/>
  <c r="R998" i="21"/>
  <c r="Q985" i="21"/>
  <c r="R978" i="21"/>
  <c r="Q965" i="21"/>
  <c r="S951" i="21"/>
  <c r="T951" i="21" s="1"/>
  <c r="P951" i="21" s="1"/>
  <c r="R935" i="21"/>
  <c r="S928" i="21"/>
  <c r="T928" i="21" s="1"/>
  <c r="P928" i="21" s="1"/>
  <c r="Q922" i="21"/>
  <c r="R915" i="21"/>
  <c r="R793" i="21"/>
  <c r="R773" i="21"/>
  <c r="R753" i="21"/>
  <c r="S746" i="21"/>
  <c r="T746" i="21" s="1"/>
  <c r="P746" i="21" s="1"/>
  <c r="Q720" i="21"/>
  <c r="Q700" i="21"/>
  <c r="R653" i="21"/>
  <c r="R1973" i="21"/>
  <c r="S1906" i="21"/>
  <c r="T1906" i="21" s="1"/>
  <c r="P1906" i="21" s="1"/>
  <c r="R1873" i="21"/>
  <c r="S1866" i="21"/>
  <c r="R1833" i="21"/>
  <c r="R1793" i="21"/>
  <c r="R1753" i="21"/>
  <c r="R1713" i="21"/>
  <c r="Q1680" i="21"/>
  <c r="Q1593" i="21"/>
  <c r="S1559" i="21"/>
  <c r="Q1533" i="21"/>
  <c r="S1519" i="21"/>
  <c r="S1499" i="21"/>
  <c r="R1486" i="21"/>
  <c r="Q1473" i="21"/>
  <c r="Q1453" i="21"/>
  <c r="S1419" i="21"/>
  <c r="S1399" i="21"/>
  <c r="R1386" i="21"/>
  <c r="R1346" i="21"/>
  <c r="S1319" i="21"/>
  <c r="R1306" i="21"/>
  <c r="Q1273" i="21"/>
  <c r="R1266" i="21"/>
  <c r="Q1253" i="21"/>
  <c r="S1239" i="21"/>
  <c r="T1239" i="21" s="1"/>
  <c r="P1239" i="21" s="1"/>
  <c r="R1226" i="21"/>
  <c r="R1205" i="21"/>
  <c r="S1197" i="21"/>
  <c r="T1197" i="21" s="1"/>
  <c r="P1197" i="21" s="1"/>
  <c r="R1979" i="21"/>
  <c r="S1972" i="21"/>
  <c r="S1912" i="21"/>
  <c r="Q1906" i="21"/>
  <c r="Q1866" i="21"/>
  <c r="S1832" i="21"/>
  <c r="Q85" i="21"/>
  <c r="R85" i="21"/>
  <c r="Q1972" i="21"/>
  <c r="R1945" i="21"/>
  <c r="Q1912" i="21"/>
  <c r="R1905" i="21"/>
  <c r="R1865" i="21"/>
  <c r="Q1832" i="21"/>
  <c r="R1825" i="21"/>
  <c r="Q95" i="21"/>
  <c r="R95" i="21"/>
  <c r="R1951" i="21"/>
  <c r="S1944" i="21"/>
  <c r="Q79" i="21"/>
  <c r="R79" i="21"/>
  <c r="Q61" i="21"/>
  <c r="R61" i="21"/>
  <c r="Q100" i="21"/>
  <c r="R100" i="21"/>
  <c r="R66" i="21"/>
  <c r="Q66" i="21"/>
  <c r="R1976" i="21"/>
  <c r="S1949" i="21"/>
  <c r="Q1903" i="21"/>
  <c r="S1869" i="21"/>
  <c r="R1949" i="21"/>
  <c r="S1942" i="21"/>
  <c r="R1909" i="21"/>
  <c r="R1869" i="21"/>
  <c r="R1829" i="21"/>
  <c r="Q1796" i="21"/>
  <c r="R1789" i="21"/>
  <c r="Q1756" i="21"/>
  <c r="R1749" i="21"/>
  <c r="Q1636" i="21"/>
  <c r="Q1596" i="21"/>
  <c r="R1529" i="21"/>
  <c r="R1509" i="21"/>
  <c r="Q77" i="21"/>
  <c r="R77" i="21"/>
  <c r="R1982" i="21"/>
  <c r="S1975" i="21"/>
  <c r="T1975" i="21" s="1"/>
  <c r="P1975" i="21" s="1"/>
  <c r="Q1949" i="21"/>
  <c r="R1942" i="21"/>
  <c r="Q104" i="21"/>
  <c r="R104" i="21"/>
  <c r="R1975" i="21"/>
  <c r="R936" i="21"/>
  <c r="S929" i="21"/>
  <c r="T929" i="21" s="1"/>
  <c r="P929" i="21" s="1"/>
  <c r="R1907" i="21"/>
  <c r="R1867" i="21"/>
  <c r="Q1834" i="21"/>
  <c r="R1827" i="21"/>
  <c r="Q1794" i="21"/>
  <c r="R1787" i="21"/>
  <c r="Q1754" i="21"/>
  <c r="S1680" i="21"/>
  <c r="Q1674" i="21"/>
  <c r="S1640" i="21"/>
  <c r="Q1634" i="21"/>
  <c r="S1600" i="21"/>
  <c r="Q1594" i="21"/>
  <c r="Q1554" i="21"/>
  <c r="R1487" i="21"/>
  <c r="R1467" i="21"/>
  <c r="S1440" i="21"/>
  <c r="R1407" i="21"/>
  <c r="R1387" i="21"/>
  <c r="Q1374" i="21"/>
  <c r="Q580" i="21"/>
  <c r="R1673" i="21"/>
  <c r="Q1640" i="21"/>
  <c r="R1633" i="21"/>
  <c r="Q1600" i="21"/>
  <c r="R1593" i="21"/>
  <c r="R1553" i="21"/>
  <c r="R1533" i="21"/>
  <c r="R1513" i="21"/>
  <c r="R1493" i="21"/>
  <c r="R1473" i="21"/>
  <c r="R1453" i="21"/>
  <c r="Q1440" i="21"/>
  <c r="S1386" i="21"/>
  <c r="R1373" i="21"/>
  <c r="S1346" i="21"/>
  <c r="Q1191" i="21"/>
  <c r="R1184" i="21"/>
  <c r="Q1171" i="21"/>
  <c r="R1164" i="21"/>
  <c r="S1157" i="21"/>
  <c r="T1157" i="21" s="1"/>
  <c r="P1157" i="21" s="1"/>
  <c r="R1144" i="21"/>
  <c r="S1137" i="21"/>
  <c r="T1137" i="21" s="1"/>
  <c r="P1137" i="21" s="1"/>
  <c r="R1124" i="21"/>
  <c r="Q1111" i="21"/>
  <c r="R1104" i="21"/>
  <c r="S1097" i="21"/>
  <c r="T1097" i="21" s="1"/>
  <c r="P1097" i="21" s="1"/>
  <c r="Q1091" i="21"/>
  <c r="R1084" i="21"/>
  <c r="Q1071" i="21"/>
  <c r="R1064" i="21"/>
  <c r="S1057" i="21"/>
  <c r="T1057" i="21" s="1"/>
  <c r="P1057" i="21" s="1"/>
  <c r="Q1051" i="21"/>
  <c r="R1044" i="21"/>
  <c r="S1037" i="21"/>
  <c r="T1037" i="21" s="1"/>
  <c r="P1037" i="21" s="1"/>
  <c r="Q1031" i="21"/>
  <c r="R1024" i="21"/>
  <c r="R1004" i="21"/>
  <c r="S997" i="21"/>
  <c r="T997" i="21" s="1"/>
  <c r="P997" i="21" s="1"/>
  <c r="R984" i="21"/>
  <c r="R964" i="21"/>
  <c r="S957" i="21"/>
  <c r="T957" i="21" s="1"/>
  <c r="P957" i="21" s="1"/>
  <c r="Q951" i="21"/>
  <c r="R941" i="21"/>
  <c r="S934" i="21"/>
  <c r="T934" i="21" s="1"/>
  <c r="P934" i="21" s="1"/>
  <c r="Q928" i="21"/>
  <c r="R921" i="21"/>
  <c r="S1792" i="21"/>
  <c r="S1752" i="21"/>
  <c r="T1752" i="21" s="1"/>
  <c r="P1752" i="21" s="1"/>
  <c r="R1719" i="21"/>
  <c r="S1712" i="21"/>
  <c r="R1679" i="21"/>
  <c r="R1639" i="21"/>
  <c r="R1599" i="21"/>
  <c r="R1559" i="21"/>
  <c r="S1552" i="21"/>
  <c r="R1519" i="21"/>
  <c r="R1499" i="21"/>
  <c r="R1439" i="21"/>
  <c r="R1419" i="21"/>
  <c r="R1399" i="21"/>
  <c r="Q1386" i="21"/>
  <c r="R1359" i="21"/>
  <c r="Q1346" i="21"/>
  <c r="S1332" i="21"/>
  <c r="R1319" i="21"/>
  <c r="S1312" i="21"/>
  <c r="Q1306" i="21"/>
  <c r="S1292" i="21"/>
  <c r="T1292" i="21" s="1"/>
  <c r="P1292" i="21" s="1"/>
  <c r="R1279" i="21"/>
  <c r="Q80" i="21"/>
  <c r="R80" i="21"/>
  <c r="Q62" i="21"/>
  <c r="R62" i="21"/>
  <c r="Q57" i="21"/>
  <c r="R57" i="21"/>
  <c r="Q1979" i="21"/>
  <c r="R1972" i="21"/>
  <c r="S1945" i="21"/>
  <c r="T1945" i="21" s="1"/>
  <c r="P1945" i="21" s="1"/>
  <c r="R1912" i="21"/>
  <c r="S1905" i="21"/>
  <c r="R1872" i="21"/>
  <c r="R1832" i="21"/>
  <c r="S1825" i="21"/>
  <c r="R1792" i="21"/>
  <c r="R1752" i="21"/>
  <c r="Q1719" i="21"/>
  <c r="R1712" i="21"/>
  <c r="R1672" i="21"/>
  <c r="Q1792" i="21"/>
  <c r="S1758" i="21"/>
  <c r="Q1752" i="21"/>
  <c r="Q1712" i="21"/>
  <c r="S1678" i="21"/>
  <c r="S1638" i="21"/>
  <c r="S1598" i="21"/>
  <c r="Q1552" i="21"/>
  <c r="R1505" i="21"/>
  <c r="R1485" i="21"/>
  <c r="S1438" i="21"/>
  <c r="R1425" i="21"/>
  <c r="R1385" i="21"/>
  <c r="S1358" i="21"/>
  <c r="S1338" i="21"/>
  <c r="Q1332" i="21"/>
  <c r="Q1312" i="21"/>
  <c r="R1305" i="21"/>
  <c r="S1298" i="21"/>
  <c r="T1298" i="21" s="1"/>
  <c r="P1298" i="21" s="1"/>
  <c r="Q1292" i="21"/>
  <c r="R1285" i="21"/>
  <c r="S1278" i="21"/>
  <c r="T1278" i="21" s="1"/>
  <c r="P1278" i="21" s="1"/>
  <c r="R1265" i="21"/>
  <c r="R1245" i="21"/>
  <c r="Q1232" i="21"/>
  <c r="R1225" i="21"/>
  <c r="S1218" i="21"/>
  <c r="T1218" i="21" s="1"/>
  <c r="P1218" i="21" s="1"/>
  <c r="R1203" i="21"/>
  <c r="Q1190" i="21"/>
  <c r="R1978" i="21"/>
  <c r="S1951" i="21"/>
  <c r="Q1945" i="21"/>
  <c r="Q1905" i="21"/>
  <c r="S1871" i="21"/>
  <c r="Q1825" i="21"/>
  <c r="R1758" i="21"/>
  <c r="S1751" i="21"/>
  <c r="R1718" i="21"/>
  <c r="R1678" i="21"/>
  <c r="S1671" i="21"/>
  <c r="R1638" i="21"/>
  <c r="S1631" i="21"/>
  <c r="R1598" i="21"/>
  <c r="S1591" i="21"/>
  <c r="R1558" i="21"/>
  <c r="S1531" i="21"/>
  <c r="T1531" i="21" s="1"/>
  <c r="P1531" i="21" s="1"/>
  <c r="R1518" i="21"/>
  <c r="S1511" i="21"/>
  <c r="Q1505" i="21"/>
  <c r="R1498" i="21"/>
  <c r="S1491" i="21"/>
  <c r="Q1485" i="21"/>
  <c r="S1471" i="21"/>
  <c r="R1911" i="21"/>
  <c r="R1871" i="21"/>
  <c r="S1864" i="21"/>
  <c r="R1831" i="21"/>
  <c r="R1791" i="21"/>
  <c r="Q1758" i="21"/>
  <c r="R1751" i="21"/>
  <c r="R1711" i="21"/>
  <c r="Q1678" i="21"/>
  <c r="R1671" i="21"/>
  <c r="Q1638" i="21"/>
  <c r="R1631" i="21"/>
  <c r="Q1598" i="21"/>
  <c r="R1591" i="21"/>
  <c r="R1531" i="21"/>
  <c r="R1511" i="21"/>
  <c r="R1491" i="21"/>
  <c r="R1471" i="21"/>
  <c r="Q56" i="21"/>
  <c r="R56" i="21"/>
  <c r="R1984" i="21"/>
  <c r="S1977" i="21"/>
  <c r="Q1951" i="21"/>
  <c r="R1944" i="21"/>
  <c r="R1904" i="21"/>
  <c r="Q1871" i="21"/>
  <c r="R1864" i="21"/>
  <c r="Q1751" i="21"/>
  <c r="S1717" i="21"/>
  <c r="Q1671" i="21"/>
  <c r="Q1631" i="21"/>
  <c r="Q1591" i="21"/>
  <c r="S1557" i="21"/>
  <c r="S1537" i="21"/>
  <c r="Q1531" i="21"/>
  <c r="S1517" i="21"/>
  <c r="Q1511" i="21"/>
  <c r="R1504" i="21"/>
  <c r="S1497" i="21"/>
  <c r="Q1491" i="21"/>
  <c r="Q1471" i="21"/>
  <c r="R1977" i="21"/>
  <c r="Q1944" i="21"/>
  <c r="S1910" i="21"/>
  <c r="Q1864" i="21"/>
  <c r="S1830" i="21"/>
  <c r="S1790" i="21"/>
  <c r="T1790" i="21" s="1"/>
  <c r="P1790" i="21" s="1"/>
  <c r="R1757" i="21"/>
  <c r="Q1977" i="21"/>
  <c r="R1950" i="21"/>
  <c r="R1910" i="21"/>
  <c r="S1903" i="21"/>
  <c r="R1870" i="21"/>
  <c r="R1830" i="21"/>
  <c r="R1790" i="21"/>
  <c r="R1750" i="21"/>
  <c r="Q1717" i="21"/>
  <c r="R1710" i="21"/>
  <c r="Q1557" i="21"/>
  <c r="Q1537" i="21"/>
  <c r="R1530" i="21"/>
  <c r="S1523" i="21"/>
  <c r="Q1517" i="21"/>
  <c r="R1510" i="21"/>
  <c r="S1503" i="21"/>
  <c r="Q1497" i="21"/>
  <c r="R1490" i="21"/>
  <c r="R1983" i="21"/>
  <c r="R1943" i="21"/>
  <c r="Q1910" i="21"/>
  <c r="R1903" i="21"/>
  <c r="Q1830" i="21"/>
  <c r="S1796" i="21"/>
  <c r="Q1790" i="21"/>
  <c r="S1756" i="21"/>
  <c r="Q1710" i="21"/>
  <c r="S1636" i="21"/>
  <c r="S1596" i="21"/>
  <c r="Q1530" i="21"/>
  <c r="R1523" i="21"/>
  <c r="R1503" i="21"/>
  <c r="R1796" i="21"/>
  <c r="S1789" i="21"/>
  <c r="R1756" i="21"/>
  <c r="S1749" i="21"/>
  <c r="R1716" i="21"/>
  <c r="R1676" i="21"/>
  <c r="R1636" i="21"/>
  <c r="R1596" i="21"/>
  <c r="R1556" i="21"/>
  <c r="R1536" i="21"/>
  <c r="Q1523" i="21"/>
  <c r="R1516" i="21"/>
  <c r="S1509" i="21"/>
  <c r="Q1503" i="21"/>
  <c r="R1496" i="21"/>
  <c r="S1469" i="21"/>
  <c r="R1456" i="21"/>
  <c r="R1436" i="21"/>
  <c r="Q1423" i="21"/>
  <c r="R1396" i="21"/>
  <c r="S1349" i="21"/>
  <c r="R1469" i="21"/>
  <c r="S1442" i="21"/>
  <c r="R1409" i="21"/>
  <c r="Q1396" i="21"/>
  <c r="S1382" i="21"/>
  <c r="R1349" i="21"/>
  <c r="Q1336" i="21"/>
  <c r="R1309" i="21"/>
  <c r="S1302" i="21"/>
  <c r="Q1296" i="21"/>
  <c r="R1289" i="21"/>
  <c r="R1269" i="21"/>
  <c r="R1249" i="21"/>
  <c r="S1222" i="21"/>
  <c r="T1222" i="21" s="1"/>
  <c r="P1222" i="21" s="1"/>
  <c r="Q1216" i="21"/>
  <c r="R1209" i="21"/>
  <c r="S1200" i="21"/>
  <c r="T1200" i="21" s="1"/>
  <c r="P1200" i="21" s="1"/>
  <c r="Q1194" i="21"/>
  <c r="S1180" i="21"/>
  <c r="T1180" i="21" s="1"/>
  <c r="P1180" i="21" s="1"/>
  <c r="R1167" i="21"/>
  <c r="R1147" i="21"/>
  <c r="R1127" i="21"/>
  <c r="S1120" i="21"/>
  <c r="T1120" i="21" s="1"/>
  <c r="P1120" i="21" s="1"/>
  <c r="R1107" i="21"/>
  <c r="R1087" i="21"/>
  <c r="S1080" i="21"/>
  <c r="T1080" i="21" s="1"/>
  <c r="P1080" i="21" s="1"/>
  <c r="Q1074" i="21"/>
  <c r="S1060" i="21"/>
  <c r="T1060" i="21" s="1"/>
  <c r="P1060" i="21" s="1"/>
  <c r="Q1869" i="21"/>
  <c r="Q1789" i="21"/>
  <c r="Q1749" i="21"/>
  <c r="S1715" i="21"/>
  <c r="S1555" i="21"/>
  <c r="T1555" i="21" s="1"/>
  <c r="P1555" i="21" s="1"/>
  <c r="S1535" i="21"/>
  <c r="R1522" i="21"/>
  <c r="S1515" i="21"/>
  <c r="Q1509" i="21"/>
  <c r="R1502" i="21"/>
  <c r="S1495" i="21"/>
  <c r="Q1942" i="21"/>
  <c r="S1908" i="21"/>
  <c r="S1828" i="21"/>
  <c r="T1828" i="21" s="1"/>
  <c r="P1828" i="21" s="1"/>
  <c r="R1795" i="21"/>
  <c r="R1755" i="21"/>
  <c r="R1715" i="21"/>
  <c r="R1675" i="21"/>
  <c r="R1635" i="21"/>
  <c r="R1595" i="21"/>
  <c r="R1555" i="21"/>
  <c r="R1535" i="21"/>
  <c r="S1528" i="21"/>
  <c r="R1515" i="21"/>
  <c r="R1495" i="21"/>
  <c r="S1488" i="21"/>
  <c r="R1455" i="21"/>
  <c r="Q1442" i="21"/>
  <c r="Q82" i="21"/>
  <c r="R82" i="21"/>
  <c r="S1981" i="21"/>
  <c r="Q1975" i="21"/>
  <c r="R1948" i="21"/>
  <c r="R1908" i="21"/>
  <c r="R1868" i="21"/>
  <c r="R1828" i="21"/>
  <c r="R1788" i="21"/>
  <c r="Q1715" i="21"/>
  <c r="S1561" i="21"/>
  <c r="Q1555" i="21"/>
  <c r="Q1535" i="21"/>
  <c r="R1528" i="21"/>
  <c r="R1347" i="21"/>
  <c r="Q1334" i="21"/>
  <c r="Q1314" i="21"/>
  <c r="S1300" i="21"/>
  <c r="T1300" i="21" s="1"/>
  <c r="P1300" i="21" s="1"/>
  <c r="Q1294" i="21"/>
  <c r="R1287" i="21"/>
  <c r="S1280" i="21"/>
  <c r="S1260" i="21"/>
  <c r="T1260" i="21" s="1"/>
  <c r="P1260" i="21" s="1"/>
  <c r="R1247" i="21"/>
  <c r="R1227" i="21"/>
  <c r="S1220" i="21"/>
  <c r="Q1214" i="21"/>
  <c r="R1206" i="21"/>
  <c r="R1185" i="21"/>
  <c r="R1165" i="21"/>
  <c r="Q1152" i="21"/>
  <c r="R1145" i="21"/>
  <c r="S1138" i="21"/>
  <c r="T1138" i="21" s="1"/>
  <c r="P1138" i="21" s="1"/>
  <c r="R1125" i="21"/>
  <c r="S1118" i="21"/>
  <c r="T1118" i="21" s="1"/>
  <c r="P1118" i="21" s="1"/>
  <c r="S1098" i="21"/>
  <c r="T1098" i="21" s="1"/>
  <c r="P1098" i="21" s="1"/>
  <c r="S1078" i="21"/>
  <c r="T1078" i="21" s="1"/>
  <c r="P1078" i="21" s="1"/>
  <c r="Q1072" i="21"/>
  <c r="R1065" i="21"/>
  <c r="R573" i="21"/>
  <c r="Q560" i="21"/>
  <c r="R553" i="21"/>
  <c r="Q540" i="21"/>
  <c r="R533" i="21"/>
  <c r="S525" i="21"/>
  <c r="T525" i="21" s="1"/>
  <c r="P525" i="21" s="1"/>
  <c r="Q519" i="21"/>
  <c r="R492" i="21"/>
  <c r="S485" i="21"/>
  <c r="T485" i="21" s="1"/>
  <c r="P485" i="21" s="1"/>
  <c r="Q478" i="21"/>
  <c r="R471" i="21"/>
  <c r="R1333" i="21"/>
  <c r="R1313" i="21"/>
  <c r="S1306" i="21"/>
  <c r="T1306" i="21" s="1"/>
  <c r="P1306" i="21" s="1"/>
  <c r="Q1300" i="21"/>
  <c r="R1293" i="21"/>
  <c r="Q1280" i="21"/>
  <c r="R1273" i="21"/>
  <c r="Q1260" i="21"/>
  <c r="R1253" i="21"/>
  <c r="R1233" i="21"/>
  <c r="S1226" i="21"/>
  <c r="T1226" i="21" s="1"/>
  <c r="P1226" i="21" s="1"/>
  <c r="Q1220" i="21"/>
  <c r="S1205" i="21"/>
  <c r="R1191" i="21"/>
  <c r="S1184" i="21"/>
  <c r="T1184" i="21" s="1"/>
  <c r="P1184" i="21" s="1"/>
  <c r="R1171" i="21"/>
  <c r="S1164" i="21"/>
  <c r="T1164" i="21" s="1"/>
  <c r="P1164" i="21" s="1"/>
  <c r="R1151" i="21"/>
  <c r="S1144" i="21"/>
  <c r="T1144" i="21" s="1"/>
  <c r="P1144" i="21" s="1"/>
  <c r="Q1138" i="21"/>
  <c r="R1131" i="21"/>
  <c r="Q1118" i="21"/>
  <c r="R1111" i="21"/>
  <c r="S1104" i="21"/>
  <c r="Q1098" i="21"/>
  <c r="R1091" i="21"/>
  <c r="Q1078" i="21"/>
  <c r="R1071" i="21"/>
  <c r="S1064" i="21"/>
  <c r="T1064" i="21" s="1"/>
  <c r="P1064" i="21" s="1"/>
  <c r="R1051" i="21"/>
  <c r="S1044" i="21"/>
  <c r="T1044" i="21" s="1"/>
  <c r="P1044" i="21" s="1"/>
  <c r="R1031" i="21"/>
  <c r="Q1018" i="21"/>
  <c r="S1004" i="21"/>
  <c r="T1004" i="21" s="1"/>
  <c r="P1004" i="21" s="1"/>
  <c r="R991" i="21"/>
  <c r="S984" i="21"/>
  <c r="T984" i="21" s="1"/>
  <c r="P984" i="21" s="1"/>
  <c r="Q978" i="21"/>
  <c r="R971" i="21"/>
  <c r="R951" i="21"/>
  <c r="S941" i="21"/>
  <c r="T941" i="21" s="1"/>
  <c r="P941" i="21" s="1"/>
  <c r="Q935" i="21"/>
  <c r="R928" i="21"/>
  <c r="S921" i="21"/>
  <c r="T921" i="21" s="1"/>
  <c r="P921" i="21" s="1"/>
  <c r="Q915" i="21"/>
  <c r="R908" i="21"/>
  <c r="S839" i="21"/>
  <c r="T839" i="21" s="1"/>
  <c r="P839" i="21" s="1"/>
  <c r="R806" i="21"/>
  <c r="Q793" i="21"/>
  <c r="Q773" i="21"/>
  <c r="Q753" i="21"/>
  <c r="R746" i="21"/>
  <c r="R839" i="21"/>
  <c r="Q746" i="21"/>
  <c r="R699" i="21"/>
  <c r="R579" i="21"/>
  <c r="S572" i="21"/>
  <c r="T572" i="21" s="1"/>
  <c r="P572" i="21" s="1"/>
  <c r="R559" i="21"/>
  <c r="S552" i="21"/>
  <c r="T552" i="21" s="1"/>
  <c r="P552" i="21" s="1"/>
  <c r="S531" i="21"/>
  <c r="T531" i="21" s="1"/>
  <c r="P531" i="21" s="1"/>
  <c r="Q525" i="21"/>
  <c r="R518" i="21"/>
  <c r="S511" i="21"/>
  <c r="T511" i="21" s="1"/>
  <c r="P511" i="21" s="1"/>
  <c r="R498" i="21"/>
  <c r="S491" i="21"/>
  <c r="T491" i="21" s="1"/>
  <c r="P491" i="21" s="1"/>
  <c r="Q485" i="21"/>
  <c r="R477" i="21"/>
  <c r="R397" i="21"/>
  <c r="R1239" i="21"/>
  <c r="S1232" i="21"/>
  <c r="T1232" i="21" s="1"/>
  <c r="P1232" i="21" s="1"/>
  <c r="Q1226" i="21"/>
  <c r="R1219" i="21"/>
  <c r="Q1205" i="21"/>
  <c r="R1197" i="21"/>
  <c r="S1190" i="21"/>
  <c r="T1190" i="21" s="1"/>
  <c r="P1190" i="21" s="1"/>
  <c r="Q1184" i="21"/>
  <c r="R1177" i="21"/>
  <c r="Q1164" i="21"/>
  <c r="R1157" i="21"/>
  <c r="S1150" i="21"/>
  <c r="T1150" i="21" s="1"/>
  <c r="P1150" i="21" s="1"/>
  <c r="Q1144" i="21"/>
  <c r="R1137" i="21"/>
  <c r="R1117" i="21"/>
  <c r="Q1104" i="21"/>
  <c r="R1097" i="21"/>
  <c r="R1077" i="21"/>
  <c r="Q1064" i="21"/>
  <c r="R1057" i="21"/>
  <c r="Q1044" i="21"/>
  <c r="R1037" i="21"/>
  <c r="R1017" i="21"/>
  <c r="S1010" i="21"/>
  <c r="T1010" i="21" s="1"/>
  <c r="P1010" i="21" s="1"/>
  <c r="Q1004" i="21"/>
  <c r="R997" i="21"/>
  <c r="S990" i="21"/>
  <c r="T990" i="21" s="1"/>
  <c r="P990" i="21" s="1"/>
  <c r="Q984" i="21"/>
  <c r="S970" i="21"/>
  <c r="T970" i="21" s="1"/>
  <c r="P970" i="21" s="1"/>
  <c r="R957" i="21"/>
  <c r="S947" i="21"/>
  <c r="T947" i="21" s="1"/>
  <c r="P947" i="21" s="1"/>
  <c r="Q941" i="21"/>
  <c r="R934" i="21"/>
  <c r="Q921" i="21"/>
  <c r="R914" i="21"/>
  <c r="S907" i="21"/>
  <c r="Q839" i="21"/>
  <c r="R1632" i="21"/>
  <c r="R1592" i="21"/>
  <c r="Q1559" i="21"/>
  <c r="R1552" i="21"/>
  <c r="R1532" i="21"/>
  <c r="Q1519" i="21"/>
  <c r="R1512" i="21"/>
  <c r="S1505" i="21"/>
  <c r="Q1499" i="21"/>
  <c r="R1492" i="21"/>
  <c r="S1485" i="21"/>
  <c r="R1472" i="21"/>
  <c r="S1425" i="21"/>
  <c r="Q1419" i="21"/>
  <c r="Q1399" i="21"/>
  <c r="R1372" i="21"/>
  <c r="R1332" i="21"/>
  <c r="Q1319" i="21"/>
  <c r="R1312" i="21"/>
  <c r="R1292" i="21"/>
  <c r="S1285" i="21"/>
  <c r="T1285" i="21" s="1"/>
  <c r="P1285" i="21" s="1"/>
  <c r="S1265" i="21"/>
  <c r="T1265" i="21" s="1"/>
  <c r="P1265" i="21" s="1"/>
  <c r="R1252" i="21"/>
  <c r="S1245" i="21"/>
  <c r="T1245" i="21" s="1"/>
  <c r="P1245" i="21" s="1"/>
  <c r="Q1239" i="21"/>
  <c r="R1232" i="21"/>
  <c r="S1203" i="21"/>
  <c r="T1203" i="21" s="1"/>
  <c r="P1203" i="21" s="1"/>
  <c r="Q1197" i="21"/>
  <c r="R1190" i="21"/>
  <c r="R1170" i="21"/>
  <c r="Q1157" i="21"/>
  <c r="R1150" i="21"/>
  <c r="Q1137" i="21"/>
  <c r="R1130" i="21"/>
  <c r="Q1097" i="21"/>
  <c r="S1176" i="21"/>
  <c r="T1176" i="21" s="1"/>
  <c r="P1176" i="21" s="1"/>
  <c r="R1163" i="21"/>
  <c r="S1156" i="21"/>
  <c r="T1156" i="21" s="1"/>
  <c r="P1156" i="21" s="1"/>
  <c r="Q1150" i="21"/>
  <c r="R1143" i="21"/>
  <c r="R1123" i="21"/>
  <c r="S1116" i="21"/>
  <c r="T1116" i="21" s="1"/>
  <c r="P1116" i="21" s="1"/>
  <c r="R1103" i="21"/>
  <c r="R1083" i="21"/>
  <c r="S1076" i="21"/>
  <c r="T1076" i="21" s="1"/>
  <c r="P1076" i="21" s="1"/>
  <c r="R1063" i="21"/>
  <c r="R1043" i="21"/>
  <c r="R1023" i="21"/>
  <c r="S1016" i="21"/>
  <c r="T1016" i="21" s="1"/>
  <c r="P1016" i="21" s="1"/>
  <c r="Q1010" i="21"/>
  <c r="R1003" i="21"/>
  <c r="Q990" i="21"/>
  <c r="S976" i="21"/>
  <c r="T976" i="21" s="1"/>
  <c r="P976" i="21" s="1"/>
  <c r="Q970" i="21"/>
  <c r="R963" i="21"/>
  <c r="Q947" i="21"/>
  <c r="R940" i="21"/>
  <c r="R920" i="21"/>
  <c r="S913" i="21"/>
  <c r="T913" i="21" s="1"/>
  <c r="P913" i="21" s="1"/>
  <c r="Q907" i="21"/>
  <c r="S751" i="21"/>
  <c r="T751" i="21" s="1"/>
  <c r="P751" i="21" s="1"/>
  <c r="R698" i="21"/>
  <c r="S651" i="21"/>
  <c r="T651" i="21" s="1"/>
  <c r="P651" i="21" s="1"/>
  <c r="S631" i="21"/>
  <c r="T631" i="21" s="1"/>
  <c r="P631" i="21" s="1"/>
  <c r="R578" i="21"/>
  <c r="R1438" i="21"/>
  <c r="Q1425" i="21"/>
  <c r="R1398" i="21"/>
  <c r="S1371" i="21"/>
  <c r="R1358" i="21"/>
  <c r="R1338" i="21"/>
  <c r="R1318" i="21"/>
  <c r="R1298" i="21"/>
  <c r="Q1285" i="21"/>
  <c r="R1278" i="21"/>
  <c r="S1271" i="21"/>
  <c r="T1271" i="21" s="1"/>
  <c r="P1271" i="21" s="1"/>
  <c r="Q1265" i="21"/>
  <c r="S1251" i="21"/>
  <c r="T1251" i="21" s="1"/>
  <c r="P1251" i="21" s="1"/>
  <c r="Q1245" i="21"/>
  <c r="R1218" i="21"/>
  <c r="S1211" i="21"/>
  <c r="T1211" i="21" s="1"/>
  <c r="P1211" i="21" s="1"/>
  <c r="Q1203" i="21"/>
  <c r="R1196" i="21"/>
  <c r="R1176" i="21"/>
  <c r="S1169" i="21"/>
  <c r="T1169" i="21" s="1"/>
  <c r="P1169" i="21" s="1"/>
  <c r="R1156" i="21"/>
  <c r="R1136" i="21"/>
  <c r="R1116" i="21"/>
  <c r="S1109" i="21"/>
  <c r="R1096" i="21"/>
  <c r="S1089" i="21"/>
  <c r="T1089" i="21" s="1"/>
  <c r="P1089" i="21" s="1"/>
  <c r="Q1083" i="21"/>
  <c r="R1076" i="21"/>
  <c r="S1069" i="21"/>
  <c r="T1069" i="21" s="1"/>
  <c r="P1069" i="21" s="1"/>
  <c r="Q1063" i="21"/>
  <c r="S1049" i="21"/>
  <c r="T1049" i="21" s="1"/>
  <c r="P1049" i="21" s="1"/>
  <c r="S1029" i="21"/>
  <c r="T1029" i="21" s="1"/>
  <c r="P1029" i="21" s="1"/>
  <c r="Q1023" i="21"/>
  <c r="R1016" i="21"/>
  <c r="Q1003" i="21"/>
  <c r="R996" i="21"/>
  <c r="Q1438" i="21"/>
  <c r="S1384" i="21"/>
  <c r="R1371" i="21"/>
  <c r="Q1358" i="21"/>
  <c r="Q1338" i="21"/>
  <c r="S1304" i="21"/>
  <c r="T1304" i="21" s="1"/>
  <c r="P1304" i="21" s="1"/>
  <c r="Q1298" i="21"/>
  <c r="Q1278" i="21"/>
  <c r="R1271" i="21"/>
  <c r="R1251" i="21"/>
  <c r="R1231" i="21"/>
  <c r="S1224" i="21"/>
  <c r="T1224" i="21" s="1"/>
  <c r="P1224" i="21" s="1"/>
  <c r="Q1218" i="21"/>
  <c r="R1211" i="21"/>
  <c r="R1189" i="21"/>
  <c r="S1182" i="21"/>
  <c r="T1182" i="21" s="1"/>
  <c r="P1182" i="21" s="1"/>
  <c r="Q1176" i="21"/>
  <c r="R1169" i="21"/>
  <c r="S1162" i="21"/>
  <c r="T1162" i="21" s="1"/>
  <c r="P1162" i="21" s="1"/>
  <c r="Q1156" i="21"/>
  <c r="R1149" i="21"/>
  <c r="S1142" i="21"/>
  <c r="T1142" i="21" s="1"/>
  <c r="P1142" i="21" s="1"/>
  <c r="S1122" i="21"/>
  <c r="Q1116" i="21"/>
  <c r="R1109" i="21"/>
  <c r="S1102" i="21"/>
  <c r="T1102" i="21" s="1"/>
  <c r="P1102" i="21" s="1"/>
  <c r="R1089" i="21"/>
  <c r="S1082" i="21"/>
  <c r="Q1076" i="21"/>
  <c r="R1069" i="21"/>
  <c r="R1049" i="21"/>
  <c r="S1042" i="21"/>
  <c r="T1042" i="21" s="1"/>
  <c r="P1042" i="21" s="1"/>
  <c r="R1029" i="21"/>
  <c r="S1022" i="21"/>
  <c r="T1022" i="21" s="1"/>
  <c r="P1022" i="21" s="1"/>
  <c r="Q1016" i="21"/>
  <c r="R1009" i="21"/>
  <c r="Q976" i="21"/>
  <c r="R969" i="21"/>
  <c r="R946" i="21"/>
  <c r="R926" i="21"/>
  <c r="S919" i="21"/>
  <c r="T919" i="21" s="1"/>
  <c r="P919" i="21" s="1"/>
  <c r="Q913" i="21"/>
  <c r="S837" i="21"/>
  <c r="T837" i="21" s="1"/>
  <c r="P837" i="21" s="1"/>
  <c r="S817" i="21"/>
  <c r="T817" i="21" s="1"/>
  <c r="P817" i="21" s="1"/>
  <c r="R1424" i="21"/>
  <c r="R1384" i="21"/>
  <c r="Q1371" i="21"/>
  <c r="S1317" i="21"/>
  <c r="R1304" i="21"/>
  <c r="R1284" i="21"/>
  <c r="Q1271" i="21"/>
  <c r="R1264" i="21"/>
  <c r="S1257" i="21"/>
  <c r="T1257" i="21" s="1"/>
  <c r="P1257" i="21" s="1"/>
  <c r="Q1251" i="21"/>
  <c r="R1244" i="21"/>
  <c r="S1237" i="21"/>
  <c r="T1237" i="21" s="1"/>
  <c r="P1237" i="21" s="1"/>
  <c r="R1224" i="21"/>
  <c r="Q1211" i="21"/>
  <c r="R1202" i="21"/>
  <c r="S1195" i="21"/>
  <c r="T1195" i="21" s="1"/>
  <c r="P1195" i="21" s="1"/>
  <c r="R1182" i="21"/>
  <c r="S1175" i="21"/>
  <c r="T1175" i="21" s="1"/>
  <c r="P1175" i="21" s="1"/>
  <c r="Q1169" i="21"/>
  <c r="R1162" i="21"/>
  <c r="R1142" i="21"/>
  <c r="S1135" i="21"/>
  <c r="T1135" i="21" s="1"/>
  <c r="P1135" i="21" s="1"/>
  <c r="R1122" i="21"/>
  <c r="Q1109" i="21"/>
  <c r="R1102" i="21"/>
  <c r="S1095" i="21"/>
  <c r="T1095" i="21" s="1"/>
  <c r="P1095" i="21" s="1"/>
  <c r="Q1089" i="21"/>
  <c r="R1082" i="21"/>
  <c r="Q1069" i="21"/>
  <c r="S1055" i="21"/>
  <c r="T1055" i="21" s="1"/>
  <c r="P1055" i="21" s="1"/>
  <c r="Q1049" i="21"/>
  <c r="R1042" i="21"/>
  <c r="S1035" i="21"/>
  <c r="T1035" i="21" s="1"/>
  <c r="P1035" i="21" s="1"/>
  <c r="Q1029" i="21"/>
  <c r="R1022" i="21"/>
  <c r="R1002" i="21"/>
  <c r="S995" i="21"/>
  <c r="T995" i="21" s="1"/>
  <c r="P995" i="21" s="1"/>
  <c r="R982" i="21"/>
  <c r="Q969" i="21"/>
  <c r="S955" i="21"/>
  <c r="T955" i="21" s="1"/>
  <c r="P955" i="21" s="1"/>
  <c r="R939" i="21"/>
  <c r="S932" i="21"/>
  <c r="T932" i="21" s="1"/>
  <c r="P932" i="21" s="1"/>
  <c r="Q926" i="21"/>
  <c r="R919" i="21"/>
  <c r="S912" i="21"/>
  <c r="T912" i="21" s="1"/>
  <c r="P912" i="21" s="1"/>
  <c r="R837" i="21"/>
  <c r="R1717" i="21"/>
  <c r="S1710" i="21"/>
  <c r="R1677" i="21"/>
  <c r="R1637" i="21"/>
  <c r="R1597" i="21"/>
  <c r="R1557" i="21"/>
  <c r="R1537" i="21"/>
  <c r="S1530" i="21"/>
  <c r="R1517" i="21"/>
  <c r="R1497" i="21"/>
  <c r="R1437" i="21"/>
  <c r="S1410" i="21"/>
  <c r="R1397" i="21"/>
  <c r="Q1384" i="21"/>
  <c r="R1337" i="21"/>
  <c r="R1317" i="21"/>
  <c r="S1310" i="21"/>
  <c r="Q1304" i="21"/>
  <c r="R1297" i="21"/>
  <c r="R1257" i="21"/>
  <c r="R1237" i="21"/>
  <c r="S1230" i="21"/>
  <c r="T1230" i="21" s="1"/>
  <c r="P1230" i="21" s="1"/>
  <c r="Q1224" i="21"/>
  <c r="R1195" i="21"/>
  <c r="S1188" i="21"/>
  <c r="T1188" i="21" s="1"/>
  <c r="P1188" i="21" s="1"/>
  <c r="Q1182" i="21"/>
  <c r="R1470" i="21"/>
  <c r="S1423" i="21"/>
  <c r="R1410" i="21"/>
  <c r="S1323" i="21"/>
  <c r="Q1317" i="21"/>
  <c r="R1310" i="21"/>
  <c r="S1283" i="21"/>
  <c r="T1283" i="21" s="1"/>
  <c r="P1283" i="21" s="1"/>
  <c r="R1270" i="21"/>
  <c r="S1263" i="21"/>
  <c r="T1263" i="21" s="1"/>
  <c r="P1263" i="21" s="1"/>
  <c r="Q1257" i="21"/>
  <c r="S1243" i="21"/>
  <c r="T1243" i="21" s="1"/>
  <c r="P1243" i="21" s="1"/>
  <c r="Q1237" i="21"/>
  <c r="R1230" i="21"/>
  <c r="R1210" i="21"/>
  <c r="Q1195" i="21"/>
  <c r="R1188" i="21"/>
  <c r="Q1175" i="21"/>
  <c r="R1168" i="21"/>
  <c r="R1148" i="21"/>
  <c r="S1141" i="21"/>
  <c r="T1141" i="21" s="1"/>
  <c r="P1141" i="21" s="1"/>
  <c r="Q1135" i="21"/>
  <c r="R1108" i="21"/>
  <c r="S1101" i="21"/>
  <c r="T1101" i="21" s="1"/>
  <c r="P1101" i="21" s="1"/>
  <c r="Q1095" i="21"/>
  <c r="R1088" i="21"/>
  <c r="Q1055" i="21"/>
  <c r="R1048" i="21"/>
  <c r="Q1035" i="21"/>
  <c r="R1008" i="21"/>
  <c r="S1001" i="21"/>
  <c r="T1001" i="21" s="1"/>
  <c r="P1001" i="21" s="1"/>
  <c r="Q995" i="21"/>
  <c r="S981" i="21"/>
  <c r="T981" i="21" s="1"/>
  <c r="P981" i="21" s="1"/>
  <c r="S961" i="21"/>
  <c r="T961" i="21" s="1"/>
  <c r="P961" i="21" s="1"/>
  <c r="Q955" i="21"/>
  <c r="R945" i="21"/>
  <c r="S938" i="21"/>
  <c r="T938" i="21" s="1"/>
  <c r="P938" i="21" s="1"/>
  <c r="Q932" i="21"/>
  <c r="R1423" i="21"/>
  <c r="Q1410" i="21"/>
  <c r="S1396" i="21"/>
  <c r="R1383" i="21"/>
  <c r="S1336" i="21"/>
  <c r="R1323" i="21"/>
  <c r="Q1310" i="21"/>
  <c r="S1296" i="21"/>
  <c r="T1296" i="21" s="1"/>
  <c r="P1296" i="21" s="1"/>
  <c r="R1283" i="21"/>
  <c r="R1263" i="21"/>
  <c r="R1243" i="21"/>
  <c r="Q1230" i="21"/>
  <c r="R1223" i="21"/>
  <c r="S1216" i="21"/>
  <c r="S1194" i="21"/>
  <c r="T1194" i="21" s="1"/>
  <c r="P1194" i="21" s="1"/>
  <c r="Q1188" i="21"/>
  <c r="R1181" i="21"/>
  <c r="Q1148" i="21"/>
  <c r="R1141" i="21"/>
  <c r="R1121" i="21"/>
  <c r="R1101" i="21"/>
  <c r="R1081" i="21"/>
  <c r="S1074" i="21"/>
  <c r="R1061" i="21"/>
  <c r="Q1048" i="21"/>
  <c r="S1014" i="21"/>
  <c r="R1336" i="21"/>
  <c r="Q1323" i="21"/>
  <c r="R1296" i="21"/>
  <c r="S1289" i="21"/>
  <c r="Q1283" i="21"/>
  <c r="S1269" i="21"/>
  <c r="T1269" i="21" s="1"/>
  <c r="P1269" i="21" s="1"/>
  <c r="Q1263" i="21"/>
  <c r="R1256" i="21"/>
  <c r="S1249" i="21"/>
  <c r="Q1243" i="21"/>
  <c r="R1236" i="21"/>
  <c r="R1216" i="21"/>
  <c r="S1209" i="21"/>
  <c r="R1194" i="21"/>
  <c r="R1174" i="21"/>
  <c r="S1167" i="21"/>
  <c r="R1154" i="21"/>
  <c r="Q1141" i="21"/>
  <c r="R1134" i="21"/>
  <c r="S1127" i="21"/>
  <c r="R1114" i="21"/>
  <c r="S1107" i="21"/>
  <c r="T1107" i="21" s="1"/>
  <c r="P1107" i="21" s="1"/>
  <c r="Q1101" i="21"/>
  <c r="S1087" i="21"/>
  <c r="T1087" i="21" s="1"/>
  <c r="P1087" i="21" s="1"/>
  <c r="R1074" i="21"/>
  <c r="R1054" i="21"/>
  <c r="R1034" i="21"/>
  <c r="R1014" i="21"/>
  <c r="S1007" i="21"/>
  <c r="T1007" i="21" s="1"/>
  <c r="P1007" i="21" s="1"/>
  <c r="Q1001" i="21"/>
  <c r="R994" i="21"/>
  <c r="S987" i="21"/>
  <c r="Q981" i="21"/>
  <c r="R974" i="21"/>
  <c r="Q961" i="21"/>
  <c r="R954" i="21"/>
  <c r="Q938" i="21"/>
  <c r="R931" i="21"/>
  <c r="S924" i="21"/>
  <c r="Q918" i="21"/>
  <c r="R911" i="21"/>
  <c r="Q1014" i="21"/>
  <c r="R1007" i="21"/>
  <c r="R987" i="21"/>
  <c r="S980" i="21"/>
  <c r="T980" i="21" s="1"/>
  <c r="P980" i="21" s="1"/>
  <c r="Q974" i="21"/>
  <c r="R967" i="21"/>
  <c r="Q954" i="21"/>
  <c r="S937" i="21"/>
  <c r="Q931" i="21"/>
  <c r="R924" i="21"/>
  <c r="S835" i="21"/>
  <c r="T835" i="21" s="1"/>
  <c r="P835" i="21" s="1"/>
  <c r="R722" i="21"/>
  <c r="S575" i="21"/>
  <c r="T575" i="21" s="1"/>
  <c r="P575" i="21" s="1"/>
  <c r="Q569" i="21"/>
  <c r="R562" i="21"/>
  <c r="Q549" i="21"/>
  <c r="R542" i="21"/>
  <c r="S535" i="21"/>
  <c r="T535" i="21" s="1"/>
  <c r="P535" i="21" s="1"/>
  <c r="Q528" i="21"/>
  <c r="Q508" i="21"/>
  <c r="S494" i="21"/>
  <c r="T494" i="21" s="1"/>
  <c r="P494" i="21" s="1"/>
  <c r="Q1469" i="21"/>
  <c r="S1455" i="21"/>
  <c r="R1442" i="21"/>
  <c r="R1422" i="21"/>
  <c r="R1382" i="21"/>
  <c r="Q1349" i="21"/>
  <c r="R1322" i="21"/>
  <c r="R1302" i="21"/>
  <c r="Q1289" i="21"/>
  <c r="S1275" i="21"/>
  <c r="Q1269" i="21"/>
  <c r="S1255" i="21"/>
  <c r="T1255" i="21" s="1"/>
  <c r="P1255" i="21" s="1"/>
  <c r="Q1249" i="21"/>
  <c r="S1235" i="21"/>
  <c r="T1235" i="21" s="1"/>
  <c r="P1235" i="21" s="1"/>
  <c r="R1222" i="21"/>
  <c r="Q1209" i="21"/>
  <c r="R1200" i="21"/>
  <c r="R1180" i="21"/>
  <c r="S1173" i="21"/>
  <c r="T1173" i="21" s="1"/>
  <c r="P1173" i="21" s="1"/>
  <c r="Q1167" i="21"/>
  <c r="R1160" i="21"/>
  <c r="S1153" i="21"/>
  <c r="T1153" i="21" s="1"/>
  <c r="P1153" i="21" s="1"/>
  <c r="Q1127" i="21"/>
  <c r="R1120" i="21"/>
  <c r="S1113" i="21"/>
  <c r="Q1107" i="21"/>
  <c r="S1093" i="21"/>
  <c r="Q1087" i="21"/>
  <c r="R1080" i="21"/>
  <c r="R1060" i="21"/>
  <c r="S1053" i="21"/>
  <c r="T1053" i="21" s="1"/>
  <c r="P1053" i="21" s="1"/>
  <c r="S1033" i="21"/>
  <c r="T1033" i="21" s="1"/>
  <c r="P1033" i="21" s="1"/>
  <c r="R1020" i="21"/>
  <c r="Q1007" i="21"/>
  <c r="S993" i="21"/>
  <c r="T993" i="21" s="1"/>
  <c r="P993" i="21" s="1"/>
  <c r="Q987" i="21"/>
  <c r="R980" i="21"/>
  <c r="R960" i="21"/>
  <c r="R937" i="21"/>
  <c r="Q924" i="21"/>
  <c r="R917" i="21"/>
  <c r="S910" i="21"/>
  <c r="T910" i="21" s="1"/>
  <c r="P910" i="21" s="1"/>
  <c r="S1388" i="21"/>
  <c r="Q1382" i="21"/>
  <c r="R1335" i="21"/>
  <c r="S1308" i="21"/>
  <c r="Q1302" i="21"/>
  <c r="R1275" i="21"/>
  <c r="R1255" i="21"/>
  <c r="R1235" i="21"/>
  <c r="S1228" i="21"/>
  <c r="T1228" i="21" s="1"/>
  <c r="P1228" i="21" s="1"/>
  <c r="Q1222" i="21"/>
  <c r="R1215" i="21"/>
  <c r="S1207" i="21"/>
  <c r="Q1200" i="21"/>
  <c r="S1186" i="21"/>
  <c r="Q1180" i="21"/>
  <c r="R1173" i="21"/>
  <c r="R1153" i="21"/>
  <c r="S1146" i="21"/>
  <c r="T1146" i="21" s="1"/>
  <c r="P1146" i="21" s="1"/>
  <c r="Q1120" i="21"/>
  <c r="R1113" i="21"/>
  <c r="R1093" i="21"/>
  <c r="S1086" i="21"/>
  <c r="T1086" i="21" s="1"/>
  <c r="P1086" i="21" s="1"/>
  <c r="Q1080" i="21"/>
  <c r="R1073" i="21"/>
  <c r="S1066" i="21"/>
  <c r="Q1060" i="21"/>
  <c r="R1053" i="21"/>
  <c r="R1033" i="21"/>
  <c r="R1013" i="21"/>
  <c r="R993" i="21"/>
  <c r="Q980" i="21"/>
  <c r="S966" i="21"/>
  <c r="T966" i="21" s="1"/>
  <c r="P966" i="21" s="1"/>
  <c r="S943" i="21"/>
  <c r="T943" i="21" s="1"/>
  <c r="P943" i="21" s="1"/>
  <c r="Q937" i="21"/>
  <c r="R930" i="21"/>
  <c r="R910" i="21"/>
  <c r="S841" i="21"/>
  <c r="Q835" i="21"/>
  <c r="Q1515" i="21"/>
  <c r="R1508" i="21"/>
  <c r="Q1495" i="21"/>
  <c r="R1488" i="21"/>
  <c r="R1468" i="21"/>
  <c r="Q1455" i="21"/>
  <c r="S1421" i="21"/>
  <c r="R1408" i="21"/>
  <c r="R1388" i="21"/>
  <c r="S1361" i="21"/>
  <c r="R1348" i="21"/>
  <c r="S1321" i="21"/>
  <c r="R1308" i="21"/>
  <c r="R1288" i="21"/>
  <c r="Q1275" i="21"/>
  <c r="Q1255" i="21"/>
  <c r="R1248" i="21"/>
  <c r="S1241" i="21"/>
  <c r="Q1235" i="21"/>
  <c r="R1228" i="21"/>
  <c r="R1207" i="21"/>
  <c r="R1186" i="21"/>
  <c r="S1179" i="21"/>
  <c r="T1179" i="21" s="1"/>
  <c r="P1179" i="21" s="1"/>
  <c r="Q1173" i="21"/>
  <c r="R1166" i="21"/>
  <c r="S1159" i="21"/>
  <c r="Q1153" i="21"/>
  <c r="R1146" i="21"/>
  <c r="R1126" i="21"/>
  <c r="Q1113" i="21"/>
  <c r="Q1112" i="21" s="1"/>
  <c r="M1112" i="21" s="1"/>
  <c r="Q1093" i="21"/>
  <c r="R1086" i="21"/>
  <c r="R772" i="21"/>
  <c r="R752" i="21"/>
  <c r="R652" i="21"/>
  <c r="R572" i="21"/>
  <c r="S565" i="21"/>
  <c r="T565" i="21" s="1"/>
  <c r="P565" i="21" s="1"/>
  <c r="Q559" i="21"/>
  <c r="R552" i="21"/>
  <c r="R531" i="21"/>
  <c r="Q518" i="21"/>
  <c r="R511" i="21"/>
  <c r="R491" i="21"/>
  <c r="S484" i="21"/>
  <c r="T484" i="21" s="1"/>
  <c r="P484" i="21" s="1"/>
  <c r="R470" i="21"/>
  <c r="S443" i="21"/>
  <c r="T443" i="21" s="1"/>
  <c r="P443" i="21" s="1"/>
  <c r="S423" i="21"/>
  <c r="T423" i="21" s="1"/>
  <c r="P423" i="21" s="1"/>
  <c r="R370" i="21"/>
  <c r="S343" i="21"/>
  <c r="T343" i="21" s="1"/>
  <c r="P343" i="21" s="1"/>
  <c r="S1083" i="21"/>
  <c r="T1083" i="21" s="1"/>
  <c r="P1083" i="21" s="1"/>
  <c r="R1070" i="21"/>
  <c r="S1063" i="21"/>
  <c r="T1063" i="21" s="1"/>
  <c r="P1063" i="21" s="1"/>
  <c r="Q1057" i="21"/>
  <c r="R1050" i="21"/>
  <c r="Q1037" i="21"/>
  <c r="R1030" i="21"/>
  <c r="S1023" i="21"/>
  <c r="T1023" i="21" s="1"/>
  <c r="P1023" i="21" s="1"/>
  <c r="R1010" i="21"/>
  <c r="S1003" i="21"/>
  <c r="T1003" i="21" s="1"/>
  <c r="P1003" i="21" s="1"/>
  <c r="Q997" i="21"/>
  <c r="R990" i="21"/>
  <c r="R970" i="21"/>
  <c r="S963" i="21"/>
  <c r="T963" i="21" s="1"/>
  <c r="P963" i="21" s="1"/>
  <c r="Q957" i="21"/>
  <c r="R947" i="21"/>
  <c r="S940" i="21"/>
  <c r="T940" i="21" s="1"/>
  <c r="P940" i="21" s="1"/>
  <c r="Q934" i="21"/>
  <c r="R927" i="21"/>
  <c r="R907" i="21"/>
  <c r="R805" i="21"/>
  <c r="R745" i="21"/>
  <c r="Q565" i="21"/>
  <c r="R558" i="21"/>
  <c r="S551" i="21"/>
  <c r="T551" i="21" s="1"/>
  <c r="P551" i="21" s="1"/>
  <c r="R538" i="21"/>
  <c r="S530" i="21"/>
  <c r="T530" i="21" s="1"/>
  <c r="P530" i="21" s="1"/>
  <c r="R517" i="21"/>
  <c r="R497" i="21"/>
  <c r="Q484" i="21"/>
  <c r="R476" i="21"/>
  <c r="S469" i="21"/>
  <c r="T469" i="21" s="1"/>
  <c r="P469" i="21" s="1"/>
  <c r="Q443" i="21"/>
  <c r="Q423" i="21"/>
  <c r="R396" i="21"/>
  <c r="Q343" i="21"/>
  <c r="Q323" i="21"/>
  <c r="R296" i="21"/>
  <c r="S269" i="21"/>
  <c r="T269" i="21" s="1"/>
  <c r="P269" i="21" s="1"/>
  <c r="Q223" i="21"/>
  <c r="S173" i="21"/>
  <c r="T173" i="21" s="1"/>
  <c r="P173" i="21" s="1"/>
  <c r="R155" i="21"/>
  <c r="R138" i="21"/>
  <c r="R976" i="21"/>
  <c r="S969" i="21"/>
  <c r="T969" i="21" s="1"/>
  <c r="P969" i="21" s="1"/>
  <c r="Q963" i="21"/>
  <c r="R956" i="21"/>
  <c r="Q940" i="21"/>
  <c r="R933" i="21"/>
  <c r="S926" i="21"/>
  <c r="T926" i="21" s="1"/>
  <c r="P926" i="21" s="1"/>
  <c r="R913" i="21"/>
  <c r="R771" i="21"/>
  <c r="R751" i="21"/>
  <c r="R651" i="21"/>
  <c r="R631" i="21"/>
  <c r="S604" i="21"/>
  <c r="T604" i="21" s="1"/>
  <c r="P604" i="21" s="1"/>
  <c r="Q578" i="21"/>
  <c r="R551" i="21"/>
  <c r="Q476" i="21"/>
  <c r="Q751" i="21"/>
  <c r="R744" i="21"/>
  <c r="S697" i="21"/>
  <c r="T697" i="21" s="1"/>
  <c r="P697" i="21" s="1"/>
  <c r="S677" i="21"/>
  <c r="T677" i="21" s="1"/>
  <c r="P677" i="21" s="1"/>
  <c r="Q651" i="21"/>
  <c r="Q631" i="21"/>
  <c r="R604" i="21"/>
  <c r="S577" i="21"/>
  <c r="T577" i="21" s="1"/>
  <c r="P577" i="21" s="1"/>
  <c r="R564" i="21"/>
  <c r="S557" i="21"/>
  <c r="T557" i="21" s="1"/>
  <c r="P557" i="21" s="1"/>
  <c r="Q551" i="21"/>
  <c r="R544" i="21"/>
  <c r="Q530" i="21"/>
  <c r="S496" i="21"/>
  <c r="T496" i="21" s="1"/>
  <c r="P496" i="21" s="1"/>
  <c r="R483" i="21"/>
  <c r="Q469" i="21"/>
  <c r="R422" i="21"/>
  <c r="S395" i="21"/>
  <c r="T395" i="21" s="1"/>
  <c r="P395" i="21" s="1"/>
  <c r="R817" i="21"/>
  <c r="S770" i="21"/>
  <c r="T770" i="21" s="1"/>
  <c r="P770" i="21" s="1"/>
  <c r="S750" i="21"/>
  <c r="R697" i="21"/>
  <c r="R677" i="21"/>
  <c r="Q604" i="21"/>
  <c r="R577" i="21"/>
  <c r="R557" i="21"/>
  <c r="Q544" i="21"/>
  <c r="S529" i="21"/>
  <c r="T529" i="21" s="1"/>
  <c r="P529" i="21" s="1"/>
  <c r="S509" i="21"/>
  <c r="T509" i="21" s="1"/>
  <c r="P509" i="21" s="1"/>
  <c r="R496" i="21"/>
  <c r="S489" i="21"/>
  <c r="T489" i="21" s="1"/>
  <c r="P489" i="21" s="1"/>
  <c r="S448" i="21"/>
  <c r="T448" i="21" s="1"/>
  <c r="P448" i="21" s="1"/>
  <c r="R395" i="21"/>
  <c r="S368" i="21"/>
  <c r="T368" i="21" s="1"/>
  <c r="P368" i="21" s="1"/>
  <c r="R1175" i="21"/>
  <c r="Q1162" i="21"/>
  <c r="S1148" i="21"/>
  <c r="Q1142" i="21"/>
  <c r="R1135" i="21"/>
  <c r="Q1122" i="21"/>
  <c r="R1115" i="21"/>
  <c r="Q1102" i="21"/>
  <c r="R1095" i="21"/>
  <c r="Q1082" i="21"/>
  <c r="R1075" i="21"/>
  <c r="R1055" i="21"/>
  <c r="S1048" i="21"/>
  <c r="T1048" i="21" s="1"/>
  <c r="P1048" i="21" s="1"/>
  <c r="Q1042" i="21"/>
  <c r="R1035" i="21"/>
  <c r="Q1022" i="21"/>
  <c r="S1008" i="21"/>
  <c r="T1008" i="21" s="1"/>
  <c r="P1008" i="21" s="1"/>
  <c r="R995" i="21"/>
  <c r="R975" i="21"/>
  <c r="R955" i="21"/>
  <c r="S945" i="21"/>
  <c r="T945" i="21" s="1"/>
  <c r="P945" i="21" s="1"/>
  <c r="R932" i="21"/>
  <c r="Q919" i="21"/>
  <c r="R912" i="21"/>
  <c r="Q837" i="21"/>
  <c r="Q817" i="21"/>
  <c r="R770" i="21"/>
  <c r="R750" i="21"/>
  <c r="S743" i="21"/>
  <c r="T743" i="21" s="1"/>
  <c r="P743" i="21" s="1"/>
  <c r="S723" i="21"/>
  <c r="T723" i="21" s="1"/>
  <c r="P723" i="21" s="1"/>
  <c r="S918" i="21"/>
  <c r="T918" i="21" s="1"/>
  <c r="P918" i="21" s="1"/>
  <c r="Q912" i="21"/>
  <c r="S796" i="21"/>
  <c r="T796" i="21" s="1"/>
  <c r="P796" i="21" s="1"/>
  <c r="Q770" i="21"/>
  <c r="Q750" i="21"/>
  <c r="R743" i="21"/>
  <c r="R723" i="21"/>
  <c r="R563" i="21"/>
  <c r="Q1008" i="21"/>
  <c r="R1001" i="21"/>
  <c r="R981" i="21"/>
  <c r="S974" i="21"/>
  <c r="T974" i="21" s="1"/>
  <c r="P974" i="21" s="1"/>
  <c r="R961" i="21"/>
  <c r="S954" i="21"/>
  <c r="T954" i="21" s="1"/>
  <c r="P954" i="21" s="1"/>
  <c r="Q945" i="21"/>
  <c r="R938" i="21"/>
  <c r="S931" i="21"/>
  <c r="R918" i="21"/>
  <c r="R836" i="21"/>
  <c r="R816" i="21"/>
  <c r="R796" i="21"/>
  <c r="Q743" i="21"/>
  <c r="Q723" i="21"/>
  <c r="R676" i="21"/>
  <c r="R576" i="21"/>
  <c r="S569" i="21"/>
  <c r="T569" i="21" s="1"/>
  <c r="P569" i="21" s="1"/>
  <c r="Q563" i="21"/>
  <c r="S549" i="21"/>
  <c r="T549" i="21" s="1"/>
  <c r="P549" i="21" s="1"/>
  <c r="Q543" i="21"/>
  <c r="S528" i="21"/>
  <c r="T528" i="21" s="1"/>
  <c r="P528" i="21" s="1"/>
  <c r="Q522" i="21"/>
  <c r="Q796" i="21"/>
  <c r="R749" i="21"/>
  <c r="R629" i="21"/>
  <c r="R569" i="21"/>
  <c r="S562" i="21"/>
  <c r="R549" i="21"/>
  <c r="S542" i="21"/>
  <c r="T542" i="21" s="1"/>
  <c r="P542" i="21" s="1"/>
  <c r="R528" i="21"/>
  <c r="Q515" i="21"/>
  <c r="R508" i="21"/>
  <c r="Q474" i="21"/>
  <c r="R447" i="21"/>
  <c r="S420" i="21"/>
  <c r="T420" i="21" s="1"/>
  <c r="P420" i="21" s="1"/>
  <c r="S320" i="21"/>
  <c r="T320" i="21" s="1"/>
  <c r="P320" i="21" s="1"/>
  <c r="R835" i="21"/>
  <c r="R815" i="21"/>
  <c r="R795" i="21"/>
  <c r="S748" i="21"/>
  <c r="T748" i="21" s="1"/>
  <c r="P748" i="21" s="1"/>
  <c r="R675" i="21"/>
  <c r="S628" i="21"/>
  <c r="T628" i="21" s="1"/>
  <c r="P628" i="21" s="1"/>
  <c r="R575" i="21"/>
  <c r="Q562" i="21"/>
  <c r="Q561" i="21" s="1"/>
  <c r="M561" i="21" s="1"/>
  <c r="Q542" i="21"/>
  <c r="R535" i="21"/>
  <c r="S527" i="21"/>
  <c r="T527" i="21" s="1"/>
  <c r="P527" i="21" s="1"/>
  <c r="S507" i="21"/>
  <c r="T507" i="21" s="1"/>
  <c r="P507" i="21" s="1"/>
  <c r="R828" i="21"/>
  <c r="R748" i="21"/>
  <c r="R628" i="21"/>
  <c r="Q575" i="21"/>
  <c r="R568" i="21"/>
  <c r="S541" i="21"/>
  <c r="T541" i="21" s="1"/>
  <c r="P541" i="21" s="1"/>
  <c r="Q535" i="21"/>
  <c r="R527" i="21"/>
  <c r="S520" i="21"/>
  <c r="T520" i="21" s="1"/>
  <c r="P520" i="21" s="1"/>
  <c r="R507" i="21"/>
  <c r="Q494" i="21"/>
  <c r="R487" i="21"/>
  <c r="R1066" i="21"/>
  <c r="S1059" i="21"/>
  <c r="Q1053" i="21"/>
  <c r="R1046" i="21"/>
  <c r="S1039" i="21"/>
  <c r="Q1033" i="21"/>
  <c r="S1019" i="21"/>
  <c r="T1019" i="21" s="1"/>
  <c r="P1019" i="21" s="1"/>
  <c r="S999" i="21"/>
  <c r="T999" i="21" s="1"/>
  <c r="P999" i="21" s="1"/>
  <c r="Q993" i="21"/>
  <c r="R986" i="21"/>
  <c r="R966" i="21"/>
  <c r="S959" i="21"/>
  <c r="T959" i="21" s="1"/>
  <c r="P959" i="21" s="1"/>
  <c r="R943" i="21"/>
  <c r="R923" i="21"/>
  <c r="S916" i="21"/>
  <c r="T916" i="21" s="1"/>
  <c r="P916" i="21" s="1"/>
  <c r="Q910" i="21"/>
  <c r="R841" i="21"/>
  <c r="S814" i="21"/>
  <c r="T814" i="21" s="1"/>
  <c r="P814" i="21" s="1"/>
  <c r="Q748" i="21"/>
  <c r="R721" i="21"/>
  <c r="S674" i="21"/>
  <c r="T674" i="21" s="1"/>
  <c r="P674" i="21" s="1"/>
  <c r="S654" i="21"/>
  <c r="T654" i="21" s="1"/>
  <c r="P654" i="21" s="1"/>
  <c r="Q628" i="21"/>
  <c r="R916" i="21"/>
  <c r="S909" i="21"/>
  <c r="T909" i="21" s="1"/>
  <c r="P909" i="21" s="1"/>
  <c r="Q841" i="21"/>
  <c r="R814" i="21"/>
  <c r="R794" i="21"/>
  <c r="R674" i="21"/>
  <c r="R654" i="21"/>
  <c r="S607" i="21"/>
  <c r="T607" i="21" s="1"/>
  <c r="P607" i="21" s="1"/>
  <c r="R574" i="21"/>
  <c r="S567" i="21"/>
  <c r="T567" i="21" s="1"/>
  <c r="P567" i="21" s="1"/>
  <c r="R554" i="21"/>
  <c r="S547" i="21"/>
  <c r="T547" i="21" s="1"/>
  <c r="P547" i="21" s="1"/>
  <c r="Q541" i="21"/>
  <c r="Q520" i="21"/>
  <c r="R513" i="21"/>
  <c r="R493" i="21"/>
  <c r="R472" i="21"/>
  <c r="S445" i="21"/>
  <c r="R372" i="21"/>
  <c r="S418" i="21"/>
  <c r="T418" i="21" s="1"/>
  <c r="P418" i="21" s="1"/>
  <c r="R1045" i="21"/>
  <c r="R1025" i="21"/>
  <c r="S1018" i="21"/>
  <c r="Q1012" i="21"/>
  <c r="R1005" i="21"/>
  <c r="Q992" i="21"/>
  <c r="R985" i="21"/>
  <c r="S978" i="21"/>
  <c r="T978" i="21" s="1"/>
  <c r="P978" i="21" s="1"/>
  <c r="Q972" i="21"/>
  <c r="R965" i="21"/>
  <c r="R942" i="21"/>
  <c r="S935" i="21"/>
  <c r="T935" i="21" s="1"/>
  <c r="P935" i="21" s="1"/>
  <c r="Q929" i="21"/>
  <c r="R922" i="21"/>
  <c r="S915" i="21"/>
  <c r="T915" i="21" s="1"/>
  <c r="P915" i="21" s="1"/>
  <c r="Q909" i="21"/>
  <c r="R840" i="21"/>
  <c r="S793" i="21"/>
  <c r="T793" i="21" s="1"/>
  <c r="P793" i="21" s="1"/>
  <c r="S773" i="21"/>
  <c r="T773" i="21" s="1"/>
  <c r="P773" i="21" s="1"/>
  <c r="S753" i="21"/>
  <c r="T753" i="21" s="1"/>
  <c r="P753" i="21" s="1"/>
  <c r="S544" i="21"/>
  <c r="T544" i="21" s="1"/>
  <c r="P544" i="21" s="1"/>
  <c r="Q538" i="21"/>
  <c r="R530" i="21"/>
  <c r="Q517" i="21"/>
  <c r="Q497" i="21"/>
  <c r="R490" i="21"/>
  <c r="R469" i="21"/>
  <c r="R369" i="21"/>
  <c r="S242" i="21"/>
  <c r="T242" i="21" s="1"/>
  <c r="P242" i="21" s="1"/>
  <c r="R173" i="21"/>
  <c r="Q155" i="21"/>
  <c r="S137" i="21"/>
  <c r="T137" i="21" s="1"/>
  <c r="P137" i="21" s="1"/>
  <c r="S295" i="21"/>
  <c r="T295" i="21" s="1"/>
  <c r="P295" i="21" s="1"/>
  <c r="Q269" i="21"/>
  <c r="R262" i="21"/>
  <c r="R242" i="21"/>
  <c r="R222" i="21"/>
  <c r="Q173" i="21"/>
  <c r="S154" i="21"/>
  <c r="T154" i="21" s="1"/>
  <c r="P154" i="21" s="1"/>
  <c r="R137" i="21"/>
  <c r="S348" i="21"/>
  <c r="T348" i="21" s="1"/>
  <c r="P348" i="21" s="1"/>
  <c r="R295" i="21"/>
  <c r="S268" i="21"/>
  <c r="T268" i="21" s="1"/>
  <c r="P268" i="21" s="1"/>
  <c r="Q242" i="21"/>
  <c r="S208" i="21"/>
  <c r="R154" i="21"/>
  <c r="Q137" i="21"/>
  <c r="Q697" i="21"/>
  <c r="Q677" i="21"/>
  <c r="R630" i="21"/>
  <c r="Q577" i="21"/>
  <c r="S563" i="21"/>
  <c r="T563" i="21" s="1"/>
  <c r="P563" i="21" s="1"/>
  <c r="Q557" i="21"/>
  <c r="S543" i="21"/>
  <c r="T543" i="21" s="1"/>
  <c r="P543" i="21" s="1"/>
  <c r="R529" i="21"/>
  <c r="S522" i="21"/>
  <c r="T522" i="21" s="1"/>
  <c r="P522" i="21" s="1"/>
  <c r="R509" i="21"/>
  <c r="Q496" i="21"/>
  <c r="R489" i="21"/>
  <c r="S482" i="21"/>
  <c r="R448" i="21"/>
  <c r="Q295" i="21"/>
  <c r="R268" i="21"/>
  <c r="S261" i="21"/>
  <c r="T261" i="21" s="1"/>
  <c r="P261" i="21" s="1"/>
  <c r="S221" i="21"/>
  <c r="T221" i="21" s="1"/>
  <c r="P221" i="21" s="1"/>
  <c r="R208" i="21"/>
  <c r="S189" i="21"/>
  <c r="T189" i="21" s="1"/>
  <c r="P189" i="21" s="1"/>
  <c r="R172" i="21"/>
  <c r="S136" i="21"/>
  <c r="T136" i="21" s="1"/>
  <c r="P136" i="21" s="1"/>
  <c r="R543" i="21"/>
  <c r="Q529" i="21"/>
  <c r="R522" i="21"/>
  <c r="S515" i="21"/>
  <c r="T515" i="21" s="1"/>
  <c r="P515" i="21" s="1"/>
  <c r="Q509" i="21"/>
  <c r="R502" i="21"/>
  <c r="Q489" i="21"/>
  <c r="R482" i="21"/>
  <c r="S474" i="21"/>
  <c r="T474" i="21" s="1"/>
  <c r="P474" i="21" s="1"/>
  <c r="Q448" i="21"/>
  <c r="R421" i="21"/>
  <c r="Q368" i="21"/>
  <c r="Q348" i="21"/>
  <c r="R321" i="21"/>
  <c r="Q268" i="21"/>
  <c r="R261" i="21"/>
  <c r="R241" i="21"/>
  <c r="R189" i="21"/>
  <c r="S171" i="21"/>
  <c r="T171" i="21" s="1"/>
  <c r="P171" i="21" s="1"/>
  <c r="R136" i="21"/>
  <c r="R515" i="21"/>
  <c r="S508" i="21"/>
  <c r="T508" i="21" s="1"/>
  <c r="P508" i="21" s="1"/>
  <c r="Q482" i="21"/>
  <c r="Q481" i="21" s="1"/>
  <c r="M481" i="21" s="1"/>
  <c r="R474" i="21"/>
  <c r="R394" i="21"/>
  <c r="R294" i="21"/>
  <c r="Q261" i="21"/>
  <c r="Q221" i="21"/>
  <c r="Q189" i="21"/>
  <c r="R171" i="21"/>
  <c r="R153" i="21"/>
  <c r="Q136" i="21"/>
  <c r="R347" i="21"/>
  <c r="R267" i="21"/>
  <c r="S240" i="21"/>
  <c r="T240" i="21" s="1"/>
  <c r="P240" i="21" s="1"/>
  <c r="R207" i="21"/>
  <c r="Q171" i="21"/>
  <c r="S152" i="21"/>
  <c r="T152" i="21" s="1"/>
  <c r="P152" i="21" s="1"/>
  <c r="R420" i="21"/>
  <c r="S393" i="21"/>
  <c r="T393" i="21" s="1"/>
  <c r="P393" i="21" s="1"/>
  <c r="S373" i="21"/>
  <c r="T373" i="21" s="1"/>
  <c r="P373" i="21" s="1"/>
  <c r="R320" i="21"/>
  <c r="S293" i="21"/>
  <c r="T293" i="21" s="1"/>
  <c r="P293" i="21" s="1"/>
  <c r="R260" i="21"/>
  <c r="R240" i="21"/>
  <c r="R188" i="21"/>
  <c r="R152" i="21"/>
  <c r="R135" i="21"/>
  <c r="R494" i="21"/>
  <c r="S487" i="21"/>
  <c r="R473" i="21"/>
  <c r="Q420" i="21"/>
  <c r="R393" i="21"/>
  <c r="R373" i="21"/>
  <c r="Q320" i="21"/>
  <c r="R293" i="21"/>
  <c r="S266" i="21"/>
  <c r="T266" i="21" s="1"/>
  <c r="P266" i="21" s="1"/>
  <c r="Q240" i="21"/>
  <c r="S226" i="21"/>
  <c r="T226" i="21" s="1"/>
  <c r="P226" i="21" s="1"/>
  <c r="R206" i="21"/>
  <c r="Q152" i="21"/>
  <c r="S134" i="21"/>
  <c r="T134" i="21" s="1"/>
  <c r="P134" i="21" s="1"/>
  <c r="R446" i="21"/>
  <c r="Q393" i="21"/>
  <c r="Q373" i="21"/>
  <c r="R346" i="21"/>
  <c r="Q293" i="21"/>
  <c r="R266" i="21"/>
  <c r="S259" i="21"/>
  <c r="T259" i="21" s="1"/>
  <c r="P259" i="21" s="1"/>
  <c r="R226" i="21"/>
  <c r="S205" i="21"/>
  <c r="T205" i="21" s="1"/>
  <c r="P205" i="21" s="1"/>
  <c r="R187" i="21"/>
  <c r="S141" i="21"/>
  <c r="T141" i="21" s="1"/>
  <c r="P141" i="21" s="1"/>
  <c r="R134" i="21"/>
  <c r="S574" i="21"/>
  <c r="T574" i="21" s="1"/>
  <c r="P574" i="21" s="1"/>
  <c r="R561" i="21"/>
  <c r="S554" i="21"/>
  <c r="T554" i="21" s="1"/>
  <c r="P554" i="21" s="1"/>
  <c r="R541" i="21"/>
  <c r="Q527" i="21"/>
  <c r="R520" i="21"/>
  <c r="S513" i="21"/>
  <c r="T513" i="21" s="1"/>
  <c r="P513" i="21" s="1"/>
  <c r="Q507" i="21"/>
  <c r="Q487" i="21"/>
  <c r="S472" i="21"/>
  <c r="T472" i="21" s="1"/>
  <c r="P472" i="21" s="1"/>
  <c r="R419" i="21"/>
  <c r="R319" i="21"/>
  <c r="Q266" i="21"/>
  <c r="R259" i="21"/>
  <c r="Q226" i="21"/>
  <c r="R205" i="21"/>
  <c r="S186" i="21"/>
  <c r="T186" i="21" s="1"/>
  <c r="P186" i="21" s="1"/>
  <c r="R141" i="21"/>
  <c r="S345" i="21"/>
  <c r="T345" i="21" s="1"/>
  <c r="P345" i="21" s="1"/>
  <c r="Q259" i="21"/>
  <c r="S245" i="21"/>
  <c r="T245" i="21" s="1"/>
  <c r="P245" i="21" s="1"/>
  <c r="Q205" i="21"/>
  <c r="R186" i="21"/>
  <c r="Q141" i="21"/>
  <c r="S398" i="21"/>
  <c r="R345" i="21"/>
  <c r="S318" i="21"/>
  <c r="T318" i="21" s="1"/>
  <c r="P318" i="21" s="1"/>
  <c r="S298" i="21"/>
  <c r="T298" i="21" s="1"/>
  <c r="P298" i="21" s="1"/>
  <c r="R245" i="21"/>
  <c r="R225" i="21"/>
  <c r="Q186" i="21"/>
  <c r="S176" i="21"/>
  <c r="R720" i="21"/>
  <c r="R700" i="21"/>
  <c r="Q607" i="21"/>
  <c r="R580" i="21"/>
  <c r="Q567" i="21"/>
  <c r="R560" i="21"/>
  <c r="S553" i="21"/>
  <c r="T553" i="21" s="1"/>
  <c r="P553" i="21" s="1"/>
  <c r="Q547" i="21"/>
  <c r="R540" i="21"/>
  <c r="S533" i="21"/>
  <c r="R519" i="21"/>
  <c r="R499" i="21"/>
  <c r="S492" i="21"/>
  <c r="T492" i="21" s="1"/>
  <c r="P492" i="21" s="1"/>
  <c r="R478" i="21"/>
  <c r="S471" i="21"/>
  <c r="Q445" i="21"/>
  <c r="R318" i="21"/>
  <c r="R298" i="21"/>
  <c r="S271" i="21"/>
  <c r="Q245" i="21"/>
  <c r="R204" i="21"/>
  <c r="R176" i="21"/>
  <c r="S157" i="21"/>
  <c r="T157" i="21" s="1"/>
  <c r="P157" i="21" s="1"/>
  <c r="R140" i="21"/>
  <c r="Q418" i="21"/>
  <c r="Q398" i="21"/>
  <c r="R371" i="21"/>
  <c r="Q318" i="21"/>
  <c r="Q298" i="21"/>
  <c r="S203" i="21"/>
  <c r="T203" i="21" s="1"/>
  <c r="P203" i="21" s="1"/>
  <c r="R185" i="21"/>
  <c r="Q176" i="21"/>
  <c r="R157" i="21"/>
  <c r="Q140" i="21"/>
  <c r="R606" i="21"/>
  <c r="S559" i="21"/>
  <c r="T559" i="21" s="1"/>
  <c r="P559" i="21" s="1"/>
  <c r="Q553" i="21"/>
  <c r="Q533" i="21"/>
  <c r="R525" i="21"/>
  <c r="S518" i="21"/>
  <c r="T518" i="21" s="1"/>
  <c r="P518" i="21" s="1"/>
  <c r="Q492" i="21"/>
  <c r="R485" i="21"/>
  <c r="Q471" i="21"/>
  <c r="R444" i="21"/>
  <c r="R344" i="21"/>
  <c r="Q271" i="21"/>
  <c r="R264" i="21"/>
  <c r="R244" i="21"/>
  <c r="R224" i="21"/>
  <c r="R203" i="21"/>
  <c r="Q157" i="21"/>
  <c r="S139" i="21"/>
  <c r="S370" i="21"/>
  <c r="T370" i="21" s="1"/>
  <c r="P370" i="21" s="1"/>
  <c r="R297" i="21"/>
  <c r="Q264" i="21"/>
  <c r="Q203" i="21"/>
  <c r="R184" i="21"/>
  <c r="R175" i="21"/>
  <c r="R139" i="21"/>
  <c r="S323" i="21"/>
  <c r="T323" i="21" s="1"/>
  <c r="P323" i="21" s="1"/>
  <c r="R270" i="21"/>
  <c r="S223" i="21"/>
  <c r="T223" i="21" s="1"/>
  <c r="P223" i="21" s="1"/>
  <c r="Q184" i="21"/>
  <c r="R156" i="21"/>
  <c r="Q139" i="21"/>
  <c r="R605" i="21"/>
  <c r="S578" i="21"/>
  <c r="T578" i="21" s="1"/>
  <c r="P578" i="21" s="1"/>
  <c r="Q572" i="21"/>
  <c r="R565" i="21"/>
  <c r="Q552" i="21"/>
  <c r="S538" i="21"/>
  <c r="T538" i="21" s="1"/>
  <c r="P538" i="21" s="1"/>
  <c r="Q531" i="21"/>
  <c r="S517" i="21"/>
  <c r="T517" i="21" s="1"/>
  <c r="P517" i="21" s="1"/>
  <c r="Q511" i="21"/>
  <c r="R504" i="21"/>
  <c r="S497" i="21"/>
  <c r="T497" i="21" s="1"/>
  <c r="P497" i="21" s="1"/>
  <c r="Q491" i="21"/>
  <c r="R484" i="21"/>
  <c r="S476" i="21"/>
  <c r="R443" i="21"/>
  <c r="R423" i="21"/>
  <c r="Q370" i="21"/>
  <c r="R263" i="21"/>
  <c r="R243" i="21"/>
  <c r="R223" i="21"/>
  <c r="R174" i="21"/>
  <c r="S155" i="21"/>
  <c r="T155" i="21" s="1"/>
  <c r="P155" i="21" s="1"/>
  <c r="R418" i="21"/>
  <c r="R398" i="21"/>
  <c r="Q345" i="21"/>
  <c r="R271" i="21"/>
  <c r="S264" i="21"/>
  <c r="T264" i="21" s="1"/>
  <c r="P264" i="21" s="1"/>
  <c r="S184" i="21"/>
  <c r="T184" i="21" s="1"/>
  <c r="P184" i="21" s="1"/>
  <c r="R343" i="21"/>
  <c r="R323" i="21"/>
  <c r="R322" i="21"/>
  <c r="Q395" i="21"/>
  <c r="R368" i="21"/>
  <c r="R348" i="21"/>
  <c r="R221" i="21"/>
  <c r="Q208" i="21"/>
  <c r="Q125" i="21"/>
  <c r="Q107" i="21"/>
  <c r="S90" i="21"/>
  <c r="T90" i="21" s="1"/>
  <c r="P90" i="21" s="1"/>
  <c r="S25" i="21"/>
  <c r="T25" i="21" s="1"/>
  <c r="P25" i="21" s="1"/>
  <c r="Q111" i="21"/>
  <c r="R64" i="21"/>
  <c r="S106" i="21"/>
  <c r="T106" i="21" s="1"/>
  <c r="P106" i="21" s="1"/>
  <c r="R90" i="21"/>
  <c r="Q64" i="21"/>
  <c r="R25" i="21"/>
  <c r="R132" i="21"/>
  <c r="R124" i="21"/>
  <c r="R114" i="21"/>
  <c r="R106" i="21"/>
  <c r="Q90" i="21"/>
  <c r="Q25" i="21"/>
  <c r="Q132" i="21"/>
  <c r="Q124" i="21"/>
  <c r="Q114" i="21"/>
  <c r="Q106" i="21"/>
  <c r="S59" i="21"/>
  <c r="T59" i="21" s="1"/>
  <c r="P59" i="21" s="1"/>
  <c r="S105" i="21"/>
  <c r="T105" i="21" s="1"/>
  <c r="P105" i="21" s="1"/>
  <c r="S88" i="21"/>
  <c r="R59" i="21"/>
  <c r="R131" i="21"/>
  <c r="S112" i="21"/>
  <c r="T112" i="21" s="1"/>
  <c r="P112" i="21" s="1"/>
  <c r="R105" i="21"/>
  <c r="R88" i="21"/>
  <c r="Q59" i="21"/>
  <c r="Q131" i="21"/>
  <c r="R122" i="21"/>
  <c r="R112" i="21"/>
  <c r="Q105" i="21"/>
  <c r="Q88" i="21"/>
  <c r="Q122" i="21"/>
  <c r="Q112" i="21"/>
  <c r="S111" i="21"/>
  <c r="T111" i="21" s="1"/>
  <c r="P111" i="21" s="1"/>
  <c r="S101" i="21"/>
  <c r="T101" i="21" s="1"/>
  <c r="P101" i="21" s="1"/>
  <c r="R111" i="21"/>
  <c r="R101" i="21"/>
  <c r="R128" i="21"/>
  <c r="R120" i="21"/>
  <c r="Q101" i="21"/>
  <c r="Q128" i="21"/>
  <c r="Q120" i="21"/>
  <c r="S110" i="21"/>
  <c r="T110" i="21" s="1"/>
  <c r="P110" i="21" s="1"/>
  <c r="S96" i="21"/>
  <c r="T96" i="21" s="1"/>
  <c r="P96" i="21" s="1"/>
  <c r="R110" i="21"/>
  <c r="R96" i="21"/>
  <c r="R127" i="21"/>
  <c r="Q110" i="21"/>
  <c r="Q96" i="21"/>
  <c r="Q127" i="21"/>
  <c r="R118" i="21"/>
  <c r="S70" i="21"/>
  <c r="T70" i="21" s="1"/>
  <c r="P70" i="21" s="1"/>
  <c r="Q118" i="21"/>
  <c r="S108" i="21"/>
  <c r="T108" i="21" s="1"/>
  <c r="P108" i="21" s="1"/>
  <c r="S93" i="21"/>
  <c r="T93" i="21" s="1"/>
  <c r="P93" i="21" s="1"/>
  <c r="R70" i="21"/>
  <c r="S28" i="21"/>
  <c r="T28" i="21" s="1"/>
  <c r="P28" i="21" s="1"/>
  <c r="R126" i="21"/>
  <c r="R108" i="21"/>
  <c r="R93" i="21"/>
  <c r="Q70" i="21"/>
  <c r="R28" i="21"/>
  <c r="Q126" i="21"/>
  <c r="Q108" i="21"/>
  <c r="Q93" i="21"/>
  <c r="Q28" i="21"/>
  <c r="R116" i="21"/>
  <c r="S107" i="21"/>
  <c r="T107" i="21" s="1"/>
  <c r="P107" i="21" s="1"/>
  <c r="R125" i="21"/>
  <c r="Q116" i="21"/>
  <c r="R107" i="21"/>
  <c r="S64" i="21"/>
  <c r="T64" i="21" s="1"/>
  <c r="P64" i="21" s="1"/>
  <c r="M2293" i="14"/>
  <c r="M2292" i="14"/>
  <c r="M2291" i="14"/>
  <c r="M2289" i="14"/>
  <c r="M2288" i="14"/>
  <c r="M2287" i="14"/>
  <c r="M2286" i="14"/>
  <c r="M2285" i="14"/>
  <c r="M2283" i="14"/>
  <c r="M2282" i="14"/>
  <c r="M2281" i="14"/>
  <c r="M2280" i="14"/>
  <c r="M2278" i="14"/>
  <c r="M2250" i="14"/>
  <c r="M2249" i="14"/>
  <c r="M2248" i="14"/>
  <c r="M2247" i="14"/>
  <c r="M2246" i="14"/>
  <c r="M2245" i="14"/>
  <c r="M2244" i="14"/>
  <c r="M2243" i="14"/>
  <c r="M2242" i="14"/>
  <c r="M2241" i="14"/>
  <c r="M2203" i="14"/>
  <c r="M2202" i="14"/>
  <c r="M2201" i="14"/>
  <c r="M2200" i="14"/>
  <c r="M2199" i="14"/>
  <c r="M2198" i="14"/>
  <c r="M2197" i="14"/>
  <c r="M2196" i="14"/>
  <c r="M2195" i="14"/>
  <c r="M2194" i="14"/>
  <c r="M2156" i="14"/>
  <c r="M2155" i="14"/>
  <c r="M2154" i="14"/>
  <c r="M2153" i="14"/>
  <c r="M2152" i="14"/>
  <c r="M2151" i="14"/>
  <c r="M2150" i="14"/>
  <c r="M2149" i="14"/>
  <c r="M2148" i="14"/>
  <c r="M2147" i="14"/>
  <c r="M2107" i="14"/>
  <c r="M2106" i="14"/>
  <c r="M2105" i="14"/>
  <c r="M2104" i="14"/>
  <c r="M2103" i="14"/>
  <c r="M2102" i="14"/>
  <c r="M2101" i="14"/>
  <c r="M2098" i="14"/>
  <c r="M2097" i="14"/>
  <c r="M2096" i="14"/>
  <c r="M2059" i="14"/>
  <c r="M2058" i="14"/>
  <c r="M2057" i="14"/>
  <c r="M2056" i="14"/>
  <c r="M2055" i="14"/>
  <c r="M2054" i="14"/>
  <c r="M2053" i="14"/>
  <c r="M2052" i="14"/>
  <c r="M2051" i="14"/>
  <c r="M2050" i="14"/>
  <c r="M2013" i="14"/>
  <c r="M2012" i="14"/>
  <c r="M2011" i="14"/>
  <c r="M2010" i="14"/>
  <c r="M2009" i="14"/>
  <c r="M2008" i="14"/>
  <c r="M2007" i="14"/>
  <c r="M2006" i="14"/>
  <c r="M2005" i="14"/>
  <c r="M2004" i="14"/>
  <c r="M1966" i="14"/>
  <c r="M1965" i="14"/>
  <c r="M1964" i="14"/>
  <c r="M1963" i="14"/>
  <c r="M1962" i="14"/>
  <c r="M1961" i="14"/>
  <c r="M1960" i="14"/>
  <c r="M1959" i="14"/>
  <c r="M1958" i="14"/>
  <c r="M1957" i="14"/>
  <c r="M1917" i="14"/>
  <c r="M1916" i="14"/>
  <c r="M1915" i="14"/>
  <c r="M1914" i="14"/>
  <c r="M1913" i="14"/>
  <c r="M1912" i="14"/>
  <c r="M1911" i="14"/>
  <c r="M1910" i="14"/>
  <c r="M1909" i="14"/>
  <c r="M1908" i="14"/>
  <c r="M1867" i="14"/>
  <c r="M1866" i="14"/>
  <c r="M1865" i="14"/>
  <c r="M1864" i="14"/>
  <c r="M1863" i="14"/>
  <c r="M1862" i="14"/>
  <c r="M1861" i="14"/>
  <c r="M1860" i="14"/>
  <c r="M1859" i="14"/>
  <c r="M1858" i="14"/>
  <c r="M1819" i="14"/>
  <c r="M1818" i="14"/>
  <c r="M1817" i="14"/>
  <c r="M1816" i="14"/>
  <c r="M1815" i="14"/>
  <c r="M1814" i="14"/>
  <c r="M1813" i="14"/>
  <c r="M1812" i="14"/>
  <c r="M1811" i="14"/>
  <c r="M1810" i="14"/>
  <c r="M1772" i="14"/>
  <c r="M1771" i="14"/>
  <c r="M1770" i="14"/>
  <c r="M1769" i="14"/>
  <c r="M1768" i="14"/>
  <c r="M1767" i="14"/>
  <c r="M1766" i="14"/>
  <c r="M1765" i="14"/>
  <c r="M1764" i="14"/>
  <c r="M1763" i="14"/>
  <c r="M1743" i="14"/>
  <c r="M1742" i="14"/>
  <c r="M1741" i="14"/>
  <c r="M1740" i="14"/>
  <c r="M1739" i="14"/>
  <c r="M1738" i="14"/>
  <c r="M1737" i="14"/>
  <c r="M1736" i="14"/>
  <c r="M1735" i="14"/>
  <c r="M1734" i="14"/>
  <c r="M1686" i="14"/>
  <c r="M1685" i="14"/>
  <c r="M1684" i="14"/>
  <c r="M1683" i="14"/>
  <c r="M1673" i="14"/>
  <c r="M1672" i="14"/>
  <c r="M1669" i="14"/>
  <c r="M1668" i="14"/>
  <c r="M1666" i="14"/>
  <c r="M1665" i="14"/>
  <c r="M1664" i="14"/>
  <c r="M1663" i="14"/>
  <c r="M1662" i="14"/>
  <c r="M1654" i="14"/>
  <c r="M1653" i="14"/>
  <c r="M1648" i="14"/>
  <c r="M1647" i="14"/>
  <c r="M1646" i="14"/>
  <c r="M1645" i="14"/>
  <c r="M1637" i="14"/>
  <c r="M1636" i="14"/>
  <c r="M1633" i="14"/>
  <c r="M1632" i="14"/>
  <c r="M1631" i="14"/>
  <c r="M1630" i="14"/>
  <c r="M1629" i="14"/>
  <c r="M1627" i="14"/>
  <c r="M1626" i="14"/>
  <c r="M1618" i="14"/>
  <c r="M1617" i="14"/>
  <c r="M1613" i="14"/>
  <c r="M1612" i="14"/>
  <c r="M1611" i="14"/>
  <c r="M1610" i="14"/>
  <c r="M1609" i="14"/>
  <c r="M1608" i="14"/>
  <c r="M1607" i="14"/>
  <c r="M1600" i="14"/>
  <c r="M1599" i="14"/>
  <c r="M1596" i="14"/>
  <c r="M1595" i="14"/>
  <c r="M1594" i="14"/>
  <c r="M1593" i="14"/>
  <c r="M1589" i="14"/>
  <c r="M1588" i="14"/>
  <c r="M1585" i="14"/>
  <c r="M1584" i="14"/>
  <c r="M1582" i="14"/>
  <c r="M1581" i="14"/>
  <c r="M1576" i="14"/>
  <c r="M1575" i="14"/>
  <c r="M1572" i="14"/>
  <c r="M1571" i="14"/>
  <c r="M1570" i="14"/>
  <c r="M1569" i="14"/>
  <c r="M1568" i="14"/>
  <c r="M1567" i="14"/>
  <c r="M1566" i="14"/>
  <c r="M1561" i="14"/>
  <c r="M1560" i="14"/>
  <c r="M1556" i="14"/>
  <c r="M1555" i="14"/>
  <c r="M1554" i="14"/>
  <c r="M1553" i="14"/>
  <c r="M1550" i="14"/>
  <c r="M1549" i="14"/>
  <c r="M1547" i="14"/>
  <c r="M1546" i="14"/>
  <c r="M1542" i="14"/>
  <c r="M1541" i="14"/>
  <c r="M1540" i="14"/>
  <c r="M1539" i="14"/>
  <c r="M1535" i="14"/>
  <c r="M1534" i="14"/>
  <c r="M1528" i="14"/>
  <c r="M1527" i="14"/>
  <c r="M1526" i="14"/>
  <c r="M1525" i="14"/>
  <c r="M1521" i="14"/>
  <c r="M1520" i="14"/>
  <c r="M1517" i="14"/>
  <c r="M1516" i="14"/>
  <c r="M1515" i="14"/>
  <c r="M1514" i="14"/>
  <c r="M1513" i="14"/>
  <c r="M1512" i="14"/>
  <c r="M1511" i="14"/>
  <c r="M1507" i="14"/>
  <c r="M1506" i="14"/>
  <c r="M1500" i="14"/>
  <c r="M1499" i="14"/>
  <c r="M1498" i="14"/>
  <c r="M1497" i="14"/>
  <c r="M1496" i="14"/>
  <c r="M1495" i="14"/>
  <c r="M1494" i="14"/>
  <c r="M1490" i="14"/>
  <c r="M1489" i="14"/>
  <c r="M1488" i="14"/>
  <c r="M1486" i="14"/>
  <c r="M1485" i="14"/>
  <c r="M1484" i="14"/>
  <c r="M1482" i="14"/>
  <c r="M1481" i="14"/>
  <c r="M1480" i="14"/>
  <c r="M1478" i="14"/>
  <c r="M1477" i="14"/>
  <c r="M1476" i="14"/>
  <c r="M1474" i="14"/>
  <c r="M1473" i="14"/>
  <c r="M1472" i="14"/>
  <c r="M1470" i="14"/>
  <c r="M1468" i="14"/>
  <c r="M1467" i="14"/>
  <c r="M1464" i="14"/>
  <c r="M1463" i="14"/>
  <c r="M1462" i="14"/>
  <c r="M1458" i="14"/>
  <c r="M1457" i="14"/>
  <c r="M1456" i="14"/>
  <c r="M1455" i="14"/>
  <c r="M1453" i="14"/>
  <c r="M1452" i="14"/>
  <c r="M1451" i="14"/>
  <c r="M1449" i="14"/>
  <c r="M1448" i="14"/>
  <c r="M1447" i="14"/>
  <c r="M1446" i="14"/>
  <c r="M1444" i="14"/>
  <c r="M1443" i="14"/>
  <c r="M1442" i="14"/>
  <c r="M1438" i="14"/>
  <c r="M1436" i="14"/>
  <c r="M1435" i="14"/>
  <c r="M1434" i="14"/>
  <c r="M1432" i="14"/>
  <c r="M1431" i="14"/>
  <c r="M1428" i="14"/>
  <c r="M1427" i="14"/>
  <c r="M1426" i="14"/>
  <c r="M1424" i="14"/>
  <c r="M1423" i="14"/>
  <c r="M1422" i="14"/>
  <c r="M1420" i="14"/>
  <c r="M1419" i="14"/>
  <c r="M1418" i="14"/>
  <c r="M1416" i="14"/>
  <c r="M1415" i="14"/>
  <c r="M1414" i="14"/>
  <c r="M1412" i="14"/>
  <c r="M1411" i="14"/>
  <c r="M1410" i="14"/>
  <c r="M1407" i="14"/>
  <c r="M1406" i="14"/>
  <c r="M1405" i="14"/>
  <c r="M1402" i="14"/>
  <c r="M1401" i="14"/>
  <c r="M1400" i="14"/>
  <c r="M1398" i="14"/>
  <c r="M1397" i="14"/>
  <c r="M1396" i="14"/>
  <c r="M1394" i="14"/>
  <c r="M1393" i="14"/>
  <c r="M1392" i="14"/>
  <c r="M1389" i="14"/>
  <c r="M1388" i="14"/>
  <c r="M1387" i="14"/>
  <c r="M1385" i="14"/>
  <c r="M1384" i="14"/>
  <c r="M1383" i="14"/>
  <c r="M1378" i="14"/>
  <c r="M1377" i="14"/>
  <c r="M1376" i="14"/>
  <c r="M1374" i="14"/>
  <c r="M1373" i="14"/>
  <c r="M1372" i="14"/>
  <c r="M1369" i="14"/>
  <c r="M1368" i="14"/>
  <c r="M1366" i="14"/>
  <c r="M1363" i="14"/>
  <c r="M1362" i="14"/>
  <c r="M1361" i="14"/>
  <c r="M1360" i="14"/>
  <c r="M1356" i="14"/>
  <c r="M1355" i="14"/>
  <c r="M1354" i="14"/>
  <c r="M1353" i="14"/>
  <c r="M1352" i="14"/>
  <c r="M1350" i="14"/>
  <c r="M1349" i="14"/>
  <c r="M1348" i="14"/>
  <c r="M1346" i="14"/>
  <c r="M1345" i="14"/>
  <c r="M1344" i="14"/>
  <c r="M1343" i="14"/>
  <c r="M1341" i="14"/>
  <c r="M1340" i="14"/>
  <c r="M1339" i="14"/>
  <c r="M1337" i="14"/>
  <c r="M1336" i="14"/>
  <c r="M1334" i="14"/>
  <c r="M1333" i="14"/>
  <c r="M1332" i="14"/>
  <c r="M1331" i="14"/>
  <c r="M1330" i="14"/>
  <c r="M1329" i="14"/>
  <c r="M1328" i="14"/>
  <c r="M1327" i="14"/>
  <c r="M1326" i="14"/>
  <c r="M1325" i="14"/>
  <c r="M1322" i="14"/>
  <c r="M1321" i="14"/>
  <c r="M1320" i="14"/>
  <c r="M1319" i="14"/>
  <c r="M1317" i="14"/>
  <c r="M1316" i="14"/>
  <c r="M1315" i="14"/>
  <c r="M1314" i="14"/>
  <c r="M1313" i="14"/>
  <c r="M1311" i="14"/>
  <c r="M1310" i="14"/>
  <c r="M1309" i="14"/>
  <c r="M1307" i="14"/>
  <c r="M1306" i="14"/>
  <c r="M1305" i="14"/>
  <c r="M1304" i="14"/>
  <c r="M1302" i="14"/>
  <c r="M1300" i="14"/>
  <c r="M1299" i="14"/>
  <c r="M1298" i="14"/>
  <c r="M1297" i="14"/>
  <c r="M1294" i="14"/>
  <c r="M1293" i="14"/>
  <c r="M1292" i="14"/>
  <c r="M1288" i="14"/>
  <c r="M1287" i="14"/>
  <c r="M1286" i="14"/>
  <c r="M1285" i="14"/>
  <c r="M1284" i="14"/>
  <c r="M1282" i="14"/>
  <c r="M1281" i="14"/>
  <c r="M1280" i="14"/>
  <c r="M1277" i="14"/>
  <c r="M1276" i="14"/>
  <c r="M1275" i="14"/>
  <c r="M1274" i="14"/>
  <c r="M1273" i="14"/>
  <c r="M1272" i="14"/>
  <c r="M1271" i="14"/>
  <c r="M1270" i="14"/>
  <c r="M1267" i="14"/>
  <c r="M1266" i="14"/>
  <c r="M1265" i="14"/>
  <c r="M1261" i="14"/>
  <c r="M1260" i="14"/>
  <c r="M1259" i="14"/>
  <c r="M1258" i="14"/>
  <c r="M1256" i="14"/>
  <c r="M1255" i="14"/>
  <c r="M1254" i="14"/>
  <c r="M1253" i="14"/>
  <c r="M1251" i="14"/>
  <c r="M1249" i="14"/>
  <c r="M1248" i="14"/>
  <c r="M1247" i="14"/>
  <c r="M1244" i="14"/>
  <c r="M1243" i="14"/>
  <c r="M1242" i="14"/>
  <c r="M1241" i="14"/>
  <c r="M1239" i="14"/>
  <c r="M1238" i="14"/>
  <c r="M1237" i="14"/>
  <c r="M1236" i="14"/>
  <c r="M1235" i="14"/>
  <c r="M1233" i="14"/>
  <c r="M1232" i="14"/>
  <c r="M1231" i="14"/>
  <c r="M1230" i="14"/>
  <c r="M1229" i="14"/>
  <c r="M1228" i="14"/>
  <c r="M1227" i="14"/>
  <c r="M1226" i="14"/>
  <c r="M1225" i="14"/>
  <c r="M1224" i="14"/>
  <c r="M1221" i="14"/>
  <c r="M1220" i="14"/>
  <c r="M1219" i="14"/>
  <c r="M1218" i="14"/>
  <c r="M1216" i="14"/>
  <c r="M1215" i="14"/>
  <c r="M1214" i="14"/>
  <c r="M1213" i="14"/>
  <c r="M1212" i="14"/>
  <c r="M1210" i="14"/>
  <c r="M1209" i="14"/>
  <c r="M1208" i="14"/>
  <c r="M1206" i="14"/>
  <c r="M1205" i="14"/>
  <c r="M1204" i="14"/>
  <c r="M1203" i="14"/>
  <c r="M1201" i="14"/>
  <c r="M1200" i="14"/>
  <c r="M1199" i="14"/>
  <c r="M1198" i="14"/>
  <c r="M1197" i="14"/>
  <c r="M1193" i="14"/>
  <c r="M1192" i="14"/>
  <c r="M1191" i="14"/>
  <c r="M1190" i="14"/>
  <c r="M1189" i="14"/>
  <c r="M1188" i="14"/>
  <c r="M1187" i="14"/>
  <c r="M1186" i="14"/>
  <c r="M1185" i="14"/>
  <c r="M1184" i="14"/>
  <c r="M1183" i="14"/>
  <c r="M1177" i="14"/>
  <c r="M1176" i="14"/>
  <c r="M1175" i="14"/>
  <c r="M1174" i="14"/>
  <c r="M1172" i="14"/>
  <c r="M1171" i="14"/>
  <c r="M1168" i="14"/>
  <c r="M1167" i="14"/>
  <c r="M1166" i="14"/>
  <c r="M1164" i="14"/>
  <c r="M1163" i="14"/>
  <c r="M1162" i="14"/>
  <c r="M1160" i="14"/>
  <c r="M1159" i="14"/>
  <c r="M1158" i="14"/>
  <c r="M1157" i="14"/>
  <c r="M1155" i="14"/>
  <c r="M1154" i="14"/>
  <c r="M1153" i="14"/>
  <c r="M1152" i="14"/>
  <c r="M1151" i="14"/>
  <c r="M1149" i="14"/>
  <c r="M1148" i="14"/>
  <c r="M1147" i="14"/>
  <c r="M1146" i="14"/>
  <c r="M1145" i="14"/>
  <c r="M1144" i="14"/>
  <c r="M1143" i="14"/>
  <c r="M1142" i="14"/>
  <c r="M1141" i="14"/>
  <c r="M1140" i="14"/>
  <c r="M1137" i="14"/>
  <c r="M1136" i="14"/>
  <c r="M1135" i="14"/>
  <c r="M1134" i="14"/>
  <c r="M1132" i="14"/>
  <c r="M1131" i="14"/>
  <c r="M1130" i="14"/>
  <c r="M1129" i="14"/>
  <c r="M1128" i="14"/>
  <c r="M1126" i="14"/>
  <c r="M1125" i="14"/>
  <c r="M1124" i="14"/>
  <c r="M1122" i="14"/>
  <c r="M1121" i="14"/>
  <c r="M1120" i="14"/>
  <c r="M1119" i="14"/>
  <c r="M1117" i="14"/>
  <c r="M1116" i="14"/>
  <c r="M1114" i="14"/>
  <c r="M1113" i="14"/>
  <c r="M1112" i="14"/>
  <c r="M1108" i="14"/>
  <c r="M1107" i="14"/>
  <c r="M1106" i="14"/>
  <c r="M1104" i="14"/>
  <c r="M1103" i="14"/>
  <c r="M1102" i="14"/>
  <c r="M1101" i="14"/>
  <c r="M1098" i="14"/>
  <c r="M1097" i="14"/>
  <c r="M1093" i="14"/>
  <c r="M1092" i="14"/>
  <c r="M1091" i="14"/>
  <c r="M1089" i="14"/>
  <c r="M1088" i="14"/>
  <c r="M1087" i="14"/>
  <c r="M1086" i="14"/>
  <c r="M1085" i="14"/>
  <c r="M1084" i="14"/>
  <c r="M1083" i="14"/>
  <c r="M1082" i="14"/>
  <c r="M1081" i="14"/>
  <c r="M1080" i="14"/>
  <c r="M1079" i="14"/>
  <c r="M1078" i="14"/>
  <c r="M1077" i="14"/>
  <c r="M1076" i="14"/>
  <c r="M1075" i="14"/>
  <c r="M1074" i="14"/>
  <c r="M1073" i="14"/>
  <c r="M1072" i="14"/>
  <c r="M1070" i="14"/>
  <c r="M1069" i="14"/>
  <c r="M1068" i="14"/>
  <c r="M1067" i="14"/>
  <c r="M1066" i="14"/>
  <c r="M1065" i="14"/>
  <c r="M1064" i="14"/>
  <c r="M1063" i="14"/>
  <c r="M1062" i="14"/>
  <c r="M1061" i="14"/>
  <c r="M1060" i="14"/>
  <c r="M1059" i="14"/>
  <c r="M1058" i="14"/>
  <c r="M1057" i="14"/>
  <c r="M1056" i="14"/>
  <c r="M1055" i="14"/>
  <c r="M1054" i="14"/>
  <c r="M1053" i="14"/>
  <c r="M1047" i="14"/>
  <c r="M1046" i="14"/>
  <c r="M1044" i="14"/>
  <c r="M1042" i="14"/>
  <c r="M1037" i="14"/>
  <c r="M1036" i="14"/>
  <c r="M1034" i="14"/>
  <c r="M1033" i="14"/>
  <c r="M1030" i="14"/>
  <c r="M1027" i="14"/>
  <c r="M1026" i="14"/>
  <c r="M1024" i="14"/>
  <c r="M1023" i="14"/>
  <c r="M1020" i="14"/>
  <c r="M1019" i="14"/>
  <c r="M1016" i="14"/>
  <c r="M1015" i="14"/>
  <c r="M1012" i="14"/>
  <c r="M1011" i="14"/>
  <c r="M1008" i="14"/>
  <c r="M1007" i="14"/>
  <c r="M1004" i="14"/>
  <c r="M1003" i="14"/>
  <c r="M1001" i="14"/>
  <c r="M1000" i="14"/>
  <c r="M998" i="14"/>
  <c r="M997" i="14"/>
  <c r="M994" i="14"/>
  <c r="M993" i="14"/>
  <c r="M991" i="14"/>
  <c r="M990" i="14"/>
  <c r="M980" i="14"/>
  <c r="M979" i="14"/>
  <c r="M976" i="14"/>
  <c r="M975" i="14"/>
  <c r="M974" i="14"/>
  <c r="M973" i="14"/>
  <c r="M967" i="14"/>
  <c r="M966" i="14"/>
  <c r="M965" i="14"/>
  <c r="M954" i="14"/>
  <c r="M953" i="14"/>
  <c r="M945" i="14"/>
  <c r="M944" i="14"/>
  <c r="M940" i="14"/>
  <c r="M939" i="14"/>
  <c r="M938" i="14"/>
  <c r="M937" i="14"/>
  <c r="M926" i="14"/>
  <c r="M925" i="14"/>
  <c r="M919" i="14"/>
  <c r="M918" i="14"/>
  <c r="M913" i="14"/>
  <c r="M911" i="14"/>
  <c r="M909" i="14"/>
  <c r="M908" i="14"/>
  <c r="M900" i="14"/>
  <c r="M899" i="14"/>
  <c r="M890" i="14"/>
  <c r="M889" i="14"/>
  <c r="M885" i="14"/>
  <c r="M884" i="14"/>
  <c r="M883" i="14"/>
  <c r="M882" i="14"/>
  <c r="M865" i="14"/>
  <c r="M864" i="14"/>
  <c r="M861" i="14"/>
  <c r="M860" i="14"/>
  <c r="M859" i="14"/>
  <c r="M858" i="14"/>
  <c r="M857" i="14"/>
  <c r="M856" i="14"/>
  <c r="M850" i="14"/>
  <c r="M849" i="14"/>
  <c r="M848" i="14"/>
  <c r="M847" i="14"/>
  <c r="M843" i="14"/>
  <c r="M842" i="14"/>
  <c r="M828" i="14"/>
  <c r="M827" i="14"/>
  <c r="M823" i="14"/>
  <c r="M822" i="14"/>
  <c r="M821" i="14"/>
  <c r="M820" i="14"/>
  <c r="M812" i="14"/>
  <c r="M811" i="14"/>
  <c r="M801" i="14"/>
  <c r="M800" i="14"/>
  <c r="M796" i="14"/>
  <c r="M795" i="14"/>
  <c r="M794" i="14"/>
  <c r="M793" i="14"/>
  <c r="M785" i="14"/>
  <c r="M784" i="14"/>
  <c r="M774" i="14"/>
  <c r="M773" i="14"/>
  <c r="M769" i="14"/>
  <c r="M768" i="14"/>
  <c r="M767" i="14"/>
  <c r="M766" i="14"/>
  <c r="M758" i="14"/>
  <c r="M757" i="14"/>
  <c r="M747" i="14"/>
  <c r="M746" i="14"/>
  <c r="M742" i="14"/>
  <c r="M741" i="14"/>
  <c r="M738" i="14"/>
  <c r="M736" i="14"/>
  <c r="M727" i="14"/>
  <c r="M726" i="14"/>
  <c r="M716" i="14"/>
  <c r="M715" i="14"/>
  <c r="M711" i="14"/>
  <c r="M710" i="14"/>
  <c r="M709" i="14"/>
  <c r="M708" i="14"/>
  <c r="M700" i="14"/>
  <c r="M699" i="14"/>
  <c r="M688" i="14"/>
  <c r="M687" i="14"/>
  <c r="M683" i="14"/>
  <c r="M682" i="14"/>
  <c r="M681" i="14"/>
  <c r="M680" i="14"/>
  <c r="M671" i="14"/>
  <c r="M670" i="14"/>
  <c r="M659" i="14"/>
  <c r="M658" i="14"/>
  <c r="M650" i="14"/>
  <c r="M649" i="14"/>
  <c r="M648" i="14"/>
  <c r="M647" i="14"/>
  <c r="M646" i="14"/>
  <c r="M645" i="14"/>
  <c r="M643" i="14"/>
  <c r="M642" i="14"/>
  <c r="M641" i="14"/>
  <c r="M636" i="14"/>
  <c r="M635" i="14"/>
  <c r="M633" i="14"/>
  <c r="M631" i="14"/>
  <c r="M630" i="14"/>
  <c r="M629" i="14"/>
  <c r="M628" i="14"/>
  <c r="M627" i="14"/>
  <c r="M626" i="14"/>
  <c r="M625" i="14"/>
  <c r="M624" i="14"/>
  <c r="M623" i="14"/>
  <c r="M620" i="14"/>
  <c r="M619" i="14"/>
  <c r="M618" i="14"/>
  <c r="M617" i="14"/>
  <c r="M615" i="14"/>
  <c r="M614" i="14"/>
  <c r="M613" i="14"/>
  <c r="M610" i="14"/>
  <c r="M608" i="14"/>
  <c r="M607" i="14"/>
  <c r="M605" i="14"/>
  <c r="M604" i="14"/>
  <c r="M603" i="14"/>
  <c r="M602" i="14"/>
  <c r="M599" i="14"/>
  <c r="M598" i="14"/>
  <c r="M597" i="14"/>
  <c r="M595" i="14"/>
  <c r="M594" i="14"/>
  <c r="M593" i="14"/>
  <c r="M591" i="14"/>
  <c r="M590" i="14"/>
  <c r="M589" i="14"/>
  <c r="M587" i="14"/>
  <c r="M584" i="14"/>
  <c r="M582" i="14"/>
  <c r="M581" i="14"/>
  <c r="M580" i="14"/>
  <c r="M578" i="14"/>
  <c r="M577" i="14"/>
  <c r="M576" i="14"/>
  <c r="M574" i="14"/>
  <c r="M573" i="14"/>
  <c r="M572" i="14"/>
  <c r="M570" i="14"/>
  <c r="M569" i="14"/>
  <c r="M568" i="14"/>
  <c r="M567" i="14"/>
  <c r="M564" i="14"/>
  <c r="M563" i="14"/>
  <c r="M562" i="14"/>
  <c r="M559" i="14"/>
  <c r="M558" i="14"/>
  <c r="M557" i="14"/>
  <c r="M556" i="14"/>
  <c r="M554" i="14"/>
  <c r="M553" i="14"/>
  <c r="M552" i="14"/>
  <c r="M551" i="14"/>
  <c r="M550" i="14"/>
  <c r="M549" i="14"/>
  <c r="M547" i="14"/>
  <c r="M546" i="14"/>
  <c r="M545" i="14"/>
  <c r="M544" i="14"/>
  <c r="M543" i="14"/>
  <c r="M542" i="14"/>
  <c r="M537" i="14"/>
  <c r="M536" i="14"/>
  <c r="M535" i="14"/>
  <c r="M533" i="14"/>
  <c r="M532" i="14"/>
  <c r="M531" i="14"/>
  <c r="M530" i="14"/>
  <c r="M529" i="14"/>
  <c r="M528" i="14"/>
  <c r="M517" i="14"/>
  <c r="M516" i="14"/>
  <c r="M507" i="14"/>
  <c r="M506" i="14"/>
  <c r="M502" i="14"/>
  <c r="M501" i="14"/>
  <c r="M500" i="14"/>
  <c r="M499" i="14"/>
  <c r="M498" i="14"/>
  <c r="M497" i="14"/>
  <c r="M488" i="14"/>
  <c r="M487" i="14"/>
  <c r="M478" i="14"/>
  <c r="M477" i="14"/>
  <c r="M473" i="14"/>
  <c r="M472" i="14"/>
  <c r="M471" i="14"/>
  <c r="M470" i="14"/>
  <c r="M469" i="14"/>
  <c r="M468" i="14"/>
  <c r="M460" i="14"/>
  <c r="M459" i="14"/>
  <c r="M449" i="14"/>
  <c r="M448" i="14"/>
  <c r="M444" i="14"/>
  <c r="M443" i="14"/>
  <c r="M442" i="14"/>
  <c r="M441" i="14"/>
  <c r="M440" i="14"/>
  <c r="M439" i="14"/>
  <c r="M429" i="14"/>
  <c r="M428" i="14"/>
  <c r="M417" i="14"/>
  <c r="M416" i="14"/>
  <c r="M412" i="14"/>
  <c r="M411" i="14"/>
  <c r="M410" i="14"/>
  <c r="M409" i="14"/>
  <c r="M408" i="14"/>
  <c r="M407" i="14"/>
  <c r="M397" i="14"/>
  <c r="M396" i="14"/>
  <c r="M388" i="14"/>
  <c r="M387" i="14"/>
  <c r="M383" i="14"/>
  <c r="M382" i="14"/>
  <c r="M381" i="14"/>
  <c r="M380" i="14"/>
  <c r="M379" i="14"/>
  <c r="M378" i="14"/>
  <c r="M369" i="14"/>
  <c r="M368" i="14"/>
  <c r="M359" i="14"/>
  <c r="M358" i="14"/>
  <c r="M354" i="14"/>
  <c r="M353" i="14"/>
  <c r="M352" i="14"/>
  <c r="M351" i="14"/>
  <c r="M350" i="14"/>
  <c r="M349" i="14"/>
  <c r="M340" i="14"/>
  <c r="M339" i="14"/>
  <c r="M330" i="14"/>
  <c r="M329" i="14"/>
  <c r="M325" i="14"/>
  <c r="M324" i="14"/>
  <c r="M323" i="14"/>
  <c r="M322" i="14"/>
  <c r="M321" i="14"/>
  <c r="M320" i="14"/>
  <c r="M312" i="14"/>
  <c r="M311" i="14"/>
  <c r="M301" i="14"/>
  <c r="M300" i="14"/>
  <c r="M294" i="14"/>
  <c r="M293" i="14"/>
  <c r="M292" i="14"/>
  <c r="M291" i="14"/>
  <c r="M290" i="14"/>
  <c r="M289" i="14"/>
  <c r="M287" i="14"/>
  <c r="M286" i="14"/>
  <c r="M285" i="14"/>
  <c r="M284" i="14"/>
  <c r="M283" i="14"/>
  <c r="M282" i="14"/>
  <c r="M276" i="14"/>
  <c r="M275" i="14"/>
  <c r="M270" i="14"/>
  <c r="M269" i="14"/>
  <c r="M266" i="14"/>
  <c r="M265" i="14"/>
  <c r="M264" i="14"/>
  <c r="M263" i="14"/>
  <c r="M262" i="14"/>
  <c r="M261" i="14"/>
  <c r="M256" i="14"/>
  <c r="M255" i="14"/>
  <c r="M251" i="14"/>
  <c r="M250" i="14"/>
  <c r="M245" i="14"/>
  <c r="M244" i="14"/>
  <c r="M243" i="14"/>
  <c r="M242" i="14"/>
  <c r="M241" i="14"/>
  <c r="M240" i="14"/>
  <c r="M235" i="14"/>
  <c r="M234" i="14"/>
  <c r="M230" i="14"/>
  <c r="M229" i="14"/>
  <c r="M225" i="14"/>
  <c r="M224" i="14"/>
  <c r="M222" i="14"/>
  <c r="M221" i="14"/>
  <c r="M220" i="14"/>
  <c r="M219" i="14"/>
  <c r="M215" i="14"/>
  <c r="M214" i="14"/>
  <c r="M209" i="14"/>
  <c r="M208" i="14"/>
  <c r="M203" i="14"/>
  <c r="M202" i="14"/>
  <c r="M201" i="14"/>
  <c r="M200" i="14"/>
  <c r="M199" i="14"/>
  <c r="M198" i="14"/>
  <c r="M193" i="14"/>
  <c r="M192" i="14"/>
  <c r="M189" i="14"/>
  <c r="M188" i="14"/>
  <c r="M187" i="14"/>
  <c r="M186" i="14"/>
  <c r="M185" i="14"/>
  <c r="M184" i="14"/>
  <c r="M179" i="14"/>
  <c r="M178" i="14"/>
  <c r="M172" i="14"/>
  <c r="M171" i="14"/>
  <c r="M168" i="14"/>
  <c r="M167" i="14"/>
  <c r="M165" i="14"/>
  <c r="M164" i="14"/>
  <c r="M163" i="14"/>
  <c r="M162" i="14"/>
  <c r="M154" i="14"/>
  <c r="M153" i="14"/>
  <c r="M145" i="14"/>
  <c r="M144" i="14"/>
  <c r="M143" i="14"/>
  <c r="M142" i="14"/>
  <c r="M141" i="14"/>
  <c r="M140" i="14"/>
  <c r="M139" i="14"/>
  <c r="M138" i="14"/>
  <c r="M135" i="14"/>
  <c r="M134" i="14"/>
  <c r="M133" i="14"/>
  <c r="M132" i="14"/>
  <c r="M131" i="14"/>
  <c r="M128" i="14"/>
  <c r="M129" i="14"/>
  <c r="M130" i="14"/>
  <c r="M127" i="14"/>
  <c r="M125" i="14"/>
  <c r="M126" i="14"/>
  <c r="M123" i="14"/>
  <c r="M121" i="14"/>
  <c r="M122" i="14"/>
  <c r="M119" i="14"/>
  <c r="M117" i="14"/>
  <c r="M118" i="14"/>
  <c r="M115" i="14"/>
  <c r="M114" i="14"/>
  <c r="M113" i="14"/>
  <c r="M112" i="14"/>
  <c r="M111" i="14"/>
  <c r="M110" i="14"/>
  <c r="M109" i="14"/>
  <c r="M108" i="14"/>
  <c r="M107" i="14"/>
  <c r="M106" i="14"/>
  <c r="M104" i="14"/>
  <c r="M103" i="14"/>
  <c r="M100" i="14"/>
  <c r="M99" i="14"/>
  <c r="M97" i="14"/>
  <c r="M95" i="14"/>
  <c r="M94" i="14"/>
  <c r="M93" i="14"/>
  <c r="M92" i="14"/>
  <c r="M91" i="14"/>
  <c r="M90" i="14"/>
  <c r="M88" i="14"/>
  <c r="M87" i="14"/>
  <c r="M83" i="14"/>
  <c r="M82" i="14"/>
  <c r="M81" i="14"/>
  <c r="M80" i="14"/>
  <c r="M75" i="14"/>
  <c r="M74" i="14"/>
  <c r="M71" i="14"/>
  <c r="M70" i="14"/>
  <c r="M69" i="14"/>
  <c r="M68" i="14"/>
  <c r="M66" i="14"/>
  <c r="M65" i="14"/>
  <c r="M63" i="14"/>
  <c r="M62" i="14"/>
  <c r="M61" i="14"/>
  <c r="M60" i="14"/>
  <c r="M58" i="14"/>
  <c r="M57" i="14"/>
  <c r="M52" i="14"/>
  <c r="M51" i="14"/>
  <c r="M50" i="14"/>
  <c r="M48" i="14"/>
  <c r="M46" i="14"/>
  <c r="M45" i="14"/>
  <c r="M42" i="14"/>
  <c r="M37" i="14"/>
  <c r="M36" i="14"/>
  <c r="M34" i="14"/>
  <c r="M33" i="14"/>
  <c r="M32" i="14"/>
  <c r="M31" i="14"/>
  <c r="M28" i="14"/>
  <c r="M27" i="14"/>
  <c r="M26" i="14"/>
  <c r="M25" i="14"/>
  <c r="M24" i="14"/>
  <c r="M22" i="14"/>
  <c r="M21" i="14"/>
  <c r="M20" i="14"/>
  <c r="M19" i="14"/>
  <c r="M18" i="14"/>
  <c r="M15" i="14"/>
  <c r="M14" i="14"/>
  <c r="L1047" i="14"/>
  <c r="L1046" i="14"/>
  <c r="L1044" i="14"/>
  <c r="L1042" i="14"/>
  <c r="L1039" i="14"/>
  <c r="L1037" i="14"/>
  <c r="L1036" i="14"/>
  <c r="L1034" i="14"/>
  <c r="L1033" i="14"/>
  <c r="L1030" i="14"/>
  <c r="L1027" i="14"/>
  <c r="L1026" i="14"/>
  <c r="L1024" i="14"/>
  <c r="L1023" i="14"/>
  <c r="L1020" i="14"/>
  <c r="L1019" i="14"/>
  <c r="L1016" i="14"/>
  <c r="L1015" i="14"/>
  <c r="L1012" i="14"/>
  <c r="L1011" i="14"/>
  <c r="L1008" i="14"/>
  <c r="L1007" i="14"/>
  <c r="L1004" i="14"/>
  <c r="L1003" i="14"/>
  <c r="L1001" i="14"/>
  <c r="L1000" i="14"/>
  <c r="L998" i="14"/>
  <c r="L997" i="14"/>
  <c r="L994" i="14"/>
  <c r="L993" i="14"/>
  <c r="L991" i="14"/>
  <c r="L990" i="14"/>
  <c r="L945" i="14"/>
  <c r="L944" i="14"/>
  <c r="L919" i="14"/>
  <c r="L918" i="14"/>
  <c r="L900" i="14"/>
  <c r="L899" i="14"/>
  <c r="L890" i="14"/>
  <c r="L889" i="14"/>
  <c r="L865" i="14"/>
  <c r="L864" i="14"/>
  <c r="L843" i="14"/>
  <c r="L842" i="14"/>
  <c r="L828" i="14"/>
  <c r="L827" i="14"/>
  <c r="L812" i="14"/>
  <c r="L811" i="14"/>
  <c r="L801" i="14"/>
  <c r="L800" i="14"/>
  <c r="L785" i="14"/>
  <c r="L784" i="14"/>
  <c r="L774" i="14"/>
  <c r="L773" i="14"/>
  <c r="L758" i="14"/>
  <c r="L757" i="14"/>
  <c r="L747" i="14"/>
  <c r="L746" i="14"/>
  <c r="L727" i="14"/>
  <c r="L726" i="14"/>
  <c r="L716" i="14"/>
  <c r="L715" i="14"/>
  <c r="L700" i="14"/>
  <c r="L699" i="14"/>
  <c r="L688" i="14"/>
  <c r="L687" i="14"/>
  <c r="L671" i="14"/>
  <c r="L670" i="14"/>
  <c r="L659" i="14"/>
  <c r="L658" i="14"/>
  <c r="L517" i="14"/>
  <c r="L516" i="14"/>
  <c r="L507" i="14"/>
  <c r="L506" i="14"/>
  <c r="L488" i="14"/>
  <c r="L487" i="14"/>
  <c r="L478" i="14"/>
  <c r="L477" i="14"/>
  <c r="L460" i="14"/>
  <c r="L459" i="14"/>
  <c r="L449" i="14"/>
  <c r="L448" i="14"/>
  <c r="L429" i="14"/>
  <c r="L428" i="14"/>
  <c r="L417" i="14"/>
  <c r="L416" i="14"/>
  <c r="L397" i="14"/>
  <c r="L396" i="14"/>
  <c r="L388" i="14"/>
  <c r="L387" i="14"/>
  <c r="L369" i="14"/>
  <c r="L368" i="14"/>
  <c r="L359" i="14"/>
  <c r="L358" i="14"/>
  <c r="L340" i="14"/>
  <c r="L339" i="14"/>
  <c r="L330" i="14"/>
  <c r="L329" i="14"/>
  <c r="L312" i="14"/>
  <c r="L311" i="14"/>
  <c r="L301" i="14"/>
  <c r="L300" i="14"/>
  <c r="L276" i="14"/>
  <c r="L275" i="14"/>
  <c r="L270" i="14"/>
  <c r="L269" i="14"/>
  <c r="L256" i="14"/>
  <c r="L255" i="14"/>
  <c r="L251" i="14"/>
  <c r="L250" i="14"/>
  <c r="L235" i="14"/>
  <c r="L234" i="14"/>
  <c r="L230" i="14"/>
  <c r="L229" i="14"/>
  <c r="L215" i="14"/>
  <c r="L214" i="14"/>
  <c r="L209" i="14"/>
  <c r="L208" i="14"/>
  <c r="L193" i="14"/>
  <c r="L192" i="14"/>
  <c r="L179" i="14"/>
  <c r="L178" i="14"/>
  <c r="L172" i="14"/>
  <c r="L171" i="14"/>
  <c r="L154" i="14"/>
  <c r="L153" i="14"/>
  <c r="L2289" i="14"/>
  <c r="L2288" i="14"/>
  <c r="L2287" i="14"/>
  <c r="L2286" i="14"/>
  <c r="L2285" i="14"/>
  <c r="L2283" i="14"/>
  <c r="L2282" i="14"/>
  <c r="L2281" i="14"/>
  <c r="L2280" i="14"/>
  <c r="L2278" i="14"/>
  <c r="L2250" i="14"/>
  <c r="L2249" i="14"/>
  <c r="L2248" i="14"/>
  <c r="L2247" i="14"/>
  <c r="L2246" i="14"/>
  <c r="L2245" i="14"/>
  <c r="L2244" i="14"/>
  <c r="L2243" i="14"/>
  <c r="L2242" i="14"/>
  <c r="L2241" i="14"/>
  <c r="L2203" i="14"/>
  <c r="L2202" i="14"/>
  <c r="L2201" i="14"/>
  <c r="L2200" i="14"/>
  <c r="L2199" i="14"/>
  <c r="L2198" i="14"/>
  <c r="L2197" i="14"/>
  <c r="L2196" i="14"/>
  <c r="L2195" i="14"/>
  <c r="L2194" i="14"/>
  <c r="L2156" i="14"/>
  <c r="L2155" i="14"/>
  <c r="L2154" i="14"/>
  <c r="L2153" i="14"/>
  <c r="L2152" i="14"/>
  <c r="L2151" i="14"/>
  <c r="L2150" i="14"/>
  <c r="L2149" i="14"/>
  <c r="L2148" i="14"/>
  <c r="L2147" i="14"/>
  <c r="L2107" i="14"/>
  <c r="L2106" i="14"/>
  <c r="L2105" i="14"/>
  <c r="L2104" i="14"/>
  <c r="L2103" i="14"/>
  <c r="L2102" i="14"/>
  <c r="L2101" i="14"/>
  <c r="L2098" i="14"/>
  <c r="L2097" i="14"/>
  <c r="L2096" i="14"/>
  <c r="L2059" i="14"/>
  <c r="L2058" i="14"/>
  <c r="L2057" i="14"/>
  <c r="L2056" i="14"/>
  <c r="L2055" i="14"/>
  <c r="L2054" i="14"/>
  <c r="L2053" i="14"/>
  <c r="L2052" i="14"/>
  <c r="L2051" i="14"/>
  <c r="L2050" i="14"/>
  <c r="L2013" i="14"/>
  <c r="L2012" i="14"/>
  <c r="L2011" i="14"/>
  <c r="L2010" i="14"/>
  <c r="L2009" i="14"/>
  <c r="L2008" i="14"/>
  <c r="L2007" i="14"/>
  <c r="L2006" i="14"/>
  <c r="L2005" i="14"/>
  <c r="L2004" i="14"/>
  <c r="L1966" i="14"/>
  <c r="L1965" i="14"/>
  <c r="L1964" i="14"/>
  <c r="L1963" i="14"/>
  <c r="L1962" i="14"/>
  <c r="L1961" i="14"/>
  <c r="L1960" i="14"/>
  <c r="L1959" i="14"/>
  <c r="L1958" i="14"/>
  <c r="L1957" i="14"/>
  <c r="L1917" i="14"/>
  <c r="L1916" i="14"/>
  <c r="L1915" i="14"/>
  <c r="L1914" i="14"/>
  <c r="L1913" i="14"/>
  <c r="L1912" i="14"/>
  <c r="L1911" i="14"/>
  <c r="L1910" i="14"/>
  <c r="L1909" i="14"/>
  <c r="L1908" i="14"/>
  <c r="L1867" i="14"/>
  <c r="L1866" i="14"/>
  <c r="L1865" i="14"/>
  <c r="L1864" i="14"/>
  <c r="L1863" i="14"/>
  <c r="L1862" i="14"/>
  <c r="L1861" i="14"/>
  <c r="L1860" i="14"/>
  <c r="L1859" i="14"/>
  <c r="L1858" i="14"/>
  <c r="L1819" i="14"/>
  <c r="L1818" i="14"/>
  <c r="L1817" i="14"/>
  <c r="L1816" i="14"/>
  <c r="L1815" i="14"/>
  <c r="L1814" i="14"/>
  <c r="L1813" i="14"/>
  <c r="L1812" i="14"/>
  <c r="L1811" i="14"/>
  <c r="L1810" i="14"/>
  <c r="L1772" i="14"/>
  <c r="L1771" i="14"/>
  <c r="L1770" i="14"/>
  <c r="L1769" i="14"/>
  <c r="L1768" i="14"/>
  <c r="L1767" i="14"/>
  <c r="L1766" i="14"/>
  <c r="L1765" i="14"/>
  <c r="L1764" i="14"/>
  <c r="L1763" i="14"/>
  <c r="L1743" i="14"/>
  <c r="L1742" i="14"/>
  <c r="L1741" i="14"/>
  <c r="L1740" i="14"/>
  <c r="L1739" i="14"/>
  <c r="L1738" i="14"/>
  <c r="L1737" i="14"/>
  <c r="L1736" i="14"/>
  <c r="L1735" i="14"/>
  <c r="L1734" i="14"/>
  <c r="L1686" i="14"/>
  <c r="L1685" i="14"/>
  <c r="L1684" i="14"/>
  <c r="L1683" i="14"/>
  <c r="L1673" i="14"/>
  <c r="L1672" i="14"/>
  <c r="L1669" i="14"/>
  <c r="L1668" i="14"/>
  <c r="L1666" i="14"/>
  <c r="L1665" i="14"/>
  <c r="L1664" i="14"/>
  <c r="L1663" i="14"/>
  <c r="L1662" i="14"/>
  <c r="L1654" i="14"/>
  <c r="L1653" i="14"/>
  <c r="L1648" i="14"/>
  <c r="L1647" i="14"/>
  <c r="L1646" i="14"/>
  <c r="L1645" i="14"/>
  <c r="L1637" i="14"/>
  <c r="L1636" i="14"/>
  <c r="L1633" i="14"/>
  <c r="L1632" i="14"/>
  <c r="L1631" i="14"/>
  <c r="L1630" i="14"/>
  <c r="L1629" i="14"/>
  <c r="L1627" i="14"/>
  <c r="L1626" i="14"/>
  <c r="L1618" i="14"/>
  <c r="L1617" i="14"/>
  <c r="L1613" i="14"/>
  <c r="L1612" i="14"/>
  <c r="L1611" i="14"/>
  <c r="L1610" i="14"/>
  <c r="L1609" i="14"/>
  <c r="L1608" i="14"/>
  <c r="L1607" i="14"/>
  <c r="L1600" i="14"/>
  <c r="L1599" i="14"/>
  <c r="L1596" i="14"/>
  <c r="L1595" i="14"/>
  <c r="L1594" i="14"/>
  <c r="L1593" i="14"/>
  <c r="L1589" i="14"/>
  <c r="L1588" i="14"/>
  <c r="L1585" i="14"/>
  <c r="L1584" i="14"/>
  <c r="L1582" i="14"/>
  <c r="L1581" i="14"/>
  <c r="L1576" i="14"/>
  <c r="L1575" i="14"/>
  <c r="L1572" i="14"/>
  <c r="L1571" i="14"/>
  <c r="L1570" i="14"/>
  <c r="L1569" i="14"/>
  <c r="L1568" i="14"/>
  <c r="L1567" i="14"/>
  <c r="L1566" i="14"/>
  <c r="L1561" i="14"/>
  <c r="L1560" i="14"/>
  <c r="L1556" i="14"/>
  <c r="L1555" i="14"/>
  <c r="L1554" i="14"/>
  <c r="L1553" i="14"/>
  <c r="L1550" i="14"/>
  <c r="L1549" i="14"/>
  <c r="L1547" i="14"/>
  <c r="L1546" i="14"/>
  <c r="L1542" i="14"/>
  <c r="L1541" i="14"/>
  <c r="L1540" i="14"/>
  <c r="L1539" i="14"/>
  <c r="L1535" i="14"/>
  <c r="L1534" i="14"/>
  <c r="L1528" i="14"/>
  <c r="L1527" i="14"/>
  <c r="L1526" i="14"/>
  <c r="L1525" i="14"/>
  <c r="L1521" i="14"/>
  <c r="L1520" i="14"/>
  <c r="L1517" i="14"/>
  <c r="L1516" i="14"/>
  <c r="L1515" i="14"/>
  <c r="L1514" i="14"/>
  <c r="L1513" i="14"/>
  <c r="L1512" i="14"/>
  <c r="L1511" i="14"/>
  <c r="L1507" i="14"/>
  <c r="L1506" i="14"/>
  <c r="L1500" i="14"/>
  <c r="L1499" i="14"/>
  <c r="L1498" i="14"/>
  <c r="L1497" i="14"/>
  <c r="L1496" i="14"/>
  <c r="L1495" i="14"/>
  <c r="L1494" i="14"/>
  <c r="L1490" i="14"/>
  <c r="L1489" i="14"/>
  <c r="L1488" i="14"/>
  <c r="L1486" i="14"/>
  <c r="L1485" i="14"/>
  <c r="L1484" i="14"/>
  <c r="L1482" i="14"/>
  <c r="L1481" i="14"/>
  <c r="L1480" i="14"/>
  <c r="L1478" i="14"/>
  <c r="L1477" i="14"/>
  <c r="L1476" i="14"/>
  <c r="L1474" i="14"/>
  <c r="L1473" i="14"/>
  <c r="L1472" i="14"/>
  <c r="L1470" i="14"/>
  <c r="L1468" i="14"/>
  <c r="L1467" i="14"/>
  <c r="L1464" i="14"/>
  <c r="L1463" i="14"/>
  <c r="L1462" i="14"/>
  <c r="L1458" i="14"/>
  <c r="L1457" i="14"/>
  <c r="L1456" i="14"/>
  <c r="L1455" i="14"/>
  <c r="L1453" i="14"/>
  <c r="L1452" i="14"/>
  <c r="L1451" i="14"/>
  <c r="L1449" i="14"/>
  <c r="L1448" i="14"/>
  <c r="L1447" i="14"/>
  <c r="L1446" i="14"/>
  <c r="L1444" i="14"/>
  <c r="L1443" i="14"/>
  <c r="L1442" i="14"/>
  <c r="L1438" i="14"/>
  <c r="L1436" i="14"/>
  <c r="L1435" i="14"/>
  <c r="L1434" i="14"/>
  <c r="L1432" i="14"/>
  <c r="L1431" i="14"/>
  <c r="L1428" i="14"/>
  <c r="L1427" i="14"/>
  <c r="L1426" i="14"/>
  <c r="L1424" i="14"/>
  <c r="L1423" i="14"/>
  <c r="L1422" i="14"/>
  <c r="L1420" i="14"/>
  <c r="L1419" i="14"/>
  <c r="L1418" i="14"/>
  <c r="L1416" i="14"/>
  <c r="L1415" i="14"/>
  <c r="L1414" i="14"/>
  <c r="L1412" i="14"/>
  <c r="L1411" i="14"/>
  <c r="L1410" i="14"/>
  <c r="L1407" i="14"/>
  <c r="L1406" i="14"/>
  <c r="L1405" i="14"/>
  <c r="L1402" i="14"/>
  <c r="L1401" i="14"/>
  <c r="L1400" i="14"/>
  <c r="L1398" i="14"/>
  <c r="L1397" i="14"/>
  <c r="L1396" i="14"/>
  <c r="L1394" i="14"/>
  <c r="L1393" i="14"/>
  <c r="L1392" i="14"/>
  <c r="L1389" i="14"/>
  <c r="L1388" i="14"/>
  <c r="L1387" i="14"/>
  <c r="L1385" i="14"/>
  <c r="L1384" i="14"/>
  <c r="L1383" i="14"/>
  <c r="L1378" i="14"/>
  <c r="L1377" i="14"/>
  <c r="L1376" i="14"/>
  <c r="L1374" i="14"/>
  <c r="L1373" i="14"/>
  <c r="L1372" i="14"/>
  <c r="L1369" i="14"/>
  <c r="L1368" i="14"/>
  <c r="L1366" i="14"/>
  <c r="L1363" i="14"/>
  <c r="L1362" i="14"/>
  <c r="L1361" i="14"/>
  <c r="L1360" i="14"/>
  <c r="L1356" i="14"/>
  <c r="L1355" i="14"/>
  <c r="L1354" i="14"/>
  <c r="L1353" i="14"/>
  <c r="L1352" i="14"/>
  <c r="L1350" i="14"/>
  <c r="L1349" i="14"/>
  <c r="L1348" i="14"/>
  <c r="L1346" i="14"/>
  <c r="L1345" i="14"/>
  <c r="L1344" i="14"/>
  <c r="L1343" i="14"/>
  <c r="L1341" i="14"/>
  <c r="L1340" i="14"/>
  <c r="L1339" i="14"/>
  <c r="L1337" i="14"/>
  <c r="L1336" i="14"/>
  <c r="L1334" i="14"/>
  <c r="L1333" i="14"/>
  <c r="L1332" i="14"/>
  <c r="L1331" i="14"/>
  <c r="L1330" i="14"/>
  <c r="L1329" i="14"/>
  <c r="L1328" i="14"/>
  <c r="L1327" i="14"/>
  <c r="L1326" i="14"/>
  <c r="L1325" i="14"/>
  <c r="L1322" i="14"/>
  <c r="L1321" i="14"/>
  <c r="L1320" i="14"/>
  <c r="L1319" i="14"/>
  <c r="L1317" i="14"/>
  <c r="L1316" i="14"/>
  <c r="L1315" i="14"/>
  <c r="L1314" i="14"/>
  <c r="L1313" i="14"/>
  <c r="L1311" i="14"/>
  <c r="L1310" i="14"/>
  <c r="L1309" i="14"/>
  <c r="L1307" i="14"/>
  <c r="L1306" i="14"/>
  <c r="L1305" i="14"/>
  <c r="L1304" i="14"/>
  <c r="L1300" i="14"/>
  <c r="L1299" i="14"/>
  <c r="L1298" i="14"/>
  <c r="L1297" i="14"/>
  <c r="L1294" i="14"/>
  <c r="L1293" i="14"/>
  <c r="L1292" i="14"/>
  <c r="L1288" i="14"/>
  <c r="L1287" i="14"/>
  <c r="L1286" i="14"/>
  <c r="L1285" i="14"/>
  <c r="L1284" i="14"/>
  <c r="L1282" i="14"/>
  <c r="L1281" i="14"/>
  <c r="L1280" i="14"/>
  <c r="L1277" i="14"/>
  <c r="L1276" i="14"/>
  <c r="L1275" i="14"/>
  <c r="L1274" i="14"/>
  <c r="L1273" i="14"/>
  <c r="L1272" i="14"/>
  <c r="L1271" i="14"/>
  <c r="L1270" i="14"/>
  <c r="L1267" i="14"/>
  <c r="L1266" i="14"/>
  <c r="L1265" i="14"/>
  <c r="L1261" i="14"/>
  <c r="L1260" i="14"/>
  <c r="L1259" i="14"/>
  <c r="L1258" i="14"/>
  <c r="L1256" i="14"/>
  <c r="L1255" i="14"/>
  <c r="L1254" i="14"/>
  <c r="L1253" i="14"/>
  <c r="L1251" i="14"/>
  <c r="L1249" i="14"/>
  <c r="L1248" i="14"/>
  <c r="L1247" i="14"/>
  <c r="L1244" i="14"/>
  <c r="L1243" i="14"/>
  <c r="L1242" i="14"/>
  <c r="L1241" i="14"/>
  <c r="L1239" i="14"/>
  <c r="L1238" i="14"/>
  <c r="L1237" i="14"/>
  <c r="L1236" i="14"/>
  <c r="L1235" i="14"/>
  <c r="L1233" i="14"/>
  <c r="L1232" i="14"/>
  <c r="L1231" i="14"/>
  <c r="L1230" i="14"/>
  <c r="L1229" i="14"/>
  <c r="L1228" i="14"/>
  <c r="L1227" i="14"/>
  <c r="L1226" i="14"/>
  <c r="L1225" i="14"/>
  <c r="L1224" i="14"/>
  <c r="L1221" i="14"/>
  <c r="L1220" i="14"/>
  <c r="L1219" i="14"/>
  <c r="L1218" i="14"/>
  <c r="L1216" i="14"/>
  <c r="L1215" i="14"/>
  <c r="L1214" i="14"/>
  <c r="L1213" i="14"/>
  <c r="L1212" i="14"/>
  <c r="L1210" i="14"/>
  <c r="L1209" i="14"/>
  <c r="L1208" i="14"/>
  <c r="L1206" i="14"/>
  <c r="L1205" i="14"/>
  <c r="L1204" i="14"/>
  <c r="L1203" i="14"/>
  <c r="L1201" i="14"/>
  <c r="L1200" i="14"/>
  <c r="L1199" i="14"/>
  <c r="L1198" i="14"/>
  <c r="L1197" i="14"/>
  <c r="L1193" i="14"/>
  <c r="L1192" i="14"/>
  <c r="L1191" i="14"/>
  <c r="L1190" i="14"/>
  <c r="L1189" i="14"/>
  <c r="L1188" i="14"/>
  <c r="L1187" i="14"/>
  <c r="L1186" i="14"/>
  <c r="L1185" i="14"/>
  <c r="L1184" i="14"/>
  <c r="L1183" i="14"/>
  <c r="L1177" i="14"/>
  <c r="L1176" i="14"/>
  <c r="L1175" i="14"/>
  <c r="L1174" i="14"/>
  <c r="L1172" i="14"/>
  <c r="L1171" i="14"/>
  <c r="L1168" i="14"/>
  <c r="L1167" i="14"/>
  <c r="L1166" i="14"/>
  <c r="L1164" i="14"/>
  <c r="L1163" i="14"/>
  <c r="L1162" i="14"/>
  <c r="L1160" i="14"/>
  <c r="L1159" i="14"/>
  <c r="L1158" i="14"/>
  <c r="L1157" i="14"/>
  <c r="L1155" i="14"/>
  <c r="L1154" i="14"/>
  <c r="L1153" i="14"/>
  <c r="L1152" i="14"/>
  <c r="L1151" i="14"/>
  <c r="L1149" i="14"/>
  <c r="L1148" i="14"/>
  <c r="L1147" i="14"/>
  <c r="L1146" i="14"/>
  <c r="L1145" i="14"/>
  <c r="L1144" i="14"/>
  <c r="L1143" i="14"/>
  <c r="L1142" i="14"/>
  <c r="L1141" i="14"/>
  <c r="L1140" i="14"/>
  <c r="L1137" i="14"/>
  <c r="L1136" i="14"/>
  <c r="L1135" i="14"/>
  <c r="L1134" i="14"/>
  <c r="L1132" i="14"/>
  <c r="L1131" i="14"/>
  <c r="L1130" i="14"/>
  <c r="L1129" i="14"/>
  <c r="L1128" i="14"/>
  <c r="L1126" i="14"/>
  <c r="L1125" i="14"/>
  <c r="L1124" i="14"/>
  <c r="L1122" i="14"/>
  <c r="L1121" i="14"/>
  <c r="L1120" i="14"/>
  <c r="L1119" i="14"/>
  <c r="L1117" i="14"/>
  <c r="L1116" i="14"/>
  <c r="L1114" i="14"/>
  <c r="L1113" i="14"/>
  <c r="L1112" i="14"/>
  <c r="L1108" i="14"/>
  <c r="L1107" i="14"/>
  <c r="L1106" i="14"/>
  <c r="L1104" i="14"/>
  <c r="L1103" i="14"/>
  <c r="L1102" i="14"/>
  <c r="L1101" i="14"/>
  <c r="L1098" i="14"/>
  <c r="L1097" i="14"/>
  <c r="L1093" i="14"/>
  <c r="L1092" i="14"/>
  <c r="L1091" i="14"/>
  <c r="L1089" i="14"/>
  <c r="L1088" i="14"/>
  <c r="L1087" i="14"/>
  <c r="L1086" i="14"/>
  <c r="L1085" i="14"/>
  <c r="L1084" i="14"/>
  <c r="L1083" i="14"/>
  <c r="L1082" i="14"/>
  <c r="L1081" i="14"/>
  <c r="L1080" i="14"/>
  <c r="L1079" i="14"/>
  <c r="L1078" i="14"/>
  <c r="L1077" i="14"/>
  <c r="L1076" i="14"/>
  <c r="L1075" i="14"/>
  <c r="L1074" i="14"/>
  <c r="L1073" i="14"/>
  <c r="L1072" i="14"/>
  <c r="L1070" i="14"/>
  <c r="L1069" i="14"/>
  <c r="L1068" i="14"/>
  <c r="L1067" i="14"/>
  <c r="L1066" i="14"/>
  <c r="L1065" i="14"/>
  <c r="L1064" i="14"/>
  <c r="L1063" i="14"/>
  <c r="L1062" i="14"/>
  <c r="L1061" i="14"/>
  <c r="L1060" i="14"/>
  <c r="L1059" i="14"/>
  <c r="L1058" i="14"/>
  <c r="L1057" i="14"/>
  <c r="L1056" i="14"/>
  <c r="L1055" i="14"/>
  <c r="L1054" i="14"/>
  <c r="L1053" i="14"/>
  <c r="L980" i="14"/>
  <c r="L979" i="14"/>
  <c r="L976" i="14"/>
  <c r="L975" i="14"/>
  <c r="L974" i="14"/>
  <c r="L973" i="14"/>
  <c r="L967" i="14"/>
  <c r="L966" i="14"/>
  <c r="L965" i="14"/>
  <c r="L954" i="14"/>
  <c r="L953" i="14"/>
  <c r="L940" i="14"/>
  <c r="L939" i="14"/>
  <c r="L938" i="14"/>
  <c r="L937" i="14"/>
  <c r="L926" i="14"/>
  <c r="L925" i="14"/>
  <c r="L913" i="14"/>
  <c r="L909" i="14"/>
  <c r="L908" i="14"/>
  <c r="L885" i="14"/>
  <c r="L884" i="14"/>
  <c r="L883" i="14"/>
  <c r="L882" i="14"/>
  <c r="L861" i="14"/>
  <c r="L860" i="14"/>
  <c r="L859" i="14"/>
  <c r="L858" i="14"/>
  <c r="L857" i="14"/>
  <c r="L856" i="14"/>
  <c r="L850" i="14"/>
  <c r="L849" i="14"/>
  <c r="L848" i="14"/>
  <c r="L847" i="14"/>
  <c r="L823" i="14"/>
  <c r="L822" i="14"/>
  <c r="L821" i="14"/>
  <c r="L820" i="14"/>
  <c r="L796" i="14"/>
  <c r="L795" i="14"/>
  <c r="L794" i="14"/>
  <c r="L793" i="14"/>
  <c r="L769" i="14"/>
  <c r="L768" i="14"/>
  <c r="L767" i="14"/>
  <c r="L766" i="14"/>
  <c r="L742" i="14"/>
  <c r="L741" i="14"/>
  <c r="L738" i="14"/>
  <c r="L736" i="14"/>
  <c r="L711" i="14"/>
  <c r="L710" i="14"/>
  <c r="L709" i="14"/>
  <c r="L708" i="14"/>
  <c r="L683" i="14"/>
  <c r="L682" i="14"/>
  <c r="L681" i="14"/>
  <c r="L680" i="14"/>
  <c r="L650" i="14"/>
  <c r="L649" i="14"/>
  <c r="L648" i="14"/>
  <c r="L647" i="14"/>
  <c r="L646" i="14"/>
  <c r="L645" i="14"/>
  <c r="L643" i="14"/>
  <c r="L642" i="14"/>
  <c r="L641" i="14"/>
  <c r="L636" i="14"/>
  <c r="L635" i="14"/>
  <c r="L633" i="14"/>
  <c r="L631" i="14"/>
  <c r="L630" i="14"/>
  <c r="L629" i="14"/>
  <c r="L628" i="14"/>
  <c r="L627" i="14"/>
  <c r="L626" i="14"/>
  <c r="L625" i="14"/>
  <c r="L624" i="14"/>
  <c r="L623" i="14"/>
  <c r="L620" i="14"/>
  <c r="L619" i="14"/>
  <c r="L618" i="14"/>
  <c r="L617" i="14"/>
  <c r="L615" i="14"/>
  <c r="L614" i="14"/>
  <c r="L613" i="14"/>
  <c r="L610" i="14"/>
  <c r="L608" i="14"/>
  <c r="L607" i="14"/>
  <c r="L605" i="14"/>
  <c r="L604" i="14"/>
  <c r="L603" i="14"/>
  <c r="L602" i="14"/>
  <c r="L599" i="14"/>
  <c r="L598" i="14"/>
  <c r="L597" i="14"/>
  <c r="L595" i="14"/>
  <c r="L594" i="14"/>
  <c r="L593" i="14"/>
  <c r="L591" i="14"/>
  <c r="L590" i="14"/>
  <c r="L589" i="14"/>
  <c r="L587" i="14"/>
  <c r="L584" i="14"/>
  <c r="L582" i="14"/>
  <c r="L581" i="14"/>
  <c r="L580" i="14"/>
  <c r="L578" i="14"/>
  <c r="L577" i="14"/>
  <c r="L576" i="14"/>
  <c r="L574" i="14"/>
  <c r="L573" i="14"/>
  <c r="L572" i="14"/>
  <c r="L570" i="14"/>
  <c r="L569" i="14"/>
  <c r="L568" i="14"/>
  <c r="L567" i="14"/>
  <c r="L564" i="14"/>
  <c r="L563" i="14"/>
  <c r="L562" i="14"/>
  <c r="L559" i="14"/>
  <c r="L558" i="14"/>
  <c r="L557" i="14"/>
  <c r="L556" i="14"/>
  <c r="L554" i="14"/>
  <c r="L553" i="14"/>
  <c r="L552" i="14"/>
  <c r="L551" i="14"/>
  <c r="L550" i="14"/>
  <c r="L549" i="14"/>
  <c r="L547" i="14"/>
  <c r="L546" i="14"/>
  <c r="L545" i="14"/>
  <c r="L544" i="14"/>
  <c r="L543" i="14"/>
  <c r="L542" i="14"/>
  <c r="L537" i="14"/>
  <c r="L536" i="14"/>
  <c r="L535" i="14"/>
  <c r="L533" i="14"/>
  <c r="L532" i="14"/>
  <c r="L531" i="14"/>
  <c r="L530" i="14"/>
  <c r="L529" i="14"/>
  <c r="L528" i="14"/>
  <c r="L502" i="14"/>
  <c r="L501" i="14"/>
  <c r="L500" i="14"/>
  <c r="L499" i="14"/>
  <c r="L498" i="14"/>
  <c r="L497" i="14"/>
  <c r="L473" i="14"/>
  <c r="L472" i="14"/>
  <c r="L471" i="14"/>
  <c r="L470" i="14"/>
  <c r="L469" i="14"/>
  <c r="L468" i="14"/>
  <c r="L444" i="14"/>
  <c r="L443" i="14"/>
  <c r="L442" i="14"/>
  <c r="L441" i="14"/>
  <c r="L440" i="14"/>
  <c r="L439" i="14"/>
  <c r="L412" i="14"/>
  <c r="L411" i="14"/>
  <c r="L410" i="14"/>
  <c r="L409" i="14"/>
  <c r="L408" i="14"/>
  <c r="L407" i="14"/>
  <c r="L383" i="14"/>
  <c r="L382" i="14"/>
  <c r="L381" i="14"/>
  <c r="L380" i="14"/>
  <c r="L379" i="14"/>
  <c r="L378" i="14"/>
  <c r="L354" i="14"/>
  <c r="L353" i="14"/>
  <c r="L352" i="14"/>
  <c r="L351" i="14"/>
  <c r="L350" i="14"/>
  <c r="L349" i="14"/>
  <c r="L325" i="14"/>
  <c r="L324" i="14"/>
  <c r="L323" i="14"/>
  <c r="L322" i="14"/>
  <c r="L321" i="14"/>
  <c r="L320" i="14"/>
  <c r="L294" i="14"/>
  <c r="L293" i="14"/>
  <c r="L292" i="14"/>
  <c r="L291" i="14"/>
  <c r="L290" i="14"/>
  <c r="L289" i="14"/>
  <c r="L287" i="14"/>
  <c r="L286" i="14"/>
  <c r="L285" i="14"/>
  <c r="L284" i="14"/>
  <c r="L283" i="14"/>
  <c r="L282" i="14"/>
  <c r="L266" i="14"/>
  <c r="L265" i="14"/>
  <c r="L264" i="14"/>
  <c r="L263" i="14"/>
  <c r="L262" i="14"/>
  <c r="L261" i="14"/>
  <c r="L245" i="14"/>
  <c r="L244" i="14"/>
  <c r="L243" i="14"/>
  <c r="L242" i="14"/>
  <c r="L241" i="14"/>
  <c r="L240" i="14"/>
  <c r="L225" i="14"/>
  <c r="L224" i="14"/>
  <c r="L222" i="14"/>
  <c r="L221" i="14"/>
  <c r="L220" i="14"/>
  <c r="L219" i="14"/>
  <c r="L203" i="14"/>
  <c r="L202" i="14"/>
  <c r="L201" i="14"/>
  <c r="L200" i="14"/>
  <c r="L199" i="14"/>
  <c r="L198" i="14"/>
  <c r="L189" i="14"/>
  <c r="L188" i="14"/>
  <c r="L187" i="14"/>
  <c r="L186" i="14"/>
  <c r="L185" i="14"/>
  <c r="L184" i="14"/>
  <c r="L168" i="14"/>
  <c r="L167" i="14"/>
  <c r="L165" i="14"/>
  <c r="L164" i="14"/>
  <c r="L163" i="14"/>
  <c r="L162" i="14"/>
  <c r="L145" i="14"/>
  <c r="L144" i="14"/>
  <c r="L143" i="14"/>
  <c r="L142" i="14"/>
  <c r="L141" i="14"/>
  <c r="L140" i="14"/>
  <c r="L139" i="14"/>
  <c r="L138" i="14"/>
  <c r="L135" i="14"/>
  <c r="L134" i="14"/>
  <c r="L133" i="14"/>
  <c r="L132" i="14"/>
  <c r="L131" i="14"/>
  <c r="L128" i="14"/>
  <c r="L129" i="14"/>
  <c r="L130" i="14"/>
  <c r="L127" i="14"/>
  <c r="L125" i="14"/>
  <c r="L126" i="14"/>
  <c r="L123" i="14"/>
  <c r="L121" i="14"/>
  <c r="L122" i="14"/>
  <c r="L119" i="14"/>
  <c r="L117" i="14"/>
  <c r="L118" i="14"/>
  <c r="L115" i="14"/>
  <c r="L114" i="14"/>
  <c r="L113" i="14"/>
  <c r="L112" i="14"/>
  <c r="L111" i="14"/>
  <c r="L110" i="14"/>
  <c r="L109" i="14"/>
  <c r="L108" i="14"/>
  <c r="L107" i="14"/>
  <c r="L106" i="14"/>
  <c r="L104" i="14"/>
  <c r="L103" i="14"/>
  <c r="L100" i="14"/>
  <c r="L99" i="14"/>
  <c r="L97" i="14"/>
  <c r="L95" i="14"/>
  <c r="L94" i="14"/>
  <c r="L93" i="14"/>
  <c r="L92" i="14"/>
  <c r="L91" i="14"/>
  <c r="L90" i="14"/>
  <c r="L88" i="14"/>
  <c r="L87" i="14"/>
  <c r="L83" i="14"/>
  <c r="L82" i="14"/>
  <c r="L81" i="14"/>
  <c r="L80" i="14"/>
  <c r="L71" i="14"/>
  <c r="L70" i="14"/>
  <c r="L66" i="14"/>
  <c r="L65" i="14"/>
  <c r="L63" i="14"/>
  <c r="L62" i="14"/>
  <c r="L61" i="14"/>
  <c r="L60" i="14"/>
  <c r="I614" i="14"/>
  <c r="H614" i="14"/>
  <c r="I603" i="14"/>
  <c r="H603" i="14"/>
  <c r="I598" i="14"/>
  <c r="H598" i="14"/>
  <c r="I577" i="14"/>
  <c r="N516" i="21" s="1"/>
  <c r="H577" i="14"/>
  <c r="I573" i="14"/>
  <c r="H573" i="14"/>
  <c r="I563" i="14"/>
  <c r="H563" i="14"/>
  <c r="Q558" i="14"/>
  <c r="Q557" i="14"/>
  <c r="I69" i="14"/>
  <c r="N68" i="21" s="1"/>
  <c r="T68" i="21" s="1"/>
  <c r="P68" i="21" s="1"/>
  <c r="I68" i="14"/>
  <c r="I621" i="14"/>
  <c r="I137" i="14"/>
  <c r="T1209" i="21" l="1"/>
  <c r="P1209" i="21" s="1"/>
  <c r="S1208" i="21"/>
  <c r="T1205" i="21"/>
  <c r="P1205" i="21" s="1"/>
  <c r="S1204" i="21"/>
  <c r="Q1204" i="21"/>
  <c r="M1204" i="21" s="1"/>
  <c r="Q1208" i="21"/>
  <c r="M1208" i="21" s="1"/>
  <c r="X509" i="21"/>
  <c r="T907" i="21"/>
  <c r="P907" i="21" s="1"/>
  <c r="U907" i="21" s="1"/>
  <c r="X544" i="21"/>
  <c r="X542" i="21"/>
  <c r="X543" i="21"/>
  <c r="X541" i="21"/>
  <c r="X520" i="21"/>
  <c r="X518" i="21"/>
  <c r="X519" i="21"/>
  <c r="X498" i="21"/>
  <c r="X497" i="21"/>
  <c r="X496" i="21"/>
  <c r="X499" i="21"/>
  <c r="X554" i="21"/>
  <c r="X553" i="21"/>
  <c r="X552" i="21"/>
  <c r="X530" i="21"/>
  <c r="X531" i="21"/>
  <c r="X529" i="21"/>
  <c r="X532" i="21"/>
  <c r="T482" i="21"/>
  <c r="P482" i="21" s="1"/>
  <c r="U484" i="21" s="1"/>
  <c r="S481" i="21"/>
  <c r="X508" i="21"/>
  <c r="X506" i="21"/>
  <c r="X507" i="21"/>
  <c r="X521" i="21"/>
  <c r="X545" i="21"/>
  <c r="X555" i="21"/>
  <c r="R38" i="21"/>
  <c r="Z39" i="21"/>
  <c r="X39" i="21" s="1"/>
  <c r="X61" i="21"/>
  <c r="X62" i="21"/>
  <c r="X86" i="21"/>
  <c r="X85" i="21"/>
  <c r="X81" i="21"/>
  <c r="X82" i="21"/>
  <c r="X103" i="21"/>
  <c r="X97" i="21"/>
  <c r="X104" i="21"/>
  <c r="T38" i="21"/>
  <c r="P38" i="21" s="1"/>
  <c r="X141" i="21"/>
  <c r="X132" i="21"/>
  <c r="X131" i="21"/>
  <c r="X130" i="21"/>
  <c r="X128" i="21"/>
  <c r="X127" i="21"/>
  <c r="X126" i="21"/>
  <c r="X125" i="21"/>
  <c r="X129" i="21"/>
  <c r="X101" i="21"/>
  <c r="T533" i="21"/>
  <c r="P533" i="21" s="1"/>
  <c r="U535" i="21" s="1"/>
  <c r="S532" i="21"/>
  <c r="Q532" i="21"/>
  <c r="M532" i="21" s="1"/>
  <c r="Q34" i="21"/>
  <c r="M34" i="21" s="1"/>
  <c r="Q991" i="21"/>
  <c r="M991" i="21" s="1"/>
  <c r="Q135" i="21"/>
  <c r="M135" i="21" s="1"/>
  <c r="Q917" i="21"/>
  <c r="M917" i="21" s="1"/>
  <c r="Q153" i="21"/>
  <c r="M153" i="21" s="1"/>
  <c r="U577" i="21"/>
  <c r="U576" i="21"/>
  <c r="U575" i="21"/>
  <c r="Q986" i="21"/>
  <c r="M986" i="21" s="1"/>
  <c r="W554" i="21"/>
  <c r="W553" i="21"/>
  <c r="W552" i="21"/>
  <c r="W548" i="21"/>
  <c r="W549" i="21"/>
  <c r="W547" i="21"/>
  <c r="W529" i="21"/>
  <c r="W531" i="21"/>
  <c r="W530" i="21"/>
  <c r="W517" i="21"/>
  <c r="W516" i="21"/>
  <c r="W515" i="21"/>
  <c r="W539" i="21"/>
  <c r="W540" i="21"/>
  <c r="W538" i="21"/>
  <c r="W511" i="21"/>
  <c r="W512" i="21"/>
  <c r="W513" i="21"/>
  <c r="W544" i="21"/>
  <c r="W543" i="21"/>
  <c r="W542" i="21"/>
  <c r="W520" i="21"/>
  <c r="W519" i="21"/>
  <c r="W518" i="21"/>
  <c r="W535" i="21"/>
  <c r="W534" i="21"/>
  <c r="W533" i="21"/>
  <c r="Q1092" i="21"/>
  <c r="M1092" i="21" s="1"/>
  <c r="Q296" i="21"/>
  <c r="M296" i="21" s="1"/>
  <c r="W120" i="21"/>
  <c r="W119" i="21"/>
  <c r="W118" i="21"/>
  <c r="Q956" i="21"/>
  <c r="M956" i="21" s="1"/>
  <c r="W122" i="21"/>
  <c r="W124" i="21"/>
  <c r="W123" i="21"/>
  <c r="Q1534" i="21"/>
  <c r="M1534" i="21" s="1"/>
  <c r="Q1868" i="21"/>
  <c r="M1868" i="21" s="1"/>
  <c r="Q1714" i="21"/>
  <c r="M1714" i="21" s="1"/>
  <c r="W116" i="21"/>
  <c r="W115" i="21"/>
  <c r="W114" i="21"/>
  <c r="Q1946" i="21"/>
  <c r="M1946" i="21" s="1"/>
  <c r="Q1950" i="21"/>
  <c r="M1950" i="21" s="1"/>
  <c r="Q1288" i="21"/>
  <c r="M1288" i="21" s="1"/>
  <c r="Q1075" i="21"/>
  <c r="M1075" i="21" s="1"/>
  <c r="Q1337" i="21"/>
  <c r="M1337" i="21" s="1"/>
  <c r="Q1973" i="21"/>
  <c r="M1973" i="21" s="1"/>
  <c r="Q1510" i="21"/>
  <c r="M1510" i="21" s="1"/>
  <c r="Q1831" i="21"/>
  <c r="M1831" i="21" s="1"/>
  <c r="Q1320" i="21"/>
  <c r="M1320" i="21" s="1"/>
  <c r="Q1126" i="21"/>
  <c r="M1126" i="21" s="1"/>
  <c r="Q1468" i="21"/>
  <c r="M1468" i="21" s="1"/>
  <c r="Q1637" i="21"/>
  <c r="M1637" i="21" s="1"/>
  <c r="Q1791" i="21"/>
  <c r="M1791" i="21" s="1"/>
  <c r="U1228" i="21"/>
  <c r="U1227" i="21"/>
  <c r="U1226" i="21"/>
  <c r="U976" i="21"/>
  <c r="U975" i="21"/>
  <c r="U974" i="21"/>
  <c r="U984" i="21"/>
  <c r="U982" i="21"/>
  <c r="U981" i="21"/>
  <c r="U540" i="21"/>
  <c r="U539" i="21"/>
  <c r="U538" i="21"/>
  <c r="U1025" i="21"/>
  <c r="U1024" i="21"/>
  <c r="U1023" i="21"/>
  <c r="U912" i="21"/>
  <c r="U911" i="21"/>
  <c r="U910" i="21"/>
  <c r="U957" i="21"/>
  <c r="U956" i="21"/>
  <c r="U955" i="21"/>
  <c r="U580" i="21"/>
  <c r="U579" i="21"/>
  <c r="U578" i="21"/>
  <c r="U990" i="21"/>
  <c r="U992" i="21"/>
  <c r="U991" i="21"/>
  <c r="U569" i="21"/>
  <c r="U568" i="21"/>
  <c r="U567" i="21"/>
  <c r="U1035" i="21"/>
  <c r="U1034" i="21"/>
  <c r="U1033" i="21"/>
  <c r="U1156" i="21"/>
  <c r="U1154" i="21"/>
  <c r="U1153" i="21"/>
  <c r="U559" i="21"/>
  <c r="U558" i="21"/>
  <c r="U557" i="21"/>
  <c r="U1046" i="21"/>
  <c r="U1045" i="21"/>
  <c r="U1048" i="21"/>
  <c r="U943" i="21"/>
  <c r="U942" i="21"/>
  <c r="U941" i="21"/>
  <c r="U1141" i="21"/>
  <c r="U1139" i="21"/>
  <c r="U1138" i="21"/>
  <c r="U1237" i="21"/>
  <c r="U1236" i="21"/>
  <c r="U1235" i="21"/>
  <c r="U1182" i="21"/>
  <c r="U1181" i="21"/>
  <c r="U1180" i="21"/>
  <c r="U1071" i="21"/>
  <c r="U1070" i="21"/>
  <c r="U1069" i="21"/>
  <c r="U513" i="21"/>
  <c r="U512" i="21"/>
  <c r="U511" i="21"/>
  <c r="U969" i="21"/>
  <c r="U967" i="21"/>
  <c r="U966" i="21"/>
  <c r="U1294" i="21"/>
  <c r="U1293" i="21"/>
  <c r="U1292" i="21"/>
  <c r="U921" i="21"/>
  <c r="U920" i="21"/>
  <c r="U919" i="21"/>
  <c r="U136" i="21"/>
  <c r="U135" i="21"/>
  <c r="U134" i="21"/>
  <c r="U916" i="21"/>
  <c r="U918" i="21"/>
  <c r="U917" i="21"/>
  <c r="Q979" i="21"/>
  <c r="M979" i="21" s="1"/>
  <c r="U1055" i="21"/>
  <c r="U1054" i="21"/>
  <c r="U1053" i="21"/>
  <c r="U531" i="21"/>
  <c r="U530" i="21"/>
  <c r="U529" i="21"/>
  <c r="U1144" i="21"/>
  <c r="U1143" i="21"/>
  <c r="U1142" i="21"/>
  <c r="U1298" i="21"/>
  <c r="U1297" i="21"/>
  <c r="U1296" i="21"/>
  <c r="U517" i="21"/>
  <c r="U516" i="21"/>
  <c r="U515" i="21"/>
  <c r="Q1081" i="21"/>
  <c r="M1081" i="21" s="1"/>
  <c r="U1063" i="21"/>
  <c r="U1061" i="21"/>
  <c r="U1060" i="21"/>
  <c r="U1257" i="21"/>
  <c r="U1256" i="21"/>
  <c r="U1255" i="21"/>
  <c r="U947" i="21"/>
  <c r="U946" i="21"/>
  <c r="U945" i="21"/>
  <c r="U1097" i="21"/>
  <c r="U1096" i="21"/>
  <c r="U1095" i="21"/>
  <c r="U1305" i="21"/>
  <c r="U1304" i="21"/>
  <c r="U1306" i="21"/>
  <c r="U1224" i="21"/>
  <c r="U1223" i="21"/>
  <c r="U1222" i="21"/>
  <c r="U1164" i="21"/>
  <c r="U1163" i="21"/>
  <c r="U1162" i="21"/>
  <c r="U928" i="21"/>
  <c r="U927" i="21"/>
  <c r="U926" i="21"/>
  <c r="U554" i="21"/>
  <c r="U553" i="21"/>
  <c r="U552" i="21"/>
  <c r="U934" i="21"/>
  <c r="U933" i="21"/>
  <c r="U932" i="21"/>
  <c r="U1197" i="21"/>
  <c r="U1196" i="21"/>
  <c r="U1195" i="21"/>
  <c r="U1022" i="21"/>
  <c r="U1020" i="21"/>
  <c r="U1019" i="21"/>
  <c r="U999" i="21"/>
  <c r="U998" i="21"/>
  <c r="U997" i="21"/>
  <c r="U1089" i="21"/>
  <c r="U1088" i="21"/>
  <c r="U1087" i="21"/>
  <c r="U574" i="21"/>
  <c r="U573" i="21"/>
  <c r="U572" i="21"/>
  <c r="U961" i="21"/>
  <c r="U960" i="21"/>
  <c r="U959" i="21"/>
  <c r="U1190" i="21"/>
  <c r="U1189" i="21"/>
  <c r="U1188" i="21"/>
  <c r="U1137" i="21"/>
  <c r="U1136" i="21"/>
  <c r="U1135" i="21"/>
  <c r="U1171" i="21"/>
  <c r="U1170" i="21"/>
  <c r="U1169" i="21"/>
  <c r="U1152" i="21"/>
  <c r="U1151" i="21"/>
  <c r="U1150" i="21"/>
  <c r="U268" i="21"/>
  <c r="U267" i="21"/>
  <c r="U266" i="21"/>
  <c r="U1007" i="21"/>
  <c r="U1005" i="21"/>
  <c r="U1004" i="21"/>
  <c r="U1194" i="21"/>
  <c r="U1192" i="21"/>
  <c r="U1191" i="21"/>
  <c r="U107" i="21"/>
  <c r="U106" i="21"/>
  <c r="U105" i="21"/>
  <c r="U112" i="21"/>
  <c r="U111" i="21"/>
  <c r="U110" i="21"/>
  <c r="U109" i="21"/>
  <c r="U108" i="21"/>
  <c r="U908" i="21"/>
  <c r="U954" i="21"/>
  <c r="U952" i="21"/>
  <c r="U951" i="21"/>
  <c r="U940" i="21"/>
  <c r="U939" i="21"/>
  <c r="U938" i="21"/>
  <c r="Q1529" i="21"/>
  <c r="M1529" i="21" s="1"/>
  <c r="U544" i="21"/>
  <c r="U543" i="21"/>
  <c r="U542" i="21"/>
  <c r="U1203" i="21"/>
  <c r="U1202" i="21"/>
  <c r="U1200" i="21"/>
  <c r="U1010" i="21"/>
  <c r="U1009" i="21"/>
  <c r="U1008" i="21"/>
  <c r="U1044" i="21"/>
  <c r="U1043" i="21"/>
  <c r="U1042" i="21"/>
  <c r="U753" i="21"/>
  <c r="U752" i="21"/>
  <c r="U751" i="21"/>
  <c r="U1086" i="21"/>
  <c r="U1084" i="21"/>
  <c r="U1083" i="21"/>
  <c r="U1271" i="21"/>
  <c r="U1270" i="21"/>
  <c r="U1269" i="21"/>
  <c r="Q1672" i="21"/>
  <c r="M1672" i="21" s="1"/>
  <c r="U1076" i="21"/>
  <c r="U1078" i="21"/>
  <c r="U1077" i="21"/>
  <c r="U154" i="21"/>
  <c r="U153" i="21"/>
  <c r="U152" i="21"/>
  <c r="U1179" i="21"/>
  <c r="U1177" i="21"/>
  <c r="U1176" i="21"/>
  <c r="U980" i="21"/>
  <c r="U979" i="21"/>
  <c r="U978" i="21"/>
  <c r="U1232" i="21"/>
  <c r="U1231" i="21"/>
  <c r="U1230" i="21"/>
  <c r="U1253" i="21"/>
  <c r="U1252" i="21"/>
  <c r="U1251" i="21"/>
  <c r="U157" i="21"/>
  <c r="U156" i="21"/>
  <c r="U155" i="21"/>
  <c r="U474" i="21"/>
  <c r="U473" i="21"/>
  <c r="U472" i="21"/>
  <c r="U837" i="21"/>
  <c r="U836" i="21"/>
  <c r="U835" i="21"/>
  <c r="U1243" i="21"/>
  <c r="U1245" i="21"/>
  <c r="U1244" i="21"/>
  <c r="Q1313" i="21"/>
  <c r="M1313" i="21" s="1"/>
  <c r="Q1978" i="21"/>
  <c r="M1978" i="21" s="1"/>
  <c r="U1031" i="21"/>
  <c r="U1030" i="21"/>
  <c r="U1029" i="21"/>
  <c r="U972" i="21"/>
  <c r="U971" i="21"/>
  <c r="U970" i="21"/>
  <c r="U1175" i="21"/>
  <c r="U1174" i="21"/>
  <c r="U1173" i="21"/>
  <c r="U964" i="21"/>
  <c r="U963" i="21"/>
  <c r="U965" i="21"/>
  <c r="U549" i="21"/>
  <c r="U548" i="21"/>
  <c r="U547" i="21"/>
  <c r="U494" i="21"/>
  <c r="U493" i="21"/>
  <c r="U492" i="21"/>
  <c r="U1265" i="21"/>
  <c r="U1264" i="21"/>
  <c r="U1263" i="21"/>
  <c r="U915" i="21"/>
  <c r="U914" i="21"/>
  <c r="U913" i="21"/>
  <c r="U1003" i="21"/>
  <c r="U1002" i="21"/>
  <c r="U1001" i="21"/>
  <c r="U1211" i="21"/>
  <c r="U1210" i="21"/>
  <c r="U1209" i="21"/>
  <c r="U1285" i="21"/>
  <c r="U1284" i="21"/>
  <c r="U1283" i="21"/>
  <c r="U1118" i="21"/>
  <c r="U1117" i="21"/>
  <c r="U1116" i="21"/>
  <c r="U1051" i="21"/>
  <c r="U1050" i="21"/>
  <c r="U1049" i="21"/>
  <c r="U565" i="21"/>
  <c r="U564" i="21"/>
  <c r="U563" i="21"/>
  <c r="U520" i="21"/>
  <c r="U519" i="21"/>
  <c r="U518" i="21"/>
  <c r="U1101" i="21"/>
  <c r="U1099" i="21"/>
  <c r="U1098" i="21"/>
  <c r="U491" i="21"/>
  <c r="U490" i="21"/>
  <c r="U489" i="21"/>
  <c r="Q914" i="21"/>
  <c r="M914" i="21" s="1"/>
  <c r="Q1383" i="21"/>
  <c r="M1383" i="21" s="1"/>
  <c r="Q1558" i="21"/>
  <c r="M1558" i="21" s="1"/>
  <c r="Q1911" i="21"/>
  <c r="M1911" i="21" s="1"/>
  <c r="Q923" i="21"/>
  <c r="M923" i="21" s="1"/>
  <c r="Q1166" i="21"/>
  <c r="M1166" i="21" s="1"/>
  <c r="Q1322" i="21"/>
  <c r="M1322" i="21" s="1"/>
  <c r="Q1597" i="21"/>
  <c r="M1597" i="21" s="1"/>
  <c r="Q1309" i="21"/>
  <c r="M1309" i="21" s="1"/>
  <c r="Q1829" i="21"/>
  <c r="M1829" i="21" s="1"/>
  <c r="Q444" i="21"/>
  <c r="M444" i="21" s="1"/>
  <c r="Q1274" i="21"/>
  <c r="M1274" i="21" s="1"/>
  <c r="Q1181" i="21"/>
  <c r="M1181" i="21" s="1"/>
  <c r="Q473" i="21"/>
  <c r="M473" i="21" s="1"/>
  <c r="Q960" i="21"/>
  <c r="M960" i="21" s="1"/>
  <c r="Q1870" i="21"/>
  <c r="M1870" i="21" s="1"/>
  <c r="Q1757" i="21"/>
  <c r="M1757" i="21" s="1"/>
  <c r="Q1718" i="21"/>
  <c r="M1718" i="21" s="1"/>
  <c r="Q1753" i="21"/>
  <c r="M1753" i="21" s="1"/>
  <c r="Q1595" i="21"/>
  <c r="M1595" i="21" s="1"/>
  <c r="Q1635" i="21"/>
  <c r="M1635" i="21" s="1"/>
  <c r="Q1147" i="21"/>
  <c r="M1147" i="21" s="1"/>
  <c r="Q1516" i="21"/>
  <c r="Q1943" i="21"/>
  <c r="M1943" i="21" s="1"/>
  <c r="Q1599" i="21"/>
  <c r="M1599" i="21" s="1"/>
  <c r="Q1793" i="21"/>
  <c r="M1793" i="21" s="1"/>
  <c r="Q1592" i="21"/>
  <c r="M1592" i="21" s="1"/>
  <c r="Q1833" i="21"/>
  <c r="M1833" i="21" s="1"/>
  <c r="Q1454" i="21"/>
  <c r="M1454" i="21" s="1"/>
  <c r="T1361" i="21"/>
  <c r="P1361" i="21" s="1"/>
  <c r="S1360" i="21"/>
  <c r="S1359" i="21"/>
  <c r="S207" i="21"/>
  <c r="T208" i="21"/>
  <c r="P208" i="21" s="1"/>
  <c r="S930" i="21"/>
  <c r="T931" i="21"/>
  <c r="P931" i="21" s="1"/>
  <c r="S749" i="21"/>
  <c r="T750" i="21"/>
  <c r="P750" i="21" s="1"/>
  <c r="T1485" i="21"/>
  <c r="P1485" i="21" s="1"/>
  <c r="T1349" i="21"/>
  <c r="P1349" i="21" s="1"/>
  <c r="S1348" i="21"/>
  <c r="S1347" i="21"/>
  <c r="T1523" i="21"/>
  <c r="P1523" i="21" s="1"/>
  <c r="S1520" i="21"/>
  <c r="S1522" i="21"/>
  <c r="S1521" i="21"/>
  <c r="T1977" i="21"/>
  <c r="P1977" i="21" s="1"/>
  <c r="S1976" i="21"/>
  <c r="T1338" i="21"/>
  <c r="P1338" i="21" s="1"/>
  <c r="S1337" i="21"/>
  <c r="T1825" i="21"/>
  <c r="P1825" i="21" s="1"/>
  <c r="Q1755" i="21"/>
  <c r="M1755" i="21" s="1"/>
  <c r="T1944" i="21"/>
  <c r="P1944" i="21" s="1"/>
  <c r="S1943" i="21"/>
  <c r="Q1679" i="21"/>
  <c r="M1679" i="21" s="1"/>
  <c r="S561" i="21"/>
  <c r="T562" i="21"/>
  <c r="P562" i="21" s="1"/>
  <c r="T1981" i="21"/>
  <c r="P1981" i="21" s="1"/>
  <c r="S1980" i="21"/>
  <c r="T1495" i="21"/>
  <c r="P1495" i="21" s="1"/>
  <c r="S1493" i="21"/>
  <c r="S1494" i="21"/>
  <c r="S1492" i="21"/>
  <c r="Q1470" i="21"/>
  <c r="M1470" i="21" s="1"/>
  <c r="T1871" i="21"/>
  <c r="P1871" i="21" s="1"/>
  <c r="S1870" i="21"/>
  <c r="T1358" i="21"/>
  <c r="P1358" i="21" s="1"/>
  <c r="Q1639" i="21"/>
  <c r="M1639" i="21" s="1"/>
  <c r="Q1487" i="21"/>
  <c r="M1487" i="21" s="1"/>
  <c r="Q1486" i="21"/>
  <c r="M1486" i="21" s="1"/>
  <c r="S1017" i="21"/>
  <c r="T1018" i="21"/>
  <c r="P1018" i="21" s="1"/>
  <c r="Q836" i="21"/>
  <c r="M836" i="21" s="1"/>
  <c r="T1421" i="21"/>
  <c r="P1421" i="21" s="1"/>
  <c r="S1420" i="21"/>
  <c r="S1065" i="21"/>
  <c r="T1066" i="21"/>
  <c r="P1066" i="21" s="1"/>
  <c r="S1092" i="21"/>
  <c r="T1093" i="21"/>
  <c r="P1093" i="21" s="1"/>
  <c r="S936" i="21"/>
  <c r="T937" i="21"/>
  <c r="P937" i="21" s="1"/>
  <c r="S1248" i="21"/>
  <c r="T1249" i="21"/>
  <c r="P1249" i="21" s="1"/>
  <c r="T1317" i="21"/>
  <c r="P1317" i="21" s="1"/>
  <c r="S1081" i="21"/>
  <c r="T1082" i="21"/>
  <c r="P1082" i="21" s="1"/>
  <c r="S1108" i="21"/>
  <c r="T1109" i="21"/>
  <c r="P1109" i="21" s="1"/>
  <c r="T1371" i="21"/>
  <c r="P1371" i="21" s="1"/>
  <c r="Q1498" i="21"/>
  <c r="M1498" i="21" s="1"/>
  <c r="Q1422" i="21"/>
  <c r="M1422" i="21" s="1"/>
  <c r="Q1536" i="21"/>
  <c r="M1536" i="21" s="1"/>
  <c r="Q1490" i="21"/>
  <c r="M1490" i="21" s="1"/>
  <c r="T1471" i="21"/>
  <c r="P1471" i="21" s="1"/>
  <c r="S1470" i="21"/>
  <c r="Q1904" i="21"/>
  <c r="M1904" i="21" s="1"/>
  <c r="Q1385" i="21"/>
  <c r="M1385" i="21" s="1"/>
  <c r="Q1795" i="21"/>
  <c r="M1795" i="21" s="1"/>
  <c r="T1533" i="21"/>
  <c r="P1533" i="21" s="1"/>
  <c r="S1532" i="21"/>
  <c r="S1219" i="21"/>
  <c r="T1220" i="21"/>
  <c r="P1220" i="21" s="1"/>
  <c r="S1038" i="21"/>
  <c r="T1039" i="21"/>
  <c r="P1039" i="21" s="1"/>
  <c r="S1158" i="21"/>
  <c r="T1159" i="21"/>
  <c r="P1159" i="21" s="1"/>
  <c r="T1308" i="21"/>
  <c r="P1308" i="21" s="1"/>
  <c r="Q1348" i="21"/>
  <c r="M1348" i="21" s="1"/>
  <c r="Q1347" i="21"/>
  <c r="M1347" i="21" s="1"/>
  <c r="S1215" i="21"/>
  <c r="T1216" i="21"/>
  <c r="P1216" i="21" s="1"/>
  <c r="T1310" i="21"/>
  <c r="P1310" i="21" s="1"/>
  <c r="S1309" i="21"/>
  <c r="T1505" i="21"/>
  <c r="P1505" i="21" s="1"/>
  <c r="S1504" i="21"/>
  <c r="S1279" i="21"/>
  <c r="T1280" i="21"/>
  <c r="P1280" i="21" s="1"/>
  <c r="Q1508" i="21"/>
  <c r="M1508" i="21" s="1"/>
  <c r="Q1556" i="21"/>
  <c r="M1556" i="21" s="1"/>
  <c r="T1497" i="21"/>
  <c r="P1497" i="21" s="1"/>
  <c r="S1496" i="21"/>
  <c r="T1905" i="21"/>
  <c r="P1905" i="21" s="1"/>
  <c r="S1904" i="21"/>
  <c r="Q1560" i="21"/>
  <c r="M1560" i="21" s="1"/>
  <c r="S1147" i="21"/>
  <c r="T1148" i="21"/>
  <c r="P1148" i="21" s="1"/>
  <c r="S1112" i="21"/>
  <c r="T1113" i="21"/>
  <c r="P1113" i="21" s="1"/>
  <c r="Q1256" i="21"/>
  <c r="M1256" i="21" s="1"/>
  <c r="Q1424" i="21"/>
  <c r="M1424" i="21" s="1"/>
  <c r="Q1441" i="21"/>
  <c r="M1441" i="21" s="1"/>
  <c r="T1515" i="21"/>
  <c r="P1515" i="21" s="1"/>
  <c r="S1514" i="21"/>
  <c r="S1513" i="21"/>
  <c r="S1512" i="21"/>
  <c r="T1596" i="21"/>
  <c r="P1596" i="21" s="1"/>
  <c r="S1595" i="21"/>
  <c r="T1491" i="21"/>
  <c r="P1491" i="21" s="1"/>
  <c r="S1490" i="21"/>
  <c r="T1951" i="21"/>
  <c r="P1951" i="21" s="1"/>
  <c r="S1950" i="21"/>
  <c r="T1438" i="21"/>
  <c r="P1438" i="21" s="1"/>
  <c r="S1436" i="21"/>
  <c r="S1437" i="21"/>
  <c r="Q1373" i="21"/>
  <c r="M1373" i="21" s="1"/>
  <c r="Q1372" i="21"/>
  <c r="M1372" i="21" s="1"/>
  <c r="Q1632" i="21"/>
  <c r="M1632" i="21" s="1"/>
  <c r="T1593" i="21"/>
  <c r="P1593" i="21" s="1"/>
  <c r="S1592" i="21"/>
  <c r="Q1518" i="21"/>
  <c r="M1518" i="21" s="1"/>
  <c r="T1469" i="21"/>
  <c r="P1469" i="21" s="1"/>
  <c r="S1468" i="21"/>
  <c r="T1636" i="21"/>
  <c r="P1636" i="21" s="1"/>
  <c r="S1635" i="21"/>
  <c r="Q1716" i="21"/>
  <c r="M1716" i="21" s="1"/>
  <c r="T1866" i="21"/>
  <c r="P1866" i="21" s="1"/>
  <c r="S1865" i="21"/>
  <c r="T1554" i="21"/>
  <c r="P1554" i="21" s="1"/>
  <c r="S1553" i="21"/>
  <c r="S89" i="21"/>
  <c r="T88" i="21"/>
  <c r="P88" i="21" s="1"/>
  <c r="S486" i="21"/>
  <c r="T487" i="21"/>
  <c r="P487" i="21" s="1"/>
  <c r="S1058" i="21"/>
  <c r="T1059" i="21"/>
  <c r="P1059" i="21" s="1"/>
  <c r="Q1494" i="21"/>
  <c r="Q1493" i="21"/>
  <c r="M1493" i="21" s="1"/>
  <c r="Q1492" i="21"/>
  <c r="M1492" i="21" s="1"/>
  <c r="T1388" i="21"/>
  <c r="P1388" i="21" s="1"/>
  <c r="S1387" i="21"/>
  <c r="T1488" i="21"/>
  <c r="P1488" i="21" s="1"/>
  <c r="S1486" i="21"/>
  <c r="S1487" i="21"/>
  <c r="T1535" i="21"/>
  <c r="P1535" i="21" s="1"/>
  <c r="S1534" i="21"/>
  <c r="T1517" i="21"/>
  <c r="P1517" i="21" s="1"/>
  <c r="S1516" i="21"/>
  <c r="Q1504" i="21"/>
  <c r="T1942" i="21"/>
  <c r="P1942" i="21" s="1"/>
  <c r="T1633" i="21"/>
  <c r="P1633" i="21" s="1"/>
  <c r="S1632" i="21"/>
  <c r="Q1360" i="21"/>
  <c r="M1360" i="21" s="1"/>
  <c r="Q1359" i="21"/>
  <c r="M1359" i="21" s="1"/>
  <c r="T1864" i="21"/>
  <c r="P1864" i="21" s="1"/>
  <c r="S444" i="21"/>
  <c r="T445" i="21"/>
  <c r="P445" i="21" s="1"/>
  <c r="T1455" i="21"/>
  <c r="P1455" i="21" s="1"/>
  <c r="S1454" i="21"/>
  <c r="S1288" i="21"/>
  <c r="T1289" i="21"/>
  <c r="P1289" i="21" s="1"/>
  <c r="S1121" i="21"/>
  <c r="T1122" i="21"/>
  <c r="P1122" i="21" s="1"/>
  <c r="Q1502" i="21"/>
  <c r="M1502" i="21" s="1"/>
  <c r="Q1501" i="21"/>
  <c r="M1501" i="21" s="1"/>
  <c r="Q1500" i="21"/>
  <c r="M1500" i="21" s="1"/>
  <c r="T1756" i="21"/>
  <c r="P1756" i="21" s="1"/>
  <c r="S1755" i="21"/>
  <c r="T1511" i="21"/>
  <c r="P1511" i="21" s="1"/>
  <c r="S1510" i="21"/>
  <c r="T1440" i="21"/>
  <c r="P1440" i="21" s="1"/>
  <c r="S1439" i="21"/>
  <c r="T1319" i="21"/>
  <c r="P1319" i="21" s="1"/>
  <c r="S1318" i="21"/>
  <c r="T1719" i="21"/>
  <c r="P1719" i="21" s="1"/>
  <c r="S1718" i="21"/>
  <c r="T1827" i="21"/>
  <c r="P1827" i="21" s="1"/>
  <c r="S1826" i="21"/>
  <c r="Q1513" i="21"/>
  <c r="M1513" i="21" s="1"/>
  <c r="Q1514" i="21"/>
  <c r="M1514" i="21" s="1"/>
  <c r="Q1512" i="21"/>
  <c r="M1512" i="21" s="1"/>
  <c r="Q1054" i="21"/>
  <c r="M1054" i="21" s="1"/>
  <c r="T1410" i="21"/>
  <c r="P1410" i="21" s="1"/>
  <c r="S1409" i="21"/>
  <c r="S1408" i="21"/>
  <c r="T1384" i="21"/>
  <c r="P1384" i="21" s="1"/>
  <c r="S1383" i="21"/>
  <c r="Q1333" i="21"/>
  <c r="M1333" i="21" s="1"/>
  <c r="T1715" i="21"/>
  <c r="P1715" i="21" s="1"/>
  <c r="S1714" i="21"/>
  <c r="T1509" i="21"/>
  <c r="P1509" i="21" s="1"/>
  <c r="S1508" i="21"/>
  <c r="T1537" i="21"/>
  <c r="P1537" i="21" s="1"/>
  <c r="S1536" i="21"/>
  <c r="T1598" i="21"/>
  <c r="P1598" i="21" s="1"/>
  <c r="S1597" i="21"/>
  <c r="T1552" i="21"/>
  <c r="P1552" i="21" s="1"/>
  <c r="T1346" i="21"/>
  <c r="P1346" i="21" s="1"/>
  <c r="T1869" i="21"/>
  <c r="P1869" i="21" s="1"/>
  <c r="S1868" i="21"/>
  <c r="T1673" i="21"/>
  <c r="P1673" i="21" s="1"/>
  <c r="S1672" i="21"/>
  <c r="T1947" i="21"/>
  <c r="P1947" i="21" s="1"/>
  <c r="S1946" i="21"/>
  <c r="Q1437" i="21"/>
  <c r="M1437" i="21" s="1"/>
  <c r="Q1436" i="21"/>
  <c r="M1436" i="21" s="1"/>
  <c r="T1528" i="21"/>
  <c r="P1528" i="21" s="1"/>
  <c r="T1796" i="21"/>
  <c r="P1796" i="21" s="1"/>
  <c r="S1795" i="21"/>
  <c r="T1557" i="21"/>
  <c r="P1557" i="21" s="1"/>
  <c r="S1556" i="21"/>
  <c r="T1638" i="21"/>
  <c r="P1638" i="21" s="1"/>
  <c r="S1637" i="21"/>
  <c r="Q1420" i="21"/>
  <c r="M1420" i="21" s="1"/>
  <c r="S174" i="21"/>
  <c r="T176" i="21"/>
  <c r="P176" i="21" s="1"/>
  <c r="S840" i="21"/>
  <c r="T841" i="21"/>
  <c r="P841" i="21" s="1"/>
  <c r="T1323" i="21"/>
  <c r="P1323" i="21" s="1"/>
  <c r="S1322" i="21"/>
  <c r="Q1788" i="21"/>
  <c r="M1788" i="21" s="1"/>
  <c r="Q1522" i="21"/>
  <c r="Q1521" i="21"/>
  <c r="M1521" i="21" s="1"/>
  <c r="Q1520" i="21"/>
  <c r="M1520" i="21" s="1"/>
  <c r="T1903" i="21"/>
  <c r="P1903" i="21" s="1"/>
  <c r="T1678" i="21"/>
  <c r="P1678" i="21" s="1"/>
  <c r="S1676" i="21"/>
  <c r="S1677" i="21"/>
  <c r="S1675" i="21"/>
  <c r="T1386" i="21"/>
  <c r="P1386" i="21" s="1"/>
  <c r="S1385" i="21"/>
  <c r="Q1553" i="21"/>
  <c r="M1553" i="21" s="1"/>
  <c r="Q1948" i="21"/>
  <c r="M1948" i="21" s="1"/>
  <c r="T1949" i="21"/>
  <c r="P1949" i="21" s="1"/>
  <c r="S1948" i="21"/>
  <c r="T1399" i="21"/>
  <c r="P1399" i="21" s="1"/>
  <c r="S1398" i="21"/>
  <c r="S1397" i="21"/>
  <c r="Q1872" i="21"/>
  <c r="M1872" i="21" s="1"/>
  <c r="T1754" i="21"/>
  <c r="P1754" i="21" s="1"/>
  <c r="S1753" i="21"/>
  <c r="T1787" i="21"/>
  <c r="P1787" i="21" s="1"/>
  <c r="S986" i="21"/>
  <c r="T987" i="21"/>
  <c r="P987" i="21" s="1"/>
  <c r="T1908" i="21"/>
  <c r="P1908" i="21" s="1"/>
  <c r="S1907" i="21"/>
  <c r="T1473" i="21"/>
  <c r="P1473" i="21" s="1"/>
  <c r="S1472" i="21"/>
  <c r="S477" i="21"/>
  <c r="T476" i="21"/>
  <c r="P476" i="21" s="1"/>
  <c r="U478" i="21" s="1"/>
  <c r="S270" i="21"/>
  <c r="T271" i="21"/>
  <c r="P271" i="21" s="1"/>
  <c r="S1240" i="21"/>
  <c r="T1241" i="21"/>
  <c r="P1241" i="21" s="1"/>
  <c r="S1126" i="21"/>
  <c r="T1127" i="21"/>
  <c r="P1127" i="21" s="1"/>
  <c r="S1013" i="21"/>
  <c r="T1014" i="21"/>
  <c r="P1014" i="21" s="1"/>
  <c r="Q1002" i="21"/>
  <c r="M1002" i="21" s="1"/>
  <c r="S1103" i="21"/>
  <c r="T1104" i="21"/>
  <c r="P1104" i="21" s="1"/>
  <c r="S1301" i="21"/>
  <c r="T1302" i="21"/>
  <c r="P1302" i="21" s="1"/>
  <c r="T1591" i="21"/>
  <c r="P1591" i="21" s="1"/>
  <c r="Q1711" i="21"/>
  <c r="M1711" i="21" s="1"/>
  <c r="Q1439" i="21"/>
  <c r="M1439" i="21" s="1"/>
  <c r="T1419" i="21"/>
  <c r="P1419" i="21" s="1"/>
  <c r="T1794" i="21"/>
  <c r="P1794" i="21" s="1"/>
  <c r="S1793" i="21"/>
  <c r="Q939" i="21"/>
  <c r="M939" i="21" s="1"/>
  <c r="S923" i="21"/>
  <c r="T924" i="21"/>
  <c r="P924" i="21" s="1"/>
  <c r="T1336" i="21"/>
  <c r="P1336" i="21" s="1"/>
  <c r="S1335" i="21"/>
  <c r="T1423" i="21"/>
  <c r="P1423" i="21" s="1"/>
  <c r="S1422" i="21"/>
  <c r="T1530" i="21"/>
  <c r="P1530" i="21" s="1"/>
  <c r="S1529" i="21"/>
  <c r="Q1244" i="21"/>
  <c r="M1244" i="21" s="1"/>
  <c r="Q1909" i="21"/>
  <c r="M1909" i="21" s="1"/>
  <c r="T1600" i="21"/>
  <c r="P1600" i="21" s="1"/>
  <c r="S1599" i="21"/>
  <c r="Q1826" i="21"/>
  <c r="M1826" i="21" s="1"/>
  <c r="T1789" i="21"/>
  <c r="P1789" i="21" s="1"/>
  <c r="S1788" i="21"/>
  <c r="S1185" i="21"/>
  <c r="T1186" i="21"/>
  <c r="P1186" i="21" s="1"/>
  <c r="Q1318" i="21"/>
  <c r="M1318" i="21" s="1"/>
  <c r="T1561" i="21"/>
  <c r="P1561" i="21" s="1"/>
  <c r="S1560" i="21"/>
  <c r="Q1335" i="21"/>
  <c r="M1335" i="21" s="1"/>
  <c r="Q1976" i="21"/>
  <c r="M1976" i="21" s="1"/>
  <c r="T1717" i="21"/>
  <c r="P1717" i="21" s="1"/>
  <c r="S1716" i="21"/>
  <c r="Q1677" i="21"/>
  <c r="M1677" i="21" s="1"/>
  <c r="Q1676" i="21"/>
  <c r="M1676" i="21" s="1"/>
  <c r="Q1675" i="21"/>
  <c r="M1675" i="21" s="1"/>
  <c r="T1631" i="21"/>
  <c r="P1631" i="21" s="1"/>
  <c r="T1758" i="21"/>
  <c r="P1758" i="21" s="1"/>
  <c r="S1757" i="21"/>
  <c r="T1712" i="21"/>
  <c r="P1712" i="21" s="1"/>
  <c r="S1711" i="21"/>
  <c r="T1832" i="21"/>
  <c r="P1832" i="21" s="1"/>
  <c r="S1831" i="21"/>
  <c r="Q1472" i="21"/>
  <c r="M1472" i="21" s="1"/>
  <c r="T1979" i="21"/>
  <c r="P1979" i="21" s="1"/>
  <c r="S1978" i="21"/>
  <c r="T1314" i="21"/>
  <c r="P1314" i="21" s="1"/>
  <c r="S1313" i="21"/>
  <c r="T1834" i="21"/>
  <c r="P1834" i="21" s="1"/>
  <c r="S1833" i="21"/>
  <c r="T1407" i="21"/>
  <c r="P1407" i="21" s="1"/>
  <c r="S1274" i="21"/>
  <c r="T1275" i="21"/>
  <c r="P1275" i="21" s="1"/>
  <c r="T1332" i="21"/>
  <c r="P1332" i="21" s="1"/>
  <c r="S1073" i="21"/>
  <c r="T1074" i="21"/>
  <c r="P1074" i="21" s="1"/>
  <c r="T1396" i="21"/>
  <c r="P1396" i="21" s="1"/>
  <c r="Q1750" i="21"/>
  <c r="M1750" i="21" s="1"/>
  <c r="T1640" i="21"/>
  <c r="P1640" i="21" s="1"/>
  <c r="S1639" i="21"/>
  <c r="Q1865" i="21"/>
  <c r="M1865" i="21" s="1"/>
  <c r="T1873" i="21"/>
  <c r="P1873" i="21" s="1"/>
  <c r="S1872" i="21"/>
  <c r="Q1907" i="21"/>
  <c r="M1907" i="21" s="1"/>
  <c r="T1467" i="21"/>
  <c r="P1467" i="21" s="1"/>
  <c r="S1456" i="21"/>
  <c r="S470" i="21"/>
  <c r="T471" i="21"/>
  <c r="P471" i="21" s="1"/>
  <c r="S1206" i="21"/>
  <c r="T1207" i="21"/>
  <c r="P1207" i="21" s="1"/>
  <c r="S1166" i="21"/>
  <c r="T1167" i="21"/>
  <c r="P1167" i="21" s="1"/>
  <c r="Q1409" i="21"/>
  <c r="M1409" i="21" s="1"/>
  <c r="Q1408" i="21"/>
  <c r="M1408" i="21" s="1"/>
  <c r="T1382" i="21"/>
  <c r="P1382" i="21" s="1"/>
  <c r="T1671" i="21"/>
  <c r="P1671" i="21" s="1"/>
  <c r="T1499" i="21"/>
  <c r="P1499" i="21" s="1"/>
  <c r="S1498" i="21"/>
  <c r="T1334" i="21"/>
  <c r="P1334" i="21" s="1"/>
  <c r="S1333" i="21"/>
  <c r="T1974" i="21"/>
  <c r="P1974" i="21" s="1"/>
  <c r="S1973" i="21"/>
  <c r="Q1980" i="21"/>
  <c r="Q1398" i="21"/>
  <c r="M1398" i="21" s="1"/>
  <c r="Q1397" i="21"/>
  <c r="M1397" i="21" s="1"/>
  <c r="Q1496" i="21"/>
  <c r="M1496" i="21" s="1"/>
  <c r="T1830" i="21"/>
  <c r="P1830" i="21" s="1"/>
  <c r="S1829" i="21"/>
  <c r="T1792" i="21"/>
  <c r="P1792" i="21" s="1"/>
  <c r="S1791" i="21"/>
  <c r="T1680" i="21"/>
  <c r="P1680" i="21" s="1"/>
  <c r="S1679" i="21"/>
  <c r="T1912" i="21"/>
  <c r="P1912" i="21" s="1"/>
  <c r="S1911" i="21"/>
  <c r="T1519" i="21"/>
  <c r="P1519" i="21" s="1"/>
  <c r="S1518" i="21"/>
  <c r="S396" i="21"/>
  <c r="T398" i="21"/>
  <c r="P398" i="21" s="1"/>
  <c r="T1321" i="21"/>
  <c r="P1321" i="21" s="1"/>
  <c r="S1320" i="21"/>
  <c r="T1749" i="21"/>
  <c r="P1749" i="21" s="1"/>
  <c r="T1503" i="21"/>
  <c r="P1503" i="21" s="1"/>
  <c r="S1501" i="21"/>
  <c r="S1502" i="21"/>
  <c r="S1500" i="21"/>
  <c r="T1312" i="21"/>
  <c r="P1312" i="21" s="1"/>
  <c r="T1972" i="21"/>
  <c r="P1972" i="21" s="1"/>
  <c r="Q1532" i="21"/>
  <c r="M1532" i="21" s="1"/>
  <c r="T1453" i="21"/>
  <c r="P1453" i="21" s="1"/>
  <c r="T1374" i="21"/>
  <c r="P1374" i="21" s="1"/>
  <c r="S1373" i="21"/>
  <c r="S1372" i="21"/>
  <c r="S138" i="21"/>
  <c r="T139" i="21"/>
  <c r="P139" i="21" s="1"/>
  <c r="T1710" i="21"/>
  <c r="P1710" i="21" s="1"/>
  <c r="T1425" i="21"/>
  <c r="P1425" i="21" s="1"/>
  <c r="S1424" i="21"/>
  <c r="T1442" i="21"/>
  <c r="P1442" i="21" s="1"/>
  <c r="S1441" i="21"/>
  <c r="T1910" i="21"/>
  <c r="P1910" i="21" s="1"/>
  <c r="S1909" i="21"/>
  <c r="T1751" i="21"/>
  <c r="P1751" i="21" s="1"/>
  <c r="S1750" i="21"/>
  <c r="T1559" i="21"/>
  <c r="P1559" i="21" s="1"/>
  <c r="S1558" i="21"/>
  <c r="Q1456" i="21"/>
  <c r="M1456" i="21" s="1"/>
  <c r="Q1387" i="21"/>
  <c r="M1387" i="21" s="1"/>
  <c r="Q971" i="21"/>
  <c r="M971" i="21" s="1"/>
  <c r="S917" i="21"/>
  <c r="Q994" i="21"/>
  <c r="M994" i="21" s="1"/>
  <c r="Q1096" i="21"/>
  <c r="M1096" i="21" s="1"/>
  <c r="S1077" i="21"/>
  <c r="Q1231" i="21"/>
  <c r="M1231" i="21" s="1"/>
  <c r="S996" i="21"/>
  <c r="Q1170" i="21"/>
  <c r="M1170" i="21" s="1"/>
  <c r="Q942" i="21"/>
  <c r="M942" i="21" s="1"/>
  <c r="S971" i="21"/>
  <c r="Q1227" i="21"/>
  <c r="M1227" i="21" s="1"/>
  <c r="Q964" i="21"/>
  <c r="M964" i="21" s="1"/>
  <c r="S262" i="21"/>
  <c r="Q174" i="21"/>
  <c r="M174" i="21" s="1"/>
  <c r="Q1301" i="21"/>
  <c r="M1301" i="21" s="1"/>
  <c r="S975" i="21"/>
  <c r="Q1136" i="21"/>
  <c r="M1136" i="21" s="1"/>
  <c r="Q1103" i="21"/>
  <c r="M1103" i="21" s="1"/>
  <c r="S920" i="21"/>
  <c r="S1305" i="21"/>
  <c r="S1117" i="21"/>
  <c r="S991" i="21"/>
  <c r="Q1009" i="21"/>
  <c r="M1009" i="21" s="1"/>
  <c r="Q1143" i="21"/>
  <c r="M1143" i="21" s="1"/>
  <c r="S267" i="21"/>
  <c r="Q933" i="21"/>
  <c r="M933" i="21" s="1"/>
  <c r="Q1297" i="21"/>
  <c r="M1297" i="21" s="1"/>
  <c r="S1143" i="21"/>
  <c r="Q270" i="21"/>
  <c r="M270" i="21" s="1"/>
  <c r="S979" i="21"/>
  <c r="Q1223" i="21"/>
  <c r="M1223" i="21" s="1"/>
  <c r="S1270" i="21"/>
  <c r="S752" i="21"/>
  <c r="Q447" i="21"/>
  <c r="M447" i="21" s="1"/>
  <c r="Q749" i="21"/>
  <c r="M749" i="21" s="1"/>
  <c r="Q975" i="21"/>
  <c r="M975" i="21" s="1"/>
  <c r="S1231" i="21"/>
  <c r="S1227" i="21"/>
  <c r="Q676" i="21"/>
  <c r="M676" i="21" s="1"/>
  <c r="Q675" i="21"/>
  <c r="M675" i="21" s="1"/>
  <c r="Q653" i="21"/>
  <c r="M653" i="21" s="1"/>
  <c r="Q652" i="21"/>
  <c r="M652" i="21" s="1"/>
  <c r="S722" i="21"/>
  <c r="S721" i="21"/>
  <c r="S676" i="21"/>
  <c r="S675" i="21"/>
  <c r="S1061" i="21"/>
  <c r="S828" i="21"/>
  <c r="S827" i="21"/>
  <c r="S1223" i="21"/>
  <c r="S1252" i="21"/>
  <c r="Q1005" i="21"/>
  <c r="M1005" i="21" s="1"/>
  <c r="S1233" i="21"/>
  <c r="S1261" i="21"/>
  <c r="Q1210" i="21"/>
  <c r="M1210" i="21" s="1"/>
  <c r="Q1202" i="21"/>
  <c r="M1202" i="21" s="1"/>
  <c r="Q1248" i="21"/>
  <c r="M1248" i="21" s="1"/>
  <c r="Q930" i="21"/>
  <c r="M930" i="21" s="1"/>
  <c r="Q1034" i="21"/>
  <c r="M1034" i="21" s="1"/>
  <c r="S1034" i="21"/>
  <c r="S1210" i="21"/>
  <c r="Q1117" i="21"/>
  <c r="M1117" i="21" s="1"/>
  <c r="Q1030" i="21"/>
  <c r="M1030" i="21" s="1"/>
  <c r="S1293" i="21"/>
  <c r="Q35" i="21"/>
  <c r="M35" i="21" s="1"/>
  <c r="Q344" i="21"/>
  <c r="M344" i="21" s="1"/>
  <c r="S998" i="21"/>
  <c r="S1005" i="21"/>
  <c r="S1236" i="21"/>
  <c r="Q920" i="21"/>
  <c r="M920" i="21" s="1"/>
  <c r="Q1058" i="21"/>
  <c r="M1058" i="21" s="1"/>
  <c r="S244" i="21"/>
  <c r="Q816" i="21"/>
  <c r="M816" i="21" s="1"/>
  <c r="Q815" i="21"/>
  <c r="M815" i="21" s="1"/>
  <c r="Q1121" i="21"/>
  <c r="M1121" i="21" s="1"/>
  <c r="S1084" i="21"/>
  <c r="Q1266" i="21"/>
  <c r="M1266" i="21" s="1"/>
  <c r="Q952" i="21"/>
  <c r="M952" i="21" s="1"/>
  <c r="Q840" i="21"/>
  <c r="M840" i="21" s="1"/>
  <c r="Q1261" i="21"/>
  <c r="M1261" i="21" s="1"/>
  <c r="S1054" i="21"/>
  <c r="S1149" i="21"/>
  <c r="Q1151" i="21"/>
  <c r="M1151" i="21" s="1"/>
  <c r="S1297" i="21"/>
  <c r="Q1050" i="21"/>
  <c r="M1050" i="21" s="1"/>
  <c r="Q1024" i="21"/>
  <c r="M1024" i="21" s="1"/>
  <c r="Q1177" i="21"/>
  <c r="M1177" i="21" s="1"/>
  <c r="S344" i="21"/>
  <c r="S908" i="21"/>
  <c r="S952" i="21"/>
  <c r="S939" i="21"/>
  <c r="S1266" i="21"/>
  <c r="S1192" i="21"/>
  <c r="S1256" i="21"/>
  <c r="Q1264" i="21"/>
  <c r="M1264" i="21" s="1"/>
  <c r="Q1196" i="21"/>
  <c r="M1196" i="21" s="1"/>
  <c r="S946" i="21"/>
  <c r="Q1073" i="21"/>
  <c r="M1073" i="21" s="1"/>
  <c r="S1030" i="21"/>
  <c r="Q806" i="21"/>
  <c r="M806" i="21" s="1"/>
  <c r="Q805" i="21"/>
  <c r="M805" i="21" s="1"/>
  <c r="S1099" i="21"/>
  <c r="S1202" i="21"/>
  <c r="Q1163" i="21"/>
  <c r="M1163" i="21" s="1"/>
  <c r="S1163" i="21"/>
  <c r="Q1065" i="21"/>
  <c r="M1065" i="21" s="1"/>
  <c r="S699" i="21"/>
  <c r="S698" i="21"/>
  <c r="Q138" i="21"/>
  <c r="M138" i="21" s="1"/>
  <c r="Q795" i="21"/>
  <c r="M795" i="21" s="1"/>
  <c r="Q794" i="21"/>
  <c r="M794" i="21" s="1"/>
  <c r="Q1160" i="21"/>
  <c r="M1160" i="21" s="1"/>
  <c r="Q828" i="21"/>
  <c r="M828" i="21" s="1"/>
  <c r="Q827" i="21"/>
  <c r="M827" i="21" s="1"/>
  <c r="S1145" i="21"/>
  <c r="Q1088" i="21"/>
  <c r="M1088" i="21" s="1"/>
  <c r="Q1270" i="21"/>
  <c r="M1270" i="21" s="1"/>
  <c r="S816" i="21"/>
  <c r="S815" i="21"/>
  <c r="Q1115" i="21"/>
  <c r="M1115" i="21" s="1"/>
  <c r="Q1114" i="21"/>
  <c r="M1114" i="21" s="1"/>
  <c r="Q1061" i="21"/>
  <c r="M1061" i="21" s="1"/>
  <c r="S982" i="21"/>
  <c r="Q1070" i="21"/>
  <c r="M1070" i="21" s="1"/>
  <c r="S964" i="21"/>
  <c r="S1024" i="21"/>
  <c r="S772" i="21"/>
  <c r="S771" i="21"/>
  <c r="S653" i="21"/>
  <c r="S652" i="21"/>
  <c r="S1177" i="21"/>
  <c r="Q1099" i="21"/>
  <c r="M1099" i="21" s="1"/>
  <c r="Q1134" i="21"/>
  <c r="M1134" i="21" s="1"/>
  <c r="Q1132" i="21"/>
  <c r="M1132" i="21" s="1"/>
  <c r="Q1131" i="21"/>
  <c r="M1131" i="21" s="1"/>
  <c r="Q1130" i="21"/>
  <c r="M1130" i="21" s="1"/>
  <c r="S836" i="21"/>
  <c r="Q1284" i="21"/>
  <c r="M1284" i="21" s="1"/>
  <c r="S1075" i="21"/>
  <c r="Q982" i="21"/>
  <c r="M982" i="21" s="1"/>
  <c r="Q699" i="21"/>
  <c r="M699" i="21" s="1"/>
  <c r="Q698" i="21"/>
  <c r="M698" i="21" s="1"/>
  <c r="S1050" i="21"/>
  <c r="Q1084" i="21"/>
  <c r="M1084" i="21" s="1"/>
  <c r="S1124" i="21"/>
  <c r="S1123" i="21"/>
  <c r="Q225" i="21"/>
  <c r="M225" i="21" s="1"/>
  <c r="Q187" i="21"/>
  <c r="M187" i="21" s="1"/>
  <c r="S473" i="21"/>
  <c r="Q1013" i="21"/>
  <c r="M1013" i="21" s="1"/>
  <c r="S1139" i="21"/>
  <c r="S911" i="21"/>
  <c r="S1244" i="21"/>
  <c r="S1189" i="21"/>
  <c r="Q1305" i="21"/>
  <c r="M1305" i="21" s="1"/>
  <c r="S1196" i="21"/>
  <c r="Q998" i="21"/>
  <c r="M998" i="21" s="1"/>
  <c r="Q369" i="21"/>
  <c r="M369" i="21" s="1"/>
  <c r="Q1108" i="21"/>
  <c r="M1108" i="21" s="1"/>
  <c r="Q745" i="21"/>
  <c r="M745" i="21" s="1"/>
  <c r="Q744" i="21"/>
  <c r="M744" i="21" s="1"/>
  <c r="Q1017" i="21"/>
  <c r="M1017" i="21" s="1"/>
  <c r="S1096" i="21"/>
  <c r="S745" i="21"/>
  <c r="S744" i="21"/>
  <c r="S1070" i="21"/>
  <c r="Q1038" i="21"/>
  <c r="M1038" i="21" s="1"/>
  <c r="Q206" i="21"/>
  <c r="M206" i="21" s="1"/>
  <c r="Q908" i="21"/>
  <c r="M908" i="21" s="1"/>
  <c r="S447" i="21"/>
  <c r="Q996" i="21"/>
  <c r="M996" i="21" s="1"/>
  <c r="Q936" i="21"/>
  <c r="M936" i="21" s="1"/>
  <c r="Q1154" i="21"/>
  <c r="M1154" i="21" s="1"/>
  <c r="S1088" i="21"/>
  <c r="S1115" i="21"/>
  <c r="S1114" i="21"/>
  <c r="S1264" i="21"/>
  <c r="Q1219" i="21"/>
  <c r="M1219" i="21" s="1"/>
  <c r="Q927" i="21"/>
  <c r="M927" i="21" s="1"/>
  <c r="Q1145" i="21"/>
  <c r="M1145" i="21" s="1"/>
  <c r="S322" i="21"/>
  <c r="S914" i="21"/>
  <c r="S806" i="21"/>
  <c r="S805" i="21"/>
  <c r="S1002" i="21"/>
  <c r="Q1233" i="21"/>
  <c r="M1233" i="21" s="1"/>
  <c r="S942" i="21"/>
  <c r="Q1174" i="21"/>
  <c r="M1174" i="21" s="1"/>
  <c r="S1134" i="21"/>
  <c r="S1132" i="21"/>
  <c r="S1131" i="21"/>
  <c r="S1130" i="21"/>
  <c r="S1160" i="21"/>
  <c r="S1284" i="21"/>
  <c r="S1009" i="21"/>
  <c r="S1043" i="21"/>
  <c r="S1225" i="21"/>
  <c r="S933" i="21"/>
  <c r="S1151" i="21"/>
  <c r="Q1020" i="21"/>
  <c r="M1020" i="21" s="1"/>
  <c r="Q1139" i="21"/>
  <c r="M1139" i="21" s="1"/>
  <c r="Q1225" i="21"/>
  <c r="M1225" i="21" s="1"/>
  <c r="X1225" i="21" s="1"/>
  <c r="Q752" i="21"/>
  <c r="M752" i="21" s="1"/>
  <c r="Q1252" i="21"/>
  <c r="M1252" i="21" s="1"/>
  <c r="Q1158" i="21"/>
  <c r="M1158" i="21" s="1"/>
  <c r="Q1149" i="21"/>
  <c r="M1149" i="21" s="1"/>
  <c r="X1149" i="21" s="1"/>
  <c r="Q772" i="21"/>
  <c r="M772" i="21" s="1"/>
  <c r="Q771" i="21"/>
  <c r="M771" i="21" s="1"/>
  <c r="Q1192" i="21"/>
  <c r="M1192" i="21" s="1"/>
  <c r="Q1189" i="21"/>
  <c r="M1189" i="21" s="1"/>
  <c r="S1136" i="21"/>
  <c r="S1170" i="21"/>
  <c r="Q1240" i="21"/>
  <c r="M1240" i="21" s="1"/>
  <c r="Q394" i="21"/>
  <c r="M394" i="21" s="1"/>
  <c r="Q486" i="21"/>
  <c r="M486" i="21" s="1"/>
  <c r="Q1046" i="21"/>
  <c r="M1046" i="21" s="1"/>
  <c r="Q967" i="21"/>
  <c r="M967" i="21" s="1"/>
  <c r="Q1168" i="21"/>
  <c r="M1168" i="21" s="1"/>
  <c r="S1181" i="21"/>
  <c r="S1154" i="21"/>
  <c r="Q1043" i="21"/>
  <c r="M1043" i="21" s="1"/>
  <c r="Q1293" i="21"/>
  <c r="M1293" i="21" s="1"/>
  <c r="S956" i="21"/>
  <c r="Q1185" i="21"/>
  <c r="M1185" i="21" s="1"/>
  <c r="S558" i="21"/>
  <c r="S297" i="21"/>
  <c r="Q722" i="21"/>
  <c r="M722" i="21" s="1"/>
  <c r="Q721" i="21"/>
  <c r="M721" i="21" s="1"/>
  <c r="S795" i="21"/>
  <c r="S794" i="21"/>
  <c r="S1046" i="21"/>
  <c r="S960" i="21"/>
  <c r="S1174" i="21"/>
  <c r="Q1077" i="21"/>
  <c r="M1077" i="21" s="1"/>
  <c r="S927" i="21"/>
  <c r="Q1124" i="21"/>
  <c r="M1124" i="21" s="1"/>
  <c r="Q1123" i="21"/>
  <c r="M1123" i="21" s="1"/>
  <c r="Q1206" i="21"/>
  <c r="M1206" i="21" s="1"/>
  <c r="Q911" i="21"/>
  <c r="M911" i="21" s="1"/>
  <c r="S967" i="21"/>
  <c r="Q1236" i="21"/>
  <c r="M1236" i="21" s="1"/>
  <c r="S994" i="21"/>
  <c r="S1020" i="21"/>
  <c r="S1168" i="21"/>
  <c r="Q946" i="21"/>
  <c r="M946" i="21" s="1"/>
  <c r="Q1279" i="21"/>
  <c r="M1279" i="21" s="1"/>
  <c r="Q1215" i="21"/>
  <c r="M1215" i="21" s="1"/>
  <c r="S222" i="21"/>
  <c r="Q372" i="21"/>
  <c r="M372" i="21" s="1"/>
  <c r="Q24" i="21"/>
  <c r="M24" i="21" s="1"/>
  <c r="Q490" i="21"/>
  <c r="M490" i="21" s="1"/>
  <c r="Q564" i="21"/>
  <c r="M564" i="21" s="1"/>
  <c r="Q263" i="21"/>
  <c r="M263" i="21" s="1"/>
  <c r="S225" i="21"/>
  <c r="S319" i="21"/>
  <c r="S156" i="21"/>
  <c r="S188" i="21"/>
  <c r="S419" i="21"/>
  <c r="Q156" i="21"/>
  <c r="M156" i="21" s="1"/>
  <c r="Q243" i="21"/>
  <c r="M243" i="21" s="1"/>
  <c r="Q267" i="21"/>
  <c r="M267" i="21" s="1"/>
  <c r="S446" i="21"/>
  <c r="Q421" i="21"/>
  <c r="M421" i="21" s="1"/>
  <c r="S630" i="21"/>
  <c r="S629" i="21"/>
  <c r="Q294" i="21"/>
  <c r="M294" i="21" s="1"/>
  <c r="Q69" i="21"/>
  <c r="M69" i="21" s="1"/>
  <c r="Q630" i="21"/>
  <c r="M630" i="21" s="1"/>
  <c r="Q629" i="21"/>
  <c r="M629" i="21" s="1"/>
  <c r="Q33" i="21"/>
  <c r="M33" i="21" s="1"/>
  <c r="S372" i="21"/>
  <c r="Q172" i="21"/>
  <c r="M172" i="21" s="1"/>
  <c r="S394" i="21"/>
  <c r="Q606" i="21"/>
  <c r="M606" i="21" s="1"/>
  <c r="Q605" i="21"/>
  <c r="M605" i="21" s="1"/>
  <c r="S421" i="21"/>
  <c r="S175" i="21"/>
  <c r="Q204" i="21"/>
  <c r="M204" i="21" s="1"/>
  <c r="S294" i="21"/>
  <c r="S172" i="21"/>
  <c r="Q319" i="21"/>
  <c r="M319" i="21" s="1"/>
  <c r="Q493" i="21"/>
  <c r="M493" i="21" s="1"/>
  <c r="Q222" i="21"/>
  <c r="M222" i="21" s="1"/>
  <c r="S483" i="21"/>
  <c r="Q470" i="21"/>
  <c r="M470" i="21" s="1"/>
  <c r="Q346" i="21"/>
  <c r="M346" i="21" s="1"/>
  <c r="S490" i="21"/>
  <c r="Q419" i="21"/>
  <c r="M419" i="21" s="1"/>
  <c r="S241" i="21"/>
  <c r="Q321" i="21"/>
  <c r="M321" i="21" s="1"/>
  <c r="Q224" i="21"/>
  <c r="M224" i="21" s="1"/>
  <c r="S185" i="21"/>
  <c r="S204" i="21"/>
  <c r="S493" i="21"/>
  <c r="Q477" i="21"/>
  <c r="M477" i="21" s="1"/>
  <c r="Q422" i="21"/>
  <c r="M422" i="21" s="1"/>
  <c r="Q23" i="21"/>
  <c r="M23" i="21" s="1"/>
  <c r="S321" i="21"/>
  <c r="Q297" i="21"/>
  <c r="M297" i="21" s="1"/>
  <c r="S606" i="21"/>
  <c r="S605" i="21"/>
  <c r="Q207" i="21"/>
  <c r="M207" i="21" s="1"/>
  <c r="S65" i="21"/>
  <c r="Q260" i="21"/>
  <c r="M260" i="21" s="1"/>
  <c r="Q241" i="21"/>
  <c r="M241" i="21" s="1"/>
  <c r="Q185" i="21"/>
  <c r="M185" i="21" s="1"/>
  <c r="Q371" i="21"/>
  <c r="M371" i="21" s="1"/>
  <c r="Q483" i="21"/>
  <c r="M483" i="21" s="1"/>
  <c r="S347" i="21"/>
  <c r="S568" i="21"/>
  <c r="Q568" i="21"/>
  <c r="M568" i="21" s="1"/>
  <c r="S369" i="21"/>
  <c r="Q396" i="21"/>
  <c r="M396" i="21" s="1"/>
  <c r="Q499" i="21"/>
  <c r="M499" i="21" s="1"/>
  <c r="Q576" i="21"/>
  <c r="M576" i="21" s="1"/>
  <c r="S153" i="21"/>
  <c r="S502" i="21"/>
  <c r="Q498" i="21"/>
  <c r="Q188" i="21"/>
  <c r="M188" i="21" s="1"/>
  <c r="Q262" i="21"/>
  <c r="M262" i="21" s="1"/>
  <c r="S206" i="21"/>
  <c r="S135" i="21"/>
  <c r="Q579" i="21"/>
  <c r="M579" i="21" s="1"/>
  <c r="Q175" i="21"/>
  <c r="M175" i="21" s="1"/>
  <c r="Q506" i="21"/>
  <c r="M506" i="21" s="1"/>
  <c r="S263" i="21"/>
  <c r="S579" i="21"/>
  <c r="S371" i="21"/>
  <c r="S224" i="21"/>
  <c r="S346" i="21"/>
  <c r="S243" i="21"/>
  <c r="Q129" i="21"/>
  <c r="M129" i="21" s="1"/>
  <c r="S296" i="21"/>
  <c r="Q502" i="21"/>
  <c r="M502" i="21" s="1"/>
  <c r="S573" i="21"/>
  <c r="S260" i="21"/>
  <c r="S422" i="21"/>
  <c r="S397" i="21"/>
  <c r="Q446" i="21"/>
  <c r="M446" i="21" s="1"/>
  <c r="Q504" i="21"/>
  <c r="S506" i="21"/>
  <c r="Q322" i="21"/>
  <c r="M322" i="21" s="1"/>
  <c r="Q397" i="21"/>
  <c r="M397" i="21" s="1"/>
  <c r="Q347" i="21"/>
  <c r="M347" i="21" s="1"/>
  <c r="S576" i="21"/>
  <c r="S187" i="21"/>
  <c r="Q244" i="21"/>
  <c r="M244" i="21" s="1"/>
  <c r="Q558" i="21"/>
  <c r="M558" i="21" s="1"/>
  <c r="S499" i="21"/>
  <c r="S564" i="21"/>
  <c r="S504" i="21"/>
  <c r="S498" i="21"/>
  <c r="Q573" i="21"/>
  <c r="M573" i="21" s="1"/>
  <c r="S516" i="21"/>
  <c r="Q516" i="21"/>
  <c r="M516" i="21" s="1"/>
  <c r="R516" i="21"/>
  <c r="N503" i="21"/>
  <c r="N512" i="21"/>
  <c r="N526" i="21"/>
  <c r="R526" i="21" s="1"/>
  <c r="N534" i="21"/>
  <c r="R534" i="21" s="1"/>
  <c r="N539" i="21"/>
  <c r="R539" i="21" s="1"/>
  <c r="N548" i="21"/>
  <c r="R548" i="21" s="1"/>
  <c r="N555" i="21"/>
  <c r="R555" i="21" s="1"/>
  <c r="Q58" i="21"/>
  <c r="M58" i="21" s="1"/>
  <c r="Q68" i="21"/>
  <c r="R68" i="21"/>
  <c r="S84" i="21"/>
  <c r="Q117" i="21"/>
  <c r="M117" i="21" s="1"/>
  <c r="Q26" i="21"/>
  <c r="M26" i="21" s="1"/>
  <c r="S91" i="21"/>
  <c r="Q123" i="21"/>
  <c r="M123" i="21" s="1"/>
  <c r="S83" i="21"/>
  <c r="Q109" i="21"/>
  <c r="M109" i="21" s="1"/>
  <c r="Q54" i="21"/>
  <c r="M54" i="21" s="1"/>
  <c r="Q27" i="21"/>
  <c r="M27" i="21" s="1"/>
  <c r="S58" i="21"/>
  <c r="S29" i="21"/>
  <c r="S33" i="21"/>
  <c r="Q121" i="21"/>
  <c r="M121" i="21" s="1"/>
  <c r="Q89" i="21"/>
  <c r="M89" i="21" s="1"/>
  <c r="Q94" i="21"/>
  <c r="M94" i="21" s="1"/>
  <c r="S69" i="21"/>
  <c r="Q47" i="21"/>
  <c r="M47" i="21" s="1"/>
  <c r="S102" i="21"/>
  <c r="S27" i="21"/>
  <c r="Q113" i="21"/>
  <c r="M113" i="21" s="1"/>
  <c r="Q71" i="21"/>
  <c r="M71" i="21" s="1"/>
  <c r="Q72" i="21"/>
  <c r="M72" i="21" s="1"/>
  <c r="S34" i="21"/>
  <c r="Q76" i="21"/>
  <c r="M76" i="21" s="1"/>
  <c r="S35" i="21"/>
  <c r="Q83" i="21"/>
  <c r="M83" i="21" s="1"/>
  <c r="S47" i="21"/>
  <c r="Q84" i="21"/>
  <c r="M84" i="21" s="1"/>
  <c r="S54" i="21"/>
  <c r="Q130" i="21"/>
  <c r="M130" i="21" s="1"/>
  <c r="S60" i="21"/>
  <c r="Q91" i="21"/>
  <c r="M91" i="21" s="1"/>
  <c r="Q92" i="21"/>
  <c r="M92" i="21" s="1"/>
  <c r="Q115" i="21"/>
  <c r="M115" i="21" s="1"/>
  <c r="Q102" i="21"/>
  <c r="M102" i="21" s="1"/>
  <c r="Z102" i="21" s="1"/>
  <c r="X102" i="21" s="1"/>
  <c r="Q65" i="21"/>
  <c r="M65" i="21" s="1"/>
  <c r="S23" i="21"/>
  <c r="Q29" i="21"/>
  <c r="M29" i="21" s="1"/>
  <c r="S24" i="21"/>
  <c r="Q60" i="21"/>
  <c r="M60" i="21" s="1"/>
  <c r="S26" i="21"/>
  <c r="S71" i="21"/>
  <c r="S94" i="21"/>
  <c r="S92" i="21"/>
  <c r="S72" i="21"/>
  <c r="S109" i="21"/>
  <c r="S76" i="21"/>
  <c r="Q119" i="21"/>
  <c r="M119" i="21" s="1"/>
  <c r="G69" i="14"/>
  <c r="N67" i="21"/>
  <c r="I146" i="14"/>
  <c r="G137" i="14"/>
  <c r="G68" i="14"/>
  <c r="T1204" i="21" l="1"/>
  <c r="P1204" i="21" s="1"/>
  <c r="O1204" i="21"/>
  <c r="T1208" i="21"/>
  <c r="P1208" i="21" s="1"/>
  <c r="O1208" i="21"/>
  <c r="Z1211" i="21"/>
  <c r="Z1209" i="21"/>
  <c r="Z1210" i="21"/>
  <c r="Z1207" i="21"/>
  <c r="Z1205" i="21"/>
  <c r="Z1206" i="21"/>
  <c r="Z1208" i="21"/>
  <c r="X1208" i="21" s="1"/>
  <c r="Z1204" i="21"/>
  <c r="X1204" i="21" s="1"/>
  <c r="Z952" i="21"/>
  <c r="Z954" i="21"/>
  <c r="Z951" i="21"/>
  <c r="U909" i="21"/>
  <c r="X1148" i="21"/>
  <c r="X1146" i="21"/>
  <c r="X1147" i="21"/>
  <c r="Z950" i="21"/>
  <c r="Z948" i="21"/>
  <c r="Z949" i="21"/>
  <c r="U482" i="21"/>
  <c r="U483" i="21"/>
  <c r="Z561" i="21"/>
  <c r="Z484" i="21"/>
  <c r="Z482" i="21"/>
  <c r="Z483" i="21"/>
  <c r="T481" i="21"/>
  <c r="P481" i="21" s="1"/>
  <c r="O481" i="21"/>
  <c r="U533" i="21"/>
  <c r="X84" i="21"/>
  <c r="X58" i="21"/>
  <c r="X72" i="21"/>
  <c r="Z71" i="21"/>
  <c r="X71" i="21" s="1"/>
  <c r="X35" i="21"/>
  <c r="U534" i="21"/>
  <c r="Z1266" i="21"/>
  <c r="X1266" i="21" s="1"/>
  <c r="Z1253" i="21"/>
  <c r="Z1252" i="21"/>
  <c r="Z1251" i="21"/>
  <c r="Z993" i="21"/>
  <c r="Z994" i="21"/>
  <c r="Z1118" i="21"/>
  <c r="Z1116" i="21"/>
  <c r="Z1117" i="21"/>
  <c r="Z1022" i="21"/>
  <c r="Z1019" i="21"/>
  <c r="Z1020" i="21"/>
  <c r="Z746" i="21"/>
  <c r="Z745" i="21"/>
  <c r="Z981" i="21"/>
  <c r="Z982" i="21"/>
  <c r="Z984" i="21"/>
  <c r="Z1114" i="21"/>
  <c r="Z1115" i="21"/>
  <c r="Z1387" i="21"/>
  <c r="Z1388" i="21"/>
  <c r="Z1384" i="21"/>
  <c r="Z1386" i="21"/>
  <c r="Z1385" i="21"/>
  <c r="Z1756" i="21"/>
  <c r="Z1758" i="21"/>
  <c r="Z1757" i="21"/>
  <c r="Z912" i="21"/>
  <c r="Z911" i="21"/>
  <c r="Z910" i="21"/>
  <c r="Z676" i="21"/>
  <c r="Z677" i="21"/>
  <c r="Z1456" i="21"/>
  <c r="Z1455" i="21"/>
  <c r="Z1870" i="21"/>
  <c r="Z1869" i="21"/>
  <c r="Z1167" i="21"/>
  <c r="Z1168" i="21"/>
  <c r="Z1073" i="21"/>
  <c r="Z1072" i="21"/>
  <c r="Z930" i="21"/>
  <c r="Z929" i="21"/>
  <c r="Z931" i="21"/>
  <c r="Z1440" i="21"/>
  <c r="Z1438" i="21"/>
  <c r="Z1439" i="21"/>
  <c r="Z1505" i="21"/>
  <c r="Z1503" i="21"/>
  <c r="Z1502" i="21"/>
  <c r="Z1501" i="21"/>
  <c r="Z1499" i="21"/>
  <c r="Z1496" i="21"/>
  <c r="Z1500" i="21"/>
  <c r="Z1498" i="21"/>
  <c r="Z1504" i="21"/>
  <c r="Z1497" i="21"/>
  <c r="Z1495" i="21"/>
  <c r="Z1716" i="21"/>
  <c r="Z1715" i="21"/>
  <c r="Z1680" i="21"/>
  <c r="Z1678" i="21"/>
  <c r="Z1679" i="21"/>
  <c r="Z999" i="21"/>
  <c r="Z997" i="21"/>
  <c r="Z998" i="21"/>
  <c r="Z1249" i="21"/>
  <c r="Z1248" i="21"/>
  <c r="Z1247" i="21"/>
  <c r="Z1398" i="21"/>
  <c r="Z1399" i="21"/>
  <c r="Z1906" i="21"/>
  <c r="Z1907" i="21"/>
  <c r="Z1473" i="21"/>
  <c r="Z1472" i="21"/>
  <c r="Z1714" i="21"/>
  <c r="Z1713" i="21"/>
  <c r="Z967" i="21"/>
  <c r="Z969" i="21"/>
  <c r="Z966" i="21"/>
  <c r="Z1045" i="21"/>
  <c r="Z1048" i="21"/>
  <c r="Z1046" i="21"/>
  <c r="Z974" i="21"/>
  <c r="Z975" i="21"/>
  <c r="Z976" i="21"/>
  <c r="Z1868" i="21"/>
  <c r="Z1867" i="21"/>
  <c r="Z1123" i="21"/>
  <c r="Z1124" i="21"/>
  <c r="Z1523" i="21"/>
  <c r="Z1522" i="21"/>
  <c r="Z1521" i="21"/>
  <c r="Z1519" i="21"/>
  <c r="Z1518" i="21"/>
  <c r="Z1520" i="21"/>
  <c r="Z575" i="21"/>
  <c r="Z576" i="21"/>
  <c r="Z577" i="21"/>
  <c r="Z1304" i="21"/>
  <c r="Z1306" i="21"/>
  <c r="Z1305" i="21"/>
  <c r="Z1537" i="21"/>
  <c r="Z1536" i="21"/>
  <c r="Z1535" i="21"/>
  <c r="Z1754" i="21"/>
  <c r="Z1755" i="21"/>
  <c r="Z1534" i="21"/>
  <c r="Z1533" i="21"/>
  <c r="Z1055" i="21"/>
  <c r="Z1053" i="21"/>
  <c r="Z1054" i="21"/>
  <c r="Z1442" i="21"/>
  <c r="Z1441" i="21"/>
  <c r="Z1423" i="21"/>
  <c r="Z1421" i="21"/>
  <c r="Z1422" i="21"/>
  <c r="Z606" i="21"/>
  <c r="Z607" i="21"/>
  <c r="Z1425" i="21"/>
  <c r="Z1424" i="21"/>
  <c r="Z1828" i="21"/>
  <c r="Z1829" i="21"/>
  <c r="Z1790" i="21"/>
  <c r="Z1791" i="21"/>
  <c r="Z918" i="21"/>
  <c r="Z916" i="21"/>
  <c r="Z917" i="21"/>
  <c r="Z1078" i="21"/>
  <c r="Z1076" i="21"/>
  <c r="Z1077" i="21"/>
  <c r="Z1154" i="21"/>
  <c r="Z1156" i="21"/>
  <c r="Z1153" i="21"/>
  <c r="Z1007" i="21"/>
  <c r="Z1005" i="21"/>
  <c r="Z1004" i="21"/>
  <c r="Z1241" i="21"/>
  <c r="Z1239" i="21"/>
  <c r="Z1240" i="21"/>
  <c r="Z816" i="21"/>
  <c r="Z817" i="21"/>
  <c r="Z565" i="21"/>
  <c r="Z564" i="21"/>
  <c r="Z563" i="21"/>
  <c r="Z937" i="21"/>
  <c r="Z935" i="21"/>
  <c r="Z936" i="21"/>
  <c r="Z1101" i="21"/>
  <c r="Z1098" i="21"/>
  <c r="Z1099" i="21"/>
  <c r="Z963" i="21"/>
  <c r="Z964" i="21"/>
  <c r="Z965" i="21"/>
  <c r="Z1908" i="21"/>
  <c r="Z1909" i="21"/>
  <c r="Z1487" i="21"/>
  <c r="Z1488" i="21"/>
  <c r="Z1310" i="21"/>
  <c r="Z1309" i="21"/>
  <c r="Z1308" i="21"/>
  <c r="Z1636" i="21"/>
  <c r="Z1637" i="21"/>
  <c r="Z996" i="21"/>
  <c r="Z995" i="21"/>
  <c r="Z1059" i="21"/>
  <c r="Z1057" i="21"/>
  <c r="Z1058" i="21"/>
  <c r="Z1222" i="21"/>
  <c r="Z1223" i="21"/>
  <c r="Z1224" i="21"/>
  <c r="Z1228" i="21"/>
  <c r="Z1227" i="21"/>
  <c r="Z1226" i="21"/>
  <c r="Z1001" i="21"/>
  <c r="Z1002" i="21"/>
  <c r="Z1003" i="21"/>
  <c r="Z1873" i="21"/>
  <c r="Z1871" i="21"/>
  <c r="Z1872" i="21"/>
  <c r="Z1349" i="21"/>
  <c r="Z1348" i="21"/>
  <c r="Z1640" i="21"/>
  <c r="Z1638" i="21"/>
  <c r="Z1639" i="21"/>
  <c r="Z1832" i="21"/>
  <c r="Z1833" i="21"/>
  <c r="Z1834" i="21"/>
  <c r="Z1596" i="21"/>
  <c r="Z1597" i="21"/>
  <c r="Z1188" i="21"/>
  <c r="Z1189" i="21"/>
  <c r="Z1190" i="21"/>
  <c r="Z1013" i="21"/>
  <c r="Z1012" i="21"/>
  <c r="Z1014" i="21"/>
  <c r="Z796" i="21"/>
  <c r="Z795" i="21"/>
  <c r="Z919" i="21"/>
  <c r="Z920" i="21"/>
  <c r="Z921" i="21"/>
  <c r="Z1323" i="21"/>
  <c r="Z1322" i="21"/>
  <c r="Z1127" i="21"/>
  <c r="Z1126" i="21"/>
  <c r="Z1125" i="21"/>
  <c r="Z1191" i="21"/>
  <c r="Z1192" i="21"/>
  <c r="Z1194" i="21"/>
  <c r="Z941" i="21"/>
  <c r="Z943" i="21"/>
  <c r="Z942" i="21"/>
  <c r="Z1674" i="21"/>
  <c r="Z1675" i="21"/>
  <c r="Z1792" i="21"/>
  <c r="Z1793" i="21"/>
  <c r="Z1166" i="21"/>
  <c r="Z1165" i="21"/>
  <c r="Z1977" i="21"/>
  <c r="Z1978" i="21"/>
  <c r="Z980" i="21"/>
  <c r="Z978" i="21"/>
  <c r="Z979" i="21"/>
  <c r="Z1321" i="21"/>
  <c r="Z1319" i="21"/>
  <c r="Z1320" i="21"/>
  <c r="Z630" i="21"/>
  <c r="Z631" i="21"/>
  <c r="Z1174" i="21"/>
  <c r="Z1175" i="21"/>
  <c r="Z1173" i="21"/>
  <c r="Z1171" i="21"/>
  <c r="Z1169" i="21"/>
  <c r="Z1170" i="21"/>
  <c r="Z1373" i="21"/>
  <c r="Z1374" i="21"/>
  <c r="Z1600" i="21"/>
  <c r="Z1598" i="21"/>
  <c r="Z1599" i="21"/>
  <c r="Z923" i="21"/>
  <c r="Z922" i="21"/>
  <c r="Z924" i="21"/>
  <c r="Z1830" i="21"/>
  <c r="Z1831" i="21"/>
  <c r="Z723" i="21"/>
  <c r="Z722" i="21"/>
  <c r="Z773" i="21"/>
  <c r="Z772" i="21"/>
  <c r="Z1177" i="21"/>
  <c r="Z1179" i="21"/>
  <c r="Z1176" i="21"/>
  <c r="Z1298" i="21"/>
  <c r="Z1297" i="21"/>
  <c r="Z1296" i="21"/>
  <c r="Z1676" i="21"/>
  <c r="Z1677" i="21"/>
  <c r="Z1561" i="21"/>
  <c r="Z1559" i="21"/>
  <c r="Z1560" i="21"/>
  <c r="Z1469" i="21"/>
  <c r="Z1470" i="21"/>
  <c r="Z1471" i="21"/>
  <c r="Z1912" i="21"/>
  <c r="Z1910" i="21"/>
  <c r="Z1911" i="21"/>
  <c r="Z933" i="21"/>
  <c r="Z934" i="21"/>
  <c r="Z932" i="21"/>
  <c r="Z1410" i="21"/>
  <c r="Z1409" i="21"/>
  <c r="Z1558" i="21"/>
  <c r="Z1557" i="21"/>
  <c r="Z1092" i="21"/>
  <c r="Z1091" i="21"/>
  <c r="Z1093" i="21"/>
  <c r="Z1948" i="21"/>
  <c r="Z1947" i="21"/>
  <c r="Z1361" i="21"/>
  <c r="Z1360" i="21"/>
  <c r="Z1148" i="21"/>
  <c r="Z1146" i="21"/>
  <c r="Z1147" i="21"/>
  <c r="Z1082" i="21"/>
  <c r="Z1080" i="21"/>
  <c r="Z1081" i="21"/>
  <c r="Z1337" i="21"/>
  <c r="Z1338" i="21"/>
  <c r="Z560" i="21"/>
  <c r="Z1184" i="21"/>
  <c r="Z1186" i="21"/>
  <c r="Z1185" i="21"/>
  <c r="Z1086" i="21"/>
  <c r="Z1083" i="21"/>
  <c r="Z1084" i="21"/>
  <c r="Z1095" i="21"/>
  <c r="Z1097" i="21"/>
  <c r="Z1096" i="21"/>
  <c r="Z1976" i="21"/>
  <c r="Z1975" i="21"/>
  <c r="Z1634" i="21"/>
  <c r="Z1635" i="21"/>
  <c r="Z915" i="21"/>
  <c r="Z913" i="21"/>
  <c r="Z914" i="21"/>
  <c r="Z1074" i="21"/>
  <c r="Z1075" i="21"/>
  <c r="Z562" i="21"/>
  <c r="Z1594" i="21"/>
  <c r="Z1595" i="21"/>
  <c r="Z580" i="21"/>
  <c r="Z579" i="21"/>
  <c r="Z578" i="21"/>
  <c r="Z939" i="21"/>
  <c r="Z940" i="21"/>
  <c r="Z938" i="21"/>
  <c r="Z753" i="21"/>
  <c r="Z752" i="21"/>
  <c r="Z751" i="21"/>
  <c r="Z1152" i="21"/>
  <c r="Z1150" i="21"/>
  <c r="Z1151" i="21"/>
  <c r="Z1334" i="21"/>
  <c r="Z1335" i="21"/>
  <c r="Z1336" i="21"/>
  <c r="Z1017" i="21"/>
  <c r="Z1018" i="21"/>
  <c r="Z1016" i="21"/>
  <c r="Z1063" i="21"/>
  <c r="Z1060" i="21"/>
  <c r="Z1061" i="21"/>
  <c r="Z1556" i="21"/>
  <c r="Z1555" i="21"/>
  <c r="Z1752" i="21"/>
  <c r="Z1753" i="21"/>
  <c r="Z1951" i="21"/>
  <c r="Z1949" i="21"/>
  <c r="Z1950" i="21"/>
  <c r="T532" i="21"/>
  <c r="P532" i="21" s="1"/>
  <c r="O532" i="21"/>
  <c r="Z1141" i="21"/>
  <c r="Z1138" i="21"/>
  <c r="Z1139" i="21"/>
  <c r="Z700" i="21"/>
  <c r="Z699" i="21"/>
  <c r="Z653" i="21"/>
  <c r="Z654" i="21"/>
  <c r="Z1531" i="21"/>
  <c r="Z1532" i="21"/>
  <c r="Z1795" i="21"/>
  <c r="Z1794" i="21"/>
  <c r="Z1796" i="21"/>
  <c r="Z1718" i="21"/>
  <c r="Z1719" i="21"/>
  <c r="Z1717" i="21"/>
  <c r="Z1945" i="21"/>
  <c r="Z1946" i="21"/>
  <c r="Z494" i="21"/>
  <c r="Z492" i="21"/>
  <c r="Z493" i="21"/>
  <c r="Z445" i="21"/>
  <c r="Z446" i="21"/>
  <c r="Z474" i="21"/>
  <c r="Z472" i="21"/>
  <c r="Z473" i="21"/>
  <c r="Z486" i="21"/>
  <c r="Z487" i="21"/>
  <c r="Z485" i="21"/>
  <c r="Z448" i="21"/>
  <c r="Z447" i="21"/>
  <c r="Z24" i="21"/>
  <c r="X24" i="21" s="1"/>
  <c r="Z395" i="21"/>
  <c r="Z396" i="21"/>
  <c r="Z320" i="21"/>
  <c r="Z321" i="21"/>
  <c r="Z25" i="21"/>
  <c r="Z26" i="21"/>
  <c r="Z373" i="21"/>
  <c r="Z372" i="21"/>
  <c r="Z271" i="21"/>
  <c r="Z269" i="21"/>
  <c r="Z270" i="21"/>
  <c r="Z245" i="21"/>
  <c r="Z244" i="21"/>
  <c r="Z370" i="21"/>
  <c r="Z371" i="21"/>
  <c r="Z226" i="21"/>
  <c r="Z225" i="21"/>
  <c r="Z295" i="21"/>
  <c r="Z296" i="21"/>
  <c r="Z345" i="21"/>
  <c r="Z346" i="21"/>
  <c r="Z205" i="21"/>
  <c r="Z206" i="21"/>
  <c r="Z29" i="21"/>
  <c r="X29" i="21" s="1"/>
  <c r="Z58" i="21"/>
  <c r="Z348" i="21"/>
  <c r="Z347" i="21"/>
  <c r="Z398" i="21"/>
  <c r="Z397" i="21"/>
  <c r="Z323" i="21"/>
  <c r="Z322" i="21"/>
  <c r="Z208" i="21"/>
  <c r="Z207" i="21"/>
  <c r="Z420" i="21"/>
  <c r="Z421" i="21"/>
  <c r="Z261" i="21"/>
  <c r="Z262" i="21"/>
  <c r="Z242" i="21"/>
  <c r="Z243" i="21"/>
  <c r="Z186" i="21"/>
  <c r="Z187" i="21"/>
  <c r="Z189" i="21"/>
  <c r="Z188" i="21"/>
  <c r="Z298" i="21"/>
  <c r="Z297" i="21"/>
  <c r="Z28" i="21"/>
  <c r="Z27" i="21"/>
  <c r="Z423" i="21"/>
  <c r="Z422" i="21"/>
  <c r="Z84" i="21"/>
  <c r="Z263" i="21"/>
  <c r="Z264" i="21"/>
  <c r="Z224" i="21"/>
  <c r="Z223" i="21"/>
  <c r="Z34" i="21"/>
  <c r="Z33" i="21"/>
  <c r="Z139" i="21"/>
  <c r="Z137" i="21"/>
  <c r="Z138" i="21"/>
  <c r="Z140" i="21"/>
  <c r="X140" i="21" s="1"/>
  <c r="Z176" i="21"/>
  <c r="Z175" i="21"/>
  <c r="Z157" i="21"/>
  <c r="Z155" i="21"/>
  <c r="Z156" i="21"/>
  <c r="Z173" i="21"/>
  <c r="Z174" i="21"/>
  <c r="Z59" i="21"/>
  <c r="Z60" i="21"/>
  <c r="Z64" i="21"/>
  <c r="Z65" i="21"/>
  <c r="Z94" i="21"/>
  <c r="X94" i="21" s="1"/>
  <c r="Z96" i="21"/>
  <c r="X96" i="21" s="1"/>
  <c r="Z88" i="21"/>
  <c r="Z89" i="21"/>
  <c r="Z93" i="21"/>
  <c r="Z92" i="21"/>
  <c r="Z90" i="21"/>
  <c r="Z91" i="21"/>
  <c r="Z70" i="21"/>
  <c r="Z69" i="21"/>
  <c r="Z112" i="21"/>
  <c r="Z111" i="21"/>
  <c r="Z110" i="21"/>
  <c r="Z108" i="21"/>
  <c r="Z107" i="21"/>
  <c r="Z106" i="21"/>
  <c r="Z105" i="21"/>
  <c r="Z109" i="21"/>
  <c r="T67" i="21"/>
  <c r="P67" i="21" s="1"/>
  <c r="Z77" i="21"/>
  <c r="Z75" i="21"/>
  <c r="Z66" i="21"/>
  <c r="W795" i="21"/>
  <c r="W796" i="21"/>
  <c r="W1323" i="21"/>
  <c r="W1322" i="21"/>
  <c r="M1494" i="21"/>
  <c r="W1492" i="21"/>
  <c r="W1490" i="21"/>
  <c r="W1495" i="21"/>
  <c r="W1494" i="21"/>
  <c r="W1493" i="21"/>
  <c r="W1491" i="21"/>
  <c r="W1372" i="21"/>
  <c r="W1371" i="21"/>
  <c r="W1488" i="21"/>
  <c r="W1487" i="21"/>
  <c r="W1348" i="21"/>
  <c r="W1349" i="21"/>
  <c r="W629" i="21"/>
  <c r="W628" i="21"/>
  <c r="W419" i="21"/>
  <c r="W418" i="21"/>
  <c r="W630" i="21"/>
  <c r="W631" i="21"/>
  <c r="W721" i="21"/>
  <c r="W720" i="21"/>
  <c r="W770" i="21"/>
  <c r="W771" i="21"/>
  <c r="W1373" i="21"/>
  <c r="W1374" i="21"/>
  <c r="W1467" i="21"/>
  <c r="W1468" i="21"/>
  <c r="W722" i="21"/>
  <c r="W723" i="21"/>
  <c r="W772" i="21"/>
  <c r="W773" i="21"/>
  <c r="W1408" i="21"/>
  <c r="W1407" i="21"/>
  <c r="W1409" i="21"/>
  <c r="W1410" i="21"/>
  <c r="W1420" i="21"/>
  <c r="W1419" i="21"/>
  <c r="W1359" i="21"/>
  <c r="W1358" i="21"/>
  <c r="M1516" i="21"/>
  <c r="W1514" i="21"/>
  <c r="W1512" i="21"/>
  <c r="W1511" i="21"/>
  <c r="W1510" i="21"/>
  <c r="W1508" i="21"/>
  <c r="W1509" i="21"/>
  <c r="W1517" i="21"/>
  <c r="W1516" i="21"/>
  <c r="W1515" i="21"/>
  <c r="W1513" i="21"/>
  <c r="W1361" i="21"/>
  <c r="W1360" i="21"/>
  <c r="W1382" i="21"/>
  <c r="W1383" i="21"/>
  <c r="W1347" i="21"/>
  <c r="W1346" i="21"/>
  <c r="W1454" i="21"/>
  <c r="W1453" i="21"/>
  <c r="W398" i="21"/>
  <c r="W397" i="21"/>
  <c r="W421" i="21"/>
  <c r="W420" i="21"/>
  <c r="W698" i="21"/>
  <c r="W697" i="21"/>
  <c r="W651" i="21"/>
  <c r="W652" i="21"/>
  <c r="W1337" i="21"/>
  <c r="W1338" i="21"/>
  <c r="W744" i="21"/>
  <c r="W743" i="21"/>
  <c r="W700" i="21"/>
  <c r="W699" i="21"/>
  <c r="W653" i="21"/>
  <c r="W654" i="21"/>
  <c r="M1504" i="21"/>
  <c r="W1499" i="21"/>
  <c r="W1498" i="21"/>
  <c r="W1505" i="21"/>
  <c r="W1504" i="21"/>
  <c r="W1503" i="21"/>
  <c r="W1502" i="21"/>
  <c r="W1501" i="21"/>
  <c r="W1500" i="21"/>
  <c r="W1497" i="21"/>
  <c r="W1496" i="21"/>
  <c r="W745" i="21"/>
  <c r="W746" i="21"/>
  <c r="W675" i="21"/>
  <c r="W674" i="21"/>
  <c r="W1388" i="21"/>
  <c r="W1387" i="21"/>
  <c r="W1318" i="21"/>
  <c r="W1317" i="21"/>
  <c r="W1333" i="21"/>
  <c r="W1332" i="21"/>
  <c r="M504" i="21"/>
  <c r="W504" i="21"/>
  <c r="W503" i="21"/>
  <c r="W502" i="21"/>
  <c r="W794" i="21"/>
  <c r="W793" i="21"/>
  <c r="W446" i="21"/>
  <c r="W445" i="21"/>
  <c r="W676" i="21"/>
  <c r="W677" i="21"/>
  <c r="W1456" i="21"/>
  <c r="W1455" i="21"/>
  <c r="M498" i="21"/>
  <c r="W497" i="21"/>
  <c r="W498" i="21"/>
  <c r="W496" i="21"/>
  <c r="W1397" i="21"/>
  <c r="W1396" i="21"/>
  <c r="W1399" i="21"/>
  <c r="W1398" i="21"/>
  <c r="W1473" i="21"/>
  <c r="W1472" i="21"/>
  <c r="W1437" i="21"/>
  <c r="W1436" i="21"/>
  <c r="W506" i="21"/>
  <c r="W423" i="21"/>
  <c r="W422" i="21"/>
  <c r="W605" i="21"/>
  <c r="W604" i="21"/>
  <c r="W507" i="21"/>
  <c r="W393" i="21"/>
  <c r="W394" i="21"/>
  <c r="W1131" i="21"/>
  <c r="W1132" i="21"/>
  <c r="W1130" i="21"/>
  <c r="W815" i="21"/>
  <c r="W814" i="21"/>
  <c r="W448" i="21"/>
  <c r="W447" i="21"/>
  <c r="M1522" i="21"/>
  <c r="W1521" i="21"/>
  <c r="W1520" i="21"/>
  <c r="W1523" i="21"/>
  <c r="W1522" i="21"/>
  <c r="W1519" i="21"/>
  <c r="W1518" i="21"/>
  <c r="W1441" i="21"/>
  <c r="W1442" i="21"/>
  <c r="W444" i="21"/>
  <c r="W443" i="21"/>
  <c r="W508" i="21"/>
  <c r="W607" i="21"/>
  <c r="W606" i="21"/>
  <c r="W396" i="21"/>
  <c r="W395" i="21"/>
  <c r="W817" i="21"/>
  <c r="W816" i="21"/>
  <c r="W1425" i="21"/>
  <c r="W1424" i="21"/>
  <c r="W1486" i="21"/>
  <c r="W1485" i="21"/>
  <c r="W222" i="21"/>
  <c r="W221" i="21"/>
  <c r="W65" i="21"/>
  <c r="W64" i="21"/>
  <c r="W322" i="21"/>
  <c r="W323" i="21"/>
  <c r="W208" i="21"/>
  <c r="W207" i="21"/>
  <c r="W262" i="21"/>
  <c r="W261" i="21"/>
  <c r="W89" i="21"/>
  <c r="W88" i="21"/>
  <c r="W243" i="21"/>
  <c r="W242" i="21"/>
  <c r="W92" i="21"/>
  <c r="W93" i="21"/>
  <c r="W189" i="21"/>
  <c r="W188" i="21"/>
  <c r="W298" i="21"/>
  <c r="W297" i="21"/>
  <c r="W204" i="21"/>
  <c r="W203" i="21"/>
  <c r="W369" i="21"/>
  <c r="W368" i="21"/>
  <c r="W28" i="21"/>
  <c r="W27" i="21"/>
  <c r="W264" i="21"/>
  <c r="W263" i="21"/>
  <c r="W172" i="21"/>
  <c r="W171" i="21"/>
  <c r="W74" i="21"/>
  <c r="W73" i="21"/>
  <c r="W224" i="21"/>
  <c r="W223" i="21"/>
  <c r="W321" i="21"/>
  <c r="W320" i="21"/>
  <c r="W36" i="21"/>
  <c r="W37" i="21"/>
  <c r="W174" i="21"/>
  <c r="W173" i="21"/>
  <c r="W26" i="21"/>
  <c r="W25" i="21"/>
  <c r="W373" i="21"/>
  <c r="W372" i="21"/>
  <c r="W187" i="21"/>
  <c r="W186" i="21"/>
  <c r="W70" i="21"/>
  <c r="W69" i="21"/>
  <c r="W91" i="21"/>
  <c r="W90" i="21"/>
  <c r="W206" i="21"/>
  <c r="W205" i="21"/>
  <c r="W371" i="21"/>
  <c r="W370" i="21"/>
  <c r="W225" i="21"/>
  <c r="W226" i="21"/>
  <c r="W346" i="21"/>
  <c r="W345" i="21"/>
  <c r="W319" i="21"/>
  <c r="W318" i="21"/>
  <c r="W245" i="21"/>
  <c r="W244" i="21"/>
  <c r="W60" i="21"/>
  <c r="W59" i="21"/>
  <c r="W185" i="21"/>
  <c r="W184" i="21"/>
  <c r="W344" i="21"/>
  <c r="W343" i="21"/>
  <c r="W241" i="21"/>
  <c r="W240" i="21"/>
  <c r="W294" i="21"/>
  <c r="W293" i="21"/>
  <c r="W347" i="21"/>
  <c r="W348" i="21"/>
  <c r="W175" i="21"/>
  <c r="W176" i="21"/>
  <c r="W260" i="21"/>
  <c r="W259" i="21"/>
  <c r="W296" i="21"/>
  <c r="W295" i="21"/>
  <c r="W1160" i="21"/>
  <c r="W1155" i="21"/>
  <c r="W1149" i="21"/>
  <c r="W35" i="21"/>
  <c r="W54" i="21"/>
  <c r="W47" i="21"/>
  <c r="W1233" i="21"/>
  <c r="W1229" i="21"/>
  <c r="W1225" i="21"/>
  <c r="W83" i="21"/>
  <c r="W76" i="21"/>
  <c r="W72" i="21"/>
  <c r="W1145" i="21"/>
  <c r="W1140" i="21"/>
  <c r="W1134" i="21"/>
  <c r="U1981" i="21"/>
  <c r="U1980" i="21"/>
  <c r="U1979" i="21"/>
  <c r="U1866" i="21"/>
  <c r="U1865" i="21"/>
  <c r="U1864" i="21"/>
  <c r="U1944" i="21"/>
  <c r="U1943" i="21"/>
  <c r="U1942" i="21"/>
  <c r="U1873" i="21"/>
  <c r="U1872" i="21"/>
  <c r="U1871" i="21"/>
  <c r="U1974" i="21"/>
  <c r="U1973" i="21"/>
  <c r="U1972" i="21"/>
  <c r="U476" i="21"/>
  <c r="U1912" i="21"/>
  <c r="U1911" i="21"/>
  <c r="U1910" i="21"/>
  <c r="U1904" i="21"/>
  <c r="U1903" i="21"/>
  <c r="U1905" i="21"/>
  <c r="U1951" i="21"/>
  <c r="U1950" i="21"/>
  <c r="U1949" i="21"/>
  <c r="U1834" i="21"/>
  <c r="U1833" i="21"/>
  <c r="U1832" i="21"/>
  <c r="U931" i="21"/>
  <c r="U930" i="21"/>
  <c r="U929" i="21"/>
  <c r="U1440" i="21"/>
  <c r="U1439" i="21"/>
  <c r="U1438" i="21"/>
  <c r="U1314" i="21"/>
  <c r="U1313" i="21"/>
  <c r="U1312" i="21"/>
  <c r="U1796" i="21"/>
  <c r="U1795" i="21"/>
  <c r="U1794" i="21"/>
  <c r="U1280" i="21"/>
  <c r="U1279" i="21"/>
  <c r="U1278" i="21"/>
  <c r="U1066" i="21"/>
  <c r="U1065" i="21"/>
  <c r="U1064" i="21"/>
  <c r="U561" i="21"/>
  <c r="U560" i="21"/>
  <c r="U562" i="21"/>
  <c r="U1471" i="21"/>
  <c r="U1470" i="21"/>
  <c r="U1469" i="21"/>
  <c r="U1789" i="21"/>
  <c r="U1788" i="21"/>
  <c r="U1787" i="21"/>
  <c r="U987" i="21"/>
  <c r="U986" i="21"/>
  <c r="U985" i="21"/>
  <c r="U1751" i="21"/>
  <c r="U1750" i="21"/>
  <c r="U1749" i="21"/>
  <c r="U1302" i="21"/>
  <c r="U1301" i="21"/>
  <c r="U1300" i="21"/>
  <c r="U1122" i="21"/>
  <c r="U1121" i="21"/>
  <c r="U1120" i="21"/>
  <c r="U1310" i="21"/>
  <c r="U1309" i="21"/>
  <c r="U1308" i="21"/>
  <c r="U1018" i="21"/>
  <c r="U1017" i="21"/>
  <c r="U1016" i="21"/>
  <c r="U1215" i="21"/>
  <c r="U1214" i="21"/>
  <c r="U1216" i="21"/>
  <c r="U1600" i="21"/>
  <c r="U1599" i="21"/>
  <c r="U1598" i="21"/>
  <c r="U1289" i="21"/>
  <c r="U1288" i="21"/>
  <c r="U1287" i="21"/>
  <c r="U1321" i="21"/>
  <c r="U1320" i="21"/>
  <c r="U1319" i="21"/>
  <c r="U1640" i="21"/>
  <c r="U1639" i="21"/>
  <c r="U1638" i="21"/>
  <c r="U1710" i="21"/>
  <c r="U1712" i="21"/>
  <c r="U1711" i="21"/>
  <c r="U1104" i="21"/>
  <c r="U1103" i="21"/>
  <c r="U1102" i="21"/>
  <c r="U1673" i="21"/>
  <c r="U1672" i="21"/>
  <c r="U1671" i="21"/>
  <c r="U1758" i="21"/>
  <c r="U1757" i="21"/>
  <c r="U1756" i="21"/>
  <c r="U1593" i="21"/>
  <c r="U1592" i="21"/>
  <c r="U1591" i="21"/>
  <c r="U1113" i="21"/>
  <c r="U1112" i="21"/>
  <c r="U1111" i="21"/>
  <c r="U1109" i="21"/>
  <c r="U1108" i="21"/>
  <c r="U1107" i="21"/>
  <c r="U1014" i="21"/>
  <c r="U1013" i="21"/>
  <c r="U1012" i="21"/>
  <c r="U841" i="21"/>
  <c r="U840" i="21"/>
  <c r="U839" i="21"/>
  <c r="U1530" i="21"/>
  <c r="U1529" i="21"/>
  <c r="U1528" i="21"/>
  <c r="U1827" i="21"/>
  <c r="U1826" i="21"/>
  <c r="U1825" i="21"/>
  <c r="U1148" i="21"/>
  <c r="U1147" i="21"/>
  <c r="U1146" i="21"/>
  <c r="U1157" i="21"/>
  <c r="U1159" i="21"/>
  <c r="U1158" i="21"/>
  <c r="U1082" i="21"/>
  <c r="U1081" i="21"/>
  <c r="U1080" i="21"/>
  <c r="U1127" i="21"/>
  <c r="U1126" i="21"/>
  <c r="U1125" i="21"/>
  <c r="U1059" i="21"/>
  <c r="U1058" i="21"/>
  <c r="U1057" i="21"/>
  <c r="U1186" i="21"/>
  <c r="U1185" i="21"/>
  <c r="U1184" i="21"/>
  <c r="U139" i="21"/>
  <c r="U138" i="21"/>
  <c r="U137" i="21"/>
  <c r="U1423" i="21"/>
  <c r="U1422" i="21"/>
  <c r="U1421" i="21"/>
  <c r="U1719" i="21"/>
  <c r="U1718" i="21"/>
  <c r="U1717" i="21"/>
  <c r="U1039" i="21"/>
  <c r="U1038" i="21"/>
  <c r="U1037" i="21"/>
  <c r="U1241" i="21"/>
  <c r="U1240" i="21"/>
  <c r="U1239" i="21"/>
  <c r="U1275" i="21"/>
  <c r="U1274" i="21"/>
  <c r="U1273" i="21"/>
  <c r="U487" i="21"/>
  <c r="U486" i="21"/>
  <c r="U485" i="21"/>
  <c r="U1249" i="21"/>
  <c r="U1248" i="21"/>
  <c r="U1247" i="21"/>
  <c r="U1336" i="21"/>
  <c r="U1335" i="21"/>
  <c r="U1334" i="21"/>
  <c r="U1537" i="21"/>
  <c r="U1536" i="21"/>
  <c r="U1535" i="21"/>
  <c r="U1220" i="21"/>
  <c r="U1219" i="21"/>
  <c r="U1218" i="21"/>
  <c r="U1680" i="21"/>
  <c r="U1679" i="21"/>
  <c r="U1678" i="21"/>
  <c r="U271" i="21"/>
  <c r="U270" i="21"/>
  <c r="U269" i="21"/>
  <c r="U937" i="21"/>
  <c r="U936" i="21"/>
  <c r="U935" i="21"/>
  <c r="U1207" i="21"/>
  <c r="U1206" i="21"/>
  <c r="U1205" i="21"/>
  <c r="U1386" i="21"/>
  <c r="U1385" i="21"/>
  <c r="U1384" i="21"/>
  <c r="U1093" i="21"/>
  <c r="U1092" i="21"/>
  <c r="U1091" i="21"/>
  <c r="U477" i="21"/>
  <c r="U924" i="21"/>
  <c r="U923" i="21"/>
  <c r="U922" i="21"/>
  <c r="U1633" i="21"/>
  <c r="U1632" i="21"/>
  <c r="U1631" i="21"/>
  <c r="U470" i="21"/>
  <c r="U469" i="21"/>
  <c r="U471" i="21"/>
  <c r="U1560" i="21"/>
  <c r="U1559" i="21"/>
  <c r="U1561" i="21"/>
  <c r="U1554" i="21"/>
  <c r="U1553" i="21"/>
  <c r="U1552" i="21"/>
  <c r="U750" i="21"/>
  <c r="U749" i="21"/>
  <c r="U748" i="21"/>
  <c r="T243" i="21"/>
  <c r="P243" i="21" s="1"/>
  <c r="O243" i="21"/>
  <c r="T939" i="21"/>
  <c r="P939" i="21" s="1"/>
  <c r="O939" i="21"/>
  <c r="T1757" i="21"/>
  <c r="P1757" i="21" s="1"/>
  <c r="O1757" i="21"/>
  <c r="T1865" i="21"/>
  <c r="P1865" i="21" s="1"/>
  <c r="O1865" i="21"/>
  <c r="T1038" i="21"/>
  <c r="P1038" i="21" s="1"/>
  <c r="O1038" i="21"/>
  <c r="T1976" i="21"/>
  <c r="P1976" i="21" s="1"/>
  <c r="O1976" i="21"/>
  <c r="T1131" i="21"/>
  <c r="P1131" i="21" s="1"/>
  <c r="O1131" i="21"/>
  <c r="T1518" i="21"/>
  <c r="P1518" i="21" s="1"/>
  <c r="O1518" i="21"/>
  <c r="O91" i="21"/>
  <c r="T91" i="21"/>
  <c r="P91" i="21" s="1"/>
  <c r="T1274" i="21"/>
  <c r="P1274" i="21" s="1"/>
  <c r="O1274" i="21"/>
  <c r="T1599" i="21"/>
  <c r="P1599" i="21" s="1"/>
  <c r="O1599" i="21"/>
  <c r="T1592" i="21"/>
  <c r="P1592" i="21" s="1"/>
  <c r="O1592" i="21"/>
  <c r="O94" i="21"/>
  <c r="T94" i="21"/>
  <c r="P94" i="21" s="1"/>
  <c r="O34" i="21"/>
  <c r="T34" i="21"/>
  <c r="P34" i="21" s="1"/>
  <c r="T499" i="21"/>
  <c r="P499" i="21" s="1"/>
  <c r="O499" i="21"/>
  <c r="T224" i="21"/>
  <c r="P224" i="21" s="1"/>
  <c r="O224" i="21"/>
  <c r="T347" i="21"/>
  <c r="P347" i="21" s="1"/>
  <c r="O347" i="21"/>
  <c r="T241" i="21"/>
  <c r="P241" i="21" s="1"/>
  <c r="O241" i="21"/>
  <c r="T795" i="21"/>
  <c r="P795" i="21" s="1"/>
  <c r="O795" i="21"/>
  <c r="T1134" i="21"/>
  <c r="P1134" i="21" s="1"/>
  <c r="O1134" i="21"/>
  <c r="T473" i="21"/>
  <c r="P473" i="21" s="1"/>
  <c r="O473" i="21"/>
  <c r="T653" i="21"/>
  <c r="P653" i="21" s="1"/>
  <c r="O653" i="21"/>
  <c r="T908" i="21"/>
  <c r="P908" i="21" s="1"/>
  <c r="O908" i="21"/>
  <c r="T1236" i="21"/>
  <c r="P1236" i="21" s="1"/>
  <c r="O1236" i="21"/>
  <c r="T827" i="21"/>
  <c r="P827" i="21" s="1"/>
  <c r="O827" i="21"/>
  <c r="T1911" i="21"/>
  <c r="P1911" i="21" s="1"/>
  <c r="O1911" i="21"/>
  <c r="T923" i="21"/>
  <c r="P923" i="21" s="1"/>
  <c r="O923" i="21"/>
  <c r="T1907" i="21"/>
  <c r="P1907" i="21" s="1"/>
  <c r="O1907" i="21"/>
  <c r="T1714" i="21"/>
  <c r="P1714" i="21" s="1"/>
  <c r="O1714" i="21"/>
  <c r="T1826" i="21"/>
  <c r="P1826" i="21" s="1"/>
  <c r="O1826" i="21"/>
  <c r="T1490" i="21"/>
  <c r="P1490" i="21" s="1"/>
  <c r="O1490" i="21"/>
  <c r="T1420" i="21"/>
  <c r="P1420" i="21" s="1"/>
  <c r="O1420" i="21"/>
  <c r="T1492" i="21"/>
  <c r="P1492" i="21" s="1"/>
  <c r="O1492" i="21"/>
  <c r="T1508" i="21"/>
  <c r="P1508" i="21" s="1"/>
  <c r="O1508" i="21"/>
  <c r="T447" i="21"/>
  <c r="P447" i="21" s="1"/>
  <c r="O447" i="21"/>
  <c r="O1065" i="21"/>
  <c r="T1065" i="21"/>
  <c r="P1065" i="21" s="1"/>
  <c r="O71" i="21"/>
  <c r="T71" i="21"/>
  <c r="P71" i="21" s="1"/>
  <c r="T371" i="21"/>
  <c r="P371" i="21" s="1"/>
  <c r="O371" i="21"/>
  <c r="T222" i="21"/>
  <c r="P222" i="21" s="1"/>
  <c r="O222" i="21"/>
  <c r="T771" i="21"/>
  <c r="P771" i="21" s="1"/>
  <c r="O771" i="21"/>
  <c r="T698" i="21"/>
  <c r="P698" i="21" s="1"/>
  <c r="O698" i="21"/>
  <c r="T344" i="21"/>
  <c r="P344" i="21" s="1"/>
  <c r="O344" i="21"/>
  <c r="T1005" i="21"/>
  <c r="P1005" i="21" s="1"/>
  <c r="O1005" i="21"/>
  <c r="T828" i="21"/>
  <c r="P828" i="21" s="1"/>
  <c r="O828" i="21"/>
  <c r="T1143" i="21"/>
  <c r="P1143" i="21" s="1"/>
  <c r="O1143" i="21"/>
  <c r="T1558" i="21"/>
  <c r="P1558" i="21" s="1"/>
  <c r="O1558" i="21"/>
  <c r="T1333" i="21"/>
  <c r="P1333" i="21" s="1"/>
  <c r="O1333" i="21"/>
  <c r="T1494" i="21"/>
  <c r="P1494" i="21" s="1"/>
  <c r="O1494" i="21"/>
  <c r="T1521" i="21"/>
  <c r="P1521" i="21" s="1"/>
  <c r="O1521" i="21"/>
  <c r="T346" i="21"/>
  <c r="P346" i="21" s="1"/>
  <c r="O346" i="21"/>
  <c r="T1223" i="21"/>
  <c r="P1223" i="21" s="1"/>
  <c r="O1223" i="21"/>
  <c r="T996" i="21"/>
  <c r="P996" i="21" s="1"/>
  <c r="O996" i="21"/>
  <c r="T1793" i="21"/>
  <c r="P1793" i="21" s="1"/>
  <c r="O1793" i="21"/>
  <c r="T1718" i="21"/>
  <c r="P1718" i="21" s="1"/>
  <c r="O1718" i="21"/>
  <c r="T1510" i="21"/>
  <c r="P1510" i="21" s="1"/>
  <c r="O1510" i="21"/>
  <c r="T1516" i="21"/>
  <c r="P1516" i="21" s="1"/>
  <c r="O1516" i="21"/>
  <c r="T1635" i="21"/>
  <c r="P1635" i="21" s="1"/>
  <c r="O1635" i="21"/>
  <c r="T1595" i="21"/>
  <c r="P1595" i="21" s="1"/>
  <c r="O1595" i="21"/>
  <c r="T1219" i="21"/>
  <c r="P1219" i="21" s="1"/>
  <c r="O1219" i="21"/>
  <c r="T1493" i="21"/>
  <c r="P1493" i="21" s="1"/>
  <c r="O1493" i="21"/>
  <c r="T1522" i="21"/>
  <c r="P1522" i="21" s="1"/>
  <c r="O1522" i="21"/>
  <c r="O35" i="21"/>
  <c r="T35" i="21"/>
  <c r="P35" i="21" s="1"/>
  <c r="T579" i="21"/>
  <c r="P579" i="21" s="1"/>
  <c r="O579" i="21"/>
  <c r="T1679" i="21"/>
  <c r="P1679" i="21" s="1"/>
  <c r="O1679" i="21"/>
  <c r="T187" i="21"/>
  <c r="P187" i="21" s="1"/>
  <c r="O187" i="21"/>
  <c r="T263" i="21"/>
  <c r="P263" i="21" s="1"/>
  <c r="O263" i="21"/>
  <c r="T297" i="21"/>
  <c r="P297" i="21" s="1"/>
  <c r="O297" i="21"/>
  <c r="T1070" i="21"/>
  <c r="P1070" i="21" s="1"/>
  <c r="O1070" i="21"/>
  <c r="T1123" i="21"/>
  <c r="P1123" i="21" s="1"/>
  <c r="O1123" i="21"/>
  <c r="T1024" i="21"/>
  <c r="P1024" i="21" s="1"/>
  <c r="O1024" i="21"/>
  <c r="T675" i="21"/>
  <c r="P675" i="21" s="1"/>
  <c r="O675" i="21"/>
  <c r="T138" i="21"/>
  <c r="P138" i="21" s="1"/>
  <c r="O138" i="21"/>
  <c r="T1498" i="21"/>
  <c r="P1498" i="21" s="1"/>
  <c r="O1498" i="21"/>
  <c r="T1185" i="21"/>
  <c r="P1185" i="21" s="1"/>
  <c r="O1185" i="21"/>
  <c r="T986" i="21"/>
  <c r="P986" i="21" s="1"/>
  <c r="O986" i="21"/>
  <c r="T1385" i="21"/>
  <c r="P1385" i="21" s="1"/>
  <c r="O1385" i="21"/>
  <c r="T1946" i="21"/>
  <c r="P1946" i="21" s="1"/>
  <c r="O1946" i="21"/>
  <c r="T1383" i="21"/>
  <c r="P1383" i="21" s="1"/>
  <c r="O1383" i="21"/>
  <c r="T1532" i="21"/>
  <c r="P1532" i="21" s="1"/>
  <c r="O1532" i="21"/>
  <c r="T1520" i="21"/>
  <c r="P1520" i="21" s="1"/>
  <c r="O1520" i="21"/>
  <c r="O72" i="21"/>
  <c r="T72" i="21"/>
  <c r="P72" i="21" s="1"/>
  <c r="T1472" i="21"/>
  <c r="P1472" i="21" s="1"/>
  <c r="U1473" i="21" s="1"/>
  <c r="O1472" i="21"/>
  <c r="T652" i="21"/>
  <c r="P652" i="21" s="1"/>
  <c r="O652" i="21"/>
  <c r="T1061" i="21"/>
  <c r="P1061" i="21" s="1"/>
  <c r="O1061" i="21"/>
  <c r="O27" i="21"/>
  <c r="T27" i="21"/>
  <c r="P27" i="21" s="1"/>
  <c r="T576" i="21"/>
  <c r="P576" i="21" s="1"/>
  <c r="O576" i="21"/>
  <c r="T629" i="21"/>
  <c r="P629" i="21" s="1"/>
  <c r="O629" i="21"/>
  <c r="T558" i="21"/>
  <c r="P558" i="21" s="1"/>
  <c r="O558" i="21"/>
  <c r="T1002" i="21"/>
  <c r="P1002" i="21" s="1"/>
  <c r="O1002" i="21"/>
  <c r="T1124" i="21"/>
  <c r="P1124" i="21" s="1"/>
  <c r="O1124" i="21"/>
  <c r="T1163" i="21"/>
  <c r="P1163" i="21" s="1"/>
  <c r="O1163" i="21"/>
  <c r="T267" i="21"/>
  <c r="P267" i="21" s="1"/>
  <c r="O267" i="21"/>
  <c r="T1077" i="21"/>
  <c r="P1077" i="21" s="1"/>
  <c r="O1077" i="21"/>
  <c r="T1372" i="21"/>
  <c r="P1372" i="21" s="1"/>
  <c r="O1372" i="21"/>
  <c r="T1301" i="21"/>
  <c r="P1301" i="21" s="1"/>
  <c r="O1301" i="21"/>
  <c r="T1318" i="21"/>
  <c r="P1318" i="21" s="1"/>
  <c r="O1318" i="21"/>
  <c r="T1755" i="21"/>
  <c r="P1755" i="21" s="1"/>
  <c r="O1755" i="21"/>
  <c r="T1468" i="21"/>
  <c r="P1468" i="21" s="1"/>
  <c r="O1468" i="21"/>
  <c r="T1437" i="21"/>
  <c r="P1437" i="21" s="1"/>
  <c r="O1437" i="21"/>
  <c r="T1512" i="21"/>
  <c r="P1512" i="21" s="1"/>
  <c r="O1512" i="21"/>
  <c r="T1017" i="21"/>
  <c r="P1017" i="21" s="1"/>
  <c r="O1017" i="21"/>
  <c r="T1980" i="21"/>
  <c r="P1980" i="21" s="1"/>
  <c r="S1984" i="21"/>
  <c r="S1982" i="21"/>
  <c r="S1983" i="21"/>
  <c r="O1980" i="21"/>
  <c r="T1177" i="21"/>
  <c r="P1177" i="21" s="1"/>
  <c r="O1177" i="21"/>
  <c r="T568" i="21"/>
  <c r="P568" i="21" s="1"/>
  <c r="O568" i="21"/>
  <c r="T998" i="21"/>
  <c r="P998" i="21" s="1"/>
  <c r="O998" i="21"/>
  <c r="O24" i="21"/>
  <c r="T24" i="21"/>
  <c r="P24" i="21" s="1"/>
  <c r="T744" i="21"/>
  <c r="P744" i="21" s="1"/>
  <c r="O744" i="21"/>
  <c r="T964" i="21"/>
  <c r="P964" i="21" s="1"/>
  <c r="O964" i="21"/>
  <c r="T676" i="21"/>
  <c r="P676" i="21" s="1"/>
  <c r="O676" i="21"/>
  <c r="T1750" i="21"/>
  <c r="P1750" i="21" s="1"/>
  <c r="O1750" i="21"/>
  <c r="T1791" i="21"/>
  <c r="P1791" i="21" s="1"/>
  <c r="O1791" i="21"/>
  <c r="O102" i="21"/>
  <c r="T102" i="21"/>
  <c r="P102" i="21" s="1"/>
  <c r="T483" i="21"/>
  <c r="P483" i="21" s="1"/>
  <c r="O483" i="21"/>
  <c r="T630" i="21"/>
  <c r="P630" i="21" s="1"/>
  <c r="O630" i="21"/>
  <c r="T1168" i="21"/>
  <c r="P1168" i="21" s="1"/>
  <c r="O1168" i="21"/>
  <c r="T805" i="21"/>
  <c r="P805" i="21" s="1"/>
  <c r="O805" i="21"/>
  <c r="T745" i="21"/>
  <c r="P745" i="21" s="1"/>
  <c r="O745" i="21"/>
  <c r="T1297" i="21"/>
  <c r="P1297" i="21" s="1"/>
  <c r="O1297" i="21"/>
  <c r="T1293" i="21"/>
  <c r="P1293" i="21" s="1"/>
  <c r="O1293" i="21"/>
  <c r="T721" i="21"/>
  <c r="P721" i="21" s="1"/>
  <c r="O721" i="21"/>
  <c r="T1373" i="21"/>
  <c r="P1373" i="21" s="1"/>
  <c r="U1374" i="21" s="1"/>
  <c r="O1373" i="21"/>
  <c r="T1788" i="21"/>
  <c r="P1788" i="21" s="1"/>
  <c r="O1788" i="21"/>
  <c r="T1675" i="21"/>
  <c r="P1675" i="21" s="1"/>
  <c r="O1675" i="21"/>
  <c r="T1672" i="21"/>
  <c r="P1672" i="21" s="1"/>
  <c r="O1672" i="21"/>
  <c r="T1408" i="21"/>
  <c r="P1408" i="21" s="1"/>
  <c r="O1408" i="21"/>
  <c r="T1513" i="21"/>
  <c r="P1513" i="21" s="1"/>
  <c r="O1513" i="21"/>
  <c r="T1347" i="21"/>
  <c r="P1347" i="21" s="1"/>
  <c r="O1347" i="21"/>
  <c r="T372" i="21"/>
  <c r="P372" i="21" s="1"/>
  <c r="O372" i="21"/>
  <c r="T942" i="21"/>
  <c r="P942" i="21" s="1"/>
  <c r="O942" i="21"/>
  <c r="T1020" i="21"/>
  <c r="P1020" i="21" s="1"/>
  <c r="O1020" i="21"/>
  <c r="T1096" i="21"/>
  <c r="P1096" i="21" s="1"/>
  <c r="O1096" i="21"/>
  <c r="T1202" i="21"/>
  <c r="P1202" i="21" s="1"/>
  <c r="O1202" i="21"/>
  <c r="T1909" i="21"/>
  <c r="P1909" i="21" s="1"/>
  <c r="O1909" i="21"/>
  <c r="T1829" i="21"/>
  <c r="P1829" i="21" s="1"/>
  <c r="O1829" i="21"/>
  <c r="T1872" i="21"/>
  <c r="P1872" i="21" s="1"/>
  <c r="O1872" i="21"/>
  <c r="T1103" i="21"/>
  <c r="P1103" i="21" s="1"/>
  <c r="O1103" i="21"/>
  <c r="T1677" i="21"/>
  <c r="P1677" i="21" s="1"/>
  <c r="O1677" i="21"/>
  <c r="T1409" i="21"/>
  <c r="P1409" i="21" s="1"/>
  <c r="U1410" i="21" s="1"/>
  <c r="O1409" i="21"/>
  <c r="T1439" i="21"/>
  <c r="P1439" i="21" s="1"/>
  <c r="O1439" i="21"/>
  <c r="T1387" i="21"/>
  <c r="P1387" i="21" s="1"/>
  <c r="U1388" i="21" s="1"/>
  <c r="O1387" i="21"/>
  <c r="T1514" i="21"/>
  <c r="P1514" i="21" s="1"/>
  <c r="O1514" i="21"/>
  <c r="T1108" i="21"/>
  <c r="P1108" i="21" s="1"/>
  <c r="O1108" i="21"/>
  <c r="T1348" i="21"/>
  <c r="P1348" i="21" s="1"/>
  <c r="U1348" i="21" s="1"/>
  <c r="O1348" i="21"/>
  <c r="O26" i="21"/>
  <c r="T26" i="21"/>
  <c r="P26" i="21" s="1"/>
  <c r="T490" i="21"/>
  <c r="P490" i="21" s="1"/>
  <c r="O490" i="21"/>
  <c r="O23" i="21"/>
  <c r="T23" i="21"/>
  <c r="P23" i="21" s="1"/>
  <c r="O65" i="21"/>
  <c r="T65" i="21"/>
  <c r="P65" i="21" s="1"/>
  <c r="T956" i="21"/>
  <c r="P956" i="21" s="1"/>
  <c r="O956" i="21"/>
  <c r="T806" i="21"/>
  <c r="P806" i="21" s="1"/>
  <c r="O806" i="21"/>
  <c r="T1050" i="21"/>
  <c r="P1050" i="21" s="1"/>
  <c r="O1050" i="21"/>
  <c r="T982" i="21"/>
  <c r="P982" i="21" s="1"/>
  <c r="O982" i="21"/>
  <c r="T722" i="21"/>
  <c r="P722" i="21" s="1"/>
  <c r="O722" i="21"/>
  <c r="O69" i="21"/>
  <c r="T69" i="21"/>
  <c r="P69" i="21" s="1"/>
  <c r="T135" i="21"/>
  <c r="P135" i="21" s="1"/>
  <c r="O135" i="21"/>
  <c r="T446" i="21"/>
  <c r="P446" i="21" s="1"/>
  <c r="O446" i="21"/>
  <c r="T994" i="21"/>
  <c r="P994" i="21" s="1"/>
  <c r="O994" i="21"/>
  <c r="T914" i="21"/>
  <c r="P914" i="21" s="1"/>
  <c r="O914" i="21"/>
  <c r="T1099" i="21"/>
  <c r="P1099" i="21" s="1"/>
  <c r="O1099" i="21"/>
  <c r="T1149" i="21"/>
  <c r="P1149" i="21" s="1"/>
  <c r="O1149" i="21"/>
  <c r="T991" i="21"/>
  <c r="P991" i="21" s="1"/>
  <c r="O991" i="21"/>
  <c r="T917" i="21"/>
  <c r="P917" i="21" s="1"/>
  <c r="O917" i="21"/>
  <c r="T1166" i="21"/>
  <c r="P1166" i="21" s="1"/>
  <c r="O1166" i="21"/>
  <c r="T1676" i="21"/>
  <c r="P1676" i="21" s="1"/>
  <c r="O1676" i="21"/>
  <c r="T1868" i="21"/>
  <c r="P1868" i="21" s="1"/>
  <c r="O1868" i="21"/>
  <c r="T561" i="21"/>
  <c r="P561" i="21" s="1"/>
  <c r="O561" i="21"/>
  <c r="T1252" i="21"/>
  <c r="P1252" i="21" s="1"/>
  <c r="O1252" i="21"/>
  <c r="O92" i="21"/>
  <c r="T92" i="21"/>
  <c r="P92" i="21" s="1"/>
  <c r="T772" i="21"/>
  <c r="P772" i="21" s="1"/>
  <c r="O772" i="21"/>
  <c r="T206" i="21"/>
  <c r="P206" i="21" s="1"/>
  <c r="O206" i="21"/>
  <c r="T1441" i="21"/>
  <c r="P1441" i="21" s="1"/>
  <c r="U1442" i="21" s="1"/>
  <c r="O1441" i="21"/>
  <c r="T1073" i="21"/>
  <c r="P1073" i="21" s="1"/>
  <c r="O1073" i="21"/>
  <c r="T1833" i="21"/>
  <c r="P1833" i="21" s="1"/>
  <c r="O1833" i="21"/>
  <c r="T1309" i="21"/>
  <c r="P1309" i="21" s="1"/>
  <c r="O1309" i="21"/>
  <c r="T1470" i="21"/>
  <c r="P1470" i="21" s="1"/>
  <c r="O1470" i="21"/>
  <c r="T1081" i="21"/>
  <c r="P1081" i="21" s="1"/>
  <c r="O1081" i="21"/>
  <c r="Q1982" i="21"/>
  <c r="M1982" i="21" s="1"/>
  <c r="Q1984" i="21"/>
  <c r="Q1983" i="21"/>
  <c r="M1983" i="21" s="1"/>
  <c r="M1980" i="21"/>
  <c r="T971" i="21"/>
  <c r="P971" i="21" s="1"/>
  <c r="O971" i="21"/>
  <c r="T605" i="21"/>
  <c r="P605" i="21" s="1"/>
  <c r="O605" i="21"/>
  <c r="T1054" i="21"/>
  <c r="P1054" i="21" s="1"/>
  <c r="O1054" i="21"/>
  <c r="T1117" i="21"/>
  <c r="P1117" i="21" s="1"/>
  <c r="O1117" i="21"/>
  <c r="T606" i="21"/>
  <c r="P606" i="21" s="1"/>
  <c r="O606" i="21"/>
  <c r="T172" i="21"/>
  <c r="P172" i="21" s="1"/>
  <c r="O172" i="21"/>
  <c r="T967" i="21"/>
  <c r="P967" i="21" s="1"/>
  <c r="O967" i="21"/>
  <c r="T1154" i="21"/>
  <c r="P1154" i="21" s="1"/>
  <c r="O1154" i="21"/>
  <c r="T1034" i="21"/>
  <c r="P1034" i="21" s="1"/>
  <c r="O1034" i="21"/>
  <c r="T1305" i="21"/>
  <c r="P1305" i="21" s="1"/>
  <c r="O1305" i="21"/>
  <c r="T1206" i="21"/>
  <c r="P1206" i="21" s="1"/>
  <c r="O1206" i="21"/>
  <c r="T1013" i="21"/>
  <c r="P1013" i="21" s="1"/>
  <c r="O1013" i="21"/>
  <c r="T1637" i="21"/>
  <c r="P1637" i="21" s="1"/>
  <c r="O1637" i="21"/>
  <c r="T1632" i="21"/>
  <c r="P1632" i="21" s="1"/>
  <c r="O1632" i="21"/>
  <c r="T1496" i="21"/>
  <c r="P1496" i="21" s="1"/>
  <c r="O1496" i="21"/>
  <c r="T1337" i="21"/>
  <c r="P1337" i="21" s="1"/>
  <c r="U1338" i="21" s="1"/>
  <c r="O1337" i="21"/>
  <c r="T1139" i="21"/>
  <c r="P1139" i="21" s="1"/>
  <c r="O1139" i="21"/>
  <c r="T952" i="21"/>
  <c r="P952" i="21" s="1"/>
  <c r="O952" i="21"/>
  <c r="O84" i="21"/>
  <c r="T84" i="21"/>
  <c r="P84" i="21" s="1"/>
  <c r="T699" i="21"/>
  <c r="P699" i="21" s="1"/>
  <c r="O699" i="21"/>
  <c r="T506" i="21"/>
  <c r="P506" i="21" s="1"/>
  <c r="O506" i="21"/>
  <c r="T322" i="21"/>
  <c r="P322" i="21" s="1"/>
  <c r="O322" i="21"/>
  <c r="T1210" i="21"/>
  <c r="P1210" i="21" s="1"/>
  <c r="O1210" i="21"/>
  <c r="T294" i="21"/>
  <c r="P294" i="21" s="1"/>
  <c r="O294" i="21"/>
  <c r="T1181" i="21"/>
  <c r="P1181" i="21" s="1"/>
  <c r="O1181" i="21"/>
  <c r="T1151" i="21"/>
  <c r="P1151" i="21" s="1"/>
  <c r="O1151" i="21"/>
  <c r="T1075" i="21"/>
  <c r="P1075" i="21" s="1"/>
  <c r="O1075" i="21"/>
  <c r="T815" i="21"/>
  <c r="P815" i="21" s="1"/>
  <c r="O815" i="21"/>
  <c r="T1030" i="21"/>
  <c r="P1030" i="21" s="1"/>
  <c r="O1030" i="21"/>
  <c r="T920" i="21"/>
  <c r="P920" i="21" s="1"/>
  <c r="O920" i="21"/>
  <c r="T1424" i="21"/>
  <c r="P1424" i="21" s="1"/>
  <c r="U1424" i="21" s="1"/>
  <c r="O1424" i="21"/>
  <c r="T1313" i="21"/>
  <c r="P1313" i="21" s="1"/>
  <c r="O1313" i="21"/>
  <c r="T1121" i="21"/>
  <c r="P1121" i="21" s="1"/>
  <c r="O1121" i="21"/>
  <c r="T1943" i="21"/>
  <c r="P1943" i="21" s="1"/>
  <c r="O1943" i="21"/>
  <c r="T749" i="21"/>
  <c r="P749" i="21" s="1"/>
  <c r="O749" i="21"/>
  <c r="T1046" i="21"/>
  <c r="P1046" i="21" s="1"/>
  <c r="O1046" i="21"/>
  <c r="T1500" i="21"/>
  <c r="P1500" i="21" s="1"/>
  <c r="O1500" i="21"/>
  <c r="T470" i="21"/>
  <c r="P470" i="21" s="1"/>
  <c r="O470" i="21"/>
  <c r="T1126" i="21"/>
  <c r="P1126" i="21" s="1"/>
  <c r="O1126" i="21"/>
  <c r="T1556" i="21"/>
  <c r="P1556" i="21" s="1"/>
  <c r="O1556" i="21"/>
  <c r="T1215" i="21"/>
  <c r="P1215" i="21" s="1"/>
  <c r="O1215" i="21"/>
  <c r="T1132" i="21"/>
  <c r="P1132" i="21" s="1"/>
  <c r="O1132" i="21"/>
  <c r="T816" i="21"/>
  <c r="P816" i="21" s="1"/>
  <c r="O816" i="21"/>
  <c r="O60" i="21"/>
  <c r="T60" i="21"/>
  <c r="P60" i="21" s="1"/>
  <c r="T188" i="21"/>
  <c r="P188" i="21" s="1"/>
  <c r="O188" i="21"/>
  <c r="T1225" i="21"/>
  <c r="P1225" i="21" s="1"/>
  <c r="O1225" i="21"/>
  <c r="T1231" i="21"/>
  <c r="P1231" i="21" s="1"/>
  <c r="O1231" i="21"/>
  <c r="T1502" i="21"/>
  <c r="P1502" i="21" s="1"/>
  <c r="O1502" i="21"/>
  <c r="T1978" i="21"/>
  <c r="P1978" i="21" s="1"/>
  <c r="O1978" i="21"/>
  <c r="T1322" i="21"/>
  <c r="P1322" i="21" s="1"/>
  <c r="U1323" i="21" s="1"/>
  <c r="O1322" i="21"/>
  <c r="T1597" i="21"/>
  <c r="P1597" i="21" s="1"/>
  <c r="O1597" i="21"/>
  <c r="T1288" i="21"/>
  <c r="P1288" i="21" s="1"/>
  <c r="O1288" i="21"/>
  <c r="T1058" i="21"/>
  <c r="P1058" i="21" s="1"/>
  <c r="O1058" i="21"/>
  <c r="T1112" i="21"/>
  <c r="P1112" i="21" s="1"/>
  <c r="O1112" i="21"/>
  <c r="T930" i="21"/>
  <c r="P930" i="21" s="1"/>
  <c r="O930" i="21"/>
  <c r="T1136" i="21"/>
  <c r="P1136" i="21" s="1"/>
  <c r="O1136" i="21"/>
  <c r="T1948" i="21"/>
  <c r="P1948" i="21" s="1"/>
  <c r="O1948" i="21"/>
  <c r="O29" i="21"/>
  <c r="T29" i="21"/>
  <c r="P29" i="21" s="1"/>
  <c r="T422" i="21"/>
  <c r="P422" i="21" s="1"/>
  <c r="O422" i="21"/>
  <c r="T502" i="21"/>
  <c r="P502" i="21" s="1"/>
  <c r="O502" i="21"/>
  <c r="T175" i="21"/>
  <c r="P175" i="21" s="1"/>
  <c r="U176" i="21" s="1"/>
  <c r="O175" i="21"/>
  <c r="T1264" i="21"/>
  <c r="P1264" i="21" s="1"/>
  <c r="O1264" i="21"/>
  <c r="T836" i="21"/>
  <c r="P836" i="21" s="1"/>
  <c r="O836" i="21"/>
  <c r="T946" i="21"/>
  <c r="P946" i="21" s="1"/>
  <c r="O946" i="21"/>
  <c r="O58" i="21"/>
  <c r="T58" i="21"/>
  <c r="P58" i="21" s="1"/>
  <c r="T260" i="21"/>
  <c r="P260" i="21" s="1"/>
  <c r="O260" i="21"/>
  <c r="T153" i="21"/>
  <c r="P153" i="21" s="1"/>
  <c r="O153" i="21"/>
  <c r="T421" i="21"/>
  <c r="P421" i="21" s="1"/>
  <c r="O421" i="21"/>
  <c r="T156" i="21"/>
  <c r="P156" i="21" s="1"/>
  <c r="O156" i="21"/>
  <c r="T1043" i="21"/>
  <c r="P1043" i="21" s="1"/>
  <c r="O1043" i="21"/>
  <c r="T1114" i="21"/>
  <c r="P1114" i="21" s="1"/>
  <c r="O1114" i="21"/>
  <c r="T1196" i="21"/>
  <c r="P1196" i="21" s="1"/>
  <c r="O1196" i="21"/>
  <c r="T1084" i="21"/>
  <c r="P1084" i="21" s="1"/>
  <c r="O1084" i="21"/>
  <c r="T975" i="21"/>
  <c r="P975" i="21" s="1"/>
  <c r="O975" i="21"/>
  <c r="T1501" i="21"/>
  <c r="P1501" i="21" s="1"/>
  <c r="O1501" i="21"/>
  <c r="T1320" i="21"/>
  <c r="P1320" i="21" s="1"/>
  <c r="O1320" i="21"/>
  <c r="T1529" i="21"/>
  <c r="P1529" i="21" s="1"/>
  <c r="O1529" i="21"/>
  <c r="T1240" i="21"/>
  <c r="P1240" i="21" s="1"/>
  <c r="O1240" i="21"/>
  <c r="T1753" i="21"/>
  <c r="P1753" i="21" s="1"/>
  <c r="O1753" i="21"/>
  <c r="T1795" i="21"/>
  <c r="P1795" i="21" s="1"/>
  <c r="O1795" i="21"/>
  <c r="T1454" i="21"/>
  <c r="P1454" i="21" s="1"/>
  <c r="O1454" i="21"/>
  <c r="T1534" i="21"/>
  <c r="P1534" i="21" s="1"/>
  <c r="O1534" i="21"/>
  <c r="T1248" i="21"/>
  <c r="P1248" i="21" s="1"/>
  <c r="O1248" i="21"/>
  <c r="T504" i="21"/>
  <c r="P504" i="21" s="1"/>
  <c r="O504" i="21"/>
  <c r="T397" i="21"/>
  <c r="P397" i="21" s="1"/>
  <c r="U398" i="21" s="1"/>
  <c r="O397" i="21"/>
  <c r="T419" i="21"/>
  <c r="P419" i="21" s="1"/>
  <c r="O419" i="21"/>
  <c r="T573" i="21"/>
  <c r="P573" i="21" s="1"/>
  <c r="O573" i="21"/>
  <c r="T1536" i="21"/>
  <c r="P1536" i="21" s="1"/>
  <c r="O1536" i="21"/>
  <c r="T486" i="21"/>
  <c r="P486" i="21" s="1"/>
  <c r="O486" i="21"/>
  <c r="T1436" i="21"/>
  <c r="P1436" i="21" s="1"/>
  <c r="O1436" i="21"/>
  <c r="T1147" i="21"/>
  <c r="P1147" i="21" s="1"/>
  <c r="O1147" i="21"/>
  <c r="T207" i="21"/>
  <c r="P207" i="21" s="1"/>
  <c r="U208" i="21" s="1"/>
  <c r="O207" i="21"/>
  <c r="T564" i="21"/>
  <c r="P564" i="21" s="1"/>
  <c r="O564" i="21"/>
  <c r="T979" i="21"/>
  <c r="P979" i="21" s="1"/>
  <c r="O979" i="21"/>
  <c r="O33" i="21"/>
  <c r="T33" i="21"/>
  <c r="P33" i="21" s="1"/>
  <c r="O54" i="21"/>
  <c r="T54" i="21"/>
  <c r="P54" i="21" s="1"/>
  <c r="T319" i="21"/>
  <c r="P319" i="21" s="1"/>
  <c r="O319" i="21"/>
  <c r="T927" i="21"/>
  <c r="P927" i="21" s="1"/>
  <c r="O927" i="21"/>
  <c r="T1009" i="21"/>
  <c r="P1009" i="21" s="1"/>
  <c r="O1009" i="21"/>
  <c r="T1115" i="21"/>
  <c r="P1115" i="21" s="1"/>
  <c r="O1115" i="21"/>
  <c r="T1145" i="21"/>
  <c r="P1145" i="21" s="1"/>
  <c r="O1145" i="21"/>
  <c r="T516" i="21"/>
  <c r="P516" i="21" s="1"/>
  <c r="O516" i="21"/>
  <c r="T493" i="21"/>
  <c r="P493" i="21" s="1"/>
  <c r="O493" i="21"/>
  <c r="T225" i="21"/>
  <c r="P225" i="21" s="1"/>
  <c r="O225" i="21"/>
  <c r="T1284" i="21"/>
  <c r="P1284" i="21" s="1"/>
  <c r="O1284" i="21"/>
  <c r="T1088" i="21"/>
  <c r="P1088" i="21" s="1"/>
  <c r="O1088" i="21"/>
  <c r="T1189" i="21"/>
  <c r="P1189" i="21" s="1"/>
  <c r="O1189" i="21"/>
  <c r="T1256" i="21"/>
  <c r="P1256" i="21" s="1"/>
  <c r="O1256" i="21"/>
  <c r="T1261" i="21"/>
  <c r="P1261" i="21" s="1"/>
  <c r="O1261" i="21"/>
  <c r="T1831" i="21"/>
  <c r="P1831" i="21" s="1"/>
  <c r="O1831" i="21"/>
  <c r="T1716" i="21"/>
  <c r="P1716" i="21" s="1"/>
  <c r="O1716" i="21"/>
  <c r="T1422" i="21"/>
  <c r="P1422" i="21" s="1"/>
  <c r="O1422" i="21"/>
  <c r="T270" i="21"/>
  <c r="P270" i="21" s="1"/>
  <c r="O270" i="21"/>
  <c r="T840" i="21"/>
  <c r="P840" i="21" s="1"/>
  <c r="O840" i="21"/>
  <c r="T1487" i="21"/>
  <c r="P1487" i="21" s="1"/>
  <c r="U1488" i="21" s="1"/>
  <c r="O1487" i="21"/>
  <c r="T936" i="21"/>
  <c r="P936" i="21" s="1"/>
  <c r="O936" i="21"/>
  <c r="T1359" i="21"/>
  <c r="P1359" i="21" s="1"/>
  <c r="O1359" i="21"/>
  <c r="T1973" i="21"/>
  <c r="P1973" i="21" s="1"/>
  <c r="O1973" i="21"/>
  <c r="T1560" i="21"/>
  <c r="P1560" i="21" s="1"/>
  <c r="O1560" i="21"/>
  <c r="T1227" i="21"/>
  <c r="P1227" i="21" s="1"/>
  <c r="O1227" i="21"/>
  <c r="T394" i="21"/>
  <c r="P394" i="21" s="1"/>
  <c r="O394" i="21"/>
  <c r="T1174" i="21"/>
  <c r="P1174" i="21" s="1"/>
  <c r="O1174" i="21"/>
  <c r="T1160" i="21"/>
  <c r="P1160" i="21" s="1"/>
  <c r="O1160" i="21"/>
  <c r="T752" i="21"/>
  <c r="P752" i="21" s="1"/>
  <c r="O752" i="21"/>
  <c r="T396" i="21"/>
  <c r="P396" i="21" s="1"/>
  <c r="O396" i="21"/>
  <c r="T1639" i="21"/>
  <c r="P1639" i="21" s="1"/>
  <c r="O1639" i="21"/>
  <c r="T1397" i="21"/>
  <c r="P1397" i="21" s="1"/>
  <c r="O1397" i="21"/>
  <c r="T444" i="21"/>
  <c r="P444" i="21" s="1"/>
  <c r="O444" i="21"/>
  <c r="T1486" i="21"/>
  <c r="P1486" i="21" s="1"/>
  <c r="O1486" i="21"/>
  <c r="O89" i="21"/>
  <c r="T89" i="21"/>
  <c r="P89" i="21" s="1"/>
  <c r="T1904" i="21"/>
  <c r="P1904" i="21" s="1"/>
  <c r="O1904" i="21"/>
  <c r="T1279" i="21"/>
  <c r="P1279" i="21" s="1"/>
  <c r="O1279" i="21"/>
  <c r="T1360" i="21"/>
  <c r="P1360" i="21" s="1"/>
  <c r="U1361" i="21" s="1"/>
  <c r="O1360" i="21"/>
  <c r="T794" i="21"/>
  <c r="P794" i="21" s="1"/>
  <c r="O794" i="21"/>
  <c r="T321" i="21"/>
  <c r="P321" i="21" s="1"/>
  <c r="O321" i="21"/>
  <c r="O933" i="21"/>
  <c r="T933" i="21"/>
  <c r="P933" i="21" s="1"/>
  <c r="O76" i="21"/>
  <c r="T76" i="21"/>
  <c r="P76" i="21" s="1"/>
  <c r="O47" i="21"/>
  <c r="T47" i="21"/>
  <c r="P47" i="21" s="1"/>
  <c r="T296" i="21"/>
  <c r="P296" i="21" s="1"/>
  <c r="O296" i="21"/>
  <c r="T204" i="21"/>
  <c r="P204" i="21" s="1"/>
  <c r="O204" i="21"/>
  <c r="T1244" i="21"/>
  <c r="P1244" i="21" s="1"/>
  <c r="O1244" i="21"/>
  <c r="T1192" i="21"/>
  <c r="P1192" i="21" s="1"/>
  <c r="O1192" i="21"/>
  <c r="T1233" i="21"/>
  <c r="P1233" i="21" s="1"/>
  <c r="O1233" i="21"/>
  <c r="T262" i="21"/>
  <c r="P262" i="21" s="1"/>
  <c r="O262" i="21"/>
  <c r="O109" i="21"/>
  <c r="T109" i="21"/>
  <c r="P109" i="21" s="1"/>
  <c r="O83" i="21"/>
  <c r="T83" i="21"/>
  <c r="P83" i="21" s="1"/>
  <c r="T498" i="21"/>
  <c r="P498" i="21" s="1"/>
  <c r="O498" i="21"/>
  <c r="T369" i="21"/>
  <c r="P369" i="21" s="1"/>
  <c r="O369" i="21"/>
  <c r="T185" i="21"/>
  <c r="P185" i="21" s="1"/>
  <c r="O185" i="21"/>
  <c r="T960" i="21"/>
  <c r="P960" i="21" s="1"/>
  <c r="O960" i="21"/>
  <c r="T1170" i="21"/>
  <c r="P1170" i="21" s="1"/>
  <c r="O1170" i="21"/>
  <c r="T1130" i="21"/>
  <c r="P1130" i="21" s="1"/>
  <c r="O1130" i="21"/>
  <c r="T911" i="21"/>
  <c r="P911" i="21" s="1"/>
  <c r="O911" i="21"/>
  <c r="T1266" i="21"/>
  <c r="P1266" i="21" s="1"/>
  <c r="O1266" i="21"/>
  <c r="T244" i="21"/>
  <c r="P244" i="21" s="1"/>
  <c r="O244" i="21"/>
  <c r="T1270" i="21"/>
  <c r="P1270" i="21" s="1"/>
  <c r="O1270" i="21"/>
  <c r="T1456" i="21"/>
  <c r="P1456" i="21" s="1"/>
  <c r="O1456" i="21"/>
  <c r="T1711" i="21"/>
  <c r="P1711" i="21" s="1"/>
  <c r="O1711" i="21"/>
  <c r="T1335" i="21"/>
  <c r="P1335" i="21" s="1"/>
  <c r="O1335" i="21"/>
  <c r="T477" i="21"/>
  <c r="P477" i="21" s="1"/>
  <c r="O477" i="21"/>
  <c r="T1398" i="21"/>
  <c r="P1398" i="21" s="1"/>
  <c r="U1398" i="21" s="1"/>
  <c r="O1398" i="21"/>
  <c r="T174" i="21"/>
  <c r="P174" i="21" s="1"/>
  <c r="O174" i="21"/>
  <c r="T1553" i="21"/>
  <c r="P1553" i="21" s="1"/>
  <c r="O1553" i="21"/>
  <c r="T1950" i="21"/>
  <c r="P1950" i="21" s="1"/>
  <c r="O1950" i="21"/>
  <c r="T1504" i="21"/>
  <c r="P1504" i="21" s="1"/>
  <c r="O1504" i="21"/>
  <c r="T1158" i="21"/>
  <c r="P1158" i="21" s="1"/>
  <c r="O1158" i="21"/>
  <c r="T1092" i="21"/>
  <c r="P1092" i="21" s="1"/>
  <c r="O1092" i="21"/>
  <c r="T1870" i="21"/>
  <c r="P1870" i="21" s="1"/>
  <c r="O1870" i="21"/>
  <c r="S534" i="21"/>
  <c r="S555" i="21"/>
  <c r="Q548" i="21"/>
  <c r="M548" i="21" s="1"/>
  <c r="S539" i="21"/>
  <c r="Q534" i="21"/>
  <c r="M534" i="21" s="1"/>
  <c r="S548" i="21"/>
  <c r="S526" i="21"/>
  <c r="Q526" i="21"/>
  <c r="M526" i="21" s="1"/>
  <c r="Q539" i="21"/>
  <c r="M539" i="21" s="1"/>
  <c r="Q555" i="21"/>
  <c r="M555" i="21" s="1"/>
  <c r="R512" i="21"/>
  <c r="S512" i="21"/>
  <c r="Q512" i="21"/>
  <c r="M512" i="21" s="1"/>
  <c r="Q503" i="21"/>
  <c r="M503" i="21" s="1"/>
  <c r="S503" i="21"/>
  <c r="R503" i="21"/>
  <c r="N133" i="21"/>
  <c r="Q67" i="21"/>
  <c r="R67" i="21"/>
  <c r="I147" i="14"/>
  <c r="G146" i="14"/>
  <c r="G136" i="14"/>
  <c r="X1752" i="21" l="1"/>
  <c r="X1753" i="21"/>
  <c r="X1674" i="21"/>
  <c r="X1675" i="21"/>
  <c r="X1456" i="21"/>
  <c r="X1455" i="21"/>
  <c r="X1907" i="21"/>
  <c r="X1906" i="21"/>
  <c r="X1441" i="21"/>
  <c r="X1442" i="21"/>
  <c r="X1505" i="21"/>
  <c r="X1504" i="21"/>
  <c r="X1503" i="21"/>
  <c r="X1502" i="21"/>
  <c r="X1501" i="21"/>
  <c r="X1499" i="21"/>
  <c r="X1497" i="21"/>
  <c r="X1498" i="21"/>
  <c r="X1496" i="21"/>
  <c r="X1500" i="21"/>
  <c r="X1719" i="21"/>
  <c r="X1717" i="21"/>
  <c r="X1718" i="21"/>
  <c r="X1556" i="21"/>
  <c r="X1555" i="21"/>
  <c r="X1558" i="21"/>
  <c r="X1557" i="21"/>
  <c r="X1205" i="21"/>
  <c r="X1207" i="21"/>
  <c r="X1206" i="21"/>
  <c r="X1410" i="21"/>
  <c r="X1409" i="21"/>
  <c r="X1596" i="21"/>
  <c r="X1597" i="21"/>
  <c r="X1398" i="21"/>
  <c r="X1399" i="21"/>
  <c r="X1794" i="21"/>
  <c r="X1796" i="21"/>
  <c r="X1795" i="21"/>
  <c r="X1594" i="21"/>
  <c r="X1595" i="21"/>
  <c r="X1532" i="21"/>
  <c r="X1531" i="21"/>
  <c r="X1533" i="21"/>
  <c r="X1534" i="21"/>
  <c r="X1756" i="21"/>
  <c r="X1758" i="21"/>
  <c r="X1757" i="21"/>
  <c r="X1833" i="21"/>
  <c r="X1834" i="21"/>
  <c r="X1832" i="21"/>
  <c r="X1754" i="21"/>
  <c r="X1755" i="21"/>
  <c r="X1867" i="21"/>
  <c r="X1868" i="21"/>
  <c r="X1440" i="21"/>
  <c r="X1438" i="21"/>
  <c r="X1439" i="21"/>
  <c r="X1337" i="21"/>
  <c r="X1338" i="21"/>
  <c r="X1321" i="21"/>
  <c r="X1319" i="21"/>
  <c r="X1320" i="21"/>
  <c r="X1209" i="21"/>
  <c r="X1211" i="21"/>
  <c r="X1210" i="21"/>
  <c r="X1912" i="21"/>
  <c r="X1910" i="21"/>
  <c r="X1911" i="21"/>
  <c r="X1640" i="21"/>
  <c r="X1638" i="21"/>
  <c r="X1639" i="21"/>
  <c r="X1790" i="21"/>
  <c r="X1791" i="21"/>
  <c r="X1386" i="21"/>
  <c r="X1384" i="21"/>
  <c r="X1385" i="21"/>
  <c r="X1830" i="21"/>
  <c r="X1831" i="21"/>
  <c r="X1537" i="21"/>
  <c r="X1535" i="21"/>
  <c r="X1536" i="21"/>
  <c r="X1334" i="21"/>
  <c r="X1335" i="21"/>
  <c r="X1336" i="21"/>
  <c r="X1323" i="21"/>
  <c r="X1322" i="21"/>
  <c r="X1636" i="21"/>
  <c r="X1637" i="21"/>
  <c r="X1828" i="21"/>
  <c r="X1829" i="21"/>
  <c r="X1680" i="21"/>
  <c r="X1678" i="21"/>
  <c r="X1679" i="21"/>
  <c r="X1348" i="21"/>
  <c r="X1349" i="21"/>
  <c r="X1634" i="21"/>
  <c r="X1635" i="21"/>
  <c r="X1469" i="21"/>
  <c r="X1470" i="21"/>
  <c r="X1471" i="21"/>
  <c r="X1425" i="21"/>
  <c r="X1424" i="21"/>
  <c r="X1388" i="21"/>
  <c r="X1387" i="21"/>
  <c r="X1977" i="21"/>
  <c r="X1978" i="21"/>
  <c r="X1873" i="21"/>
  <c r="X1871" i="21"/>
  <c r="X1872" i="21"/>
  <c r="X1361" i="21"/>
  <c r="X1360" i="21"/>
  <c r="X1559" i="21"/>
  <c r="X1561" i="21"/>
  <c r="X1560" i="21"/>
  <c r="X1600" i="21"/>
  <c r="X1598" i="21"/>
  <c r="X1599" i="21"/>
  <c r="X1715" i="21"/>
  <c r="X1716" i="21"/>
  <c r="X1975" i="21"/>
  <c r="X1976" i="21"/>
  <c r="X1951" i="21"/>
  <c r="X1949" i="21"/>
  <c r="X1950" i="21"/>
  <c r="X1487" i="21"/>
  <c r="X1488" i="21"/>
  <c r="X1423" i="21"/>
  <c r="X1421" i="21"/>
  <c r="X1422" i="21"/>
  <c r="X1945" i="21"/>
  <c r="X1946" i="21"/>
  <c r="X1947" i="21"/>
  <c r="X1948" i="21"/>
  <c r="X1676" i="21"/>
  <c r="X1677" i="21"/>
  <c r="X1792" i="21"/>
  <c r="X1793" i="21"/>
  <c r="X1908" i="21"/>
  <c r="X1909" i="21"/>
  <c r="X1523" i="21"/>
  <c r="X1522" i="21"/>
  <c r="X1521" i="21"/>
  <c r="X1519" i="21"/>
  <c r="X1518" i="21"/>
  <c r="X1520" i="21"/>
  <c r="X1713" i="21"/>
  <c r="X1714" i="21"/>
  <c r="X1869" i="21"/>
  <c r="X1870" i="21"/>
  <c r="X1374" i="21"/>
  <c r="X1373" i="21"/>
  <c r="X1473" i="21"/>
  <c r="X1472" i="21"/>
  <c r="X1074" i="21"/>
  <c r="X1075" i="21"/>
  <c r="X1127" i="21"/>
  <c r="X1125" i="21"/>
  <c r="X1126" i="21"/>
  <c r="X1123" i="21"/>
  <c r="X1124" i="21"/>
  <c r="X995" i="21"/>
  <c r="X996" i="21"/>
  <c r="X954" i="21"/>
  <c r="X951" i="21"/>
  <c r="X952" i="21"/>
  <c r="X1118" i="21"/>
  <c r="X1116" i="21"/>
  <c r="X1117" i="21"/>
  <c r="X999" i="21"/>
  <c r="X997" i="21"/>
  <c r="X998" i="21"/>
  <c r="X994" i="21"/>
  <c r="X993" i="21"/>
  <c r="X1165" i="21"/>
  <c r="X1166" i="21"/>
  <c r="X1072" i="21"/>
  <c r="X1073" i="21"/>
  <c r="X949" i="21"/>
  <c r="X950" i="21"/>
  <c r="X948" i="21"/>
  <c r="X1171" i="21"/>
  <c r="X1169" i="21"/>
  <c r="X1170" i="21"/>
  <c r="X1167" i="21"/>
  <c r="X1168" i="21"/>
  <c r="X1114" i="21"/>
  <c r="X1115" i="21"/>
  <c r="X1076" i="21"/>
  <c r="X1078" i="21"/>
  <c r="X1077" i="21"/>
  <c r="X940" i="21"/>
  <c r="X938" i="21"/>
  <c r="X939" i="21"/>
  <c r="X943" i="21"/>
  <c r="X941" i="21"/>
  <c r="X942" i="21"/>
  <c r="X937" i="21"/>
  <c r="X935" i="21"/>
  <c r="X936" i="21"/>
  <c r="X918" i="21"/>
  <c r="X916" i="21"/>
  <c r="X917" i="21"/>
  <c r="X932" i="21"/>
  <c r="X934" i="21"/>
  <c r="X933" i="21"/>
  <c r="X915" i="21"/>
  <c r="X914" i="21"/>
  <c r="X913" i="21"/>
  <c r="X924" i="21"/>
  <c r="X922" i="21"/>
  <c r="X923" i="21"/>
  <c r="X921" i="21"/>
  <c r="X919" i="21"/>
  <c r="X920" i="21"/>
  <c r="X910" i="21"/>
  <c r="X911" i="21"/>
  <c r="X912" i="21"/>
  <c r="X931" i="21"/>
  <c r="X929" i="21"/>
  <c r="X930" i="21"/>
  <c r="X723" i="21"/>
  <c r="X722" i="21"/>
  <c r="X700" i="21"/>
  <c r="X699" i="21"/>
  <c r="X563" i="21"/>
  <c r="X564" i="21"/>
  <c r="X565" i="21"/>
  <c r="X746" i="21"/>
  <c r="X745" i="21"/>
  <c r="X654" i="21"/>
  <c r="X653" i="21"/>
  <c r="X817" i="21"/>
  <c r="X816" i="21"/>
  <c r="X677" i="21"/>
  <c r="X676" i="21"/>
  <c r="X494" i="21"/>
  <c r="X492" i="21"/>
  <c r="X493" i="21"/>
  <c r="X484" i="21"/>
  <c r="X482" i="21"/>
  <c r="X483" i="21"/>
  <c r="X796" i="21"/>
  <c r="X795" i="21"/>
  <c r="X753" i="21"/>
  <c r="X751" i="21"/>
  <c r="X752" i="21"/>
  <c r="X607" i="21"/>
  <c r="X606" i="21"/>
  <c r="X577" i="21"/>
  <c r="X575" i="21"/>
  <c r="X576" i="21"/>
  <c r="X562" i="21"/>
  <c r="X560" i="21"/>
  <c r="X561" i="21"/>
  <c r="X487" i="21"/>
  <c r="X485" i="21"/>
  <c r="X486" i="21"/>
  <c r="X580" i="21"/>
  <c r="X578" i="21"/>
  <c r="X579" i="21"/>
  <c r="X773" i="21"/>
  <c r="X772" i="21"/>
  <c r="X630" i="21"/>
  <c r="X631" i="21"/>
  <c r="X423" i="21"/>
  <c r="X422" i="21"/>
  <c r="X398" i="21"/>
  <c r="X397" i="21"/>
  <c r="X372" i="21"/>
  <c r="X373" i="21"/>
  <c r="X173" i="21"/>
  <c r="X174" i="21"/>
  <c r="X348" i="21"/>
  <c r="X347" i="21"/>
  <c r="X157" i="21"/>
  <c r="X155" i="21"/>
  <c r="X156" i="21"/>
  <c r="X298" i="21"/>
  <c r="X297" i="21"/>
  <c r="X320" i="21"/>
  <c r="X321" i="21"/>
  <c r="X189" i="21"/>
  <c r="X188" i="21"/>
  <c r="X205" i="21"/>
  <c r="X206" i="21"/>
  <c r="X176" i="21"/>
  <c r="X175" i="21"/>
  <c r="X395" i="21"/>
  <c r="X396" i="21"/>
  <c r="X186" i="21"/>
  <c r="X187" i="21"/>
  <c r="X345" i="21"/>
  <c r="X346" i="21"/>
  <c r="X139" i="21"/>
  <c r="X137" i="21"/>
  <c r="X138" i="21"/>
  <c r="X242" i="21"/>
  <c r="X243" i="21"/>
  <c r="X295" i="21"/>
  <c r="X296" i="21"/>
  <c r="X448" i="21"/>
  <c r="X447" i="21"/>
  <c r="X261" i="21"/>
  <c r="X262" i="21"/>
  <c r="X226" i="21"/>
  <c r="X225" i="21"/>
  <c r="X420" i="21"/>
  <c r="X421" i="21"/>
  <c r="X370" i="21"/>
  <c r="X371" i="21"/>
  <c r="X474" i="21"/>
  <c r="X472" i="21"/>
  <c r="X473" i="21"/>
  <c r="X223" i="21"/>
  <c r="X224" i="21"/>
  <c r="X208" i="21"/>
  <c r="X207" i="21"/>
  <c r="X245" i="21"/>
  <c r="X244" i="21"/>
  <c r="X264" i="21"/>
  <c r="X263" i="21"/>
  <c r="X323" i="21"/>
  <c r="X322" i="21"/>
  <c r="X271" i="21"/>
  <c r="X269" i="21"/>
  <c r="X270" i="21"/>
  <c r="X445" i="21"/>
  <c r="X446" i="21"/>
  <c r="X107" i="21"/>
  <c r="X112" i="21"/>
  <c r="X111" i="21"/>
  <c r="X110" i="21"/>
  <c r="X108" i="21"/>
  <c r="X106" i="21"/>
  <c r="X105" i="21"/>
  <c r="X109" i="21"/>
  <c r="X60" i="21"/>
  <c r="X59" i="21"/>
  <c r="X69" i="21"/>
  <c r="X70" i="21"/>
  <c r="X90" i="21"/>
  <c r="X91" i="21"/>
  <c r="X93" i="21"/>
  <c r="X92" i="21"/>
  <c r="X89" i="21"/>
  <c r="X88" i="21"/>
  <c r="X64" i="21"/>
  <c r="X65" i="21"/>
  <c r="X25" i="21"/>
  <c r="X26" i="21"/>
  <c r="Z535" i="21"/>
  <c r="Z534" i="21"/>
  <c r="Z533" i="21"/>
  <c r="X34" i="21"/>
  <c r="X33" i="21"/>
  <c r="Z1981" i="21"/>
  <c r="Z1979" i="21"/>
  <c r="Z1980" i="21"/>
  <c r="Z1982" i="21"/>
  <c r="Z1983" i="21"/>
  <c r="Z1984" i="21"/>
  <c r="X28" i="21"/>
  <c r="X27" i="21"/>
  <c r="Z528" i="21"/>
  <c r="X528" i="21" s="1"/>
  <c r="M1984" i="21"/>
  <c r="W1984" i="21"/>
  <c r="W1983" i="21"/>
  <c r="W1982" i="21"/>
  <c r="U1472" i="21"/>
  <c r="U1349" i="21"/>
  <c r="U1487" i="21"/>
  <c r="U1337" i="21"/>
  <c r="U1409" i="21"/>
  <c r="U175" i="21"/>
  <c r="U397" i="21"/>
  <c r="U1425" i="21"/>
  <c r="U1399" i="21"/>
  <c r="U369" i="21"/>
  <c r="U368" i="21"/>
  <c r="U319" i="21"/>
  <c r="U318" i="21"/>
  <c r="U74" i="21"/>
  <c r="U73" i="21"/>
  <c r="U37" i="21"/>
  <c r="U36" i="21"/>
  <c r="U70" i="21"/>
  <c r="U69" i="21"/>
  <c r="U187" i="21"/>
  <c r="U186" i="21"/>
  <c r="U447" i="21"/>
  <c r="U448" i="21"/>
  <c r="U419" i="21"/>
  <c r="U418" i="21"/>
  <c r="U260" i="21"/>
  <c r="U259" i="21"/>
  <c r="U172" i="21"/>
  <c r="U171" i="21"/>
  <c r="U496" i="21"/>
  <c r="U498" i="21"/>
  <c r="U497" i="21"/>
  <c r="U1456" i="21"/>
  <c r="U1455" i="21"/>
  <c r="U607" i="21"/>
  <c r="U606" i="21"/>
  <c r="U60" i="21"/>
  <c r="U59" i="21"/>
  <c r="U652" i="21"/>
  <c r="U651" i="21"/>
  <c r="U1373" i="21"/>
  <c r="U1397" i="21"/>
  <c r="U1396" i="21"/>
  <c r="U1505" i="21"/>
  <c r="U1504" i="21"/>
  <c r="U1503" i="21"/>
  <c r="U1502" i="21"/>
  <c r="U1501" i="21"/>
  <c r="U1500" i="21"/>
  <c r="U1499" i="21"/>
  <c r="U1498" i="21"/>
  <c r="U1497" i="21"/>
  <c r="U1496" i="21"/>
  <c r="U321" i="21"/>
  <c r="U320" i="21"/>
  <c r="U794" i="21"/>
  <c r="U793" i="21"/>
  <c r="U294" i="21"/>
  <c r="U293" i="21"/>
  <c r="U444" i="21"/>
  <c r="U443" i="21"/>
  <c r="U1372" i="21"/>
  <c r="U1371" i="21"/>
  <c r="U245" i="21"/>
  <c r="U244" i="21"/>
  <c r="U396" i="21"/>
  <c r="U395" i="21"/>
  <c r="U189" i="21"/>
  <c r="U188" i="21"/>
  <c r="U723" i="21"/>
  <c r="U722" i="21"/>
  <c r="U262" i="21"/>
  <c r="U261" i="21"/>
  <c r="U226" i="21"/>
  <c r="U225" i="21"/>
  <c r="U504" i="21"/>
  <c r="U503" i="21"/>
  <c r="U502" i="21"/>
  <c r="U344" i="21"/>
  <c r="U343" i="21"/>
  <c r="U1420" i="21"/>
  <c r="U1419" i="21"/>
  <c r="U654" i="21"/>
  <c r="U653" i="21"/>
  <c r="U207" i="21"/>
  <c r="U816" i="21"/>
  <c r="U817" i="21"/>
  <c r="U721" i="21"/>
  <c r="U720" i="21"/>
  <c r="U675" i="21"/>
  <c r="U674" i="21"/>
  <c r="U1523" i="21"/>
  <c r="U1522" i="21"/>
  <c r="U1521" i="21"/>
  <c r="U1520" i="21"/>
  <c r="U1519" i="21"/>
  <c r="U1518" i="21"/>
  <c r="U698" i="21"/>
  <c r="U697" i="21"/>
  <c r="U243" i="21"/>
  <c r="U242" i="21"/>
  <c r="U1322" i="21"/>
  <c r="U1387" i="21"/>
  <c r="U1131" i="21"/>
  <c r="U1130" i="21"/>
  <c r="U1132" i="21"/>
  <c r="U323" i="21"/>
  <c r="U322" i="21"/>
  <c r="U206" i="21"/>
  <c r="U205" i="21"/>
  <c r="U677" i="21"/>
  <c r="U676" i="21"/>
  <c r="U605" i="21"/>
  <c r="U604" i="21"/>
  <c r="U346" i="21"/>
  <c r="U345" i="21"/>
  <c r="U174" i="21"/>
  <c r="U173" i="21"/>
  <c r="U771" i="21"/>
  <c r="U770" i="21"/>
  <c r="U394" i="21"/>
  <c r="U393" i="21"/>
  <c r="U1145" i="21"/>
  <c r="U1140" i="21"/>
  <c r="U1134" i="21"/>
  <c r="U1454" i="21"/>
  <c r="U1453" i="21"/>
  <c r="U508" i="21"/>
  <c r="U507" i="21"/>
  <c r="U506" i="21"/>
  <c r="U773" i="21"/>
  <c r="U772" i="21"/>
  <c r="U373" i="21"/>
  <c r="U372" i="21"/>
  <c r="U91" i="21"/>
  <c r="U90" i="21"/>
  <c r="U1233" i="21"/>
  <c r="U1229" i="21"/>
  <c r="U1225" i="21"/>
  <c r="U93" i="21"/>
  <c r="U92" i="21"/>
  <c r="U1437" i="21"/>
  <c r="U1436" i="21"/>
  <c r="U222" i="21"/>
  <c r="U221" i="21"/>
  <c r="U796" i="21"/>
  <c r="U795" i="21"/>
  <c r="U1155" i="21"/>
  <c r="U1149" i="21"/>
  <c r="U1160" i="21"/>
  <c r="U89" i="21"/>
  <c r="U88" i="21"/>
  <c r="U65" i="21"/>
  <c r="U64" i="21"/>
  <c r="U746" i="21"/>
  <c r="U745" i="21"/>
  <c r="U204" i="21"/>
  <c r="U203" i="21"/>
  <c r="U700" i="21"/>
  <c r="U699" i="21"/>
  <c r="U1347" i="21"/>
  <c r="U1346" i="21"/>
  <c r="U1468" i="21"/>
  <c r="U1467" i="21"/>
  <c r="U1383" i="21"/>
  <c r="U1382" i="21"/>
  <c r="U371" i="21"/>
  <c r="U370" i="21"/>
  <c r="U241" i="21"/>
  <c r="U240" i="21"/>
  <c r="U296" i="21"/>
  <c r="U295" i="21"/>
  <c r="U423" i="21"/>
  <c r="U422" i="21"/>
  <c r="U1441" i="21"/>
  <c r="U744" i="21"/>
  <c r="U743" i="21"/>
  <c r="U1492" i="21"/>
  <c r="U1491" i="21"/>
  <c r="U1490" i="21"/>
  <c r="U1495" i="21"/>
  <c r="U1494" i="21"/>
  <c r="U1493" i="21"/>
  <c r="U185" i="21"/>
  <c r="U184" i="21"/>
  <c r="U1486" i="21"/>
  <c r="U1485" i="21"/>
  <c r="U629" i="21"/>
  <c r="U628" i="21"/>
  <c r="U298" i="21"/>
  <c r="U297" i="21"/>
  <c r="U1333" i="21"/>
  <c r="U1332" i="21"/>
  <c r="U348" i="21"/>
  <c r="U347" i="21"/>
  <c r="U1360" i="21"/>
  <c r="U421" i="21"/>
  <c r="U420" i="21"/>
  <c r="U815" i="21"/>
  <c r="U814" i="21"/>
  <c r="U446" i="21"/>
  <c r="U445" i="21"/>
  <c r="U1408" i="21"/>
  <c r="U1407" i="21"/>
  <c r="U1318" i="21"/>
  <c r="U1317" i="21"/>
  <c r="U264" i="21"/>
  <c r="U263" i="21"/>
  <c r="U1514" i="21"/>
  <c r="U1513" i="21"/>
  <c r="U1512" i="21"/>
  <c r="U1511" i="21"/>
  <c r="U1510" i="21"/>
  <c r="U1509" i="21"/>
  <c r="U1508" i="21"/>
  <c r="U1517" i="21"/>
  <c r="U1516" i="21"/>
  <c r="U1515" i="21"/>
  <c r="U224" i="21"/>
  <c r="U223" i="21"/>
  <c r="U1359" i="21"/>
  <c r="U1358" i="21"/>
  <c r="U631" i="21"/>
  <c r="U630" i="21"/>
  <c r="U26" i="21"/>
  <c r="U25" i="21"/>
  <c r="U28" i="21"/>
  <c r="U27" i="21"/>
  <c r="U76" i="21"/>
  <c r="U72" i="21"/>
  <c r="U83" i="21"/>
  <c r="U54" i="21"/>
  <c r="U47" i="21"/>
  <c r="U35" i="21"/>
  <c r="T548" i="21"/>
  <c r="P548" i="21" s="1"/>
  <c r="O548" i="21"/>
  <c r="T539" i="21"/>
  <c r="P539" i="21" s="1"/>
  <c r="O539" i="21"/>
  <c r="T526" i="21"/>
  <c r="P526" i="21" s="1"/>
  <c r="O526" i="21"/>
  <c r="T555" i="21"/>
  <c r="P555" i="21" s="1"/>
  <c r="O555" i="21"/>
  <c r="T534" i="21"/>
  <c r="P534" i="21" s="1"/>
  <c r="O534" i="21"/>
  <c r="T1983" i="21"/>
  <c r="P1983" i="21" s="1"/>
  <c r="O1983" i="21"/>
  <c r="T512" i="21"/>
  <c r="P512" i="21" s="1"/>
  <c r="O512" i="21"/>
  <c r="T1982" i="21"/>
  <c r="P1982" i="21" s="1"/>
  <c r="O1982" i="21"/>
  <c r="T503" i="21"/>
  <c r="P503" i="21" s="1"/>
  <c r="O503" i="21"/>
  <c r="T1984" i="21"/>
  <c r="P1984" i="21" s="1"/>
  <c r="O1984" i="21"/>
  <c r="Q133" i="21"/>
  <c r="M133" i="21" s="1"/>
  <c r="R133" i="21"/>
  <c r="N142" i="21"/>
  <c r="G147" i="14"/>
  <c r="I149" i="14"/>
  <c r="N74" i="21"/>
  <c r="N73" i="21"/>
  <c r="N37" i="21"/>
  <c r="N36" i="21"/>
  <c r="H1710" i="14"/>
  <c r="H1709" i="14"/>
  <c r="I1550" i="14"/>
  <c r="I1549" i="14"/>
  <c r="I1455" i="14"/>
  <c r="I1449" i="14"/>
  <c r="I1190" i="14"/>
  <c r="I1186" i="14"/>
  <c r="I976" i="14"/>
  <c r="G89" i="14"/>
  <c r="I89" i="14"/>
  <c r="N87" i="21" s="1"/>
  <c r="G79" i="14"/>
  <c r="I79" i="14"/>
  <c r="N78" i="21" s="1"/>
  <c r="X78" i="21" s="1"/>
  <c r="G56" i="14"/>
  <c r="I56" i="14"/>
  <c r="N55" i="21" s="1"/>
  <c r="G49" i="14"/>
  <c r="I49" i="14"/>
  <c r="N49" i="21" s="1"/>
  <c r="G41" i="14"/>
  <c r="I41" i="14"/>
  <c r="N41" i="21" s="1"/>
  <c r="G102" i="14"/>
  <c r="G101" i="14"/>
  <c r="I101" i="14"/>
  <c r="N98" i="21" s="1"/>
  <c r="I102" i="14"/>
  <c r="N99" i="21" s="1"/>
  <c r="I64" i="14"/>
  <c r="G53" i="14"/>
  <c r="G44" i="14"/>
  <c r="X1981" i="21" l="1"/>
  <c r="X1979" i="21"/>
  <c r="X1980" i="21"/>
  <c r="X1984" i="21"/>
  <c r="X1982" i="21"/>
  <c r="X1983" i="21"/>
  <c r="X533" i="21"/>
  <c r="X535" i="21"/>
  <c r="X534" i="21"/>
  <c r="Z42" i="21"/>
  <c r="X42" i="21" s="1"/>
  <c r="Z41" i="21"/>
  <c r="X41" i="21" s="1"/>
  <c r="G40" i="14"/>
  <c r="Z133" i="21"/>
  <c r="X133" i="21" s="1"/>
  <c r="Z136" i="21"/>
  <c r="Z134" i="21"/>
  <c r="Z135" i="21"/>
  <c r="Z95" i="21"/>
  <c r="X95" i="21" s="1"/>
  <c r="Z87" i="21"/>
  <c r="X87" i="21" s="1"/>
  <c r="Z100" i="21"/>
  <c r="X100" i="21" s="1"/>
  <c r="Z99" i="21"/>
  <c r="Z98" i="21"/>
  <c r="X98" i="21" s="1"/>
  <c r="Z56" i="21"/>
  <c r="Z57" i="21"/>
  <c r="Z79" i="21"/>
  <c r="Z78" i="21"/>
  <c r="Z80" i="21"/>
  <c r="Z49" i="21"/>
  <c r="X49" i="21" s="1"/>
  <c r="Z50" i="21"/>
  <c r="Z51" i="21"/>
  <c r="T99" i="21"/>
  <c r="P99" i="21" s="1"/>
  <c r="T87" i="21"/>
  <c r="P87" i="21" s="1"/>
  <c r="T98" i="21"/>
  <c r="P98" i="21" s="1"/>
  <c r="T55" i="21"/>
  <c r="P55" i="21" s="1"/>
  <c r="T78" i="21"/>
  <c r="P78" i="21" s="1"/>
  <c r="U1984" i="21"/>
  <c r="U1983" i="21"/>
  <c r="U1982" i="21"/>
  <c r="R41" i="21"/>
  <c r="T41" i="21"/>
  <c r="P41" i="21" s="1"/>
  <c r="R49" i="21"/>
  <c r="T49" i="21"/>
  <c r="P49" i="21" s="1"/>
  <c r="S142" i="21"/>
  <c r="Q142" i="21"/>
  <c r="M142" i="21" s="1"/>
  <c r="Z142" i="21" s="1"/>
  <c r="X142" i="21" s="1"/>
  <c r="R142" i="21"/>
  <c r="N1036" i="21"/>
  <c r="N1276" i="21"/>
  <c r="N1282" i="21"/>
  <c r="N1368" i="21"/>
  <c r="N1369" i="21"/>
  <c r="N143" i="21"/>
  <c r="R143" i="21" s="1"/>
  <c r="N842" i="21"/>
  <c r="N1032" i="21"/>
  <c r="Q99" i="21"/>
  <c r="R99" i="21"/>
  <c r="Q55" i="21"/>
  <c r="R55" i="21"/>
  <c r="Q98" i="21"/>
  <c r="R98" i="21"/>
  <c r="Q78" i="21"/>
  <c r="R78" i="21"/>
  <c r="Q87" i="21"/>
  <c r="R87" i="21"/>
  <c r="R73" i="21"/>
  <c r="Q73" i="21"/>
  <c r="M73" i="21" s="1"/>
  <c r="S73" i="21"/>
  <c r="R74" i="21"/>
  <c r="Q74" i="21"/>
  <c r="M74" i="21" s="1"/>
  <c r="S74" i="21"/>
  <c r="R37" i="21"/>
  <c r="S37" i="21"/>
  <c r="Q37" i="21"/>
  <c r="M37" i="21" s="1"/>
  <c r="R36" i="21"/>
  <c r="S36" i="21"/>
  <c r="Q36" i="21"/>
  <c r="M36" i="21" s="1"/>
  <c r="G64" i="14"/>
  <c r="N63" i="21"/>
  <c r="X66" i="21" s="1"/>
  <c r="I150" i="14"/>
  <c r="G43" i="14"/>
  <c r="G149" i="14"/>
  <c r="G138" i="14"/>
  <c r="G39" i="14" l="1"/>
  <c r="X51" i="21"/>
  <c r="X50" i="21"/>
  <c r="X134" i="21"/>
  <c r="X135" i="21"/>
  <c r="X136" i="21"/>
  <c r="X79" i="21"/>
  <c r="X80" i="21"/>
  <c r="X56" i="21"/>
  <c r="X57" i="21"/>
  <c r="Z47" i="21"/>
  <c r="Z37" i="21"/>
  <c r="Z36" i="21"/>
  <c r="Z54" i="21"/>
  <c r="Z35" i="21"/>
  <c r="Z74" i="21"/>
  <c r="Z73" i="21"/>
  <c r="Z72" i="21"/>
  <c r="Z76" i="21"/>
  <c r="Z83" i="21"/>
  <c r="Z63" i="21"/>
  <c r="X63" i="21" s="1"/>
  <c r="Z67" i="21"/>
  <c r="Z68" i="21"/>
  <c r="T63" i="21"/>
  <c r="P63" i="21" s="1"/>
  <c r="R1369" i="21"/>
  <c r="Q1369" i="21"/>
  <c r="M1369" i="21" s="1"/>
  <c r="S1369" i="21"/>
  <c r="O73" i="21"/>
  <c r="T73" i="21"/>
  <c r="P73" i="21" s="1"/>
  <c r="O36" i="21"/>
  <c r="T36" i="21"/>
  <c r="P36" i="21" s="1"/>
  <c r="O37" i="21"/>
  <c r="T37" i="21"/>
  <c r="P37" i="21" s="1"/>
  <c r="O74" i="21"/>
  <c r="T74" i="21"/>
  <c r="P74" i="21" s="1"/>
  <c r="R1368" i="21"/>
  <c r="Q1368" i="21"/>
  <c r="M1368" i="21" s="1"/>
  <c r="S1368" i="21"/>
  <c r="T142" i="21"/>
  <c r="P142" i="21" s="1"/>
  <c r="O142" i="21"/>
  <c r="R1032" i="21"/>
  <c r="S1032" i="21"/>
  <c r="Q1032" i="21"/>
  <c r="M1032" i="21" s="1"/>
  <c r="R842" i="21"/>
  <c r="Q842" i="21"/>
  <c r="M842" i="21" s="1"/>
  <c r="Z842" i="21" s="1"/>
  <c r="X842" i="21" s="1"/>
  <c r="S842" i="21"/>
  <c r="R1282" i="21"/>
  <c r="S1282" i="21"/>
  <c r="Q1282" i="21"/>
  <c r="M1282" i="21" s="1"/>
  <c r="R1276" i="21"/>
  <c r="S1276" i="21"/>
  <c r="Q1276" i="21"/>
  <c r="M1276" i="21" s="1"/>
  <c r="R1036" i="21"/>
  <c r="S1036" i="21"/>
  <c r="Q1036" i="21"/>
  <c r="M1036" i="21" s="1"/>
  <c r="S143" i="21"/>
  <c r="Q143" i="21"/>
  <c r="M143" i="21" s="1"/>
  <c r="Z143" i="21" s="1"/>
  <c r="X143" i="21" s="1"/>
  <c r="N144" i="21"/>
  <c r="Q63" i="21"/>
  <c r="R63" i="21"/>
  <c r="I154" i="14"/>
  <c r="I157" i="14"/>
  <c r="I153" i="14"/>
  <c r="G150" i="14"/>
  <c r="G139" i="14"/>
  <c r="G38" i="14" l="1"/>
  <c r="Z1036" i="21"/>
  <c r="X1036" i="21" s="1"/>
  <c r="Z1039" i="21"/>
  <c r="Z1037" i="21"/>
  <c r="Z1038" i="21"/>
  <c r="Z1276" i="21"/>
  <c r="Z1280" i="21"/>
  <c r="Z1278" i="21"/>
  <c r="Z1279" i="21"/>
  <c r="Z1282" i="21"/>
  <c r="Z1283" i="21"/>
  <c r="Z1284" i="21"/>
  <c r="Z1285" i="21"/>
  <c r="Z1369" i="21"/>
  <c r="X1369" i="21" s="1"/>
  <c r="Z1032" i="21"/>
  <c r="X1032" i="21" s="1"/>
  <c r="Z1035" i="21"/>
  <c r="Z1034" i="21"/>
  <c r="Z1033" i="21"/>
  <c r="T1282" i="21"/>
  <c r="P1282" i="21" s="1"/>
  <c r="O1282" i="21"/>
  <c r="T1369" i="21"/>
  <c r="P1369" i="21" s="1"/>
  <c r="O1369" i="21"/>
  <c r="T842" i="21"/>
  <c r="P842" i="21" s="1"/>
  <c r="O842" i="21"/>
  <c r="T1368" i="21"/>
  <c r="P1368" i="21" s="1"/>
  <c r="O1368" i="21"/>
  <c r="T143" i="21"/>
  <c r="P143" i="21" s="1"/>
  <c r="O143" i="21"/>
  <c r="T1032" i="21"/>
  <c r="P1032" i="21" s="1"/>
  <c r="O1032" i="21"/>
  <c r="T1036" i="21"/>
  <c r="P1036" i="21" s="1"/>
  <c r="O1036" i="21"/>
  <c r="T1276" i="21"/>
  <c r="P1276" i="21" s="1"/>
  <c r="O1276" i="21"/>
  <c r="S144" i="21"/>
  <c r="Q144" i="21"/>
  <c r="M144" i="21" s="1"/>
  <c r="Z144" i="21" s="1"/>
  <c r="X144" i="21" s="1"/>
  <c r="R144" i="21"/>
  <c r="N147" i="21"/>
  <c r="R147" i="21" s="1"/>
  <c r="N148" i="21"/>
  <c r="N145" i="21"/>
  <c r="I161" i="14"/>
  <c r="I160" i="14"/>
  <c r="I152" i="14"/>
  <c r="G154" i="14"/>
  <c r="G157" i="14"/>
  <c r="G153" i="14"/>
  <c r="G140" i="14"/>
  <c r="X1035" i="21" l="1"/>
  <c r="X1033" i="21"/>
  <c r="X1034" i="21"/>
  <c r="X1039" i="21"/>
  <c r="X1037" i="21"/>
  <c r="X1038" i="21"/>
  <c r="T144" i="21"/>
  <c r="P144" i="21" s="1"/>
  <c r="O144" i="21"/>
  <c r="R145" i="21"/>
  <c r="S145" i="21"/>
  <c r="Q145" i="21"/>
  <c r="M145" i="21" s="1"/>
  <c r="Z145" i="21" s="1"/>
  <c r="X145" i="21" s="1"/>
  <c r="S147" i="21"/>
  <c r="Q147" i="21"/>
  <c r="M147" i="21" s="1"/>
  <c r="R148" i="21"/>
  <c r="S148" i="21"/>
  <c r="Q148" i="21"/>
  <c r="M148" i="21" s="1"/>
  <c r="N150" i="21"/>
  <c r="N149" i="21"/>
  <c r="G161" i="14"/>
  <c r="G160" i="14"/>
  <c r="G152" i="14"/>
  <c r="I169" i="14"/>
  <c r="G141" i="14"/>
  <c r="Z148" i="21" l="1"/>
  <c r="Z147" i="21"/>
  <c r="T147" i="21"/>
  <c r="P147" i="21" s="1"/>
  <c r="O147" i="21"/>
  <c r="T148" i="21"/>
  <c r="P148" i="21" s="1"/>
  <c r="O148" i="21"/>
  <c r="T145" i="21"/>
  <c r="P145" i="21" s="1"/>
  <c r="O145" i="21"/>
  <c r="R150" i="21"/>
  <c r="Q150" i="21"/>
  <c r="M150" i="21" s="1"/>
  <c r="S150" i="21"/>
  <c r="R149" i="21"/>
  <c r="Q149" i="21"/>
  <c r="M149" i="21" s="1"/>
  <c r="S149" i="21"/>
  <c r="N151" i="21"/>
  <c r="N146" i="21"/>
  <c r="I173" i="14"/>
  <c r="I171" i="14"/>
  <c r="I172" i="14"/>
  <c r="G169" i="14"/>
  <c r="G142" i="14"/>
  <c r="Z150" i="21" l="1"/>
  <c r="Z146" i="21"/>
  <c r="Z149" i="21"/>
  <c r="T150" i="21"/>
  <c r="P150" i="21" s="1"/>
  <c r="O150" i="21"/>
  <c r="T149" i="21"/>
  <c r="P149" i="21" s="1"/>
  <c r="O149" i="21"/>
  <c r="R146" i="21"/>
  <c r="S146" i="21"/>
  <c r="Q146" i="21"/>
  <c r="M146" i="21" s="1"/>
  <c r="R151" i="21"/>
  <c r="Q151" i="21"/>
  <c r="M151" i="21" s="1"/>
  <c r="X151" i="21" s="1"/>
  <c r="S151" i="21"/>
  <c r="N161" i="21"/>
  <c r="N158" i="21"/>
  <c r="N160" i="21"/>
  <c r="I176" i="14"/>
  <c r="I175" i="14"/>
  <c r="I170" i="14"/>
  <c r="G173" i="14"/>
  <c r="G172" i="14"/>
  <c r="G171" i="14"/>
  <c r="G143" i="14"/>
  <c r="W150" i="21" l="1"/>
  <c r="X146" i="21"/>
  <c r="Z151" i="21"/>
  <c r="Z154" i="21"/>
  <c r="Z152" i="21"/>
  <c r="Z153" i="21"/>
  <c r="W147" i="21"/>
  <c r="W148" i="21"/>
  <c r="W146" i="21"/>
  <c r="W149" i="21"/>
  <c r="T146" i="21"/>
  <c r="P146" i="21" s="1"/>
  <c r="U149" i="21" s="1"/>
  <c r="O146" i="21"/>
  <c r="T151" i="21"/>
  <c r="P151" i="21" s="1"/>
  <c r="O151" i="21"/>
  <c r="R160" i="21"/>
  <c r="Q160" i="21"/>
  <c r="M160" i="21" s="1"/>
  <c r="S160" i="21"/>
  <c r="R161" i="21"/>
  <c r="Q161" i="21"/>
  <c r="M161" i="21" s="1"/>
  <c r="S161" i="21"/>
  <c r="R158" i="21"/>
  <c r="Q158" i="21"/>
  <c r="M158" i="21" s="1"/>
  <c r="Z158" i="21" s="1"/>
  <c r="X158" i="21" s="1"/>
  <c r="S158" i="21"/>
  <c r="N159" i="21"/>
  <c r="N163" i="21"/>
  <c r="N162" i="21"/>
  <c r="G175" i="14"/>
  <c r="G176" i="14"/>
  <c r="G170" i="14"/>
  <c r="I180" i="14"/>
  <c r="I178" i="14"/>
  <c r="I179" i="14"/>
  <c r="G144" i="14"/>
  <c r="G17" i="14"/>
  <c r="G30" i="14"/>
  <c r="J137" i="14"/>
  <c r="J134" i="14"/>
  <c r="J135" i="14"/>
  <c r="J133" i="14"/>
  <c r="J132" i="14"/>
  <c r="J131" i="14"/>
  <c r="J128" i="14"/>
  <c r="J129" i="14"/>
  <c r="J130" i="14"/>
  <c r="J127" i="14"/>
  <c r="J125" i="14"/>
  <c r="J126" i="14"/>
  <c r="J124" i="14"/>
  <c r="J123" i="14"/>
  <c r="J121" i="14"/>
  <c r="J122" i="14"/>
  <c r="J120" i="14"/>
  <c r="J119" i="14"/>
  <c r="J117" i="14"/>
  <c r="J118" i="14"/>
  <c r="J116" i="14"/>
  <c r="C108" i="19"/>
  <c r="C109" i="19" s="1"/>
  <c r="J107" i="19"/>
  <c r="I105" i="19"/>
  <c r="F105" i="19"/>
  <c r="C105" i="19"/>
  <c r="J105" i="19" s="1"/>
  <c r="B105" i="19"/>
  <c r="I104" i="19"/>
  <c r="F104" i="19"/>
  <c r="C104" i="19"/>
  <c r="J104" i="19" s="1"/>
  <c r="B104" i="19"/>
  <c r="I103" i="19"/>
  <c r="F103" i="19"/>
  <c r="C103" i="19"/>
  <c r="J103" i="19" s="1"/>
  <c r="B103" i="19"/>
  <c r="I102" i="19"/>
  <c r="F102" i="19"/>
  <c r="C102" i="19"/>
  <c r="J102" i="19" s="1"/>
  <c r="K102" i="19" s="1"/>
  <c r="L102" i="19" s="1"/>
  <c r="B102" i="19"/>
  <c r="I101" i="19"/>
  <c r="F101" i="19"/>
  <c r="C101" i="19"/>
  <c r="J101" i="19" s="1"/>
  <c r="K101" i="19" s="1"/>
  <c r="L101" i="19" s="1"/>
  <c r="B101" i="19"/>
  <c r="I100" i="19"/>
  <c r="K100" i="19" s="1"/>
  <c r="L100" i="19" s="1"/>
  <c r="F100" i="19"/>
  <c r="C100" i="19"/>
  <c r="J100" i="19" s="1"/>
  <c r="B100" i="19"/>
  <c r="I99" i="19"/>
  <c r="F99" i="19"/>
  <c r="C99" i="19"/>
  <c r="J99" i="19" s="1"/>
  <c r="B99" i="19"/>
  <c r="I98" i="19"/>
  <c r="F98" i="19"/>
  <c r="C98" i="19"/>
  <c r="J98" i="19" s="1"/>
  <c r="B98" i="19"/>
  <c r="I97" i="19"/>
  <c r="F97" i="19"/>
  <c r="C97" i="19"/>
  <c r="J97" i="19" s="1"/>
  <c r="B97" i="19"/>
  <c r="J96" i="19"/>
  <c r="I96" i="19"/>
  <c r="K96" i="19" s="1"/>
  <c r="L96" i="19" s="1"/>
  <c r="F96" i="19"/>
  <c r="C96" i="19"/>
  <c r="B96" i="19"/>
  <c r="I95" i="19"/>
  <c r="F95" i="19"/>
  <c r="C95" i="19"/>
  <c r="J95" i="19" s="1"/>
  <c r="B95" i="19"/>
  <c r="I94" i="19"/>
  <c r="K94" i="19" s="1"/>
  <c r="L94" i="19" s="1"/>
  <c r="F94" i="19"/>
  <c r="C94" i="19"/>
  <c r="J94" i="19" s="1"/>
  <c r="B94" i="19"/>
  <c r="I93" i="19"/>
  <c r="F93" i="19"/>
  <c r="C93" i="19"/>
  <c r="J93" i="19" s="1"/>
  <c r="B93" i="19"/>
  <c r="I92" i="19"/>
  <c r="F92" i="19"/>
  <c r="C92" i="19"/>
  <c r="J92" i="19" s="1"/>
  <c r="B92" i="19"/>
  <c r="I91" i="19"/>
  <c r="F91" i="19"/>
  <c r="C91" i="19"/>
  <c r="J91" i="19" s="1"/>
  <c r="B91" i="19"/>
  <c r="I90" i="19"/>
  <c r="F90" i="19"/>
  <c r="C90" i="19"/>
  <c r="J90" i="19" s="1"/>
  <c r="B90" i="19"/>
  <c r="I89" i="19"/>
  <c r="F89" i="19"/>
  <c r="C89" i="19"/>
  <c r="J89" i="19" s="1"/>
  <c r="B89" i="19"/>
  <c r="I88" i="19"/>
  <c r="F88" i="19"/>
  <c r="C88" i="19"/>
  <c r="J88" i="19" s="1"/>
  <c r="B88" i="19"/>
  <c r="I87" i="19"/>
  <c r="F87" i="19"/>
  <c r="C87" i="19"/>
  <c r="J87" i="19" s="1"/>
  <c r="B87" i="19"/>
  <c r="J86" i="19"/>
  <c r="K86" i="19" s="1"/>
  <c r="L86" i="19" s="1"/>
  <c r="I86" i="19"/>
  <c r="F86" i="19"/>
  <c r="C86" i="19"/>
  <c r="B86" i="19"/>
  <c r="I85" i="19"/>
  <c r="F85" i="19"/>
  <c r="C85" i="19"/>
  <c r="J85" i="19" s="1"/>
  <c r="B85" i="19"/>
  <c r="J84" i="19"/>
  <c r="I84" i="19"/>
  <c r="K84" i="19" s="1"/>
  <c r="L84" i="19" s="1"/>
  <c r="F84" i="19"/>
  <c r="C84" i="19"/>
  <c r="B84" i="19"/>
  <c r="I83" i="19"/>
  <c r="F83" i="19"/>
  <c r="C83" i="19"/>
  <c r="J83" i="19" s="1"/>
  <c r="B83" i="19"/>
  <c r="I82" i="19"/>
  <c r="F82" i="19"/>
  <c r="C82" i="19"/>
  <c r="J82" i="19" s="1"/>
  <c r="B82" i="19"/>
  <c r="I81" i="19"/>
  <c r="F81" i="19"/>
  <c r="C81" i="19"/>
  <c r="J81" i="19" s="1"/>
  <c r="B81" i="19"/>
  <c r="I80" i="19"/>
  <c r="F80" i="19"/>
  <c r="C80" i="19"/>
  <c r="J80" i="19" s="1"/>
  <c r="B80" i="19"/>
  <c r="I79" i="19"/>
  <c r="K79" i="19" s="1"/>
  <c r="L79" i="19" s="1"/>
  <c r="F79" i="19"/>
  <c r="C79" i="19"/>
  <c r="J79" i="19" s="1"/>
  <c r="B79" i="19"/>
  <c r="I78" i="19"/>
  <c r="F78" i="19"/>
  <c r="C78" i="19"/>
  <c r="J78" i="19" s="1"/>
  <c r="B78" i="19"/>
  <c r="I77" i="19"/>
  <c r="F77" i="19"/>
  <c r="C77" i="19"/>
  <c r="J77" i="19" s="1"/>
  <c r="B77" i="19"/>
  <c r="I76" i="19"/>
  <c r="F76" i="19"/>
  <c r="C76" i="19"/>
  <c r="J76" i="19" s="1"/>
  <c r="B76" i="19"/>
  <c r="I75" i="19"/>
  <c r="K75" i="19" s="1"/>
  <c r="L75" i="19" s="1"/>
  <c r="F75" i="19"/>
  <c r="C75" i="19"/>
  <c r="J75" i="19" s="1"/>
  <c r="B75" i="19"/>
  <c r="I74" i="19"/>
  <c r="F74" i="19"/>
  <c r="C74" i="19"/>
  <c r="J74" i="19" s="1"/>
  <c r="B74" i="19"/>
  <c r="I73" i="19"/>
  <c r="F73" i="19"/>
  <c r="C73" i="19"/>
  <c r="J73" i="19" s="1"/>
  <c r="B73" i="19"/>
  <c r="I72" i="19"/>
  <c r="K72" i="19" s="1"/>
  <c r="L72" i="19" s="1"/>
  <c r="F72" i="19"/>
  <c r="C72" i="19"/>
  <c r="J72" i="19" s="1"/>
  <c r="B72" i="19"/>
  <c r="I71" i="19"/>
  <c r="F71" i="19"/>
  <c r="C71" i="19"/>
  <c r="J71" i="19" s="1"/>
  <c r="B71" i="19"/>
  <c r="J70" i="19"/>
  <c r="I70" i="19"/>
  <c r="F70" i="19"/>
  <c r="C70" i="19"/>
  <c r="B70" i="19"/>
  <c r="J69" i="19"/>
  <c r="I69" i="19"/>
  <c r="F69" i="19"/>
  <c r="C69" i="19"/>
  <c r="B69" i="19"/>
  <c r="I68" i="19"/>
  <c r="F68" i="19"/>
  <c r="C68" i="19"/>
  <c r="J68" i="19" s="1"/>
  <c r="B68" i="19"/>
  <c r="I67" i="19"/>
  <c r="F67" i="19"/>
  <c r="C67" i="19"/>
  <c r="J67" i="19" s="1"/>
  <c r="B67" i="19"/>
  <c r="I66" i="19"/>
  <c r="F66" i="19"/>
  <c r="C66" i="19"/>
  <c r="J66" i="19" s="1"/>
  <c r="K66" i="19" s="1"/>
  <c r="L66" i="19" s="1"/>
  <c r="B66" i="19"/>
  <c r="J65" i="19"/>
  <c r="I65" i="19"/>
  <c r="F65" i="19"/>
  <c r="C65" i="19"/>
  <c r="B65" i="19"/>
  <c r="I64" i="19"/>
  <c r="F64" i="19"/>
  <c r="C64" i="19"/>
  <c r="J64" i="19" s="1"/>
  <c r="K64" i="19" s="1"/>
  <c r="L64" i="19" s="1"/>
  <c r="B64" i="19"/>
  <c r="I63" i="19"/>
  <c r="F63" i="19"/>
  <c r="C63" i="19"/>
  <c r="J63" i="19" s="1"/>
  <c r="B63" i="19"/>
  <c r="I62" i="19"/>
  <c r="F62" i="19"/>
  <c r="C62" i="19"/>
  <c r="J62" i="19" s="1"/>
  <c r="B62" i="19"/>
  <c r="I61" i="19"/>
  <c r="F61" i="19"/>
  <c r="C61" i="19"/>
  <c r="J61" i="19" s="1"/>
  <c r="B61" i="19"/>
  <c r="I60" i="19"/>
  <c r="F60" i="19"/>
  <c r="C60" i="19"/>
  <c r="J60" i="19" s="1"/>
  <c r="B60" i="19"/>
  <c r="I59" i="19"/>
  <c r="F59" i="19"/>
  <c r="C59" i="19"/>
  <c r="J59" i="19" s="1"/>
  <c r="B59" i="19"/>
  <c r="I58" i="19"/>
  <c r="F58" i="19"/>
  <c r="C58" i="19"/>
  <c r="J58" i="19" s="1"/>
  <c r="B58" i="19"/>
  <c r="I57" i="19"/>
  <c r="K57" i="19" s="1"/>
  <c r="L57" i="19" s="1"/>
  <c r="F57" i="19"/>
  <c r="C57" i="19"/>
  <c r="J57" i="19" s="1"/>
  <c r="B57" i="19"/>
  <c r="I56" i="19"/>
  <c r="F56" i="19"/>
  <c r="C56" i="19"/>
  <c r="J56" i="19" s="1"/>
  <c r="B56" i="19"/>
  <c r="I55" i="19"/>
  <c r="F55" i="19"/>
  <c r="C55" i="19"/>
  <c r="J55" i="19" s="1"/>
  <c r="B55" i="19"/>
  <c r="I54" i="19"/>
  <c r="F54" i="19"/>
  <c r="C54" i="19"/>
  <c r="J54" i="19" s="1"/>
  <c r="K54" i="19" s="1"/>
  <c r="L54" i="19" s="1"/>
  <c r="B54" i="19"/>
  <c r="J53" i="19"/>
  <c r="I53" i="19"/>
  <c r="F53" i="19"/>
  <c r="C53" i="19"/>
  <c r="B53" i="19"/>
  <c r="I52" i="19"/>
  <c r="F52" i="19"/>
  <c r="C52" i="19"/>
  <c r="J52" i="19" s="1"/>
  <c r="B52" i="19"/>
  <c r="J51" i="19"/>
  <c r="I51" i="19"/>
  <c r="F51" i="19"/>
  <c r="C51" i="19"/>
  <c r="B51" i="19"/>
  <c r="I50" i="19"/>
  <c r="F50" i="19"/>
  <c r="C50" i="19"/>
  <c r="J50" i="19" s="1"/>
  <c r="B50" i="19"/>
  <c r="I49" i="19"/>
  <c r="F49" i="19"/>
  <c r="C49" i="19"/>
  <c r="J49" i="19" s="1"/>
  <c r="B49" i="19"/>
  <c r="I48" i="19"/>
  <c r="F48" i="19"/>
  <c r="C48" i="19"/>
  <c r="J48" i="19" s="1"/>
  <c r="B48" i="19"/>
  <c r="J47" i="19"/>
  <c r="I47" i="19"/>
  <c r="F47" i="19"/>
  <c r="C47" i="19"/>
  <c r="B47" i="19"/>
  <c r="I46" i="19"/>
  <c r="F46" i="19"/>
  <c r="C46" i="19"/>
  <c r="J46" i="19" s="1"/>
  <c r="B46" i="19"/>
  <c r="J45" i="19"/>
  <c r="I45" i="19"/>
  <c r="K45" i="19" s="1"/>
  <c r="L45" i="19" s="1"/>
  <c r="F45" i="19"/>
  <c r="C45" i="19"/>
  <c r="B45" i="19"/>
  <c r="I44" i="19"/>
  <c r="F44" i="19"/>
  <c r="C44" i="19"/>
  <c r="J44" i="19" s="1"/>
  <c r="B44" i="19"/>
  <c r="I43" i="19"/>
  <c r="F43" i="19"/>
  <c r="G43" i="19" s="1"/>
  <c r="H43" i="19" s="1"/>
  <c r="C43" i="19"/>
  <c r="J43" i="19" s="1"/>
  <c r="K43" i="19" s="1"/>
  <c r="L43" i="19" s="1"/>
  <c r="B43" i="19"/>
  <c r="I42" i="19"/>
  <c r="F42" i="19"/>
  <c r="C42" i="19"/>
  <c r="J42" i="19" s="1"/>
  <c r="K42" i="19" s="1"/>
  <c r="L42" i="19" s="1"/>
  <c r="B42" i="19"/>
  <c r="I41" i="19"/>
  <c r="F41" i="19"/>
  <c r="G41" i="19" s="1"/>
  <c r="H41" i="19" s="1"/>
  <c r="C41" i="19"/>
  <c r="J41" i="19" s="1"/>
  <c r="B41" i="19"/>
  <c r="I40" i="19"/>
  <c r="F40" i="19"/>
  <c r="C40" i="19"/>
  <c r="J40" i="19" s="1"/>
  <c r="K40" i="19" s="1"/>
  <c r="L40" i="19" s="1"/>
  <c r="B40" i="19"/>
  <c r="I39" i="19"/>
  <c r="F39" i="19"/>
  <c r="C39" i="19"/>
  <c r="J39" i="19" s="1"/>
  <c r="K39" i="19" s="1"/>
  <c r="L39" i="19" s="1"/>
  <c r="B39" i="19"/>
  <c r="I38" i="19"/>
  <c r="K38" i="19" s="1"/>
  <c r="L38" i="19" s="1"/>
  <c r="F38" i="19"/>
  <c r="C38" i="19"/>
  <c r="J38" i="19" s="1"/>
  <c r="B38" i="19"/>
  <c r="I37" i="19"/>
  <c r="F37" i="19"/>
  <c r="C37" i="19"/>
  <c r="J37" i="19" s="1"/>
  <c r="B37" i="19"/>
  <c r="I36" i="19"/>
  <c r="F36" i="19"/>
  <c r="C36" i="19"/>
  <c r="J36" i="19" s="1"/>
  <c r="B36" i="19"/>
  <c r="J35" i="19"/>
  <c r="I35" i="19"/>
  <c r="K35" i="19" s="1"/>
  <c r="L35" i="19" s="1"/>
  <c r="F35" i="19"/>
  <c r="C35" i="19"/>
  <c r="B35" i="19"/>
  <c r="I34" i="19"/>
  <c r="F34" i="19"/>
  <c r="C34" i="19"/>
  <c r="J34" i="19" s="1"/>
  <c r="B34" i="19"/>
  <c r="I33" i="19"/>
  <c r="F33" i="19"/>
  <c r="C33" i="19"/>
  <c r="B33" i="19"/>
  <c r="I32" i="19"/>
  <c r="F32" i="19"/>
  <c r="G32" i="19" s="1"/>
  <c r="H32" i="19" s="1"/>
  <c r="C32" i="19"/>
  <c r="J32" i="19" s="1"/>
  <c r="B32" i="19"/>
  <c r="I31" i="19"/>
  <c r="F31" i="19"/>
  <c r="G31" i="19" s="1"/>
  <c r="H31" i="19" s="1"/>
  <c r="C31" i="19"/>
  <c r="J31" i="19" s="1"/>
  <c r="B31" i="19"/>
  <c r="I30" i="19"/>
  <c r="F30" i="19"/>
  <c r="G30" i="19" s="1"/>
  <c r="H30" i="19" s="1"/>
  <c r="C30" i="19"/>
  <c r="J30" i="19" s="1"/>
  <c r="B30" i="19"/>
  <c r="I29" i="19"/>
  <c r="F29" i="19"/>
  <c r="C29" i="19"/>
  <c r="J29" i="19" s="1"/>
  <c r="K29" i="19" s="1"/>
  <c r="L29" i="19" s="1"/>
  <c r="B29" i="19"/>
  <c r="I28" i="19"/>
  <c r="F28" i="19"/>
  <c r="C28" i="19"/>
  <c r="J28" i="19" s="1"/>
  <c r="K28" i="19" s="1"/>
  <c r="L28" i="19" s="1"/>
  <c r="B28" i="19"/>
  <c r="I27" i="19"/>
  <c r="F27" i="19"/>
  <c r="G27" i="19" s="1"/>
  <c r="H27" i="19" s="1"/>
  <c r="C27" i="19"/>
  <c r="J27" i="19" s="1"/>
  <c r="B27" i="19"/>
  <c r="I26" i="19"/>
  <c r="F26" i="19"/>
  <c r="C26" i="19"/>
  <c r="P28" i="19" s="1"/>
  <c r="B26" i="19"/>
  <c r="I24" i="19"/>
  <c r="G24" i="19"/>
  <c r="H24" i="19" s="1"/>
  <c r="F24" i="19"/>
  <c r="C24" i="19"/>
  <c r="I23" i="19"/>
  <c r="F23" i="19"/>
  <c r="C23" i="19"/>
  <c r="I22" i="19"/>
  <c r="F22" i="19"/>
  <c r="C22" i="19"/>
  <c r="I21" i="19"/>
  <c r="F21" i="19"/>
  <c r="C21" i="19"/>
  <c r="I20" i="19"/>
  <c r="F20" i="19"/>
  <c r="C20" i="19"/>
  <c r="I19" i="19"/>
  <c r="F19" i="19"/>
  <c r="C19" i="19"/>
  <c r="I18" i="19"/>
  <c r="F18" i="19"/>
  <c r="G18" i="19" s="1"/>
  <c r="H18" i="19" s="1"/>
  <c r="C18" i="19"/>
  <c r="I17" i="19"/>
  <c r="F17" i="19"/>
  <c r="G17" i="19" s="1"/>
  <c r="H17" i="19" s="1"/>
  <c r="C17" i="19"/>
  <c r="I16" i="19"/>
  <c r="F16" i="19"/>
  <c r="C16" i="19"/>
  <c r="I15" i="19"/>
  <c r="F15" i="19"/>
  <c r="C15" i="19"/>
  <c r="I14" i="19"/>
  <c r="F14" i="19"/>
  <c r="C14" i="19"/>
  <c r="I13" i="19"/>
  <c r="F13" i="19"/>
  <c r="C13" i="19"/>
  <c r="I12" i="19"/>
  <c r="F12" i="19"/>
  <c r="C12" i="19"/>
  <c r="I11" i="19"/>
  <c r="F11" i="19"/>
  <c r="C11" i="19"/>
  <c r="I10" i="19"/>
  <c r="F10" i="19"/>
  <c r="C10" i="19"/>
  <c r="I9" i="19"/>
  <c r="F9" i="19"/>
  <c r="G9" i="19" s="1"/>
  <c r="H9" i="19" s="1"/>
  <c r="C9" i="19"/>
  <c r="I8" i="19"/>
  <c r="F8" i="19"/>
  <c r="C8" i="19"/>
  <c r="I7" i="19"/>
  <c r="F7" i="19"/>
  <c r="C7" i="19"/>
  <c r="I6" i="19"/>
  <c r="F6" i="19"/>
  <c r="C6" i="19"/>
  <c r="G6" i="19" s="1"/>
  <c r="H6" i="19" s="1"/>
  <c r="I5" i="19"/>
  <c r="F5" i="19"/>
  <c r="C5" i="19"/>
  <c r="I4" i="19"/>
  <c r="F4" i="19"/>
  <c r="C4" i="19"/>
  <c r="I3" i="19"/>
  <c r="F3" i="19"/>
  <c r="C3" i="19"/>
  <c r="G14" i="19" s="1"/>
  <c r="H14" i="19" s="1"/>
  <c r="X154" i="21" l="1"/>
  <c r="X152" i="21"/>
  <c r="X153" i="21"/>
  <c r="K82" i="19"/>
  <c r="L82" i="19" s="1"/>
  <c r="K87" i="19"/>
  <c r="L87" i="19" s="1"/>
  <c r="K46" i="19"/>
  <c r="L46" i="19" s="1"/>
  <c r="K67" i="19"/>
  <c r="L67" i="19" s="1"/>
  <c r="K62" i="19"/>
  <c r="L62" i="19" s="1"/>
  <c r="K69" i="19"/>
  <c r="L69" i="19" s="1"/>
  <c r="G105" i="19"/>
  <c r="H105" i="19" s="1"/>
  <c r="G103" i="19"/>
  <c r="H103" i="19" s="1"/>
  <c r="G50" i="19"/>
  <c r="H50" i="19" s="1"/>
  <c r="K83" i="19"/>
  <c r="L83" i="19" s="1"/>
  <c r="G13" i="19"/>
  <c r="H13" i="19" s="1"/>
  <c r="K50" i="19"/>
  <c r="L50" i="19" s="1"/>
  <c r="K91" i="19"/>
  <c r="L91" i="19" s="1"/>
  <c r="K34" i="19"/>
  <c r="L34" i="19" s="1"/>
  <c r="G7" i="19"/>
  <c r="H7" i="19" s="1"/>
  <c r="J26" i="19"/>
  <c r="K26" i="19" s="1"/>
  <c r="G19" i="19"/>
  <c r="H19" i="19" s="1"/>
  <c r="G20" i="19"/>
  <c r="H20" i="19" s="1"/>
  <c r="K70" i="19"/>
  <c r="L70" i="19" s="1"/>
  <c r="G8" i="19"/>
  <c r="H8" i="19" s="1"/>
  <c r="K31" i="19"/>
  <c r="L31" i="19" s="1"/>
  <c r="G35" i="19"/>
  <c r="H35" i="19" s="1"/>
  <c r="G47" i="19"/>
  <c r="H47" i="19" s="1"/>
  <c r="G92" i="19"/>
  <c r="H92" i="19" s="1"/>
  <c r="G21" i="19"/>
  <c r="H21" i="19" s="1"/>
  <c r="K47" i="19"/>
  <c r="L47" i="19" s="1"/>
  <c r="K63" i="19"/>
  <c r="L63" i="19" s="1"/>
  <c r="K80" i="19"/>
  <c r="L80" i="19" s="1"/>
  <c r="G88" i="19"/>
  <c r="H88" i="19" s="1"/>
  <c r="K92" i="19"/>
  <c r="L92" i="19" s="1"/>
  <c r="G3" i="19"/>
  <c r="H3" i="19" s="1"/>
  <c r="K44" i="19"/>
  <c r="L44" i="19" s="1"/>
  <c r="K55" i="19"/>
  <c r="L55" i="19" s="1"/>
  <c r="K71" i="19"/>
  <c r="L71" i="19" s="1"/>
  <c r="K32" i="19"/>
  <c r="L32" i="19" s="1"/>
  <c r="G48" i="19"/>
  <c r="H48" i="19" s="1"/>
  <c r="K76" i="19"/>
  <c r="L76" i="19" s="1"/>
  <c r="G15" i="19"/>
  <c r="H15" i="19" s="1"/>
  <c r="G16" i="19"/>
  <c r="H16" i="19" s="1"/>
  <c r="K36" i="19"/>
  <c r="L36" i="19" s="1"/>
  <c r="K48" i="19"/>
  <c r="L48" i="19" s="1"/>
  <c r="G52" i="19"/>
  <c r="H52" i="19" s="1"/>
  <c r="G64" i="19"/>
  <c r="H64" i="19" s="1"/>
  <c r="K85" i="19"/>
  <c r="L85" i="19" s="1"/>
  <c r="G4" i="19"/>
  <c r="H4" i="19" s="1"/>
  <c r="G10" i="19"/>
  <c r="H10" i="19" s="1"/>
  <c r="K41" i="19"/>
  <c r="L41" i="19" s="1"/>
  <c r="K52" i="19"/>
  <c r="L52" i="19" s="1"/>
  <c r="K89" i="19"/>
  <c r="L89" i="19" s="1"/>
  <c r="G33" i="19"/>
  <c r="H33" i="19" s="1"/>
  <c r="K37" i="19"/>
  <c r="L37" i="19" s="1"/>
  <c r="G45" i="19"/>
  <c r="H45" i="19" s="1"/>
  <c r="G72" i="19"/>
  <c r="H72" i="19" s="1"/>
  <c r="G11" i="19"/>
  <c r="H11" i="19" s="1"/>
  <c r="K33" i="19"/>
  <c r="L33" i="19" s="1"/>
  <c r="K56" i="19"/>
  <c r="L56" i="19" s="1"/>
  <c r="G104" i="19"/>
  <c r="H104" i="19" s="1"/>
  <c r="G29" i="19"/>
  <c r="H29" i="19" s="1"/>
  <c r="G5" i="19"/>
  <c r="H5" i="19" s="1"/>
  <c r="G42" i="19"/>
  <c r="H42" i="19" s="1"/>
  <c r="J33" i="19"/>
  <c r="G90" i="19"/>
  <c r="H90" i="19" s="1"/>
  <c r="K99" i="19"/>
  <c r="L99" i="19" s="1"/>
  <c r="K90" i="19"/>
  <c r="L90" i="19" s="1"/>
  <c r="G12" i="19"/>
  <c r="H12" i="19" s="1"/>
  <c r="K30" i="19"/>
  <c r="L30" i="19" s="1"/>
  <c r="G38" i="19"/>
  <c r="H38" i="19" s="1"/>
  <c r="K53" i="19"/>
  <c r="L53" i="19" s="1"/>
  <c r="K65" i="19"/>
  <c r="L65" i="19" s="1"/>
  <c r="Z161" i="21"/>
  <c r="Z160" i="21"/>
  <c r="U150" i="21"/>
  <c r="U147" i="21"/>
  <c r="U148" i="21"/>
  <c r="S125" i="21"/>
  <c r="T125" i="21" s="1"/>
  <c r="P125" i="21" s="1"/>
  <c r="S126" i="21"/>
  <c r="T126" i="21" s="1"/>
  <c r="P126" i="21" s="1"/>
  <c r="S127" i="21"/>
  <c r="T127" i="21" s="1"/>
  <c r="P127" i="21" s="1"/>
  <c r="S128" i="21"/>
  <c r="T128" i="21" s="1"/>
  <c r="P128" i="21" s="1"/>
  <c r="S132" i="21"/>
  <c r="S133" i="21" s="1"/>
  <c r="S131" i="21"/>
  <c r="T131" i="21" s="1"/>
  <c r="P131" i="21" s="1"/>
  <c r="S124" i="21"/>
  <c r="T124" i="21" s="1"/>
  <c r="P124" i="21" s="1"/>
  <c r="S114" i="21"/>
  <c r="S113" i="21" s="1"/>
  <c r="S116" i="21"/>
  <c r="T116" i="21" s="1"/>
  <c r="P116" i="21" s="1"/>
  <c r="S118" i="21"/>
  <c r="T118" i="21" s="1"/>
  <c r="P118" i="21" s="1"/>
  <c r="S120" i="21"/>
  <c r="T120" i="21" s="1"/>
  <c r="P120" i="21" s="1"/>
  <c r="U146" i="21"/>
  <c r="S122" i="21"/>
  <c r="T122" i="21" s="1"/>
  <c r="P122" i="21" s="1"/>
  <c r="T158" i="21"/>
  <c r="P158" i="21" s="1"/>
  <c r="O158" i="21"/>
  <c r="T161" i="21"/>
  <c r="P161" i="21" s="1"/>
  <c r="O161" i="21"/>
  <c r="T160" i="21"/>
  <c r="P160" i="21" s="1"/>
  <c r="O160" i="21"/>
  <c r="G112" i="14"/>
  <c r="G47" i="14" s="1"/>
  <c r="G116" i="14"/>
  <c r="G117" i="14"/>
  <c r="G120" i="14"/>
  <c r="G121" i="14"/>
  <c r="G124" i="14"/>
  <c r="R162" i="21"/>
  <c r="Q162" i="21"/>
  <c r="M162" i="21" s="1"/>
  <c r="S162" i="21"/>
  <c r="R163" i="21"/>
  <c r="Q163" i="21"/>
  <c r="M163" i="21" s="1"/>
  <c r="S163" i="21"/>
  <c r="R159" i="21"/>
  <c r="Q159" i="21"/>
  <c r="M159" i="21" s="1"/>
  <c r="X159" i="21" s="1"/>
  <c r="S159" i="21"/>
  <c r="N167" i="21"/>
  <c r="N166" i="21"/>
  <c r="N164" i="21"/>
  <c r="G125" i="14"/>
  <c r="G16" i="14"/>
  <c r="I177" i="14"/>
  <c r="I182" i="14"/>
  <c r="I181" i="14"/>
  <c r="G178" i="14"/>
  <c r="G180" i="14"/>
  <c r="G179" i="14"/>
  <c r="G145" i="14"/>
  <c r="K27" i="19"/>
  <c r="L27" i="19" s="1"/>
  <c r="K88" i="19"/>
  <c r="L88" i="19" s="1"/>
  <c r="K60" i="19"/>
  <c r="L60" i="19" s="1"/>
  <c r="K97" i="19"/>
  <c r="L97" i="19" s="1"/>
  <c r="G23" i="19"/>
  <c r="H23" i="19" s="1"/>
  <c r="K81" i="19"/>
  <c r="L81" i="19" s="1"/>
  <c r="G85" i="19"/>
  <c r="H85" i="19" s="1"/>
  <c r="G36" i="19"/>
  <c r="H36" i="19" s="1"/>
  <c r="G68" i="19"/>
  <c r="H68" i="19" s="1"/>
  <c r="G89" i="19"/>
  <c r="H89" i="19" s="1"/>
  <c r="K93" i="19"/>
  <c r="L93" i="19" s="1"/>
  <c r="K68" i="19"/>
  <c r="L68" i="19" s="1"/>
  <c r="G39" i="19"/>
  <c r="H39" i="19" s="1"/>
  <c r="P29" i="19"/>
  <c r="G34" i="19"/>
  <c r="H34" i="19" s="1"/>
  <c r="K61" i="19"/>
  <c r="L61" i="19" s="1"/>
  <c r="K77" i="19"/>
  <c r="L77" i="19" s="1"/>
  <c r="K98" i="19"/>
  <c r="L98" i="19" s="1"/>
  <c r="G65" i="19"/>
  <c r="H65" i="19" s="1"/>
  <c r="G51" i="19"/>
  <c r="H51" i="19" s="1"/>
  <c r="G69" i="19"/>
  <c r="H69" i="19" s="1"/>
  <c r="K73" i="19"/>
  <c r="L73" i="19" s="1"/>
  <c r="G86" i="19"/>
  <c r="H86" i="19" s="1"/>
  <c r="K103" i="19"/>
  <c r="L103" i="19" s="1"/>
  <c r="K51" i="19"/>
  <c r="L51" i="19" s="1"/>
  <c r="K78" i="19"/>
  <c r="L78" i="19" s="1"/>
  <c r="G66" i="19"/>
  <c r="H66" i="19" s="1"/>
  <c r="K104" i="19"/>
  <c r="L104" i="19" s="1"/>
  <c r="G94" i="19"/>
  <c r="H94" i="19" s="1"/>
  <c r="G74" i="19"/>
  <c r="H74" i="19" s="1"/>
  <c r="G54" i="19"/>
  <c r="H54" i="19" s="1"/>
  <c r="G96" i="19"/>
  <c r="H96" i="19" s="1"/>
  <c r="G76" i="19"/>
  <c r="H76" i="19" s="1"/>
  <c r="G56" i="19"/>
  <c r="H56" i="19" s="1"/>
  <c r="G98" i="19"/>
  <c r="H98" i="19" s="1"/>
  <c r="G78" i="19"/>
  <c r="H78" i="19" s="1"/>
  <c r="G58" i="19"/>
  <c r="H58" i="19" s="1"/>
  <c r="G100" i="19"/>
  <c r="H100" i="19" s="1"/>
  <c r="G80" i="19"/>
  <c r="H80" i="19" s="1"/>
  <c r="G60" i="19"/>
  <c r="H60" i="19" s="1"/>
  <c r="G102" i="19"/>
  <c r="H102" i="19" s="1"/>
  <c r="G82" i="19"/>
  <c r="H82" i="19" s="1"/>
  <c r="G62" i="19"/>
  <c r="H62" i="19" s="1"/>
  <c r="G93" i="19"/>
  <c r="H93" i="19" s="1"/>
  <c r="G73" i="19"/>
  <c r="H73" i="19" s="1"/>
  <c r="G53" i="19"/>
  <c r="H53" i="19" s="1"/>
  <c r="G95" i="19"/>
  <c r="H95" i="19" s="1"/>
  <c r="G75" i="19"/>
  <c r="H75" i="19" s="1"/>
  <c r="G55" i="19"/>
  <c r="H55" i="19" s="1"/>
  <c r="G97" i="19"/>
  <c r="H97" i="19" s="1"/>
  <c r="G77" i="19"/>
  <c r="H77" i="19" s="1"/>
  <c r="G57" i="19"/>
  <c r="H57" i="19" s="1"/>
  <c r="G99" i="19"/>
  <c r="H99" i="19" s="1"/>
  <c r="G79" i="19"/>
  <c r="H79" i="19" s="1"/>
  <c r="G59" i="19"/>
  <c r="H59" i="19" s="1"/>
  <c r="G101" i="19"/>
  <c r="H101" i="19" s="1"/>
  <c r="G81" i="19"/>
  <c r="H81" i="19" s="1"/>
  <c r="G61" i="19"/>
  <c r="H61" i="19" s="1"/>
  <c r="G46" i="19"/>
  <c r="H46" i="19" s="1"/>
  <c r="K58" i="19"/>
  <c r="L58" i="19" s="1"/>
  <c r="G70" i="19"/>
  <c r="H70" i="19" s="1"/>
  <c r="K74" i="19"/>
  <c r="L74" i="19" s="1"/>
  <c r="G83" i="19"/>
  <c r="H83" i="19" s="1"/>
  <c r="K95" i="19"/>
  <c r="L95" i="19" s="1"/>
  <c r="G28" i="19"/>
  <c r="H28" i="19" s="1"/>
  <c r="G37" i="19"/>
  <c r="H37" i="19" s="1"/>
  <c r="G40" i="19"/>
  <c r="H40" i="19" s="1"/>
  <c r="G26" i="19"/>
  <c r="H26" i="19" s="1"/>
  <c r="G49" i="19"/>
  <c r="H49" i="19" s="1"/>
  <c r="G87" i="19"/>
  <c r="H87" i="19" s="1"/>
  <c r="G91" i="19"/>
  <c r="H91" i="19" s="1"/>
  <c r="K49" i="19"/>
  <c r="L49" i="19" s="1"/>
  <c r="G63" i="19"/>
  <c r="H63" i="19" s="1"/>
  <c r="K105" i="19"/>
  <c r="L105" i="19" s="1"/>
  <c r="G22" i="19"/>
  <c r="H22" i="19" s="1"/>
  <c r="G44" i="19"/>
  <c r="H44" i="19" s="1"/>
  <c r="K59" i="19"/>
  <c r="L59" i="19" s="1"/>
  <c r="G67" i="19"/>
  <c r="H67" i="19" s="1"/>
  <c r="G71" i="19"/>
  <c r="H71" i="19" s="1"/>
  <c r="G84" i="19"/>
  <c r="H84" i="19" s="1"/>
  <c r="C110" i="19"/>
  <c r="J109" i="19"/>
  <c r="J108" i="19"/>
  <c r="Z159" i="21" l="1"/>
  <c r="Z162" i="21"/>
  <c r="Z163" i="21"/>
  <c r="W161" i="21"/>
  <c r="W160" i="21"/>
  <c r="W163" i="21"/>
  <c r="W162" i="21"/>
  <c r="W159" i="21"/>
  <c r="T133" i="21"/>
  <c r="P133" i="21" s="1"/>
  <c r="O133" i="21"/>
  <c r="U120" i="21"/>
  <c r="U119" i="21"/>
  <c r="U118" i="21"/>
  <c r="S117" i="21"/>
  <c r="O117" i="21" s="1"/>
  <c r="S119" i="21"/>
  <c r="O119" i="21" s="1"/>
  <c r="T132" i="21"/>
  <c r="P132" i="21" s="1"/>
  <c r="U124" i="21"/>
  <c r="U123" i="21"/>
  <c r="U122" i="21"/>
  <c r="T113" i="21"/>
  <c r="P113" i="21" s="1"/>
  <c r="Z113" i="21" s="1"/>
  <c r="X113" i="21" s="1"/>
  <c r="O113" i="21"/>
  <c r="S115" i="21"/>
  <c r="O115" i="21" s="1"/>
  <c r="S121" i="21"/>
  <c r="O121" i="21" s="1"/>
  <c r="S130" i="21"/>
  <c r="O130" i="21" s="1"/>
  <c r="S129" i="21"/>
  <c r="T129" i="21" s="1"/>
  <c r="P129" i="21" s="1"/>
  <c r="T114" i="21"/>
  <c r="P114" i="21" s="1"/>
  <c r="U115" i="21" s="1"/>
  <c r="S123" i="21"/>
  <c r="O123" i="21" s="1"/>
  <c r="T159" i="21"/>
  <c r="P159" i="21" s="1"/>
  <c r="O159" i="21"/>
  <c r="T163" i="21"/>
  <c r="P163" i="21" s="1"/>
  <c r="O163" i="21"/>
  <c r="T162" i="21"/>
  <c r="P162" i="21" s="1"/>
  <c r="O162" i="21"/>
  <c r="G123" i="14"/>
  <c r="G122" i="14"/>
  <c r="G118" i="14"/>
  <c r="G119" i="14"/>
  <c r="G55" i="14"/>
  <c r="G90" i="14"/>
  <c r="G61" i="14"/>
  <c r="G96" i="14"/>
  <c r="G60" i="14"/>
  <c r="G99" i="14"/>
  <c r="G59" i="14"/>
  <c r="G104" i="14"/>
  <c r="G66" i="14"/>
  <c r="G105" i="14"/>
  <c r="G65" i="14"/>
  <c r="G108" i="14"/>
  <c r="G75" i="14"/>
  <c r="G115" i="14"/>
  <c r="G74" i="14"/>
  <c r="G29" i="14"/>
  <c r="G73" i="14"/>
  <c r="G28" i="14"/>
  <c r="G72" i="14"/>
  <c r="G27" i="14"/>
  <c r="G71" i="14"/>
  <c r="G26" i="14"/>
  <c r="G70" i="14"/>
  <c r="G25" i="14"/>
  <c r="G77" i="14"/>
  <c r="G24" i="14"/>
  <c r="G86" i="14"/>
  <c r="G23" i="14"/>
  <c r="G85" i="14"/>
  <c r="G37" i="14"/>
  <c r="G95" i="14"/>
  <c r="G36" i="14"/>
  <c r="G94" i="14"/>
  <c r="G35" i="14"/>
  <c r="G93" i="14"/>
  <c r="G34" i="14"/>
  <c r="G92" i="14"/>
  <c r="G33" i="14"/>
  <c r="G91" i="14"/>
  <c r="R164" i="21"/>
  <c r="Q164" i="21"/>
  <c r="M164" i="21" s="1"/>
  <c r="S164" i="21"/>
  <c r="R166" i="21"/>
  <c r="Q166" i="21"/>
  <c r="M166" i="21" s="1"/>
  <c r="S166" i="21"/>
  <c r="R167" i="21"/>
  <c r="Q167" i="21"/>
  <c r="M167" i="21" s="1"/>
  <c r="S167" i="21"/>
  <c r="N165" i="21"/>
  <c r="N168" i="21"/>
  <c r="N169" i="21"/>
  <c r="G126" i="14"/>
  <c r="G127" i="14"/>
  <c r="I190" i="14"/>
  <c r="G182" i="14"/>
  <c r="G177" i="14"/>
  <c r="G181" i="14"/>
  <c r="L26" i="19"/>
  <c r="L2" i="19" s="1"/>
  <c r="U2" i="19"/>
  <c r="C111" i="19"/>
  <c r="J110" i="19"/>
  <c r="Z164" i="21" l="1"/>
  <c r="X164" i="21"/>
  <c r="Z167" i="21"/>
  <c r="Z166" i="21"/>
  <c r="U114" i="21"/>
  <c r="U116" i="21"/>
  <c r="T117" i="21"/>
  <c r="P117" i="21" s="1"/>
  <c r="T119" i="21"/>
  <c r="P119" i="21" s="1"/>
  <c r="T123" i="21"/>
  <c r="P123" i="21" s="1"/>
  <c r="U161" i="21"/>
  <c r="U160" i="21"/>
  <c r="U130" i="21"/>
  <c r="U129" i="21"/>
  <c r="U128" i="21"/>
  <c r="U127" i="21"/>
  <c r="U126" i="21"/>
  <c r="U125" i="21"/>
  <c r="U132" i="21"/>
  <c r="U131" i="21"/>
  <c r="T130" i="21"/>
  <c r="P130" i="21" s="1"/>
  <c r="T121" i="21"/>
  <c r="P121" i="21" s="1"/>
  <c r="O129" i="21"/>
  <c r="T115" i="21"/>
  <c r="P115" i="21" s="1"/>
  <c r="U163" i="21"/>
  <c r="U162" i="21"/>
  <c r="U159" i="21"/>
  <c r="T167" i="21"/>
  <c r="P167" i="21" s="1"/>
  <c r="O167" i="21"/>
  <c r="T164" i="21"/>
  <c r="P164" i="21" s="1"/>
  <c r="O164" i="21"/>
  <c r="T166" i="21"/>
  <c r="P166" i="21" s="1"/>
  <c r="O166" i="21"/>
  <c r="R168" i="21"/>
  <c r="Q168" i="21"/>
  <c r="M168" i="21" s="1"/>
  <c r="S168" i="21"/>
  <c r="R169" i="21"/>
  <c r="Q169" i="21"/>
  <c r="M169" i="21" s="1"/>
  <c r="S169" i="21"/>
  <c r="R165" i="21"/>
  <c r="Q165" i="21"/>
  <c r="M165" i="21" s="1"/>
  <c r="X165" i="21" s="1"/>
  <c r="S165" i="21"/>
  <c r="N170" i="21"/>
  <c r="G190" i="14"/>
  <c r="I193" i="14"/>
  <c r="I194" i="14"/>
  <c r="I192" i="14"/>
  <c r="C112" i="19"/>
  <c r="J111" i="19"/>
  <c r="Z169" i="21" l="1"/>
  <c r="Z165" i="21"/>
  <c r="Z168" i="21"/>
  <c r="Z117" i="21"/>
  <c r="X117" i="21" s="1"/>
  <c r="Z124" i="21"/>
  <c r="Z122" i="21"/>
  <c r="Z123" i="21"/>
  <c r="Z119" i="21"/>
  <c r="Z120" i="21"/>
  <c r="Z118" i="21"/>
  <c r="Z116" i="21"/>
  <c r="Z114" i="21"/>
  <c r="Z115" i="21"/>
  <c r="Z121" i="21"/>
  <c r="X121" i="21" s="1"/>
  <c r="W167" i="21"/>
  <c r="W166" i="21"/>
  <c r="W169" i="21"/>
  <c r="W168" i="21"/>
  <c r="W165" i="21"/>
  <c r="T168" i="21"/>
  <c r="P168" i="21" s="1"/>
  <c r="O168" i="21"/>
  <c r="T165" i="21"/>
  <c r="P165" i="21" s="1"/>
  <c r="O165" i="21"/>
  <c r="T169" i="21"/>
  <c r="P169" i="21" s="1"/>
  <c r="O169" i="21"/>
  <c r="R170" i="21"/>
  <c r="Q170" i="21"/>
  <c r="M170" i="21" s="1"/>
  <c r="X170" i="21" s="1"/>
  <c r="S170" i="21"/>
  <c r="N179" i="21"/>
  <c r="N180" i="21"/>
  <c r="N177" i="21"/>
  <c r="I197" i="14"/>
  <c r="I195" i="14"/>
  <c r="I191" i="14"/>
  <c r="G193" i="14"/>
  <c r="G192" i="14"/>
  <c r="G194" i="14"/>
  <c r="G148" i="14"/>
  <c r="C113" i="19"/>
  <c r="J112" i="19"/>
  <c r="X119" i="21" l="1"/>
  <c r="X120" i="21"/>
  <c r="X118" i="21"/>
  <c r="X124" i="21"/>
  <c r="X122" i="21"/>
  <c r="X123" i="21"/>
  <c r="X116" i="21"/>
  <c r="X114" i="21"/>
  <c r="X115" i="21"/>
  <c r="Z170" i="21"/>
  <c r="Z171" i="21"/>
  <c r="Z172" i="21"/>
  <c r="X172" i="21" s="1"/>
  <c r="U167" i="21"/>
  <c r="U166" i="21"/>
  <c r="U169" i="21"/>
  <c r="U168" i="21"/>
  <c r="U165" i="21"/>
  <c r="T170" i="21"/>
  <c r="P170" i="21" s="1"/>
  <c r="O170" i="21"/>
  <c r="R177" i="21"/>
  <c r="Q177" i="21"/>
  <c r="M177" i="21" s="1"/>
  <c r="Z177" i="21" s="1"/>
  <c r="X177" i="21" s="1"/>
  <c r="S177" i="21"/>
  <c r="R180" i="21"/>
  <c r="S180" i="21"/>
  <c r="Q180" i="21"/>
  <c r="M180" i="21" s="1"/>
  <c r="R179" i="21"/>
  <c r="S179" i="21"/>
  <c r="Q179" i="21"/>
  <c r="M179" i="21" s="1"/>
  <c r="N178" i="21"/>
  <c r="N182" i="21"/>
  <c r="N181" i="21"/>
  <c r="G191" i="14"/>
  <c r="G195" i="14"/>
  <c r="G197" i="14"/>
  <c r="I204" i="14"/>
  <c r="C114" i="19"/>
  <c r="J113" i="19"/>
  <c r="Z180" i="21" l="1"/>
  <c r="Z179" i="21"/>
  <c r="T179" i="21"/>
  <c r="P179" i="21" s="1"/>
  <c r="O179" i="21"/>
  <c r="T180" i="21"/>
  <c r="P180" i="21" s="1"/>
  <c r="O180" i="21"/>
  <c r="T177" i="21"/>
  <c r="P177" i="21" s="1"/>
  <c r="O177" i="21"/>
  <c r="R182" i="21"/>
  <c r="S182" i="21"/>
  <c r="Q182" i="21"/>
  <c r="M182" i="21" s="1"/>
  <c r="R181" i="21"/>
  <c r="S181" i="21"/>
  <c r="Q181" i="21"/>
  <c r="M181" i="21" s="1"/>
  <c r="R178" i="21"/>
  <c r="S178" i="21"/>
  <c r="Q178" i="21"/>
  <c r="M178" i="21" s="1"/>
  <c r="X178" i="21" s="1"/>
  <c r="N183" i="21"/>
  <c r="I205" i="14"/>
  <c r="G204" i="14"/>
  <c r="C115" i="19"/>
  <c r="J114" i="19"/>
  <c r="Z182" i="21" l="1"/>
  <c r="Z178" i="21"/>
  <c r="Z181" i="21"/>
  <c r="W180" i="21"/>
  <c r="W179" i="21"/>
  <c r="W182" i="21"/>
  <c r="W181" i="21"/>
  <c r="W178" i="21"/>
  <c r="T182" i="21"/>
  <c r="P182" i="21" s="1"/>
  <c r="O182" i="21"/>
  <c r="T178" i="21"/>
  <c r="P178" i="21" s="1"/>
  <c r="O178" i="21"/>
  <c r="T181" i="21"/>
  <c r="P181" i="21" s="1"/>
  <c r="O181" i="21"/>
  <c r="R183" i="21"/>
  <c r="S183" i="21"/>
  <c r="Q183" i="21"/>
  <c r="M183" i="21" s="1"/>
  <c r="X183" i="21" s="1"/>
  <c r="N190" i="21"/>
  <c r="G205" i="14"/>
  <c r="I210" i="14"/>
  <c r="I209" i="14"/>
  <c r="I208" i="14"/>
  <c r="G151" i="14"/>
  <c r="C116" i="19"/>
  <c r="J115" i="19"/>
  <c r="Z183" i="21" l="1"/>
  <c r="Z185" i="21"/>
  <c r="Z184" i="21"/>
  <c r="U180" i="21"/>
  <c r="U179" i="21"/>
  <c r="U182" i="21"/>
  <c r="U181" i="21"/>
  <c r="U178" i="21"/>
  <c r="T183" i="21"/>
  <c r="P183" i="21" s="1"/>
  <c r="O183" i="21"/>
  <c r="R190" i="21"/>
  <c r="Q190" i="21"/>
  <c r="M190" i="21" s="1"/>
  <c r="Z190" i="21" s="1"/>
  <c r="X190" i="21" s="1"/>
  <c r="S190" i="21"/>
  <c r="N193" i="21"/>
  <c r="N194" i="21"/>
  <c r="N191" i="21"/>
  <c r="I216" i="14"/>
  <c r="I207" i="14"/>
  <c r="I212" i="14"/>
  <c r="I215" i="14"/>
  <c r="I214" i="14"/>
  <c r="G208" i="14"/>
  <c r="G209" i="14"/>
  <c r="G210" i="14"/>
  <c r="C117" i="19"/>
  <c r="J116" i="19"/>
  <c r="X184" i="21" l="1"/>
  <c r="X185" i="21"/>
  <c r="T190" i="21"/>
  <c r="P190" i="21" s="1"/>
  <c r="O190" i="21"/>
  <c r="R194" i="21"/>
  <c r="S194" i="21"/>
  <c r="Q194" i="21"/>
  <c r="M194" i="21" s="1"/>
  <c r="R191" i="21"/>
  <c r="S191" i="21"/>
  <c r="Q191" i="21"/>
  <c r="M191" i="21" s="1"/>
  <c r="Z191" i="21" s="1"/>
  <c r="X191" i="21" s="1"/>
  <c r="R193" i="21"/>
  <c r="S193" i="21"/>
  <c r="Q193" i="21"/>
  <c r="M193" i="21" s="1"/>
  <c r="N198" i="21"/>
  <c r="N199" i="21"/>
  <c r="N196" i="21"/>
  <c r="R196" i="21" s="1"/>
  <c r="N192" i="21"/>
  <c r="N195" i="21"/>
  <c r="G207" i="14"/>
  <c r="G216" i="14"/>
  <c r="G212" i="14"/>
  <c r="G214" i="14"/>
  <c r="G215" i="14"/>
  <c r="I217" i="14"/>
  <c r="I213" i="14"/>
  <c r="I218" i="14"/>
  <c r="C118" i="19"/>
  <c r="J117" i="19"/>
  <c r="Z194" i="21" l="1"/>
  <c r="Z193" i="21"/>
  <c r="T193" i="21"/>
  <c r="P193" i="21" s="1"/>
  <c r="O193" i="21"/>
  <c r="T194" i="21"/>
  <c r="P194" i="21" s="1"/>
  <c r="O194" i="21"/>
  <c r="T191" i="21"/>
  <c r="P191" i="21" s="1"/>
  <c r="O191" i="21"/>
  <c r="R195" i="21"/>
  <c r="S195" i="21"/>
  <c r="Q195" i="21"/>
  <c r="M195" i="21" s="1"/>
  <c r="R198" i="21"/>
  <c r="Q198" i="21"/>
  <c r="M198" i="21" s="1"/>
  <c r="S198" i="21"/>
  <c r="R192" i="21"/>
  <c r="S192" i="21"/>
  <c r="Q192" i="21"/>
  <c r="M192" i="21" s="1"/>
  <c r="X192" i="21" s="1"/>
  <c r="R199" i="21"/>
  <c r="Q199" i="21"/>
  <c r="M199" i="21" s="1"/>
  <c r="S199" i="21"/>
  <c r="S196" i="21"/>
  <c r="Q196" i="21"/>
  <c r="M196" i="21" s="1"/>
  <c r="N197" i="21"/>
  <c r="N201" i="21"/>
  <c r="N200" i="21"/>
  <c r="I226" i="14"/>
  <c r="G213" i="14"/>
  <c r="G218" i="14"/>
  <c r="G217" i="14"/>
  <c r="C119" i="19"/>
  <c r="J118" i="19"/>
  <c r="Z199" i="21" l="1"/>
  <c r="Z198" i="21"/>
  <c r="Z196" i="21"/>
  <c r="Z192" i="21"/>
  <c r="Z195" i="21"/>
  <c r="W194" i="21"/>
  <c r="W193" i="21"/>
  <c r="W196" i="21"/>
  <c r="W195" i="21"/>
  <c r="W192" i="21"/>
  <c r="T198" i="21"/>
  <c r="P198" i="21" s="1"/>
  <c r="O198" i="21"/>
  <c r="T192" i="21"/>
  <c r="P192" i="21" s="1"/>
  <c r="O192" i="21"/>
  <c r="T195" i="21"/>
  <c r="P195" i="21" s="1"/>
  <c r="O195" i="21"/>
  <c r="T196" i="21"/>
  <c r="P196" i="21" s="1"/>
  <c r="O196" i="21"/>
  <c r="T199" i="21"/>
  <c r="P199" i="21" s="1"/>
  <c r="O199" i="21"/>
  <c r="R200" i="21"/>
  <c r="Q200" i="21"/>
  <c r="M200" i="21" s="1"/>
  <c r="S200" i="21"/>
  <c r="R201" i="21"/>
  <c r="Q201" i="21"/>
  <c r="M201" i="21" s="1"/>
  <c r="S201" i="21"/>
  <c r="R197" i="21"/>
  <c r="S197" i="21"/>
  <c r="Q197" i="21"/>
  <c r="M197" i="21" s="1"/>
  <c r="X197" i="21" s="1"/>
  <c r="N202" i="21"/>
  <c r="G226" i="14"/>
  <c r="I229" i="14"/>
  <c r="I231" i="14"/>
  <c r="I230" i="14"/>
  <c r="G155" i="14"/>
  <c r="C120" i="19"/>
  <c r="J119" i="19"/>
  <c r="Z201" i="21" l="1"/>
  <c r="Z197" i="21"/>
  <c r="Z200" i="21"/>
  <c r="W199" i="21"/>
  <c r="W198" i="21"/>
  <c r="W201" i="21"/>
  <c r="W200" i="21"/>
  <c r="W197" i="21"/>
  <c r="U194" i="21"/>
  <c r="U193" i="21"/>
  <c r="U196" i="21"/>
  <c r="U195" i="21"/>
  <c r="U192" i="21"/>
  <c r="T197" i="21"/>
  <c r="P197" i="21" s="1"/>
  <c r="O197" i="21"/>
  <c r="T201" i="21"/>
  <c r="P201" i="21" s="1"/>
  <c r="O201" i="21"/>
  <c r="T200" i="21"/>
  <c r="P200" i="21" s="1"/>
  <c r="O200" i="21"/>
  <c r="R202" i="21"/>
  <c r="Q202" i="21"/>
  <c r="M202" i="21" s="1"/>
  <c r="X202" i="21" s="1"/>
  <c r="S202" i="21"/>
  <c r="N212" i="21"/>
  <c r="N211" i="21"/>
  <c r="N209" i="21"/>
  <c r="I234" i="14"/>
  <c r="I236" i="14"/>
  <c r="I235" i="14"/>
  <c r="I227" i="14"/>
  <c r="I232" i="14"/>
  <c r="G229" i="14"/>
  <c r="G231" i="14"/>
  <c r="G230" i="14"/>
  <c r="G156" i="14"/>
  <c r="C121" i="19"/>
  <c r="J120" i="19"/>
  <c r="Z202" i="21" l="1"/>
  <c r="Z204" i="21"/>
  <c r="Z203" i="21"/>
  <c r="U199" i="21"/>
  <c r="U198" i="21"/>
  <c r="U201" i="21"/>
  <c r="U200" i="21"/>
  <c r="U197" i="21"/>
  <c r="T202" i="21"/>
  <c r="P202" i="21" s="1"/>
  <c r="O202" i="21"/>
  <c r="R209" i="21"/>
  <c r="Q209" i="21"/>
  <c r="M209" i="21" s="1"/>
  <c r="Z209" i="21" s="1"/>
  <c r="X209" i="21" s="1"/>
  <c r="S209" i="21"/>
  <c r="R212" i="21"/>
  <c r="Q212" i="21"/>
  <c r="M212" i="21" s="1"/>
  <c r="S212" i="21"/>
  <c r="R211" i="21"/>
  <c r="Q211" i="21"/>
  <c r="M211" i="21" s="1"/>
  <c r="S211" i="21"/>
  <c r="N214" i="21"/>
  <c r="N210" i="21"/>
  <c r="N217" i="21"/>
  <c r="R217" i="21" s="1"/>
  <c r="N216" i="21"/>
  <c r="N213" i="21"/>
  <c r="G234" i="14"/>
  <c r="G232" i="14"/>
  <c r="G236" i="14"/>
  <c r="G235" i="14"/>
  <c r="G227" i="14"/>
  <c r="I237" i="14"/>
  <c r="I239" i="14"/>
  <c r="I233" i="14"/>
  <c r="C122" i="19"/>
  <c r="J121" i="19"/>
  <c r="X203" i="21" l="1"/>
  <c r="X204" i="21"/>
  <c r="Z212" i="21"/>
  <c r="Z211" i="21"/>
  <c r="T209" i="21"/>
  <c r="P209" i="21" s="1"/>
  <c r="O209" i="21"/>
  <c r="T211" i="21"/>
  <c r="P211" i="21" s="1"/>
  <c r="O211" i="21"/>
  <c r="T212" i="21"/>
  <c r="P212" i="21" s="1"/>
  <c r="O212" i="21"/>
  <c r="R214" i="21"/>
  <c r="Q214" i="21"/>
  <c r="M214" i="21" s="1"/>
  <c r="S214" i="21"/>
  <c r="R213" i="21"/>
  <c r="Q213" i="21"/>
  <c r="M213" i="21" s="1"/>
  <c r="S213" i="21"/>
  <c r="R216" i="21"/>
  <c r="Q216" i="21"/>
  <c r="M216" i="21" s="1"/>
  <c r="S216" i="21"/>
  <c r="R210" i="21"/>
  <c r="Q210" i="21"/>
  <c r="M210" i="21" s="1"/>
  <c r="X210" i="21" s="1"/>
  <c r="S210" i="21"/>
  <c r="Q217" i="21"/>
  <c r="M217" i="21" s="1"/>
  <c r="S217" i="21"/>
  <c r="N219" i="21"/>
  <c r="N215" i="21"/>
  <c r="N218" i="21"/>
  <c r="G237" i="14"/>
  <c r="G233" i="14"/>
  <c r="G239" i="14"/>
  <c r="I246" i="14"/>
  <c r="G158" i="14"/>
  <c r="C123" i="19"/>
  <c r="J122" i="19"/>
  <c r="Z214" i="21" l="1"/>
  <c r="Z210" i="21"/>
  <c r="Z213" i="21"/>
  <c r="Z217" i="21"/>
  <c r="Z216" i="21"/>
  <c r="W212" i="21"/>
  <c r="W211" i="21"/>
  <c r="W214" i="21"/>
  <c r="W213" i="21"/>
  <c r="W210" i="21"/>
  <c r="T210" i="21"/>
  <c r="P210" i="21" s="1"/>
  <c r="O210" i="21"/>
  <c r="T214" i="21"/>
  <c r="P214" i="21" s="1"/>
  <c r="O214" i="21"/>
  <c r="T217" i="21"/>
  <c r="P217" i="21" s="1"/>
  <c r="O217" i="21"/>
  <c r="T216" i="21"/>
  <c r="P216" i="21" s="1"/>
  <c r="O216" i="21"/>
  <c r="T213" i="21"/>
  <c r="P213" i="21" s="1"/>
  <c r="O213" i="21"/>
  <c r="R215" i="21"/>
  <c r="Q215" i="21"/>
  <c r="M215" i="21" s="1"/>
  <c r="X215" i="21" s="1"/>
  <c r="S215" i="21"/>
  <c r="R218" i="21"/>
  <c r="S218" i="21"/>
  <c r="Q218" i="21"/>
  <c r="M218" i="21" s="1"/>
  <c r="R219" i="21"/>
  <c r="S219" i="21"/>
  <c r="Q219" i="21"/>
  <c r="M219" i="21" s="1"/>
  <c r="N220" i="21"/>
  <c r="I247" i="14"/>
  <c r="G246" i="14"/>
  <c r="G159" i="14"/>
  <c r="C124" i="19"/>
  <c r="J123" i="19"/>
  <c r="Z219" i="21" l="1"/>
  <c r="Z215" i="21"/>
  <c r="Z218" i="21"/>
  <c r="W217" i="21"/>
  <c r="W216" i="21"/>
  <c r="W219" i="21"/>
  <c r="W218" i="21"/>
  <c r="W215" i="21"/>
  <c r="U211" i="21"/>
  <c r="U212" i="21"/>
  <c r="U214" i="21"/>
  <c r="U210" i="21"/>
  <c r="U213" i="21"/>
  <c r="T218" i="21"/>
  <c r="P218" i="21" s="1"/>
  <c r="O218" i="21"/>
  <c r="T219" i="21"/>
  <c r="P219" i="21" s="1"/>
  <c r="O219" i="21"/>
  <c r="T215" i="21"/>
  <c r="P215" i="21" s="1"/>
  <c r="O215" i="21"/>
  <c r="R220" i="21"/>
  <c r="S220" i="21"/>
  <c r="Q220" i="21"/>
  <c r="M220" i="21" s="1"/>
  <c r="X220" i="21" s="1"/>
  <c r="N227" i="21"/>
  <c r="G247" i="14"/>
  <c r="I252" i="14"/>
  <c r="I250" i="14"/>
  <c r="I251" i="14"/>
  <c r="C125" i="19"/>
  <c r="J124" i="19"/>
  <c r="Z220" i="21" l="1"/>
  <c r="Z222" i="21"/>
  <c r="Z221" i="21"/>
  <c r="U217" i="21"/>
  <c r="U216" i="21"/>
  <c r="U219" i="21"/>
  <c r="U218" i="21"/>
  <c r="U215" i="21"/>
  <c r="T220" i="21"/>
  <c r="P220" i="21" s="1"/>
  <c r="O220" i="21"/>
  <c r="R227" i="21"/>
  <c r="S227" i="21"/>
  <c r="Q227" i="21"/>
  <c r="M227" i="21" s="1"/>
  <c r="Z227" i="21" s="1"/>
  <c r="X227" i="21" s="1"/>
  <c r="N231" i="21"/>
  <c r="N230" i="21"/>
  <c r="N228" i="21"/>
  <c r="I249" i="14"/>
  <c r="I257" i="14"/>
  <c r="I256" i="14"/>
  <c r="I255" i="14"/>
  <c r="I253" i="14"/>
  <c r="G252" i="14"/>
  <c r="G250" i="14"/>
  <c r="G251" i="14"/>
  <c r="C126" i="19"/>
  <c r="J125" i="19"/>
  <c r="X221" i="21" l="1"/>
  <c r="X222" i="21"/>
  <c r="T227" i="21"/>
  <c r="P227" i="21" s="1"/>
  <c r="O227" i="21"/>
  <c r="R228" i="21"/>
  <c r="S228" i="21"/>
  <c r="Q228" i="21"/>
  <c r="M228" i="21" s="1"/>
  <c r="Z228" i="21" s="1"/>
  <c r="X228" i="21" s="1"/>
  <c r="R230" i="21"/>
  <c r="S230" i="21"/>
  <c r="Q230" i="21"/>
  <c r="M230" i="21" s="1"/>
  <c r="R231" i="21"/>
  <c r="S231" i="21"/>
  <c r="Q231" i="21"/>
  <c r="M231" i="21" s="1"/>
  <c r="N233" i="21"/>
  <c r="N235" i="21"/>
  <c r="N236" i="21"/>
  <c r="N229" i="21"/>
  <c r="N232" i="21"/>
  <c r="I254" i="14"/>
  <c r="I259" i="14"/>
  <c r="I260" i="14"/>
  <c r="G249" i="14"/>
  <c r="G253" i="14"/>
  <c r="G256" i="14"/>
  <c r="G255" i="14"/>
  <c r="G257" i="14"/>
  <c r="G162" i="14"/>
  <c r="C127" i="19"/>
  <c r="J126" i="19"/>
  <c r="Z231" i="21" l="1"/>
  <c r="Z230" i="21"/>
  <c r="T228" i="21"/>
  <c r="P228" i="21" s="1"/>
  <c r="O228" i="21"/>
  <c r="T231" i="21"/>
  <c r="P231" i="21" s="1"/>
  <c r="O231" i="21"/>
  <c r="T230" i="21"/>
  <c r="P230" i="21" s="1"/>
  <c r="O230" i="21"/>
  <c r="R232" i="21"/>
  <c r="S232" i="21"/>
  <c r="Q232" i="21"/>
  <c r="M232" i="21" s="1"/>
  <c r="R235" i="21"/>
  <c r="Q235" i="21"/>
  <c r="M235" i="21" s="1"/>
  <c r="S235" i="21"/>
  <c r="R229" i="21"/>
  <c r="S229" i="21"/>
  <c r="Q229" i="21"/>
  <c r="M229" i="21" s="1"/>
  <c r="X229" i="21" s="1"/>
  <c r="R236" i="21"/>
  <c r="Q236" i="21"/>
  <c r="M236" i="21" s="1"/>
  <c r="S236" i="21"/>
  <c r="R233" i="21"/>
  <c r="Q233" i="21"/>
  <c r="M233" i="21" s="1"/>
  <c r="S233" i="21"/>
  <c r="N238" i="21"/>
  <c r="N237" i="21"/>
  <c r="N234" i="21"/>
  <c r="I267" i="14"/>
  <c r="G254" i="14"/>
  <c r="G259" i="14"/>
  <c r="G260" i="14"/>
  <c r="G163" i="14"/>
  <c r="C128" i="19"/>
  <c r="J127" i="19"/>
  <c r="Z233" i="21" l="1"/>
  <c r="Z229" i="21"/>
  <c r="Z232" i="21"/>
  <c r="Z235" i="21"/>
  <c r="Z236" i="21"/>
  <c r="W230" i="21"/>
  <c r="W231" i="21"/>
  <c r="W233" i="21"/>
  <c r="W232" i="21"/>
  <c r="W229" i="21"/>
  <c r="T236" i="21"/>
  <c r="P236" i="21" s="1"/>
  <c r="O236" i="21"/>
  <c r="T232" i="21"/>
  <c r="P232" i="21" s="1"/>
  <c r="O232" i="21"/>
  <c r="T229" i="21"/>
  <c r="P229" i="21" s="1"/>
  <c r="O229" i="21"/>
  <c r="T235" i="21"/>
  <c r="P235" i="21" s="1"/>
  <c r="O235" i="21"/>
  <c r="T233" i="21"/>
  <c r="P233" i="21" s="1"/>
  <c r="O233" i="21"/>
  <c r="R234" i="21"/>
  <c r="Q234" i="21"/>
  <c r="M234" i="21" s="1"/>
  <c r="X234" i="21" s="1"/>
  <c r="S234" i="21"/>
  <c r="R238" i="21"/>
  <c r="Q238" i="21"/>
  <c r="M238" i="21" s="1"/>
  <c r="S238" i="21"/>
  <c r="R237" i="21"/>
  <c r="Q237" i="21"/>
  <c r="M237" i="21" s="1"/>
  <c r="S237" i="21"/>
  <c r="N239" i="21"/>
  <c r="I271" i="14"/>
  <c r="I270" i="14"/>
  <c r="I269" i="14"/>
  <c r="G267" i="14"/>
  <c r="G164" i="14"/>
  <c r="C129" i="19"/>
  <c r="J128" i="19"/>
  <c r="Z238" i="21" l="1"/>
  <c r="Z234" i="21"/>
  <c r="Z237" i="21"/>
  <c r="W236" i="21"/>
  <c r="W235" i="21"/>
  <c r="W238" i="21"/>
  <c r="W237" i="21"/>
  <c r="W234" i="21"/>
  <c r="U231" i="21"/>
  <c r="U230" i="21"/>
  <c r="U232" i="21"/>
  <c r="U229" i="21"/>
  <c r="U233" i="21"/>
  <c r="T234" i="21"/>
  <c r="P234" i="21" s="1"/>
  <c r="O234" i="21"/>
  <c r="T237" i="21"/>
  <c r="P237" i="21" s="1"/>
  <c r="O237" i="21"/>
  <c r="T238" i="21"/>
  <c r="P238" i="21" s="1"/>
  <c r="O238" i="21"/>
  <c r="R239" i="21"/>
  <c r="Q239" i="21"/>
  <c r="M239" i="21" s="1"/>
  <c r="X239" i="21" s="1"/>
  <c r="S239" i="21"/>
  <c r="N248" i="21"/>
  <c r="N249" i="21"/>
  <c r="N246" i="21"/>
  <c r="I276" i="14"/>
  <c r="I277" i="14"/>
  <c r="I273" i="14"/>
  <c r="I275" i="14"/>
  <c r="I268" i="14"/>
  <c r="G271" i="14"/>
  <c r="G269" i="14"/>
  <c r="G270" i="14"/>
  <c r="G165" i="14"/>
  <c r="C130" i="19"/>
  <c r="J129" i="19"/>
  <c r="Z239" i="21" l="1"/>
  <c r="Z240" i="21"/>
  <c r="Z241" i="21"/>
  <c r="U236" i="21"/>
  <c r="U235" i="21"/>
  <c r="U238" i="21"/>
  <c r="U237" i="21"/>
  <c r="U234" i="21"/>
  <c r="T239" i="21"/>
  <c r="P239" i="21" s="1"/>
  <c r="O239" i="21"/>
  <c r="R249" i="21"/>
  <c r="Q249" i="21"/>
  <c r="M249" i="21" s="1"/>
  <c r="S249" i="21"/>
  <c r="R246" i="21"/>
  <c r="Q246" i="21"/>
  <c r="M246" i="21" s="1"/>
  <c r="Z246" i="21" s="1"/>
  <c r="X246" i="21" s="1"/>
  <c r="S246" i="21"/>
  <c r="R248" i="21"/>
  <c r="Q248" i="21"/>
  <c r="M248" i="21" s="1"/>
  <c r="S248" i="21"/>
  <c r="N247" i="21"/>
  <c r="N253" i="21"/>
  <c r="N251" i="21"/>
  <c r="N250" i="21"/>
  <c r="N254" i="21"/>
  <c r="I278" i="14"/>
  <c r="I280" i="14"/>
  <c r="I274" i="14"/>
  <c r="G268" i="14"/>
  <c r="G276" i="14"/>
  <c r="G275" i="14"/>
  <c r="G277" i="14"/>
  <c r="G273" i="14"/>
  <c r="G166" i="14"/>
  <c r="C131" i="19"/>
  <c r="J130" i="19"/>
  <c r="X240" i="21" l="1"/>
  <c r="X241" i="21"/>
  <c r="Z249" i="21"/>
  <c r="Z248" i="21"/>
  <c r="T249" i="21"/>
  <c r="P249" i="21" s="1"/>
  <c r="O249" i="21"/>
  <c r="T248" i="21"/>
  <c r="P248" i="21" s="1"/>
  <c r="O248" i="21"/>
  <c r="T246" i="21"/>
  <c r="P246" i="21" s="1"/>
  <c r="O246" i="21"/>
  <c r="R254" i="21"/>
  <c r="S254" i="21"/>
  <c r="Q254" i="21"/>
  <c r="M254" i="21" s="1"/>
  <c r="Q251" i="21"/>
  <c r="M251" i="21" s="1"/>
  <c r="S251" i="21"/>
  <c r="R250" i="21"/>
  <c r="Q250" i="21"/>
  <c r="M250" i="21" s="1"/>
  <c r="S250" i="21"/>
  <c r="R251" i="21"/>
  <c r="R253" i="21"/>
  <c r="S253" i="21"/>
  <c r="Q253" i="21"/>
  <c r="M253" i="21" s="1"/>
  <c r="R247" i="21"/>
  <c r="Q247" i="21"/>
  <c r="M247" i="21" s="1"/>
  <c r="X247" i="21" s="1"/>
  <c r="S247" i="21"/>
  <c r="N252" i="21"/>
  <c r="N256" i="21"/>
  <c r="N255" i="21"/>
  <c r="I281" i="14"/>
  <c r="G278" i="14"/>
  <c r="G274" i="14"/>
  <c r="G280" i="14"/>
  <c r="G167" i="14"/>
  <c r="C132" i="19"/>
  <c r="J131" i="19"/>
  <c r="Z251" i="21" l="1"/>
  <c r="Z247" i="21"/>
  <c r="Z250" i="21"/>
  <c r="Z254" i="21"/>
  <c r="Z253" i="21"/>
  <c r="W249" i="21"/>
  <c r="W248" i="21"/>
  <c r="W251" i="21"/>
  <c r="W250" i="21"/>
  <c r="W247" i="21"/>
  <c r="T250" i="21"/>
  <c r="P250" i="21" s="1"/>
  <c r="O250" i="21"/>
  <c r="T254" i="21"/>
  <c r="P254" i="21" s="1"/>
  <c r="O254" i="21"/>
  <c r="T251" i="21"/>
  <c r="P251" i="21" s="1"/>
  <c r="O251" i="21"/>
  <c r="T253" i="21"/>
  <c r="P253" i="21" s="1"/>
  <c r="O253" i="21"/>
  <c r="T247" i="21"/>
  <c r="P247" i="21" s="1"/>
  <c r="O247" i="21"/>
  <c r="R256" i="21"/>
  <c r="S256" i="21"/>
  <c r="Q256" i="21"/>
  <c r="M256" i="21" s="1"/>
  <c r="R252" i="21"/>
  <c r="Q252" i="21"/>
  <c r="M252" i="21" s="1"/>
  <c r="X252" i="21" s="1"/>
  <c r="S252" i="21"/>
  <c r="R255" i="21"/>
  <c r="S255" i="21"/>
  <c r="Q255" i="21"/>
  <c r="M255" i="21" s="1"/>
  <c r="N257" i="21"/>
  <c r="G281" i="14"/>
  <c r="I288" i="14"/>
  <c r="G168" i="14"/>
  <c r="C133" i="19"/>
  <c r="J132" i="19"/>
  <c r="Z256" i="21" l="1"/>
  <c r="Z252" i="21"/>
  <c r="Z255" i="21"/>
  <c r="W254" i="21"/>
  <c r="W253" i="21"/>
  <c r="W255" i="21"/>
  <c r="W252" i="21"/>
  <c r="W256" i="21"/>
  <c r="U249" i="21"/>
  <c r="U248" i="21"/>
  <c r="U251" i="21"/>
  <c r="U250" i="21"/>
  <c r="U247" i="21"/>
  <c r="T256" i="21"/>
  <c r="P256" i="21" s="1"/>
  <c r="O256" i="21"/>
  <c r="T255" i="21"/>
  <c r="P255" i="21" s="1"/>
  <c r="O255" i="21"/>
  <c r="T252" i="21"/>
  <c r="P252" i="21" s="1"/>
  <c r="O252" i="21"/>
  <c r="R257" i="21"/>
  <c r="S257" i="21"/>
  <c r="Q257" i="21"/>
  <c r="M257" i="21" s="1"/>
  <c r="N258" i="21"/>
  <c r="I295" i="14"/>
  <c r="G288" i="14"/>
  <c r="C134" i="19"/>
  <c r="J133" i="19"/>
  <c r="Z257" i="21" l="1"/>
  <c r="X257" i="21"/>
  <c r="U254" i="21"/>
  <c r="U253" i="21"/>
  <c r="U256" i="21"/>
  <c r="U255" i="21"/>
  <c r="U252" i="21"/>
  <c r="T257" i="21"/>
  <c r="P257" i="21" s="1"/>
  <c r="O257" i="21"/>
  <c r="R258" i="21"/>
  <c r="S258" i="21"/>
  <c r="Q258" i="21"/>
  <c r="M258" i="21" s="1"/>
  <c r="N265" i="21"/>
  <c r="G295" i="14"/>
  <c r="I296" i="14"/>
  <c r="C135" i="19"/>
  <c r="J134" i="19"/>
  <c r="Z258" i="21" l="1"/>
  <c r="X258" i="21" s="1"/>
  <c r="Z259" i="21"/>
  <c r="Z260" i="21"/>
  <c r="T258" i="21"/>
  <c r="P258" i="21" s="1"/>
  <c r="O258" i="21"/>
  <c r="R265" i="21"/>
  <c r="S265" i="21"/>
  <c r="Q265" i="21"/>
  <c r="M265" i="21" s="1"/>
  <c r="N272" i="21"/>
  <c r="I297" i="14"/>
  <c r="G296" i="14"/>
  <c r="C136" i="19"/>
  <c r="J135" i="19"/>
  <c r="X259" i="21" l="1"/>
  <c r="X260" i="21"/>
  <c r="Z265" i="21"/>
  <c r="X265" i="21" s="1"/>
  <c r="Z268" i="21"/>
  <c r="Z266" i="21"/>
  <c r="Z267" i="21"/>
  <c r="T265" i="21"/>
  <c r="P265" i="21" s="1"/>
  <c r="O265" i="21"/>
  <c r="R272" i="21"/>
  <c r="S272" i="21"/>
  <c r="Q272" i="21"/>
  <c r="M272" i="21" s="1"/>
  <c r="Z272" i="21" s="1"/>
  <c r="X272" i="21" s="1"/>
  <c r="N273" i="21"/>
  <c r="G297" i="14"/>
  <c r="I300" i="14"/>
  <c r="I301" i="14"/>
  <c r="I302" i="14"/>
  <c r="C137" i="19"/>
  <c r="J136" i="19"/>
  <c r="X268" i="21" l="1"/>
  <c r="X266" i="21"/>
  <c r="X267" i="21"/>
  <c r="T272" i="21"/>
  <c r="P272" i="21" s="1"/>
  <c r="O272" i="21"/>
  <c r="R273" i="21"/>
  <c r="S273" i="21"/>
  <c r="Q273" i="21"/>
  <c r="M273" i="21" s="1"/>
  <c r="Z273" i="21" s="1"/>
  <c r="X273" i="21" s="1"/>
  <c r="N277" i="21"/>
  <c r="N276" i="21"/>
  <c r="N274" i="21"/>
  <c r="G301" i="14"/>
  <c r="G302" i="14"/>
  <c r="G300" i="14"/>
  <c r="I306" i="14"/>
  <c r="I303" i="14"/>
  <c r="I299" i="14"/>
  <c r="C138" i="19"/>
  <c r="J137" i="19"/>
  <c r="T273" i="21" l="1"/>
  <c r="P273" i="21" s="1"/>
  <c r="O273" i="21"/>
  <c r="R277" i="21"/>
  <c r="S277" i="21"/>
  <c r="Q277" i="21"/>
  <c r="M277" i="21" s="1"/>
  <c r="R274" i="21"/>
  <c r="S274" i="21"/>
  <c r="Q274" i="21"/>
  <c r="M274" i="21" s="1"/>
  <c r="Z274" i="21" s="1"/>
  <c r="X274" i="21" s="1"/>
  <c r="R276" i="21"/>
  <c r="S276" i="21"/>
  <c r="Q276" i="21"/>
  <c r="M276" i="21" s="1"/>
  <c r="N275" i="21"/>
  <c r="N279" i="21"/>
  <c r="N278" i="21"/>
  <c r="G306" i="14"/>
  <c r="G303" i="14"/>
  <c r="G299" i="14"/>
  <c r="I309" i="14"/>
  <c r="I308" i="14"/>
  <c r="I304" i="14"/>
  <c r="G174" i="14"/>
  <c r="C139" i="19"/>
  <c r="J138" i="19"/>
  <c r="Z277" i="21" l="1"/>
  <c r="Z276" i="21"/>
  <c r="T277" i="21"/>
  <c r="P277" i="21" s="1"/>
  <c r="O277" i="21"/>
  <c r="T276" i="21"/>
  <c r="P276" i="21" s="1"/>
  <c r="O276" i="21"/>
  <c r="T274" i="21"/>
  <c r="P274" i="21" s="1"/>
  <c r="O274" i="21"/>
  <c r="R275" i="21"/>
  <c r="S275" i="21"/>
  <c r="Q275" i="21"/>
  <c r="M275" i="21" s="1"/>
  <c r="X275" i="21" s="1"/>
  <c r="R278" i="21"/>
  <c r="S278" i="21"/>
  <c r="Q278" i="21"/>
  <c r="M278" i="21" s="1"/>
  <c r="R279" i="21"/>
  <c r="S279" i="21"/>
  <c r="Q279" i="21"/>
  <c r="M279" i="21" s="1"/>
  <c r="N280" i="21"/>
  <c r="N282" i="21"/>
  <c r="N281" i="21"/>
  <c r="I313" i="14"/>
  <c r="I311" i="14"/>
  <c r="I312" i="14"/>
  <c r="G308" i="14"/>
  <c r="G304" i="14"/>
  <c r="G309" i="14"/>
  <c r="C140" i="19"/>
  <c r="J139" i="19"/>
  <c r="Z279" i="21" l="1"/>
  <c r="Z275" i="21"/>
  <c r="Z278" i="21"/>
  <c r="W277" i="21"/>
  <c r="W276" i="21"/>
  <c r="W279" i="21"/>
  <c r="W278" i="21"/>
  <c r="W275" i="21"/>
  <c r="T279" i="21"/>
  <c r="P279" i="21" s="1"/>
  <c r="O279" i="21"/>
  <c r="T278" i="21"/>
  <c r="P278" i="21" s="1"/>
  <c r="O278" i="21"/>
  <c r="T275" i="21"/>
  <c r="P275" i="21" s="1"/>
  <c r="O275" i="21"/>
  <c r="R280" i="21"/>
  <c r="Q280" i="21"/>
  <c r="M280" i="21" s="1"/>
  <c r="X280" i="21" s="1"/>
  <c r="S280" i="21"/>
  <c r="R282" i="21"/>
  <c r="S282" i="21"/>
  <c r="Q282" i="21"/>
  <c r="M282" i="21" s="1"/>
  <c r="R281" i="21"/>
  <c r="S281" i="21"/>
  <c r="Q281" i="21"/>
  <c r="M281" i="21" s="1"/>
  <c r="N286" i="21"/>
  <c r="N285" i="21"/>
  <c r="N283" i="21"/>
  <c r="G312" i="14"/>
  <c r="G311" i="14"/>
  <c r="G313" i="14"/>
  <c r="I316" i="14"/>
  <c r="I314" i="14"/>
  <c r="I310" i="14"/>
  <c r="C141" i="19"/>
  <c r="J140" i="19"/>
  <c r="Z282" i="21" l="1"/>
  <c r="Z280" i="21"/>
  <c r="Z281" i="21"/>
  <c r="W282" i="21"/>
  <c r="W281" i="21"/>
  <c r="W280" i="21"/>
  <c r="U277" i="21"/>
  <c r="U276" i="21"/>
  <c r="U279" i="21"/>
  <c r="U278" i="21"/>
  <c r="U275" i="21"/>
  <c r="T282" i="21"/>
  <c r="P282" i="21" s="1"/>
  <c r="O282" i="21"/>
  <c r="T281" i="21"/>
  <c r="P281" i="21" s="1"/>
  <c r="O281" i="21"/>
  <c r="T280" i="21"/>
  <c r="P280" i="21" s="1"/>
  <c r="O280" i="21"/>
  <c r="R285" i="21"/>
  <c r="S285" i="21"/>
  <c r="Q285" i="21"/>
  <c r="M285" i="21" s="1"/>
  <c r="R283" i="21"/>
  <c r="S283" i="21"/>
  <c r="Q283" i="21"/>
  <c r="M283" i="21" s="1"/>
  <c r="R286" i="21"/>
  <c r="S286" i="21"/>
  <c r="Q286" i="21"/>
  <c r="M286" i="21" s="1"/>
  <c r="N284" i="21"/>
  <c r="N288" i="21"/>
  <c r="N287" i="21"/>
  <c r="I317" i="14"/>
  <c r="I319" i="14"/>
  <c r="I315" i="14"/>
  <c r="G310" i="14"/>
  <c r="G314" i="14"/>
  <c r="G316" i="14"/>
  <c r="C142" i="19"/>
  <c r="J141" i="19"/>
  <c r="Z283" i="21" l="1"/>
  <c r="X283" i="21"/>
  <c r="Z286" i="21"/>
  <c r="Z285" i="21"/>
  <c r="U282" i="21"/>
  <c r="U281" i="21"/>
  <c r="U280" i="21"/>
  <c r="T283" i="21"/>
  <c r="P283" i="21" s="1"/>
  <c r="O283" i="21"/>
  <c r="T286" i="21"/>
  <c r="P286" i="21" s="1"/>
  <c r="O286" i="21"/>
  <c r="T285" i="21"/>
  <c r="P285" i="21" s="1"/>
  <c r="O285" i="21"/>
  <c r="R288" i="21"/>
  <c r="S288" i="21"/>
  <c r="Q288" i="21"/>
  <c r="M288" i="21" s="1"/>
  <c r="R287" i="21"/>
  <c r="S287" i="21"/>
  <c r="Q287" i="21"/>
  <c r="M287" i="21" s="1"/>
  <c r="R284" i="21"/>
  <c r="S284" i="21"/>
  <c r="Q284" i="21"/>
  <c r="M284" i="21" s="1"/>
  <c r="X284" i="21" s="1"/>
  <c r="N289" i="21"/>
  <c r="N291" i="21"/>
  <c r="N290" i="21"/>
  <c r="I326" i="14"/>
  <c r="G315" i="14"/>
  <c r="G319" i="14"/>
  <c r="G317" i="14"/>
  <c r="C143" i="19"/>
  <c r="J142" i="19"/>
  <c r="Z288" i="21" l="1"/>
  <c r="Z284" i="21"/>
  <c r="Z287" i="21"/>
  <c r="W286" i="21"/>
  <c r="W285" i="21"/>
  <c r="W288" i="21"/>
  <c r="W287" i="21"/>
  <c r="W284" i="21"/>
  <c r="T284" i="21"/>
  <c r="P284" i="21" s="1"/>
  <c r="O284" i="21"/>
  <c r="T287" i="21"/>
  <c r="P287" i="21" s="1"/>
  <c r="O287" i="21"/>
  <c r="T288" i="21"/>
  <c r="P288" i="21" s="1"/>
  <c r="O288" i="21"/>
  <c r="R290" i="21"/>
  <c r="S290" i="21"/>
  <c r="Q290" i="21"/>
  <c r="M290" i="21" s="1"/>
  <c r="R291" i="21"/>
  <c r="S291" i="21"/>
  <c r="Q291" i="21"/>
  <c r="M291" i="21" s="1"/>
  <c r="R289" i="21"/>
  <c r="S289" i="21"/>
  <c r="Q289" i="21"/>
  <c r="M289" i="21" s="1"/>
  <c r="X289" i="21" s="1"/>
  <c r="N292" i="21"/>
  <c r="G326" i="14"/>
  <c r="I329" i="14"/>
  <c r="I330" i="14"/>
  <c r="I331" i="14"/>
  <c r="C144" i="19"/>
  <c r="J143" i="19"/>
  <c r="Z291" i="21" l="1"/>
  <c r="Z289" i="21"/>
  <c r="Z290" i="21"/>
  <c r="W291" i="21"/>
  <c r="W290" i="21"/>
  <c r="W289" i="21"/>
  <c r="U286" i="21"/>
  <c r="U285" i="21"/>
  <c r="U288" i="21"/>
  <c r="U287" i="21"/>
  <c r="U284" i="21"/>
  <c r="T291" i="21"/>
  <c r="P291" i="21" s="1"/>
  <c r="O291" i="21"/>
  <c r="T290" i="21"/>
  <c r="P290" i="21" s="1"/>
  <c r="O290" i="21"/>
  <c r="T289" i="21"/>
  <c r="P289" i="21" s="1"/>
  <c r="O289" i="21"/>
  <c r="R292" i="21"/>
  <c r="S292" i="21"/>
  <c r="Q292" i="21"/>
  <c r="M292" i="21" s="1"/>
  <c r="X292" i="21" s="1"/>
  <c r="N302" i="21"/>
  <c r="N301" i="21"/>
  <c r="N299" i="21"/>
  <c r="I328" i="14"/>
  <c r="I332" i="14"/>
  <c r="I334" i="14"/>
  <c r="G330" i="14"/>
  <c r="G329" i="14"/>
  <c r="G331" i="14"/>
  <c r="C145" i="19"/>
  <c r="J144" i="19"/>
  <c r="Z292" i="21" l="1"/>
  <c r="Z293" i="21"/>
  <c r="Z294" i="21"/>
  <c r="U289" i="21"/>
  <c r="U291" i="21"/>
  <c r="U290" i="21"/>
  <c r="T292" i="21"/>
  <c r="P292" i="21" s="1"/>
  <c r="O292" i="21"/>
  <c r="R299" i="21"/>
  <c r="Q299" i="21"/>
  <c r="M299" i="21" s="1"/>
  <c r="Z299" i="21" s="1"/>
  <c r="X299" i="21" s="1"/>
  <c r="S299" i="21"/>
  <c r="R301" i="21"/>
  <c r="Q301" i="21"/>
  <c r="M301" i="21" s="1"/>
  <c r="S301" i="21"/>
  <c r="R302" i="21"/>
  <c r="Q302" i="21"/>
  <c r="M302" i="21" s="1"/>
  <c r="S302" i="21"/>
  <c r="N300" i="21"/>
  <c r="N304" i="21"/>
  <c r="N303" i="21"/>
  <c r="G328" i="14"/>
  <c r="G334" i="14"/>
  <c r="G332" i="14"/>
  <c r="I333" i="14"/>
  <c r="I335" i="14"/>
  <c r="I336" i="14"/>
  <c r="C146" i="19"/>
  <c r="J145" i="19"/>
  <c r="X293" i="21" l="1"/>
  <c r="X294" i="21"/>
  <c r="Z302" i="21"/>
  <c r="Z301" i="21"/>
  <c r="T301" i="21"/>
  <c r="P301" i="21" s="1"/>
  <c r="O301" i="21"/>
  <c r="T302" i="21"/>
  <c r="P302" i="21" s="1"/>
  <c r="O302" i="21"/>
  <c r="T299" i="21"/>
  <c r="P299" i="21" s="1"/>
  <c r="O299" i="21"/>
  <c r="R303" i="21"/>
  <c r="Q303" i="21"/>
  <c r="M303" i="21" s="1"/>
  <c r="S303" i="21"/>
  <c r="R304" i="21"/>
  <c r="Q304" i="21"/>
  <c r="M304" i="21" s="1"/>
  <c r="S304" i="21"/>
  <c r="R300" i="21"/>
  <c r="S300" i="21"/>
  <c r="Q300" i="21"/>
  <c r="M300" i="21" s="1"/>
  <c r="X300" i="21" s="1"/>
  <c r="N305" i="21"/>
  <c r="N306" i="21"/>
  <c r="N307" i="21"/>
  <c r="G336" i="14"/>
  <c r="G335" i="14"/>
  <c r="G333" i="14"/>
  <c r="I342" i="14"/>
  <c r="I340" i="14"/>
  <c r="I339" i="14"/>
  <c r="C147" i="19"/>
  <c r="J146" i="19"/>
  <c r="Z300" i="21" l="1"/>
  <c r="Z303" i="21"/>
  <c r="Z304" i="21"/>
  <c r="W302" i="21"/>
  <c r="W301" i="21"/>
  <c r="W304" i="21"/>
  <c r="W303" i="21"/>
  <c r="W300" i="21"/>
  <c r="T300" i="21"/>
  <c r="P300" i="21" s="1"/>
  <c r="O300" i="21"/>
  <c r="T303" i="21"/>
  <c r="P303" i="21" s="1"/>
  <c r="O303" i="21"/>
  <c r="T304" i="21"/>
  <c r="P304" i="21" s="1"/>
  <c r="O304" i="21"/>
  <c r="R307" i="21"/>
  <c r="Q307" i="21"/>
  <c r="M307" i="21" s="1"/>
  <c r="S307" i="21"/>
  <c r="R305" i="21"/>
  <c r="Q305" i="21"/>
  <c r="M305" i="21" s="1"/>
  <c r="X305" i="21" s="1"/>
  <c r="S305" i="21"/>
  <c r="R306" i="21"/>
  <c r="Q306" i="21"/>
  <c r="M306" i="21" s="1"/>
  <c r="S306" i="21"/>
  <c r="N310" i="21"/>
  <c r="N311" i="21"/>
  <c r="N308" i="21"/>
  <c r="I337" i="14"/>
  <c r="I343" i="14"/>
  <c r="I345" i="14"/>
  <c r="G340" i="14"/>
  <c r="G339" i="14"/>
  <c r="G342" i="14"/>
  <c r="G183" i="14"/>
  <c r="C148" i="19"/>
  <c r="J147" i="19"/>
  <c r="Z307" i="21" l="1"/>
  <c r="Z305" i="21"/>
  <c r="Z306" i="21"/>
  <c r="W307" i="21"/>
  <c r="W306" i="21"/>
  <c r="W305" i="21"/>
  <c r="U302" i="21"/>
  <c r="U301" i="21"/>
  <c r="U304" i="21"/>
  <c r="U303" i="21"/>
  <c r="U300" i="21"/>
  <c r="T305" i="21"/>
  <c r="P305" i="21" s="1"/>
  <c r="O305" i="21"/>
  <c r="T307" i="21"/>
  <c r="P307" i="21" s="1"/>
  <c r="O307" i="21"/>
  <c r="T306" i="21"/>
  <c r="P306" i="21" s="1"/>
  <c r="O306" i="21"/>
  <c r="R310" i="21"/>
  <c r="Q310" i="21"/>
  <c r="M310" i="21" s="1"/>
  <c r="S310" i="21"/>
  <c r="R308" i="21"/>
  <c r="Q308" i="21"/>
  <c r="M308" i="21" s="1"/>
  <c r="S308" i="21"/>
  <c r="R311" i="21"/>
  <c r="Q311" i="21"/>
  <c r="M311" i="21" s="1"/>
  <c r="S311" i="21"/>
  <c r="N313" i="21"/>
  <c r="N309" i="21"/>
  <c r="N312" i="21"/>
  <c r="I344" i="14"/>
  <c r="I346" i="14"/>
  <c r="I348" i="14"/>
  <c r="G343" i="14"/>
  <c r="G345" i="14"/>
  <c r="G337" i="14"/>
  <c r="G184" i="14"/>
  <c r="C149" i="19"/>
  <c r="J148" i="19"/>
  <c r="Z308" i="21" l="1"/>
  <c r="X308" i="21"/>
  <c r="Z311" i="21"/>
  <c r="Z310" i="21"/>
  <c r="U307" i="21"/>
  <c r="U306" i="21"/>
  <c r="U305" i="21"/>
  <c r="T311" i="21"/>
  <c r="P311" i="21" s="1"/>
  <c r="O311" i="21"/>
  <c r="T310" i="21"/>
  <c r="P310" i="21" s="1"/>
  <c r="O310" i="21"/>
  <c r="T308" i="21"/>
  <c r="P308" i="21" s="1"/>
  <c r="O308" i="21"/>
  <c r="R312" i="21"/>
  <c r="Q312" i="21"/>
  <c r="M312" i="21" s="1"/>
  <c r="S312" i="21"/>
  <c r="R309" i="21"/>
  <c r="Q309" i="21"/>
  <c r="M309" i="21" s="1"/>
  <c r="X309" i="21" s="1"/>
  <c r="S309" i="21"/>
  <c r="R313" i="21"/>
  <c r="Q313" i="21"/>
  <c r="M313" i="21" s="1"/>
  <c r="S313" i="21"/>
  <c r="N316" i="21"/>
  <c r="N314" i="21"/>
  <c r="N315" i="21"/>
  <c r="G344" i="14"/>
  <c r="G348" i="14"/>
  <c r="G346" i="14"/>
  <c r="I355" i="14"/>
  <c r="G185" i="14"/>
  <c r="C150" i="19"/>
  <c r="J149" i="19"/>
  <c r="Z313" i="21" l="1"/>
  <c r="Z309" i="21"/>
  <c r="Z312" i="21"/>
  <c r="W311" i="21"/>
  <c r="W310" i="21"/>
  <c r="W309" i="21"/>
  <c r="W313" i="21"/>
  <c r="W312" i="21"/>
  <c r="T313" i="21"/>
  <c r="P313" i="21" s="1"/>
  <c r="O313" i="21"/>
  <c r="T309" i="21"/>
  <c r="P309" i="21" s="1"/>
  <c r="O309" i="21"/>
  <c r="T312" i="21"/>
  <c r="P312" i="21" s="1"/>
  <c r="O312" i="21"/>
  <c r="R316" i="21"/>
  <c r="Q316" i="21"/>
  <c r="M316" i="21" s="1"/>
  <c r="S316" i="21"/>
  <c r="R315" i="21"/>
  <c r="Q315" i="21"/>
  <c r="M315" i="21" s="1"/>
  <c r="S315" i="21"/>
  <c r="R314" i="21"/>
  <c r="Q314" i="21"/>
  <c r="M314" i="21" s="1"/>
  <c r="X314" i="21" s="1"/>
  <c r="S314" i="21"/>
  <c r="N317" i="21"/>
  <c r="G355" i="14"/>
  <c r="I359" i="14"/>
  <c r="I358" i="14"/>
  <c r="I360" i="14"/>
  <c r="G186" i="14"/>
  <c r="C151" i="19"/>
  <c r="J150" i="19"/>
  <c r="Z316" i="21" l="1"/>
  <c r="Z314" i="21"/>
  <c r="Z315" i="21"/>
  <c r="W316" i="21"/>
  <c r="W315" i="21"/>
  <c r="W314" i="21"/>
  <c r="U311" i="21"/>
  <c r="U310" i="21"/>
  <c r="U313" i="21"/>
  <c r="U312" i="21"/>
  <c r="U309" i="21"/>
  <c r="T314" i="21"/>
  <c r="P314" i="21" s="1"/>
  <c r="O314" i="21"/>
  <c r="T316" i="21"/>
  <c r="P316" i="21" s="1"/>
  <c r="O316" i="21"/>
  <c r="T315" i="21"/>
  <c r="P315" i="21" s="1"/>
  <c r="O315" i="21"/>
  <c r="R317" i="21"/>
  <c r="Q317" i="21"/>
  <c r="M317" i="21" s="1"/>
  <c r="X317" i="21" s="1"/>
  <c r="S317" i="21"/>
  <c r="N326" i="21"/>
  <c r="N327" i="21"/>
  <c r="N324" i="21"/>
  <c r="I357" i="14"/>
  <c r="I364" i="14"/>
  <c r="I361" i="14"/>
  <c r="G360" i="14"/>
  <c r="G359" i="14"/>
  <c r="G358" i="14"/>
  <c r="G187" i="14"/>
  <c r="C152" i="19"/>
  <c r="J151" i="19"/>
  <c r="Z317" i="21" l="1"/>
  <c r="Z318" i="21"/>
  <c r="Z319" i="21"/>
  <c r="U315" i="21"/>
  <c r="U314" i="21"/>
  <c r="U316" i="21"/>
  <c r="T317" i="21"/>
  <c r="P317" i="21" s="1"/>
  <c r="O317" i="21"/>
  <c r="R327" i="21"/>
  <c r="Q327" i="21"/>
  <c r="M327" i="21" s="1"/>
  <c r="S327" i="21"/>
  <c r="R324" i="21"/>
  <c r="Q324" i="21"/>
  <c r="M324" i="21" s="1"/>
  <c r="Z324" i="21" s="1"/>
  <c r="X324" i="21" s="1"/>
  <c r="S324" i="21"/>
  <c r="R326" i="21"/>
  <c r="Q326" i="21"/>
  <c r="M326" i="21" s="1"/>
  <c r="S326" i="21"/>
  <c r="N329" i="21"/>
  <c r="N325" i="21"/>
  <c r="N328" i="21"/>
  <c r="G361" i="14"/>
  <c r="G364" i="14"/>
  <c r="G357" i="14"/>
  <c r="I366" i="14"/>
  <c r="I365" i="14"/>
  <c r="I362" i="14"/>
  <c r="G188" i="14"/>
  <c r="C153" i="19"/>
  <c r="J152" i="19"/>
  <c r="X319" i="21" l="1"/>
  <c r="X318" i="21"/>
  <c r="Z327" i="21"/>
  <c r="Z326" i="21"/>
  <c r="T327" i="21"/>
  <c r="P327" i="21" s="1"/>
  <c r="O327" i="21"/>
  <c r="T324" i="21"/>
  <c r="P324" i="21" s="1"/>
  <c r="O324" i="21"/>
  <c r="T326" i="21"/>
  <c r="P326" i="21" s="1"/>
  <c r="O326" i="21"/>
  <c r="R325" i="21"/>
  <c r="Q325" i="21"/>
  <c r="M325" i="21" s="1"/>
  <c r="X325" i="21" s="1"/>
  <c r="S325" i="21"/>
  <c r="R328" i="21"/>
  <c r="Q328" i="21"/>
  <c r="M328" i="21" s="1"/>
  <c r="S328" i="21"/>
  <c r="R329" i="21"/>
  <c r="Q329" i="21"/>
  <c r="M329" i="21" s="1"/>
  <c r="S329" i="21"/>
  <c r="N330" i="21"/>
  <c r="N332" i="21"/>
  <c r="N331" i="21"/>
  <c r="I368" i="14"/>
  <c r="I370" i="14"/>
  <c r="I369" i="14"/>
  <c r="G365" i="14"/>
  <c r="G362" i="14"/>
  <c r="G366" i="14"/>
  <c r="G189" i="14"/>
  <c r="C154" i="19"/>
  <c r="J153" i="19"/>
  <c r="Z329" i="21" l="1"/>
  <c r="Z325" i="21"/>
  <c r="Z328" i="21"/>
  <c r="W327" i="21"/>
  <c r="W326" i="21"/>
  <c r="W329" i="21"/>
  <c r="W328" i="21"/>
  <c r="W325" i="21"/>
  <c r="T328" i="21"/>
  <c r="P328" i="21" s="1"/>
  <c r="O328" i="21"/>
  <c r="T329" i="21"/>
  <c r="P329" i="21" s="1"/>
  <c r="O329" i="21"/>
  <c r="T325" i="21"/>
  <c r="P325" i="21" s="1"/>
  <c r="O325" i="21"/>
  <c r="R331" i="21"/>
  <c r="Q331" i="21"/>
  <c r="M331" i="21" s="1"/>
  <c r="S331" i="21"/>
  <c r="R330" i="21"/>
  <c r="Q330" i="21"/>
  <c r="M330" i="21" s="1"/>
  <c r="X330" i="21" s="1"/>
  <c r="S330" i="21"/>
  <c r="R332" i="21"/>
  <c r="Q332" i="21"/>
  <c r="M332" i="21" s="1"/>
  <c r="S332" i="21"/>
  <c r="N336" i="21"/>
  <c r="N335" i="21"/>
  <c r="N333" i="21"/>
  <c r="G370" i="14"/>
  <c r="G368" i="14"/>
  <c r="G369" i="14"/>
  <c r="I372" i="14"/>
  <c r="I374" i="14"/>
  <c r="I367" i="14"/>
  <c r="C155" i="19"/>
  <c r="J154" i="19"/>
  <c r="Z332" i="21" l="1"/>
  <c r="Z330" i="21"/>
  <c r="Z331" i="21"/>
  <c r="W332" i="21"/>
  <c r="W331" i="21"/>
  <c r="W330" i="21"/>
  <c r="U326" i="21"/>
  <c r="U327" i="21"/>
  <c r="U329" i="21"/>
  <c r="U328" i="21"/>
  <c r="U325" i="21"/>
  <c r="T330" i="21"/>
  <c r="P330" i="21" s="1"/>
  <c r="O330" i="21"/>
  <c r="T331" i="21"/>
  <c r="P331" i="21" s="1"/>
  <c r="O331" i="21"/>
  <c r="T332" i="21"/>
  <c r="P332" i="21" s="1"/>
  <c r="O332" i="21"/>
  <c r="R335" i="21"/>
  <c r="Q335" i="21"/>
  <c r="M335" i="21" s="1"/>
  <c r="S335" i="21"/>
  <c r="R333" i="21"/>
  <c r="Q333" i="21"/>
  <c r="M333" i="21" s="1"/>
  <c r="S333" i="21"/>
  <c r="R336" i="21"/>
  <c r="Q336" i="21"/>
  <c r="M336" i="21" s="1"/>
  <c r="S336" i="21"/>
  <c r="N334" i="21"/>
  <c r="N338" i="21"/>
  <c r="N337" i="21"/>
  <c r="G367" i="14"/>
  <c r="G374" i="14"/>
  <c r="G372" i="14"/>
  <c r="I377" i="14"/>
  <c r="I373" i="14"/>
  <c r="I375" i="14"/>
  <c r="C156" i="19"/>
  <c r="J155" i="19"/>
  <c r="Z333" i="21" l="1"/>
  <c r="X333" i="21"/>
  <c r="Z336" i="21"/>
  <c r="Z335" i="21"/>
  <c r="U332" i="21"/>
  <c r="U331" i="21"/>
  <c r="U330" i="21"/>
  <c r="T335" i="21"/>
  <c r="P335" i="21" s="1"/>
  <c r="O335" i="21"/>
  <c r="T336" i="21"/>
  <c r="P336" i="21" s="1"/>
  <c r="O336" i="21"/>
  <c r="T333" i="21"/>
  <c r="P333" i="21" s="1"/>
  <c r="O333" i="21"/>
  <c r="R337" i="21"/>
  <c r="Q337" i="21"/>
  <c r="M337" i="21" s="1"/>
  <c r="S337" i="21"/>
  <c r="R334" i="21"/>
  <c r="Q334" i="21"/>
  <c r="M334" i="21" s="1"/>
  <c r="X334" i="21" s="1"/>
  <c r="S334" i="21"/>
  <c r="R338" i="21"/>
  <c r="Q338" i="21"/>
  <c r="M338" i="21" s="1"/>
  <c r="S338" i="21"/>
  <c r="N339" i="21"/>
  <c r="N340" i="21"/>
  <c r="N341" i="21"/>
  <c r="G373" i="14"/>
  <c r="G377" i="14"/>
  <c r="G375" i="14"/>
  <c r="I384" i="14"/>
  <c r="C157" i="19"/>
  <c r="J156" i="19"/>
  <c r="Z338" i="21" l="1"/>
  <c r="Z334" i="21"/>
  <c r="Z337" i="21"/>
  <c r="W336" i="21"/>
  <c r="W335" i="21"/>
  <c r="W338" i="21"/>
  <c r="W337" i="21"/>
  <c r="W334" i="21"/>
  <c r="T338" i="21"/>
  <c r="P338" i="21" s="1"/>
  <c r="O338" i="21"/>
  <c r="T337" i="21"/>
  <c r="P337" i="21" s="1"/>
  <c r="O337" i="21"/>
  <c r="T334" i="21"/>
  <c r="P334" i="21" s="1"/>
  <c r="O334" i="21"/>
  <c r="R341" i="21"/>
  <c r="S341" i="21"/>
  <c r="Q341" i="21"/>
  <c r="M341" i="21" s="1"/>
  <c r="R339" i="21"/>
  <c r="Q339" i="21"/>
  <c r="M339" i="21" s="1"/>
  <c r="X339" i="21" s="1"/>
  <c r="S339" i="21"/>
  <c r="R340" i="21"/>
  <c r="Q340" i="21"/>
  <c r="M340" i="21" s="1"/>
  <c r="S340" i="21"/>
  <c r="N342" i="21"/>
  <c r="I388" i="14"/>
  <c r="I387" i="14"/>
  <c r="I389" i="14"/>
  <c r="G384" i="14"/>
  <c r="C158" i="19"/>
  <c r="J157" i="19"/>
  <c r="Z341" i="21" l="1"/>
  <c r="Z339" i="21"/>
  <c r="Z340" i="21"/>
  <c r="W341" i="21"/>
  <c r="W340" i="21"/>
  <c r="W339" i="21"/>
  <c r="U338" i="21"/>
  <c r="U337" i="21"/>
  <c r="U334" i="21"/>
  <c r="U336" i="21"/>
  <c r="U335" i="21"/>
  <c r="T341" i="21"/>
  <c r="P341" i="21" s="1"/>
  <c r="O341" i="21"/>
  <c r="T340" i="21"/>
  <c r="P340" i="21" s="1"/>
  <c r="O340" i="21"/>
  <c r="T339" i="21"/>
  <c r="P339" i="21" s="1"/>
  <c r="O339" i="21"/>
  <c r="R342" i="21"/>
  <c r="Q342" i="21"/>
  <c r="M342" i="21" s="1"/>
  <c r="X342" i="21" s="1"/>
  <c r="S342" i="21"/>
  <c r="N351" i="21"/>
  <c r="N352" i="21"/>
  <c r="N349" i="21"/>
  <c r="G388" i="14"/>
  <c r="G387" i="14"/>
  <c r="G389" i="14"/>
  <c r="I392" i="14"/>
  <c r="I386" i="14"/>
  <c r="I390" i="14"/>
  <c r="C159" i="19"/>
  <c r="J158" i="19"/>
  <c r="Z342" i="21" l="1"/>
  <c r="Z344" i="21"/>
  <c r="Z343" i="21"/>
  <c r="U340" i="21"/>
  <c r="U339" i="21"/>
  <c r="U341" i="21"/>
  <c r="T342" i="21"/>
  <c r="P342" i="21" s="1"/>
  <c r="O342" i="21"/>
  <c r="R349" i="21"/>
  <c r="Q349" i="21"/>
  <c r="M349" i="21" s="1"/>
  <c r="Z349" i="21" s="1"/>
  <c r="X349" i="21" s="1"/>
  <c r="S349" i="21"/>
  <c r="R352" i="21"/>
  <c r="Q352" i="21"/>
  <c r="M352" i="21" s="1"/>
  <c r="S352" i="21"/>
  <c r="R351" i="21"/>
  <c r="Q351" i="21"/>
  <c r="M351" i="21" s="1"/>
  <c r="S351" i="21"/>
  <c r="N350" i="21"/>
  <c r="N353" i="21"/>
  <c r="N354" i="21"/>
  <c r="I393" i="14"/>
  <c r="I391" i="14"/>
  <c r="I394" i="14"/>
  <c r="G386" i="14"/>
  <c r="G390" i="14"/>
  <c r="G392" i="14"/>
  <c r="C160" i="19"/>
  <c r="J159" i="19"/>
  <c r="X343" i="21" l="1"/>
  <c r="X344" i="21"/>
  <c r="Z352" i="21"/>
  <c r="Z351" i="21"/>
  <c r="T351" i="21"/>
  <c r="P351" i="21" s="1"/>
  <c r="O351" i="21"/>
  <c r="T349" i="21"/>
  <c r="P349" i="21" s="1"/>
  <c r="O349" i="21"/>
  <c r="T352" i="21"/>
  <c r="P352" i="21" s="1"/>
  <c r="O352" i="21"/>
  <c r="R350" i="21"/>
  <c r="Q350" i="21"/>
  <c r="M350" i="21" s="1"/>
  <c r="X350" i="21" s="1"/>
  <c r="S350" i="21"/>
  <c r="R354" i="21"/>
  <c r="Q354" i="21"/>
  <c r="M354" i="21" s="1"/>
  <c r="S354" i="21"/>
  <c r="R353" i="21"/>
  <c r="Q353" i="21"/>
  <c r="M353" i="21" s="1"/>
  <c r="S353" i="21"/>
  <c r="N355" i="21"/>
  <c r="N356" i="21"/>
  <c r="N357" i="21"/>
  <c r="R357" i="21" s="1"/>
  <c r="G393" i="14"/>
  <c r="G391" i="14"/>
  <c r="G394" i="14"/>
  <c r="I397" i="14"/>
  <c r="I398" i="14"/>
  <c r="I396" i="14"/>
  <c r="G196" i="14"/>
  <c r="C161" i="19"/>
  <c r="J160" i="19"/>
  <c r="Z354" i="21" l="1"/>
  <c r="Z350" i="21"/>
  <c r="Z353" i="21"/>
  <c r="W351" i="21"/>
  <c r="W352" i="21"/>
  <c r="W354" i="21"/>
  <c r="W353" i="21"/>
  <c r="W350" i="21"/>
  <c r="T353" i="21"/>
  <c r="P353" i="21" s="1"/>
  <c r="O353" i="21"/>
  <c r="T354" i="21"/>
  <c r="P354" i="21" s="1"/>
  <c r="O354" i="21"/>
  <c r="T350" i="21"/>
  <c r="P350" i="21" s="1"/>
  <c r="O350" i="21"/>
  <c r="R356" i="21"/>
  <c r="Q356" i="21"/>
  <c r="M356" i="21" s="1"/>
  <c r="S356" i="21"/>
  <c r="Q357" i="21"/>
  <c r="M357" i="21" s="1"/>
  <c r="S357" i="21"/>
  <c r="R355" i="21"/>
  <c r="Q355" i="21"/>
  <c r="M355" i="21" s="1"/>
  <c r="X355" i="21" s="1"/>
  <c r="S355" i="21"/>
  <c r="N361" i="21"/>
  <c r="N358" i="21"/>
  <c r="N360" i="21"/>
  <c r="I403" i="14"/>
  <c r="I400" i="14"/>
  <c r="I395" i="14"/>
  <c r="G396" i="14"/>
  <c r="G398" i="14"/>
  <c r="G397" i="14"/>
  <c r="C162" i="19"/>
  <c r="J161" i="19"/>
  <c r="Z357" i="21" l="1"/>
  <c r="Z355" i="21"/>
  <c r="Z356" i="21"/>
  <c r="W357" i="21"/>
  <c r="W356" i="21"/>
  <c r="W355" i="21"/>
  <c r="U352" i="21"/>
  <c r="U351" i="21"/>
  <c r="U354" i="21"/>
  <c r="U353" i="21"/>
  <c r="U350" i="21"/>
  <c r="T356" i="21"/>
  <c r="P356" i="21" s="1"/>
  <c r="O356" i="21"/>
  <c r="T355" i="21"/>
  <c r="P355" i="21" s="1"/>
  <c r="O355" i="21"/>
  <c r="T357" i="21"/>
  <c r="P357" i="21" s="1"/>
  <c r="O357" i="21"/>
  <c r="R360" i="21"/>
  <c r="Q360" i="21"/>
  <c r="M360" i="21" s="1"/>
  <c r="S360" i="21"/>
  <c r="R358" i="21"/>
  <c r="Q358" i="21"/>
  <c r="M358" i="21" s="1"/>
  <c r="S358" i="21"/>
  <c r="R361" i="21"/>
  <c r="Q361" i="21"/>
  <c r="M361" i="21" s="1"/>
  <c r="S361" i="21"/>
  <c r="N359" i="21"/>
  <c r="N363" i="21"/>
  <c r="N362" i="21"/>
  <c r="I404" i="14"/>
  <c r="I402" i="14"/>
  <c r="I406" i="14"/>
  <c r="G400" i="14"/>
  <c r="G403" i="14"/>
  <c r="G395" i="14"/>
  <c r="G198" i="14"/>
  <c r="C163" i="19"/>
  <c r="J162" i="19"/>
  <c r="Z358" i="21" l="1"/>
  <c r="X358" i="21"/>
  <c r="Z361" i="21"/>
  <c r="Z360" i="21"/>
  <c r="U357" i="21"/>
  <c r="U356" i="21"/>
  <c r="U355" i="21"/>
  <c r="T358" i="21"/>
  <c r="P358" i="21" s="1"/>
  <c r="O358" i="21"/>
  <c r="T360" i="21"/>
  <c r="P360" i="21" s="1"/>
  <c r="O360" i="21"/>
  <c r="T361" i="21"/>
  <c r="P361" i="21" s="1"/>
  <c r="O361" i="21"/>
  <c r="R359" i="21"/>
  <c r="Q359" i="21"/>
  <c r="M359" i="21" s="1"/>
  <c r="X359" i="21" s="1"/>
  <c r="S359" i="21"/>
  <c r="R362" i="21"/>
  <c r="S362" i="21"/>
  <c r="Q362" i="21"/>
  <c r="M362" i="21" s="1"/>
  <c r="R363" i="21"/>
  <c r="Q363" i="21"/>
  <c r="M363" i="21" s="1"/>
  <c r="S363" i="21"/>
  <c r="N364" i="21"/>
  <c r="N366" i="21"/>
  <c r="N365" i="21"/>
  <c r="I413" i="14"/>
  <c r="G406" i="14"/>
  <c r="G402" i="14"/>
  <c r="G404" i="14"/>
  <c r="G199" i="14"/>
  <c r="C164" i="19"/>
  <c r="J163" i="19"/>
  <c r="Z363" i="21" l="1"/>
  <c r="Z359" i="21"/>
  <c r="Z362" i="21"/>
  <c r="W361" i="21"/>
  <c r="W360" i="21"/>
  <c r="W363" i="21"/>
  <c r="W362" i="21"/>
  <c r="W359" i="21"/>
  <c r="T359" i="21"/>
  <c r="P359" i="21" s="1"/>
  <c r="O359" i="21"/>
  <c r="T363" i="21"/>
  <c r="P363" i="21" s="1"/>
  <c r="O363" i="21"/>
  <c r="T362" i="21"/>
  <c r="P362" i="21" s="1"/>
  <c r="O362" i="21"/>
  <c r="R364" i="21"/>
  <c r="Q364" i="21"/>
  <c r="M364" i="21" s="1"/>
  <c r="X364" i="21" s="1"/>
  <c r="S364" i="21"/>
  <c r="R365" i="21"/>
  <c r="Q365" i="21"/>
  <c r="M365" i="21" s="1"/>
  <c r="S365" i="21"/>
  <c r="R366" i="21"/>
  <c r="Q366" i="21"/>
  <c r="M366" i="21" s="1"/>
  <c r="S366" i="21"/>
  <c r="N367" i="21"/>
  <c r="G413" i="14"/>
  <c r="I417" i="14"/>
  <c r="I418" i="14"/>
  <c r="I416" i="14"/>
  <c r="G200" i="14"/>
  <c r="C165" i="19"/>
  <c r="J164" i="19"/>
  <c r="Z366" i="21" l="1"/>
  <c r="Z364" i="21"/>
  <c r="Z365" i="21"/>
  <c r="W366" i="21"/>
  <c r="W365" i="21"/>
  <c r="W364" i="21"/>
  <c r="U363" i="21"/>
  <c r="U362" i="21"/>
  <c r="U359" i="21"/>
  <c r="U361" i="21"/>
  <c r="U360" i="21"/>
  <c r="T365" i="21"/>
  <c r="P365" i="21" s="1"/>
  <c r="O365" i="21"/>
  <c r="T366" i="21"/>
  <c r="P366" i="21" s="1"/>
  <c r="O366" i="21"/>
  <c r="T364" i="21"/>
  <c r="P364" i="21" s="1"/>
  <c r="O364" i="21"/>
  <c r="R367" i="21"/>
  <c r="Q367" i="21"/>
  <c r="M367" i="21" s="1"/>
  <c r="X367" i="21" s="1"/>
  <c r="S367" i="21"/>
  <c r="N376" i="21"/>
  <c r="N377" i="21"/>
  <c r="N374" i="21"/>
  <c r="G416" i="14"/>
  <c r="G417" i="14"/>
  <c r="G418" i="14"/>
  <c r="I415" i="14"/>
  <c r="I422" i="14"/>
  <c r="I419" i="14"/>
  <c r="G201" i="14"/>
  <c r="C166" i="19"/>
  <c r="J165" i="19"/>
  <c r="Z367" i="21" l="1"/>
  <c r="Z368" i="21"/>
  <c r="Z369" i="21"/>
  <c r="U366" i="21"/>
  <c r="U365" i="21"/>
  <c r="U364" i="21"/>
  <c r="T367" i="21"/>
  <c r="P367" i="21" s="1"/>
  <c r="O367" i="21"/>
  <c r="Q374" i="21"/>
  <c r="M374" i="21" s="1"/>
  <c r="Z374" i="21" s="1"/>
  <c r="X374" i="21" s="1"/>
  <c r="S374" i="21"/>
  <c r="R377" i="21"/>
  <c r="Q377" i="21"/>
  <c r="M377" i="21" s="1"/>
  <c r="S377" i="21"/>
  <c r="R374" i="21"/>
  <c r="R376" i="21"/>
  <c r="Q376" i="21"/>
  <c r="M376" i="21" s="1"/>
  <c r="S376" i="21"/>
  <c r="N375" i="21"/>
  <c r="N378" i="21"/>
  <c r="N379" i="21"/>
  <c r="I424" i="14"/>
  <c r="I425" i="14"/>
  <c r="I420" i="14"/>
  <c r="G422" i="14"/>
  <c r="G415" i="14"/>
  <c r="G419" i="14"/>
  <c r="G202" i="14"/>
  <c r="C167" i="19"/>
  <c r="J166" i="19"/>
  <c r="X369" i="21" l="1"/>
  <c r="X368" i="21"/>
  <c r="Z377" i="21"/>
  <c r="Z376" i="21"/>
  <c r="T374" i="21"/>
  <c r="P374" i="21" s="1"/>
  <c r="O374" i="21"/>
  <c r="T376" i="21"/>
  <c r="P376" i="21" s="1"/>
  <c r="O376" i="21"/>
  <c r="T377" i="21"/>
  <c r="P377" i="21" s="1"/>
  <c r="O377" i="21"/>
  <c r="R379" i="21"/>
  <c r="Q379" i="21"/>
  <c r="M379" i="21" s="1"/>
  <c r="S379" i="21"/>
  <c r="R378" i="21"/>
  <c r="Q378" i="21"/>
  <c r="M378" i="21" s="1"/>
  <c r="S378" i="21"/>
  <c r="R375" i="21"/>
  <c r="Q375" i="21"/>
  <c r="M375" i="21" s="1"/>
  <c r="X375" i="21" s="1"/>
  <c r="S375" i="21"/>
  <c r="N380" i="21"/>
  <c r="N382" i="21"/>
  <c r="N381" i="21"/>
  <c r="G424" i="14"/>
  <c r="G425" i="14"/>
  <c r="G420" i="14"/>
  <c r="I431" i="14"/>
  <c r="I428" i="14"/>
  <c r="I429" i="14"/>
  <c r="G203" i="14"/>
  <c r="C168" i="19"/>
  <c r="J167" i="19"/>
  <c r="Z379" i="21" l="1"/>
  <c r="Z375" i="21"/>
  <c r="Z378" i="21"/>
  <c r="W377" i="21"/>
  <c r="W376" i="21"/>
  <c r="W379" i="21"/>
  <c r="W378" i="21"/>
  <c r="W375" i="21"/>
  <c r="T375" i="21"/>
  <c r="P375" i="21" s="1"/>
  <c r="O375" i="21"/>
  <c r="T378" i="21"/>
  <c r="P378" i="21" s="1"/>
  <c r="O378" i="21"/>
  <c r="T379" i="21"/>
  <c r="P379" i="21" s="1"/>
  <c r="O379" i="21"/>
  <c r="R380" i="21"/>
  <c r="Q380" i="21"/>
  <c r="M380" i="21" s="1"/>
  <c r="X380" i="21" s="1"/>
  <c r="S380" i="21"/>
  <c r="R382" i="21"/>
  <c r="Q382" i="21"/>
  <c r="M382" i="21" s="1"/>
  <c r="S382" i="21"/>
  <c r="R381" i="21"/>
  <c r="Q381" i="21"/>
  <c r="M381" i="21" s="1"/>
  <c r="S381" i="21"/>
  <c r="N383" i="21"/>
  <c r="N386" i="21"/>
  <c r="N385" i="21"/>
  <c r="I434" i="14"/>
  <c r="I426" i="14"/>
  <c r="I432" i="14"/>
  <c r="G431" i="14"/>
  <c r="G428" i="14"/>
  <c r="G429" i="14"/>
  <c r="C169" i="19"/>
  <c r="J168" i="19"/>
  <c r="Z382" i="21" l="1"/>
  <c r="Z380" i="21"/>
  <c r="Z381" i="21"/>
  <c r="W382" i="21"/>
  <c r="W381" i="21"/>
  <c r="W380" i="21"/>
  <c r="U379" i="21"/>
  <c r="U378" i="21"/>
  <c r="U375" i="21"/>
  <c r="U377" i="21"/>
  <c r="U376" i="21"/>
  <c r="T382" i="21"/>
  <c r="P382" i="21" s="1"/>
  <c r="O382" i="21"/>
  <c r="T381" i="21"/>
  <c r="P381" i="21" s="1"/>
  <c r="O381" i="21"/>
  <c r="T380" i="21"/>
  <c r="P380" i="21" s="1"/>
  <c r="O380" i="21"/>
  <c r="R385" i="21"/>
  <c r="Q385" i="21"/>
  <c r="M385" i="21" s="1"/>
  <c r="S385" i="21"/>
  <c r="R383" i="21"/>
  <c r="S383" i="21"/>
  <c r="Q383" i="21"/>
  <c r="M383" i="21" s="1"/>
  <c r="R386" i="21"/>
  <c r="Q386" i="21"/>
  <c r="M386" i="21" s="1"/>
  <c r="S386" i="21"/>
  <c r="N388" i="21"/>
  <c r="N384" i="21"/>
  <c r="N387" i="21"/>
  <c r="R387" i="21" s="1"/>
  <c r="G432" i="14"/>
  <c r="G434" i="14"/>
  <c r="G426" i="14"/>
  <c r="I433" i="14"/>
  <c r="I438" i="14"/>
  <c r="I436" i="14"/>
  <c r="C170" i="19"/>
  <c r="J169" i="19"/>
  <c r="Z383" i="21" l="1"/>
  <c r="X383" i="21"/>
  <c r="Z386" i="21"/>
  <c r="Z385" i="21"/>
  <c r="U382" i="21"/>
  <c r="U381" i="21"/>
  <c r="U380" i="21"/>
  <c r="T386" i="21"/>
  <c r="P386" i="21" s="1"/>
  <c r="O386" i="21"/>
  <c r="T383" i="21"/>
  <c r="P383" i="21" s="1"/>
  <c r="O383" i="21"/>
  <c r="T385" i="21"/>
  <c r="P385" i="21" s="1"/>
  <c r="O385" i="21"/>
  <c r="R384" i="21"/>
  <c r="Q384" i="21"/>
  <c r="M384" i="21" s="1"/>
  <c r="X384" i="21" s="1"/>
  <c r="S384" i="21"/>
  <c r="R388" i="21"/>
  <c r="Q388" i="21"/>
  <c r="M388" i="21" s="1"/>
  <c r="S388" i="21"/>
  <c r="Q387" i="21"/>
  <c r="M387" i="21" s="1"/>
  <c r="S387" i="21"/>
  <c r="N389" i="21"/>
  <c r="N390" i="21"/>
  <c r="N391" i="21"/>
  <c r="I445" i="14"/>
  <c r="G438" i="14"/>
  <c r="G433" i="14"/>
  <c r="G436" i="14"/>
  <c r="G206" i="14"/>
  <c r="C171" i="19"/>
  <c r="J170" i="19"/>
  <c r="Z388" i="21" l="1"/>
  <c r="Z384" i="21"/>
  <c r="Z387" i="21"/>
  <c r="W386" i="21"/>
  <c r="W385" i="21"/>
  <c r="W388" i="21"/>
  <c r="W387" i="21"/>
  <c r="W384" i="21"/>
  <c r="T387" i="21"/>
  <c r="P387" i="21" s="1"/>
  <c r="O387" i="21"/>
  <c r="T384" i="21"/>
  <c r="P384" i="21" s="1"/>
  <c r="O384" i="21"/>
  <c r="T388" i="21"/>
  <c r="P388" i="21" s="1"/>
  <c r="O388" i="21"/>
  <c r="R390" i="21"/>
  <c r="Q390" i="21"/>
  <c r="M390" i="21" s="1"/>
  <c r="S390" i="21"/>
  <c r="R391" i="21"/>
  <c r="Q391" i="21"/>
  <c r="M391" i="21" s="1"/>
  <c r="S391" i="21"/>
  <c r="R389" i="21"/>
  <c r="Q389" i="21"/>
  <c r="M389" i="21" s="1"/>
  <c r="X389" i="21" s="1"/>
  <c r="S389" i="21"/>
  <c r="N392" i="21"/>
  <c r="G445" i="14"/>
  <c r="I449" i="14"/>
  <c r="I448" i="14"/>
  <c r="I450" i="14"/>
  <c r="C172" i="19"/>
  <c r="J171" i="19"/>
  <c r="Z391" i="21" l="1"/>
  <c r="Z389" i="21"/>
  <c r="Z390" i="21"/>
  <c r="W390" i="21"/>
  <c r="W389" i="21"/>
  <c r="W391" i="21"/>
  <c r="U384" i="21"/>
  <c r="U386" i="21"/>
  <c r="U385" i="21"/>
  <c r="U388" i="21"/>
  <c r="U387" i="21"/>
  <c r="T391" i="21"/>
  <c r="P391" i="21" s="1"/>
  <c r="O391" i="21"/>
  <c r="T390" i="21"/>
  <c r="P390" i="21" s="1"/>
  <c r="O390" i="21"/>
  <c r="T389" i="21"/>
  <c r="P389" i="21" s="1"/>
  <c r="O389" i="21"/>
  <c r="R392" i="21"/>
  <c r="Q392" i="21"/>
  <c r="M392" i="21" s="1"/>
  <c r="X392" i="21" s="1"/>
  <c r="S392" i="21"/>
  <c r="N401" i="21"/>
  <c r="N402" i="21"/>
  <c r="N399" i="21"/>
  <c r="G448" i="14"/>
  <c r="G449" i="14"/>
  <c r="G450" i="14"/>
  <c r="I451" i="14"/>
  <c r="I453" i="14"/>
  <c r="I447" i="14"/>
  <c r="C173" i="19"/>
  <c r="J172" i="19"/>
  <c r="Z392" i="21" l="1"/>
  <c r="Z393" i="21"/>
  <c r="Z394" i="21"/>
  <c r="U391" i="21"/>
  <c r="U390" i="21"/>
  <c r="U389" i="21"/>
  <c r="T392" i="21"/>
  <c r="P392" i="21" s="1"/>
  <c r="O392" i="21"/>
  <c r="R399" i="21"/>
  <c r="Q399" i="21"/>
  <c r="M399" i="21" s="1"/>
  <c r="Z399" i="21" s="1"/>
  <c r="X399" i="21" s="1"/>
  <c r="S399" i="21"/>
  <c r="R402" i="21"/>
  <c r="Q402" i="21"/>
  <c r="M402" i="21" s="1"/>
  <c r="S402" i="21"/>
  <c r="R401" i="21"/>
  <c r="Q401" i="21"/>
  <c r="M401" i="21" s="1"/>
  <c r="S401" i="21"/>
  <c r="N404" i="21"/>
  <c r="N403" i="21"/>
  <c r="N400" i="21"/>
  <c r="I452" i="14"/>
  <c r="I456" i="14"/>
  <c r="N408" i="21" s="1"/>
  <c r="I455" i="14"/>
  <c r="G451" i="14"/>
  <c r="G447" i="14"/>
  <c r="G453" i="14"/>
  <c r="C174" i="19"/>
  <c r="J173" i="19"/>
  <c r="X393" i="21" l="1"/>
  <c r="X394" i="21"/>
  <c r="R408" i="21"/>
  <c r="S408" i="21"/>
  <c r="Q408" i="21"/>
  <c r="M408" i="21" s="1"/>
  <c r="Z402" i="21"/>
  <c r="Z401" i="21"/>
  <c r="T402" i="21"/>
  <c r="P402" i="21" s="1"/>
  <c r="O402" i="21"/>
  <c r="T401" i="21"/>
  <c r="P401" i="21" s="1"/>
  <c r="O401" i="21"/>
  <c r="T399" i="21"/>
  <c r="P399" i="21" s="1"/>
  <c r="O399" i="21"/>
  <c r="R404" i="21"/>
  <c r="S404" i="21"/>
  <c r="Q404" i="21"/>
  <c r="M404" i="21" s="1"/>
  <c r="R400" i="21"/>
  <c r="Q400" i="21"/>
  <c r="M400" i="21" s="1"/>
  <c r="X400" i="21" s="1"/>
  <c r="S400" i="21"/>
  <c r="R403" i="21"/>
  <c r="Q403" i="21"/>
  <c r="M403" i="21" s="1"/>
  <c r="S403" i="21"/>
  <c r="N405" i="21"/>
  <c r="N407" i="21"/>
  <c r="N406" i="21"/>
  <c r="I459" i="14"/>
  <c r="I461" i="14"/>
  <c r="I460" i="14"/>
  <c r="G456" i="14"/>
  <c r="G455" i="14"/>
  <c r="G452" i="14"/>
  <c r="C175" i="19"/>
  <c r="J174" i="19"/>
  <c r="O408" i="21" l="1"/>
  <c r="T408" i="21"/>
  <c r="P408" i="21" s="1"/>
  <c r="Z400" i="21"/>
  <c r="Z403" i="21"/>
  <c r="Z404" i="21"/>
  <c r="W402" i="21"/>
  <c r="W401" i="21"/>
  <c r="W404" i="21"/>
  <c r="W403" i="21"/>
  <c r="W400" i="21"/>
  <c r="T403" i="21"/>
  <c r="P403" i="21" s="1"/>
  <c r="O403" i="21"/>
  <c r="T400" i="21"/>
  <c r="P400" i="21" s="1"/>
  <c r="O400" i="21"/>
  <c r="T404" i="21"/>
  <c r="P404" i="21" s="1"/>
  <c r="O404" i="21"/>
  <c r="R407" i="21"/>
  <c r="Q407" i="21"/>
  <c r="M407" i="21" s="1"/>
  <c r="X408" i="21" s="1"/>
  <c r="S407" i="21"/>
  <c r="R405" i="21"/>
  <c r="Q405" i="21"/>
  <c r="M405" i="21" s="1"/>
  <c r="X405" i="21" s="1"/>
  <c r="S405" i="21"/>
  <c r="R406" i="21"/>
  <c r="Q406" i="21"/>
  <c r="M406" i="21" s="1"/>
  <c r="S406" i="21"/>
  <c r="N410" i="21"/>
  <c r="N411" i="21"/>
  <c r="G460" i="14"/>
  <c r="G461" i="14"/>
  <c r="G459" i="14"/>
  <c r="I464" i="14"/>
  <c r="I457" i="14"/>
  <c r="I462" i="14"/>
  <c r="G211" i="14"/>
  <c r="C176" i="19"/>
  <c r="J175" i="19"/>
  <c r="Z407" i="21" l="1"/>
  <c r="Z405" i="21"/>
  <c r="Z406" i="21"/>
  <c r="Z408" i="21"/>
  <c r="W407" i="21"/>
  <c r="W406" i="21"/>
  <c r="W405" i="21"/>
  <c r="U402" i="21"/>
  <c r="U401" i="21"/>
  <c r="U404" i="21"/>
  <c r="U403" i="21"/>
  <c r="U400" i="21"/>
  <c r="T406" i="21"/>
  <c r="P406" i="21" s="1"/>
  <c r="O406" i="21"/>
  <c r="T407" i="21"/>
  <c r="P407" i="21" s="1"/>
  <c r="O407" i="21"/>
  <c r="T405" i="21"/>
  <c r="P405" i="21" s="1"/>
  <c r="O405" i="21"/>
  <c r="R410" i="21"/>
  <c r="Q410" i="21"/>
  <c r="M410" i="21" s="1"/>
  <c r="S410" i="21"/>
  <c r="R411" i="21"/>
  <c r="Q411" i="21"/>
  <c r="M411" i="21" s="1"/>
  <c r="S411" i="21"/>
  <c r="N413" i="21"/>
  <c r="N409" i="21"/>
  <c r="N412" i="21"/>
  <c r="I465" i="14"/>
  <c r="I463" i="14"/>
  <c r="I467" i="14"/>
  <c r="G464" i="14"/>
  <c r="G457" i="14"/>
  <c r="G462" i="14"/>
  <c r="C177" i="19"/>
  <c r="J176" i="19"/>
  <c r="Z411" i="21" l="1"/>
  <c r="Z410" i="21"/>
  <c r="U407" i="21"/>
  <c r="U406" i="21"/>
  <c r="U405" i="21"/>
  <c r="T411" i="21"/>
  <c r="P411" i="21" s="1"/>
  <c r="O411" i="21"/>
  <c r="T410" i="21"/>
  <c r="P410" i="21" s="1"/>
  <c r="O410" i="21"/>
  <c r="Q412" i="21"/>
  <c r="M412" i="21" s="1"/>
  <c r="S412" i="21"/>
  <c r="R409" i="21"/>
  <c r="Q409" i="21"/>
  <c r="M409" i="21" s="1"/>
  <c r="X409" i="21" s="1"/>
  <c r="S409" i="21"/>
  <c r="R412" i="21"/>
  <c r="R413" i="21"/>
  <c r="Q413" i="21"/>
  <c r="M413" i="21" s="1"/>
  <c r="S413" i="21"/>
  <c r="N416" i="21"/>
  <c r="N414" i="21"/>
  <c r="N415" i="21"/>
  <c r="I474" i="14"/>
  <c r="G463" i="14"/>
  <c r="G467" i="14"/>
  <c r="G465" i="14"/>
  <c r="C178" i="19"/>
  <c r="J177" i="19"/>
  <c r="Z413" i="21" l="1"/>
  <c r="Z409" i="21"/>
  <c r="Z412" i="21"/>
  <c r="W411" i="21"/>
  <c r="W410" i="21"/>
  <c r="W413" i="21"/>
  <c r="W412" i="21"/>
  <c r="W409" i="21"/>
  <c r="T409" i="21"/>
  <c r="P409" i="21" s="1"/>
  <c r="O409" i="21"/>
  <c r="T413" i="21"/>
  <c r="P413" i="21" s="1"/>
  <c r="O413" i="21"/>
  <c r="T412" i="21"/>
  <c r="P412" i="21" s="1"/>
  <c r="O412" i="21"/>
  <c r="R414" i="21"/>
  <c r="Q414" i="21"/>
  <c r="M414" i="21" s="1"/>
  <c r="X414" i="21" s="1"/>
  <c r="S414" i="21"/>
  <c r="R415" i="21"/>
  <c r="Q415" i="21"/>
  <c r="M415" i="21" s="1"/>
  <c r="S415" i="21"/>
  <c r="R416" i="21"/>
  <c r="Q416" i="21"/>
  <c r="M416" i="21" s="1"/>
  <c r="S416" i="21"/>
  <c r="N417" i="21"/>
  <c r="G474" i="14"/>
  <c r="I477" i="14"/>
  <c r="I479" i="14"/>
  <c r="I478" i="14"/>
  <c r="C179" i="19"/>
  <c r="J178" i="19"/>
  <c r="Z416" i="21" l="1"/>
  <c r="Z414" i="21"/>
  <c r="Z415" i="21"/>
  <c r="W416" i="21"/>
  <c r="W415" i="21"/>
  <c r="W414" i="21"/>
  <c r="U411" i="21"/>
  <c r="U410" i="21"/>
  <c r="U413" i="21"/>
  <c r="U412" i="21"/>
  <c r="U409" i="21"/>
  <c r="T416" i="21"/>
  <c r="P416" i="21" s="1"/>
  <c r="O416" i="21"/>
  <c r="T414" i="21"/>
  <c r="P414" i="21" s="1"/>
  <c r="O414" i="21"/>
  <c r="T415" i="21"/>
  <c r="P415" i="21" s="1"/>
  <c r="O415" i="21"/>
  <c r="R417" i="21"/>
  <c r="Q417" i="21"/>
  <c r="M417" i="21" s="1"/>
  <c r="X417" i="21" s="1"/>
  <c r="S417" i="21"/>
  <c r="N427" i="21"/>
  <c r="N424" i="21"/>
  <c r="G479" i="14"/>
  <c r="I476" i="14"/>
  <c r="I482" i="14"/>
  <c r="I480" i="14"/>
  <c r="G478" i="14"/>
  <c r="G477" i="14"/>
  <c r="C180" i="19"/>
  <c r="J179" i="19"/>
  <c r="Z417" i="21" l="1"/>
  <c r="Z418" i="21"/>
  <c r="Z419" i="21"/>
  <c r="U416" i="21"/>
  <c r="U415" i="21"/>
  <c r="U414" i="21"/>
  <c r="T417" i="21"/>
  <c r="P417" i="21" s="1"/>
  <c r="O417" i="21"/>
  <c r="R424" i="21"/>
  <c r="Q424" i="21"/>
  <c r="M424" i="21" s="1"/>
  <c r="Z424" i="21" s="1"/>
  <c r="X424" i="21" s="1"/>
  <c r="S424" i="21"/>
  <c r="R427" i="21"/>
  <c r="Q427" i="21"/>
  <c r="M427" i="21" s="1"/>
  <c r="S427" i="21"/>
  <c r="N426" i="21"/>
  <c r="N428" i="21"/>
  <c r="G482" i="14"/>
  <c r="I481" i="14"/>
  <c r="I483" i="14"/>
  <c r="I484" i="14"/>
  <c r="G480" i="14"/>
  <c r="G476" i="14"/>
  <c r="C181" i="19"/>
  <c r="J180" i="19"/>
  <c r="X418" i="21" l="1"/>
  <c r="X419" i="21"/>
  <c r="T427" i="21"/>
  <c r="P427" i="21" s="1"/>
  <c r="O427" i="21"/>
  <c r="T424" i="21"/>
  <c r="P424" i="21" s="1"/>
  <c r="O424" i="21"/>
  <c r="R426" i="21"/>
  <c r="Q426" i="21"/>
  <c r="M426" i="21" s="1"/>
  <c r="S426" i="21"/>
  <c r="R428" i="21"/>
  <c r="Q428" i="21"/>
  <c r="M428" i="21" s="1"/>
  <c r="S428" i="21"/>
  <c r="N425" i="21"/>
  <c r="N429" i="21"/>
  <c r="N431" i="21"/>
  <c r="G483" i="14"/>
  <c r="G484" i="14"/>
  <c r="I490" i="14"/>
  <c r="I488" i="14"/>
  <c r="I487" i="14"/>
  <c r="G481" i="14"/>
  <c r="C182" i="19"/>
  <c r="J181" i="19"/>
  <c r="Z429" i="21" l="1"/>
  <c r="Z425" i="21"/>
  <c r="Z428" i="21"/>
  <c r="Z427" i="21"/>
  <c r="Z426" i="21"/>
  <c r="T426" i="21"/>
  <c r="P426" i="21" s="1"/>
  <c r="O426" i="21"/>
  <c r="T428" i="21"/>
  <c r="P428" i="21" s="1"/>
  <c r="O428" i="21"/>
  <c r="R431" i="21"/>
  <c r="Q431" i="21"/>
  <c r="M431" i="21" s="1"/>
  <c r="S431" i="21"/>
  <c r="R429" i="21"/>
  <c r="Q429" i="21"/>
  <c r="M429" i="21" s="1"/>
  <c r="S429" i="21"/>
  <c r="R425" i="21"/>
  <c r="S425" i="21"/>
  <c r="Q425" i="21"/>
  <c r="M425" i="21" s="1"/>
  <c r="X425" i="21" s="1"/>
  <c r="N430" i="21"/>
  <c r="N436" i="21"/>
  <c r="N433" i="21"/>
  <c r="N432" i="21"/>
  <c r="G490" i="14"/>
  <c r="I491" i="14"/>
  <c r="I486" i="14"/>
  <c r="I493" i="14"/>
  <c r="G487" i="14"/>
  <c r="G488" i="14"/>
  <c r="C183" i="19"/>
  <c r="J182" i="19"/>
  <c r="Z432" i="21" l="1"/>
  <c r="Z430" i="21"/>
  <c r="Z431" i="21"/>
  <c r="W427" i="21"/>
  <c r="W426" i="21"/>
  <c r="W429" i="21"/>
  <c r="W428" i="21"/>
  <c r="W425" i="21"/>
  <c r="T425" i="21"/>
  <c r="P425" i="21" s="1"/>
  <c r="O425" i="21"/>
  <c r="T431" i="21"/>
  <c r="P431" i="21" s="1"/>
  <c r="O431" i="21"/>
  <c r="T429" i="21"/>
  <c r="P429" i="21" s="1"/>
  <c r="O429" i="21"/>
  <c r="Q433" i="21"/>
  <c r="M433" i="21" s="1"/>
  <c r="S433" i="21"/>
  <c r="R432" i="21"/>
  <c r="Q432" i="21"/>
  <c r="M432" i="21" s="1"/>
  <c r="S432" i="21"/>
  <c r="R433" i="21"/>
  <c r="R436" i="21"/>
  <c r="Q436" i="21"/>
  <c r="M436" i="21" s="1"/>
  <c r="S436" i="21"/>
  <c r="R430" i="21"/>
  <c r="Q430" i="21"/>
  <c r="M430" i="21" s="1"/>
  <c r="X430" i="21" s="1"/>
  <c r="S430" i="21"/>
  <c r="N437" i="21"/>
  <c r="N435" i="21"/>
  <c r="G493" i="14"/>
  <c r="I494" i="14"/>
  <c r="I496" i="14"/>
  <c r="I492" i="14"/>
  <c r="G486" i="14"/>
  <c r="G491" i="14"/>
  <c r="G219" i="14"/>
  <c r="C184" i="19"/>
  <c r="J183" i="19"/>
  <c r="Z433" i="21" l="1"/>
  <c r="X433" i="21"/>
  <c r="W432" i="21"/>
  <c r="W431" i="21"/>
  <c r="W430" i="21"/>
  <c r="U429" i="21"/>
  <c r="U428" i="21"/>
  <c r="U425" i="21"/>
  <c r="U427" i="21"/>
  <c r="U426" i="21"/>
  <c r="T432" i="21"/>
  <c r="P432" i="21" s="1"/>
  <c r="O432" i="21"/>
  <c r="T436" i="21"/>
  <c r="P436" i="21" s="1"/>
  <c r="O436" i="21"/>
  <c r="T430" i="21"/>
  <c r="P430" i="21" s="1"/>
  <c r="O430" i="21"/>
  <c r="T433" i="21"/>
  <c r="P433" i="21" s="1"/>
  <c r="O433" i="21"/>
  <c r="R435" i="21"/>
  <c r="Q435" i="21"/>
  <c r="M435" i="21" s="1"/>
  <c r="S435" i="21"/>
  <c r="R437" i="21"/>
  <c r="Q437" i="21"/>
  <c r="M437" i="21" s="1"/>
  <c r="S437" i="21"/>
  <c r="N434" i="21"/>
  <c r="N440" i="21"/>
  <c r="N438" i="21"/>
  <c r="G496" i="14"/>
  <c r="I504" i="14"/>
  <c r="G492" i="14"/>
  <c r="G494" i="14"/>
  <c r="G220" i="14"/>
  <c r="C185" i="19"/>
  <c r="J184" i="19"/>
  <c r="Z436" i="21" l="1"/>
  <c r="Z435" i="21"/>
  <c r="Z438" i="21"/>
  <c r="Z434" i="21"/>
  <c r="Z437" i="21"/>
  <c r="U432" i="21"/>
  <c r="U431" i="21"/>
  <c r="U430" i="21"/>
  <c r="T437" i="21"/>
  <c r="P437" i="21" s="1"/>
  <c r="O437" i="21"/>
  <c r="T435" i="21"/>
  <c r="P435" i="21" s="1"/>
  <c r="O435" i="21"/>
  <c r="R438" i="21"/>
  <c r="Q438" i="21"/>
  <c r="M438" i="21" s="1"/>
  <c r="S438" i="21"/>
  <c r="R440" i="21"/>
  <c r="Q440" i="21"/>
  <c r="M440" i="21" s="1"/>
  <c r="S440" i="21"/>
  <c r="R434" i="21"/>
  <c r="Q434" i="21"/>
  <c r="M434" i="21" s="1"/>
  <c r="X434" i="21" s="1"/>
  <c r="S434" i="21"/>
  <c r="N439" i="21"/>
  <c r="N441" i="21"/>
  <c r="N442" i="21"/>
  <c r="G504" i="14"/>
  <c r="I506" i="14"/>
  <c r="I508" i="14"/>
  <c r="I507" i="14"/>
  <c r="G221" i="14"/>
  <c r="C186" i="19"/>
  <c r="J185" i="19"/>
  <c r="Z441" i="21" l="1"/>
  <c r="Z439" i="21"/>
  <c r="Z440" i="21"/>
  <c r="W436" i="21"/>
  <c r="W435" i="21"/>
  <c r="W434" i="21"/>
  <c r="W438" i="21"/>
  <c r="W437" i="21"/>
  <c r="T438" i="21"/>
  <c r="P438" i="21" s="1"/>
  <c r="O438" i="21"/>
  <c r="T434" i="21"/>
  <c r="P434" i="21" s="1"/>
  <c r="O434" i="21"/>
  <c r="T440" i="21"/>
  <c r="P440" i="21" s="1"/>
  <c r="O440" i="21"/>
  <c r="R441" i="21"/>
  <c r="Q441" i="21"/>
  <c r="M441" i="21" s="1"/>
  <c r="S441" i="21"/>
  <c r="R439" i="21"/>
  <c r="Q439" i="21"/>
  <c r="M439" i="21" s="1"/>
  <c r="X439" i="21" s="1"/>
  <c r="S439" i="21"/>
  <c r="R442" i="21"/>
  <c r="Q442" i="21"/>
  <c r="M442" i="21" s="1"/>
  <c r="S442" i="21"/>
  <c r="N452" i="21"/>
  <c r="N449" i="21"/>
  <c r="G507" i="14"/>
  <c r="G508" i="14"/>
  <c r="I512" i="14"/>
  <c r="I505" i="14"/>
  <c r="I509" i="14"/>
  <c r="G506" i="14"/>
  <c r="G222" i="14"/>
  <c r="C187" i="19"/>
  <c r="J186" i="19"/>
  <c r="X442" i="21" l="1"/>
  <c r="Z442" i="21"/>
  <c r="Z443" i="21"/>
  <c r="Z444" i="21"/>
  <c r="W441" i="21"/>
  <c r="W440" i="21"/>
  <c r="W439" i="21"/>
  <c r="U436" i="21"/>
  <c r="U435" i="21"/>
  <c r="U438" i="21"/>
  <c r="U437" i="21"/>
  <c r="U434" i="21"/>
  <c r="T442" i="21"/>
  <c r="P442" i="21" s="1"/>
  <c r="O442" i="21"/>
  <c r="T439" i="21"/>
  <c r="P439" i="21" s="1"/>
  <c r="O439" i="21"/>
  <c r="T441" i="21"/>
  <c r="P441" i="21" s="1"/>
  <c r="O441" i="21"/>
  <c r="R449" i="21"/>
  <c r="S449" i="21"/>
  <c r="Q449" i="21"/>
  <c r="M449" i="21" s="1"/>
  <c r="Z449" i="21" s="1"/>
  <c r="X449" i="21" s="1"/>
  <c r="R452" i="21"/>
  <c r="S452" i="21"/>
  <c r="Q452" i="21"/>
  <c r="M452" i="21" s="1"/>
  <c r="N453" i="21"/>
  <c r="N451" i="21"/>
  <c r="G509" i="14"/>
  <c r="G505" i="14"/>
  <c r="G512" i="14"/>
  <c r="I513" i="14"/>
  <c r="I514" i="14"/>
  <c r="I511" i="14"/>
  <c r="G223" i="14"/>
  <c r="C188" i="19"/>
  <c r="J187" i="19"/>
  <c r="X443" i="21" l="1"/>
  <c r="X444" i="21"/>
  <c r="U441" i="21"/>
  <c r="U440" i="21"/>
  <c r="U439" i="21"/>
  <c r="T452" i="21"/>
  <c r="P452" i="21" s="1"/>
  <c r="O452" i="21"/>
  <c r="T449" i="21"/>
  <c r="P449" i="21" s="1"/>
  <c r="O449" i="21"/>
  <c r="R451" i="21"/>
  <c r="S451" i="21"/>
  <c r="Q451" i="21"/>
  <c r="M451" i="21" s="1"/>
  <c r="R453" i="21"/>
  <c r="S453" i="21"/>
  <c r="Q453" i="21"/>
  <c r="M453" i="21" s="1"/>
  <c r="N456" i="21"/>
  <c r="N450" i="21"/>
  <c r="N454" i="21"/>
  <c r="G513" i="14"/>
  <c r="G514" i="14"/>
  <c r="I517" i="14"/>
  <c r="I516" i="14"/>
  <c r="I518" i="14"/>
  <c r="G511" i="14"/>
  <c r="G224" i="14"/>
  <c r="C189" i="19"/>
  <c r="J188" i="19"/>
  <c r="Z452" i="21" l="1"/>
  <c r="Z451" i="21"/>
  <c r="Z454" i="21"/>
  <c r="Z450" i="21"/>
  <c r="Z453" i="21"/>
  <c r="T451" i="21"/>
  <c r="P451" i="21" s="1"/>
  <c r="O451" i="21"/>
  <c r="T453" i="21"/>
  <c r="P453" i="21" s="1"/>
  <c r="O453" i="21"/>
  <c r="R450" i="21"/>
  <c r="S450" i="21"/>
  <c r="Q450" i="21"/>
  <c r="M450" i="21" s="1"/>
  <c r="X450" i="21" s="1"/>
  <c r="R454" i="21"/>
  <c r="S454" i="21"/>
  <c r="Q454" i="21"/>
  <c r="M454" i="21" s="1"/>
  <c r="R456" i="21"/>
  <c r="S456" i="21"/>
  <c r="Q456" i="21"/>
  <c r="M456" i="21" s="1"/>
  <c r="N461" i="21"/>
  <c r="N458" i="21"/>
  <c r="N455" i="21"/>
  <c r="N457" i="21"/>
  <c r="G516" i="14"/>
  <c r="G517" i="14"/>
  <c r="G518" i="14"/>
  <c r="I520" i="14"/>
  <c r="I515" i="14"/>
  <c r="I522" i="14"/>
  <c r="G225" i="14"/>
  <c r="C190" i="19"/>
  <c r="J189" i="19"/>
  <c r="Z456" i="21" l="1"/>
  <c r="Z457" i="21"/>
  <c r="Z455" i="21"/>
  <c r="W452" i="21"/>
  <c r="W451" i="21"/>
  <c r="W454" i="21"/>
  <c r="W453" i="21"/>
  <c r="W450" i="21"/>
  <c r="T456" i="21"/>
  <c r="P456" i="21" s="1"/>
  <c r="O456" i="21"/>
  <c r="T454" i="21"/>
  <c r="P454" i="21" s="1"/>
  <c r="O454" i="21"/>
  <c r="T450" i="21"/>
  <c r="P450" i="21" s="1"/>
  <c r="O450" i="21"/>
  <c r="R461" i="21"/>
  <c r="S461" i="21"/>
  <c r="Q461" i="21"/>
  <c r="M461" i="21" s="1"/>
  <c r="R457" i="21"/>
  <c r="S457" i="21"/>
  <c r="Q457" i="21"/>
  <c r="M457" i="21" s="1"/>
  <c r="R455" i="21"/>
  <c r="S455" i="21"/>
  <c r="Q455" i="21"/>
  <c r="M455" i="21" s="1"/>
  <c r="X455" i="21" s="1"/>
  <c r="R458" i="21"/>
  <c r="S458" i="21"/>
  <c r="Q458" i="21"/>
  <c r="M458" i="21" s="1"/>
  <c r="N462" i="21"/>
  <c r="N460" i="21"/>
  <c r="G522" i="14"/>
  <c r="I524" i="14"/>
  <c r="I521" i="14"/>
  <c r="I526" i="14"/>
  <c r="G515" i="14"/>
  <c r="G520" i="14"/>
  <c r="C191" i="19"/>
  <c r="J190" i="19"/>
  <c r="Z458" i="21" l="1"/>
  <c r="X458" i="21"/>
  <c r="W457" i="21"/>
  <c r="W456" i="21"/>
  <c r="W455" i="21"/>
  <c r="U451" i="21"/>
  <c r="U454" i="21"/>
  <c r="U453" i="21"/>
  <c r="U450" i="21"/>
  <c r="U452" i="21"/>
  <c r="T458" i="21"/>
  <c r="P458" i="21" s="1"/>
  <c r="O458" i="21"/>
  <c r="T457" i="21"/>
  <c r="P457" i="21" s="1"/>
  <c r="O457" i="21"/>
  <c r="T461" i="21"/>
  <c r="P461" i="21" s="1"/>
  <c r="O461" i="21"/>
  <c r="T455" i="21"/>
  <c r="P455" i="21" s="1"/>
  <c r="O455" i="21"/>
  <c r="R462" i="21"/>
  <c r="S462" i="21"/>
  <c r="Q462" i="21"/>
  <c r="M462" i="21" s="1"/>
  <c r="R460" i="21"/>
  <c r="S460" i="21"/>
  <c r="Q460" i="21"/>
  <c r="M460" i="21" s="1"/>
  <c r="N463" i="21"/>
  <c r="N459" i="21"/>
  <c r="N465" i="21"/>
  <c r="G526" i="14"/>
  <c r="I527" i="14"/>
  <c r="G521" i="14"/>
  <c r="G524" i="14"/>
  <c r="C192" i="19"/>
  <c r="J191" i="19"/>
  <c r="Z463" i="21" l="1"/>
  <c r="Z459" i="21"/>
  <c r="Z462" i="21"/>
  <c r="Z461" i="21"/>
  <c r="Z460" i="21"/>
  <c r="U457" i="21"/>
  <c r="U456" i="21"/>
  <c r="U455" i="21"/>
  <c r="T460" i="21"/>
  <c r="P460" i="21" s="1"/>
  <c r="O460" i="21"/>
  <c r="T462" i="21"/>
  <c r="P462" i="21" s="1"/>
  <c r="O462" i="21"/>
  <c r="R465" i="21"/>
  <c r="S465" i="21"/>
  <c r="Q465" i="21"/>
  <c r="M465" i="21" s="1"/>
  <c r="R459" i="21"/>
  <c r="S459" i="21"/>
  <c r="Q459" i="21"/>
  <c r="M459" i="21" s="1"/>
  <c r="X459" i="21" s="1"/>
  <c r="R463" i="21"/>
  <c r="S463" i="21"/>
  <c r="Q463" i="21"/>
  <c r="M463" i="21" s="1"/>
  <c r="N464" i="21"/>
  <c r="N467" i="21"/>
  <c r="N466" i="21"/>
  <c r="G527" i="14"/>
  <c r="I534" i="14"/>
  <c r="G228" i="14"/>
  <c r="C193" i="19"/>
  <c r="J192" i="19"/>
  <c r="Z466" i="21" l="1"/>
  <c r="Z464" i="21"/>
  <c r="Z465" i="21"/>
  <c r="W461" i="21"/>
  <c r="W460" i="21"/>
  <c r="W463" i="21"/>
  <c r="W462" i="21"/>
  <c r="W459" i="21"/>
  <c r="T463" i="21"/>
  <c r="P463" i="21" s="1"/>
  <c r="O463" i="21"/>
  <c r="T459" i="21"/>
  <c r="P459" i="21" s="1"/>
  <c r="O459" i="21"/>
  <c r="T465" i="21"/>
  <c r="P465" i="21" s="1"/>
  <c r="O465" i="21"/>
  <c r="R466" i="21"/>
  <c r="S466" i="21"/>
  <c r="Q466" i="21"/>
  <c r="M466" i="21" s="1"/>
  <c r="R467" i="21"/>
  <c r="S467" i="21"/>
  <c r="Q467" i="21"/>
  <c r="M467" i="21" s="1"/>
  <c r="R464" i="21"/>
  <c r="S464" i="21"/>
  <c r="Q464" i="21"/>
  <c r="M464" i="21" s="1"/>
  <c r="X464" i="21" s="1"/>
  <c r="N468" i="21"/>
  <c r="G534" i="14"/>
  <c r="I538" i="14"/>
  <c r="C194" i="19"/>
  <c r="J193" i="19"/>
  <c r="Z467" i="21" l="1"/>
  <c r="X467" i="21"/>
  <c r="W466" i="21"/>
  <c r="W465" i="21"/>
  <c r="W464" i="21"/>
  <c r="U463" i="21"/>
  <c r="U462" i="21"/>
  <c r="U459" i="21"/>
  <c r="U461" i="21"/>
  <c r="U460" i="21"/>
  <c r="T464" i="21"/>
  <c r="P464" i="21" s="1"/>
  <c r="O464" i="21"/>
  <c r="T467" i="21"/>
  <c r="P467" i="21" s="1"/>
  <c r="O467" i="21"/>
  <c r="T466" i="21"/>
  <c r="P466" i="21" s="1"/>
  <c r="O466" i="21"/>
  <c r="R468" i="21"/>
  <c r="S468" i="21"/>
  <c r="Q468" i="21"/>
  <c r="M468" i="21" s="1"/>
  <c r="N475" i="21"/>
  <c r="G538" i="14"/>
  <c r="I539" i="14"/>
  <c r="C195" i="19"/>
  <c r="J194" i="19"/>
  <c r="Z468" i="21" l="1"/>
  <c r="X468" i="21" s="1"/>
  <c r="Z471" i="21"/>
  <c r="Z469" i="21"/>
  <c r="Z470" i="21"/>
  <c r="U465" i="21"/>
  <c r="U464" i="21"/>
  <c r="U466" i="21"/>
  <c r="T468" i="21"/>
  <c r="P468" i="21" s="1"/>
  <c r="O468" i="21"/>
  <c r="R475" i="21"/>
  <c r="S475" i="21"/>
  <c r="Q475" i="21"/>
  <c r="M475" i="21" s="1"/>
  <c r="N479" i="21"/>
  <c r="G539" i="14"/>
  <c r="I548" i="14"/>
  <c r="C196" i="19"/>
  <c r="J195" i="19"/>
  <c r="X471" i="21" l="1"/>
  <c r="X469" i="21"/>
  <c r="X470" i="21"/>
  <c r="Z475" i="21"/>
  <c r="X475" i="21" s="1"/>
  <c r="Z478" i="21"/>
  <c r="Z476" i="21"/>
  <c r="Z477" i="21"/>
  <c r="T475" i="21"/>
  <c r="P475" i="21" s="1"/>
  <c r="O475" i="21"/>
  <c r="R479" i="21"/>
  <c r="S479" i="21"/>
  <c r="Q479" i="21"/>
  <c r="M479" i="21" s="1"/>
  <c r="Z479" i="21" s="1"/>
  <c r="X479" i="21" s="1"/>
  <c r="N480" i="21"/>
  <c r="G548" i="14"/>
  <c r="I555" i="14"/>
  <c r="C197" i="19"/>
  <c r="J196" i="19"/>
  <c r="X478" i="21" l="1"/>
  <c r="X476" i="21"/>
  <c r="X477" i="21"/>
  <c r="T479" i="21"/>
  <c r="P479" i="21" s="1"/>
  <c r="O479" i="21"/>
  <c r="R480" i="21"/>
  <c r="S480" i="21"/>
  <c r="Q480" i="21"/>
  <c r="M480" i="21" s="1"/>
  <c r="N488" i="21"/>
  <c r="G555" i="14"/>
  <c r="C198" i="19"/>
  <c r="J197" i="19"/>
  <c r="Z480" i="21" l="1"/>
  <c r="X480" i="21" s="1"/>
  <c r="Z481" i="21"/>
  <c r="X481" i="21" s="1"/>
  <c r="T480" i="21"/>
  <c r="P480" i="21" s="1"/>
  <c r="O480" i="21"/>
  <c r="R488" i="21"/>
  <c r="Q488" i="21"/>
  <c r="M488" i="21" s="1"/>
  <c r="Z490" i="21" s="1"/>
  <c r="S488" i="21"/>
  <c r="N495" i="21"/>
  <c r="C199" i="19"/>
  <c r="J198" i="19"/>
  <c r="X491" i="21" l="1"/>
  <c r="X489" i="21"/>
  <c r="X490" i="21"/>
  <c r="Z488" i="21"/>
  <c r="X488" i="21" s="1"/>
  <c r="Z491" i="21"/>
  <c r="Z489" i="21"/>
  <c r="T488" i="21"/>
  <c r="P488" i="21" s="1"/>
  <c r="O488" i="21"/>
  <c r="R495" i="21"/>
  <c r="S495" i="21"/>
  <c r="Q495" i="21"/>
  <c r="M495" i="21" s="1"/>
  <c r="Z495" i="21" s="1"/>
  <c r="X495" i="21" s="1"/>
  <c r="C200" i="19"/>
  <c r="J199" i="19"/>
  <c r="T495" i="21" l="1"/>
  <c r="P495" i="21" s="1"/>
  <c r="O495" i="21"/>
  <c r="C201" i="19"/>
  <c r="J200" i="19"/>
  <c r="C202" i="19" l="1"/>
  <c r="J201" i="19"/>
  <c r="G238" i="14" l="1"/>
  <c r="C203" i="19"/>
  <c r="J202" i="19"/>
  <c r="C204" i="19" l="1"/>
  <c r="J203" i="19"/>
  <c r="G240" i="14" l="1"/>
  <c r="C205" i="19"/>
  <c r="J204" i="19"/>
  <c r="G241" i="14" l="1"/>
  <c r="C206" i="19"/>
  <c r="J205" i="19"/>
  <c r="G242" i="14" l="1"/>
  <c r="C207" i="19"/>
  <c r="J206" i="19"/>
  <c r="G243" i="14" l="1"/>
  <c r="C208" i="19"/>
  <c r="J207" i="19"/>
  <c r="G244" i="14" l="1"/>
  <c r="C209" i="19"/>
  <c r="J208" i="19"/>
  <c r="G245" i="14" l="1"/>
  <c r="C210" i="19"/>
  <c r="J209" i="19"/>
  <c r="C211" i="19" l="1"/>
  <c r="J210" i="19"/>
  <c r="C212" i="19" l="1"/>
  <c r="J211" i="19"/>
  <c r="G248" i="14" l="1"/>
  <c r="C213" i="19"/>
  <c r="J212" i="19"/>
  <c r="C214" i="19" l="1"/>
  <c r="J213" i="19"/>
  <c r="C215" i="19" l="1"/>
  <c r="J214" i="19"/>
  <c r="C216" i="19" l="1"/>
  <c r="J215" i="19"/>
  <c r="C217" i="19" l="1"/>
  <c r="J216" i="19"/>
  <c r="C218" i="19" l="1"/>
  <c r="J217" i="19"/>
  <c r="C219" i="19" l="1"/>
  <c r="J218" i="19"/>
  <c r="C220" i="19" l="1"/>
  <c r="J219" i="19"/>
  <c r="C221" i="19" l="1"/>
  <c r="J220" i="19"/>
  <c r="C222" i="19" l="1"/>
  <c r="J221" i="19"/>
  <c r="G258" i="14" l="1"/>
  <c r="C223" i="19"/>
  <c r="J222" i="19"/>
  <c r="C224" i="19" l="1"/>
  <c r="J223" i="19"/>
  <c r="C225" i="19" l="1"/>
  <c r="J224" i="19"/>
  <c r="G261" i="14" l="1"/>
  <c r="C226" i="19"/>
  <c r="J225" i="19"/>
  <c r="G262" i="14" l="1"/>
  <c r="C227" i="19"/>
  <c r="J226" i="19"/>
  <c r="G263" i="14" l="1"/>
  <c r="C228" i="19"/>
  <c r="J227" i="19"/>
  <c r="G264" i="14" l="1"/>
  <c r="C229" i="19"/>
  <c r="J228" i="19"/>
  <c r="G265" i="14" l="1"/>
  <c r="C230" i="19"/>
  <c r="J229" i="19"/>
  <c r="G266" i="14" l="1"/>
  <c r="C231" i="19"/>
  <c r="J230" i="19"/>
  <c r="C232" i="19" l="1"/>
  <c r="J231" i="19"/>
  <c r="C233" i="19" l="1"/>
  <c r="J232" i="19"/>
  <c r="C234" i="19" l="1"/>
  <c r="J233" i="19"/>
  <c r="C235" i="19" l="1"/>
  <c r="J234" i="19"/>
  <c r="J235" i="19" l="1"/>
  <c r="C236" i="19"/>
  <c r="G272" i="14" l="1"/>
  <c r="C237" i="19"/>
  <c r="J236" i="19"/>
  <c r="C238" i="19" l="1"/>
  <c r="J237" i="19"/>
  <c r="C239" i="19" l="1"/>
  <c r="J238" i="19"/>
  <c r="C240" i="19" l="1"/>
  <c r="J239" i="19"/>
  <c r="C241" i="19" l="1"/>
  <c r="J240" i="19"/>
  <c r="C242" i="19" l="1"/>
  <c r="J241" i="19"/>
  <c r="C243" i="19" l="1"/>
  <c r="J242" i="19"/>
  <c r="G279" i="14" l="1"/>
  <c r="C244" i="19"/>
  <c r="J243" i="19"/>
  <c r="J244" i="19" l="1"/>
  <c r="C245" i="19"/>
  <c r="C246" i="19" l="1"/>
  <c r="J245" i="19"/>
  <c r="G282" i="14" l="1"/>
  <c r="C247" i="19"/>
  <c r="J246" i="19"/>
  <c r="G283" i="14" l="1"/>
  <c r="J247" i="19"/>
  <c r="C248" i="19"/>
  <c r="G284" i="14" l="1"/>
  <c r="C249" i="19"/>
  <c r="J248" i="19"/>
  <c r="G285" i="14" l="1"/>
  <c r="C250" i="19"/>
  <c r="J249" i="19"/>
  <c r="G286" i="14" l="1"/>
  <c r="C251" i="19"/>
  <c r="J250" i="19"/>
  <c r="G287" i="14" l="1"/>
  <c r="C252" i="19"/>
  <c r="J251" i="19"/>
  <c r="C253" i="19" l="1"/>
  <c r="J252" i="19"/>
  <c r="G289" i="14" l="1"/>
  <c r="C254" i="19"/>
  <c r="J253" i="19"/>
  <c r="G290" i="14" l="1"/>
  <c r="J254" i="19"/>
  <c r="C255" i="19"/>
  <c r="G291" i="14" l="1"/>
  <c r="C256" i="19"/>
  <c r="J255" i="19"/>
  <c r="G292" i="14" l="1"/>
  <c r="C257" i="19"/>
  <c r="J256" i="19"/>
  <c r="G293" i="14" l="1"/>
  <c r="C258" i="19"/>
  <c r="J257" i="19"/>
  <c r="G294" i="14" l="1"/>
  <c r="C259" i="19"/>
  <c r="J258" i="19"/>
  <c r="J259" i="19" l="1"/>
  <c r="C260" i="19"/>
  <c r="C261" i="19" l="1"/>
  <c r="J260" i="19"/>
  <c r="C262" i="19" l="1"/>
  <c r="J261" i="19"/>
  <c r="G298" i="14" l="1"/>
  <c r="C263" i="19"/>
  <c r="J262" i="19"/>
  <c r="C264" i="19" l="1"/>
  <c r="J263" i="19"/>
  <c r="J264" i="19" l="1"/>
  <c r="C265" i="19"/>
  <c r="C266" i="19" l="1"/>
  <c r="J265" i="19"/>
  <c r="C267" i="19" l="1"/>
  <c r="J266" i="19"/>
  <c r="C268" i="19" l="1"/>
  <c r="J267" i="19"/>
  <c r="C269" i="19" l="1"/>
  <c r="J268" i="19"/>
  <c r="G305" i="14" l="1"/>
  <c r="C270" i="19"/>
  <c r="J269" i="19"/>
  <c r="C271" i="19" l="1"/>
  <c r="J270" i="19"/>
  <c r="G307" i="14" l="1"/>
  <c r="J271" i="19"/>
  <c r="C272" i="19"/>
  <c r="C273" i="19" l="1"/>
  <c r="J272" i="19"/>
  <c r="C274" i="19" l="1"/>
  <c r="J273" i="19"/>
  <c r="J274" i="19" l="1"/>
  <c r="C275" i="19"/>
  <c r="C276" i="19" l="1"/>
  <c r="J275" i="19"/>
  <c r="C277" i="19" l="1"/>
  <c r="J276" i="19"/>
  <c r="C278" i="19" l="1"/>
  <c r="J277" i="19"/>
  <c r="C279" i="19" l="1"/>
  <c r="J278" i="19"/>
  <c r="C280" i="19" l="1"/>
  <c r="J279" i="19"/>
  <c r="C281" i="19" l="1"/>
  <c r="J280" i="19"/>
  <c r="C282" i="19" l="1"/>
  <c r="J281" i="19"/>
  <c r="G318" i="14" l="1"/>
  <c r="C283" i="19"/>
  <c r="J282" i="19"/>
  <c r="C284" i="19" l="1"/>
  <c r="J283" i="19"/>
  <c r="G320" i="14" l="1"/>
  <c r="J284" i="19"/>
  <c r="C285" i="19"/>
  <c r="G321" i="14" l="1"/>
  <c r="J285" i="19"/>
  <c r="C286" i="19"/>
  <c r="G322" i="14" l="1"/>
  <c r="C287" i="19"/>
  <c r="J286" i="19"/>
  <c r="G323" i="14" l="1"/>
  <c r="C288" i="19"/>
  <c r="J287" i="19"/>
  <c r="G324" i="14" l="1"/>
  <c r="C289" i="19"/>
  <c r="J288" i="19"/>
  <c r="G325" i="14" l="1"/>
  <c r="C290" i="19"/>
  <c r="J289" i="19"/>
  <c r="C291" i="19" l="1"/>
  <c r="J290" i="19"/>
  <c r="G327" i="14" l="1"/>
  <c r="C292" i="19"/>
  <c r="J291" i="19"/>
  <c r="C293" i="19" l="1"/>
  <c r="J292" i="19"/>
  <c r="C294" i="19" l="1"/>
  <c r="J293" i="19"/>
  <c r="J294" i="19" l="1"/>
  <c r="C295" i="19"/>
  <c r="C296" i="19" l="1"/>
  <c r="J295" i="19"/>
  <c r="C297" i="19" l="1"/>
  <c r="J296" i="19"/>
  <c r="J297" i="19" l="1"/>
  <c r="C298" i="19"/>
  <c r="C299" i="19" l="1"/>
  <c r="J298" i="19"/>
  <c r="C300" i="19" l="1"/>
  <c r="J299" i="19"/>
  <c r="C301" i="19" l="1"/>
  <c r="J300" i="19"/>
  <c r="C302" i="19" l="1"/>
  <c r="J301" i="19"/>
  <c r="G338" i="14" l="1"/>
  <c r="C303" i="19"/>
  <c r="J302" i="19"/>
  <c r="C304" i="19" l="1"/>
  <c r="J303" i="19"/>
  <c r="J304" i="19" l="1"/>
  <c r="C305" i="19"/>
  <c r="G341" i="14" l="1"/>
  <c r="C306" i="19"/>
  <c r="J305" i="19"/>
  <c r="C307" i="19" l="1"/>
  <c r="J306" i="19"/>
  <c r="C308" i="19" l="1"/>
  <c r="J307" i="19"/>
  <c r="C309" i="19" l="1"/>
  <c r="J308" i="19"/>
  <c r="J309" i="19" l="1"/>
  <c r="C310" i="19"/>
  <c r="C311" i="19" l="1"/>
  <c r="J310" i="19"/>
  <c r="G347" i="14" l="1"/>
  <c r="C312" i="19"/>
  <c r="J311" i="19"/>
  <c r="C313" i="19" l="1"/>
  <c r="J312" i="19"/>
  <c r="G349" i="14" l="1"/>
  <c r="C314" i="19"/>
  <c r="J313" i="19"/>
  <c r="G350" i="14" l="1"/>
  <c r="J314" i="19"/>
  <c r="C315" i="19"/>
  <c r="G351" i="14" l="1"/>
  <c r="C316" i="19"/>
  <c r="J315" i="19"/>
  <c r="G352" i="14" l="1"/>
  <c r="C317" i="19"/>
  <c r="J316" i="19"/>
  <c r="G353" i="14" l="1"/>
  <c r="C318" i="19"/>
  <c r="J317" i="19"/>
  <c r="G354" i="14" l="1"/>
  <c r="C319" i="19"/>
  <c r="J318" i="19"/>
  <c r="C320" i="19" l="1"/>
  <c r="J319" i="19"/>
  <c r="G356" i="14" l="1"/>
  <c r="C321" i="19"/>
  <c r="J320" i="19"/>
  <c r="J321" i="19" l="1"/>
  <c r="C322" i="19"/>
  <c r="C323" i="19" l="1"/>
  <c r="J322" i="19"/>
  <c r="C324" i="19" l="1"/>
  <c r="J323" i="19"/>
  <c r="J324" i="19" l="1"/>
  <c r="C325" i="19"/>
  <c r="C326" i="19" l="1"/>
  <c r="J325" i="19"/>
  <c r="C327" i="19" l="1"/>
  <c r="J326" i="19"/>
  <c r="G363" i="14" l="1"/>
  <c r="C328" i="19"/>
  <c r="J327" i="19"/>
  <c r="C329" i="19" l="1"/>
  <c r="J328" i="19"/>
  <c r="C330" i="19" l="1"/>
  <c r="J329" i="19"/>
  <c r="C331" i="19" l="1"/>
  <c r="J330" i="19"/>
  <c r="C332" i="19" l="1"/>
  <c r="J331" i="19"/>
  <c r="C333" i="19" l="1"/>
  <c r="J332" i="19"/>
  <c r="C334" i="19" l="1"/>
  <c r="J333" i="19"/>
  <c r="J334" i="19" l="1"/>
  <c r="C335" i="19"/>
  <c r="G371" i="14" l="1"/>
  <c r="J335" i="19"/>
  <c r="C336" i="19"/>
  <c r="C337" i="19" l="1"/>
  <c r="J336" i="19"/>
  <c r="C338" i="19" l="1"/>
  <c r="J337" i="19"/>
  <c r="C339" i="19" l="1"/>
  <c r="J338" i="19"/>
  <c r="C340" i="19" l="1"/>
  <c r="J339" i="19"/>
  <c r="G376" i="14" l="1"/>
  <c r="C341" i="19"/>
  <c r="J340" i="19"/>
  <c r="C342" i="19" l="1"/>
  <c r="J341" i="19"/>
  <c r="G378" i="14" l="1"/>
  <c r="C343" i="19"/>
  <c r="J342" i="19"/>
  <c r="G379" i="14" l="1"/>
  <c r="C344" i="19"/>
  <c r="J343" i="19"/>
  <c r="G380" i="14" l="1"/>
  <c r="J344" i="19"/>
  <c r="C345" i="19"/>
  <c r="G381" i="14" l="1"/>
  <c r="C346" i="19"/>
  <c r="J345" i="19"/>
  <c r="G382" i="14" l="1"/>
  <c r="C347" i="19"/>
  <c r="J346" i="19"/>
  <c r="G383" i="14" l="1"/>
  <c r="C348" i="19"/>
  <c r="J347" i="19"/>
  <c r="C349" i="19" l="1"/>
  <c r="J348" i="19"/>
  <c r="G385" i="14" l="1"/>
  <c r="C350" i="19"/>
  <c r="J349" i="19"/>
  <c r="C351" i="19" l="1"/>
  <c r="J350" i="19"/>
  <c r="C352" i="19" l="1"/>
  <c r="J351" i="19"/>
  <c r="C353" i="19" l="1"/>
  <c r="J352" i="19"/>
  <c r="C354" i="19" l="1"/>
  <c r="J353" i="19"/>
  <c r="J354" i="19" l="1"/>
  <c r="C355" i="19"/>
  <c r="C356" i="19" l="1"/>
  <c r="J355" i="19"/>
  <c r="C357" i="19" l="1"/>
  <c r="J356" i="19"/>
  <c r="C358" i="19" l="1"/>
  <c r="J357" i="19"/>
  <c r="C359" i="19" l="1"/>
  <c r="J358" i="19"/>
  <c r="C360" i="19" l="1"/>
  <c r="J359" i="19"/>
  <c r="J360" i="19" l="1"/>
  <c r="C361" i="19"/>
  <c r="C362" i="19" l="1"/>
  <c r="J361" i="19"/>
  <c r="C363" i="19" l="1"/>
  <c r="J362" i="19"/>
  <c r="G399" i="14" l="1"/>
  <c r="C364" i="19"/>
  <c r="J363" i="19"/>
  <c r="J364" i="19" l="1"/>
  <c r="C365" i="19"/>
  <c r="G401" i="14" l="1"/>
  <c r="C366" i="19"/>
  <c r="J365" i="19"/>
  <c r="C367" i="19" l="1"/>
  <c r="J366" i="19"/>
  <c r="C368" i="19" l="1"/>
  <c r="J367" i="19"/>
  <c r="C369" i="19" l="1"/>
  <c r="J368" i="19"/>
  <c r="G405" i="14" l="1"/>
  <c r="C370" i="19"/>
  <c r="J369" i="19"/>
  <c r="C371" i="19" l="1"/>
  <c r="J370" i="19"/>
  <c r="G407" i="14" l="1"/>
  <c r="C372" i="19"/>
  <c r="J371" i="19"/>
  <c r="G408" i="14" l="1"/>
  <c r="C373" i="19"/>
  <c r="J372" i="19"/>
  <c r="G409" i="14" l="1"/>
  <c r="C374" i="19"/>
  <c r="J373" i="19"/>
  <c r="G410" i="14" l="1"/>
  <c r="J374" i="19"/>
  <c r="C375" i="19"/>
  <c r="G411" i="14" l="1"/>
  <c r="J375" i="19"/>
  <c r="C376" i="19"/>
  <c r="G412" i="14" l="1"/>
  <c r="C377" i="19"/>
  <c r="J376" i="19"/>
  <c r="C378" i="19" l="1"/>
  <c r="J377" i="19"/>
  <c r="G414" i="14" l="1"/>
  <c r="C379" i="19"/>
  <c r="J378" i="19"/>
  <c r="C380" i="19" l="1"/>
  <c r="J379" i="19"/>
  <c r="C381" i="19" l="1"/>
  <c r="J380" i="19"/>
  <c r="C382" i="19" l="1"/>
  <c r="J381" i="19"/>
  <c r="C383" i="19" l="1"/>
  <c r="J382" i="19"/>
  <c r="C384" i="19" l="1"/>
  <c r="J383" i="19"/>
  <c r="J384" i="19" l="1"/>
  <c r="C385" i="19"/>
  <c r="G421" i="14" l="1"/>
  <c r="C386" i="19"/>
  <c r="J385" i="19"/>
  <c r="C387" i="19" l="1"/>
  <c r="J386" i="19"/>
  <c r="G423" i="14" l="1"/>
  <c r="C388" i="19"/>
  <c r="J387" i="19"/>
  <c r="C389" i="19" l="1"/>
  <c r="J388" i="19"/>
  <c r="C390" i="19" l="1"/>
  <c r="J389" i="19"/>
  <c r="C391" i="19" l="1"/>
  <c r="J390" i="19"/>
  <c r="G427" i="14" l="1"/>
  <c r="C392" i="19"/>
  <c r="J391" i="19"/>
  <c r="C393" i="19" l="1"/>
  <c r="J392" i="19"/>
  <c r="C394" i="19" l="1"/>
  <c r="J393" i="19"/>
  <c r="G430" i="14" l="1"/>
  <c r="J394" i="19"/>
  <c r="C395" i="19"/>
  <c r="C396" i="19" l="1"/>
  <c r="J395" i="19"/>
  <c r="C397" i="19" l="1"/>
  <c r="J396" i="19"/>
  <c r="C398" i="19" l="1"/>
  <c r="J397" i="19"/>
  <c r="C399" i="19" l="1"/>
  <c r="J398" i="19"/>
  <c r="G435" i="14" l="1"/>
  <c r="C400" i="19"/>
  <c r="J399" i="19"/>
  <c r="J400" i="19" l="1"/>
  <c r="C401" i="19"/>
  <c r="G437" i="14" l="1"/>
  <c r="C402" i="19"/>
  <c r="J401" i="19"/>
  <c r="C403" i="19" l="1"/>
  <c r="J402" i="19"/>
  <c r="G439" i="14" l="1"/>
  <c r="C404" i="19"/>
  <c r="J403" i="19"/>
  <c r="G440" i="14" l="1"/>
  <c r="J404" i="19"/>
  <c r="C405" i="19"/>
  <c r="G441" i="14" l="1"/>
  <c r="C406" i="19"/>
  <c r="J405" i="19"/>
  <c r="G442" i="14" l="1"/>
  <c r="C407" i="19"/>
  <c r="J406" i="19"/>
  <c r="G443" i="14" l="1"/>
  <c r="C408" i="19"/>
  <c r="J407" i="19"/>
  <c r="G444" i="14" l="1"/>
  <c r="C409" i="19"/>
  <c r="J408" i="19"/>
  <c r="C410" i="19" l="1"/>
  <c r="J409" i="19"/>
  <c r="G446" i="14" l="1"/>
  <c r="C411" i="19"/>
  <c r="J410" i="19"/>
  <c r="C412" i="19" l="1"/>
  <c r="J411" i="19"/>
  <c r="C413" i="19" l="1"/>
  <c r="J412" i="19"/>
  <c r="C414" i="19" l="1"/>
  <c r="J413" i="19"/>
  <c r="J414" i="19" l="1"/>
  <c r="C415" i="19"/>
  <c r="J415" i="19" l="1"/>
  <c r="C416" i="19"/>
  <c r="C417" i="19" l="1"/>
  <c r="J416" i="19"/>
  <c r="C418" i="19" l="1"/>
  <c r="J417" i="19"/>
  <c r="G454" i="14" l="1"/>
  <c r="C419" i="19"/>
  <c r="J418" i="19"/>
  <c r="C420" i="19" l="1"/>
  <c r="J419" i="19"/>
  <c r="C421" i="19" l="1"/>
  <c r="J420" i="19"/>
  <c r="C422" i="19" l="1"/>
  <c r="J421" i="19"/>
  <c r="G458" i="14" l="1"/>
  <c r="C423" i="19"/>
  <c r="J422" i="19"/>
  <c r="C424" i="19" l="1"/>
  <c r="J423" i="19"/>
  <c r="J424" i="19" l="1"/>
  <c r="C425" i="19"/>
  <c r="C426" i="19" l="1"/>
  <c r="J425" i="19"/>
  <c r="C427" i="19" l="1"/>
  <c r="J426" i="19"/>
  <c r="C428" i="19" l="1"/>
  <c r="J427" i="19"/>
  <c r="C429" i="19" l="1"/>
  <c r="J428" i="19"/>
  <c r="C430" i="19" l="1"/>
  <c r="J429" i="19"/>
  <c r="G466" i="14" l="1"/>
  <c r="C431" i="19"/>
  <c r="J430" i="19"/>
  <c r="C432" i="19" l="1"/>
  <c r="J431" i="19"/>
  <c r="G468" i="14" l="1"/>
  <c r="C433" i="19"/>
  <c r="J432" i="19"/>
  <c r="G469" i="14" l="1"/>
  <c r="C434" i="19"/>
  <c r="J433" i="19"/>
  <c r="G470" i="14" l="1"/>
  <c r="J434" i="19"/>
  <c r="C435" i="19"/>
  <c r="G471" i="14" l="1"/>
  <c r="C436" i="19"/>
  <c r="J435" i="19"/>
  <c r="G472" i="14" l="1"/>
  <c r="C437" i="19"/>
  <c r="J436" i="19"/>
  <c r="G473" i="14" l="1"/>
  <c r="C438" i="19"/>
  <c r="J437" i="19"/>
  <c r="C439" i="19" l="1"/>
  <c r="J438" i="19"/>
  <c r="G475" i="14" l="1"/>
  <c r="J439" i="19"/>
  <c r="C440" i="19"/>
  <c r="C441" i="19" l="1"/>
  <c r="J440" i="19"/>
  <c r="C442" i="19" l="1"/>
  <c r="J441" i="19"/>
  <c r="C443" i="19" l="1"/>
  <c r="J442" i="19"/>
  <c r="C444" i="19" l="1"/>
  <c r="J443" i="19"/>
  <c r="J444" i="19" l="1"/>
  <c r="C445" i="19"/>
  <c r="C446" i="19" l="1"/>
  <c r="J445" i="19"/>
  <c r="C447" i="19" l="1"/>
  <c r="J446" i="19"/>
  <c r="C448" i="19" l="1"/>
  <c r="J447" i="19"/>
  <c r="C449" i="19" l="1"/>
  <c r="J448" i="19"/>
  <c r="G485" i="14" l="1"/>
  <c r="J449" i="19"/>
  <c r="C450" i="19"/>
  <c r="C451" i="19" l="1"/>
  <c r="J450" i="19"/>
  <c r="C452" i="19" l="1"/>
  <c r="J451" i="19"/>
  <c r="C453" i="19" l="1"/>
  <c r="J452" i="19"/>
  <c r="G489" i="14" l="1"/>
  <c r="C454" i="19"/>
  <c r="J453" i="19"/>
  <c r="J454" i="19" l="1"/>
  <c r="C455" i="19"/>
  <c r="C456" i="19" l="1"/>
  <c r="J455" i="19"/>
  <c r="J456" i="19" l="1"/>
  <c r="C457" i="19"/>
  <c r="C458" i="19" l="1"/>
  <c r="J457" i="19"/>
  <c r="C459" i="19" l="1"/>
  <c r="J458" i="19"/>
  <c r="G495" i="14" l="1"/>
  <c r="J459" i="19"/>
  <c r="C460" i="19"/>
  <c r="C461" i="19" l="1"/>
  <c r="J460" i="19"/>
  <c r="G497" i="14" l="1"/>
  <c r="C462" i="19"/>
  <c r="J461" i="19"/>
  <c r="G498" i="14" l="1"/>
  <c r="C463" i="19"/>
  <c r="J462" i="19"/>
  <c r="G499" i="14" l="1"/>
  <c r="C464" i="19"/>
  <c r="J463" i="19"/>
  <c r="G500" i="14" l="1"/>
  <c r="J464" i="19"/>
  <c r="C465" i="19"/>
  <c r="G501" i="14" l="1"/>
  <c r="C466" i="19"/>
  <c r="J465" i="19"/>
  <c r="G502" i="14" l="1"/>
  <c r="C467" i="19"/>
  <c r="J466" i="19"/>
  <c r="G503" i="14" l="1"/>
  <c r="C468" i="19"/>
  <c r="J467" i="19"/>
  <c r="C469" i="19" l="1"/>
  <c r="J468" i="19"/>
  <c r="J469" i="19" l="1"/>
  <c r="C470" i="19"/>
  <c r="C471" i="19" l="1"/>
  <c r="J470" i="19"/>
  <c r="C472" i="19" l="1"/>
  <c r="J471" i="19"/>
  <c r="C473" i="19" l="1"/>
  <c r="J472" i="19"/>
  <c r="C474" i="19" l="1"/>
  <c r="J473" i="19"/>
  <c r="G510" i="14" l="1"/>
  <c r="J474" i="19"/>
  <c r="C475" i="19"/>
  <c r="C476" i="19" l="1"/>
  <c r="J475" i="19"/>
  <c r="C477" i="19" l="1"/>
  <c r="J476" i="19"/>
  <c r="C478" i="19" l="1"/>
  <c r="J477" i="19"/>
  <c r="C479" i="19" l="1"/>
  <c r="J478" i="19"/>
  <c r="J479" i="19" l="1"/>
  <c r="C480" i="19"/>
  <c r="C481" i="19" l="1"/>
  <c r="J480" i="19"/>
  <c r="C482" i="19" l="1"/>
  <c r="J481" i="19"/>
  <c r="C483" i="19" l="1"/>
  <c r="J482" i="19"/>
  <c r="G519" i="14" l="1"/>
  <c r="C484" i="19"/>
  <c r="J483" i="19"/>
  <c r="J484" i="19" l="1"/>
  <c r="C485" i="19"/>
  <c r="J485" i="19" l="1"/>
  <c r="C486" i="19"/>
  <c r="C487" i="19" l="1"/>
  <c r="J486" i="19"/>
  <c r="G523" i="14" l="1"/>
  <c r="C488" i="19"/>
  <c r="J487" i="19"/>
  <c r="C489" i="19" l="1"/>
  <c r="J488" i="19"/>
  <c r="G525" i="14" l="1"/>
  <c r="J489" i="19"/>
  <c r="C490" i="19"/>
  <c r="C491" i="19" l="1"/>
  <c r="J490" i="19"/>
  <c r="C492" i="19" l="1"/>
  <c r="J491" i="19"/>
  <c r="G528" i="14" l="1"/>
  <c r="C493" i="19"/>
  <c r="J492" i="19"/>
  <c r="G529" i="14" l="1"/>
  <c r="C494" i="19"/>
  <c r="J493" i="19"/>
  <c r="G530" i="14" l="1"/>
  <c r="J494" i="19"/>
  <c r="C495" i="19"/>
  <c r="G531" i="14" l="1"/>
  <c r="C496" i="19"/>
  <c r="J495" i="19"/>
  <c r="G532" i="14" l="1"/>
  <c r="C497" i="19"/>
  <c r="J496" i="19"/>
  <c r="G533" i="14" l="1"/>
  <c r="C498" i="19"/>
  <c r="J497" i="19"/>
  <c r="J498" i="19" l="1"/>
  <c r="C499" i="19"/>
  <c r="G535" i="14" l="1"/>
  <c r="J499" i="19"/>
  <c r="C500" i="19"/>
  <c r="G536" i="14" l="1"/>
  <c r="C501" i="19"/>
  <c r="J500" i="19"/>
  <c r="G537" i="14" l="1"/>
  <c r="C502" i="19"/>
  <c r="J501" i="19"/>
  <c r="C503" i="19" l="1"/>
  <c r="J502" i="19"/>
  <c r="C504" i="19" l="1"/>
  <c r="J503" i="19"/>
  <c r="G540" i="14" l="1"/>
  <c r="J504" i="19"/>
  <c r="C505" i="19"/>
  <c r="G542" i="14" l="1"/>
  <c r="C506" i="19"/>
  <c r="J505" i="19"/>
  <c r="G541" i="14" l="1"/>
  <c r="G543" i="14"/>
  <c r="C507" i="19"/>
  <c r="J506" i="19"/>
  <c r="G544" i="14" l="1"/>
  <c r="C508" i="19"/>
  <c r="J507" i="19"/>
  <c r="G545" i="14" l="1"/>
  <c r="C509" i="19"/>
  <c r="J508" i="19"/>
  <c r="G546" i="14" l="1"/>
  <c r="J509" i="19"/>
  <c r="C510" i="19"/>
  <c r="G547" i="14" l="1"/>
  <c r="C511" i="19"/>
  <c r="J510" i="19"/>
  <c r="C512" i="19" l="1"/>
  <c r="J511" i="19"/>
  <c r="G549" i="14" l="1"/>
  <c r="C513" i="19"/>
  <c r="J512" i="19"/>
  <c r="G550" i="14" l="1"/>
  <c r="C514" i="19"/>
  <c r="J513" i="19"/>
  <c r="G551" i="14" l="1"/>
  <c r="J514" i="19"/>
  <c r="C515" i="19"/>
  <c r="G552" i="14" l="1"/>
  <c r="C516" i="19"/>
  <c r="J515" i="19"/>
  <c r="G553" i="14" l="1"/>
  <c r="C517" i="19"/>
  <c r="J516" i="19"/>
  <c r="G554" i="14" l="1"/>
  <c r="C518" i="19"/>
  <c r="J517" i="19"/>
  <c r="G556" i="14" l="1"/>
  <c r="C519" i="19"/>
  <c r="J518" i="19"/>
  <c r="G557" i="14" l="1"/>
  <c r="J519" i="19"/>
  <c r="C520" i="19"/>
  <c r="G558" i="14" l="1"/>
  <c r="C521" i="19"/>
  <c r="J520" i="19"/>
  <c r="G559" i="14" l="1"/>
  <c r="C522" i="19"/>
  <c r="J521" i="19"/>
  <c r="G560" i="14" l="1"/>
  <c r="G562" i="14"/>
  <c r="C523" i="19"/>
  <c r="J522" i="19"/>
  <c r="I560" i="14" l="1"/>
  <c r="G564" i="14"/>
  <c r="H560" i="14"/>
  <c r="G561" i="14"/>
  <c r="G565" i="14"/>
  <c r="C524" i="19"/>
  <c r="J523" i="19"/>
  <c r="N500" i="21" l="1"/>
  <c r="H561" i="14"/>
  <c r="I565" i="14"/>
  <c r="G563" i="14"/>
  <c r="G567" i="14"/>
  <c r="H565" i="14"/>
  <c r="I561" i="14"/>
  <c r="J524" i="19"/>
  <c r="C525" i="19"/>
  <c r="R500" i="21" l="1"/>
  <c r="S500" i="21"/>
  <c r="Q500" i="21"/>
  <c r="M500" i="21" s="1"/>
  <c r="Z500" i="21" s="1"/>
  <c r="X500" i="21" s="1"/>
  <c r="N501" i="21"/>
  <c r="N505" i="21"/>
  <c r="G568" i="14"/>
  <c r="C526" i="19"/>
  <c r="J525" i="19"/>
  <c r="T500" i="21" l="1"/>
  <c r="P500" i="21" s="1"/>
  <c r="O500" i="21"/>
  <c r="R501" i="21"/>
  <c r="S501" i="21"/>
  <c r="Q501" i="21"/>
  <c r="M501" i="21" s="1"/>
  <c r="Q505" i="21"/>
  <c r="M505" i="21" s="1"/>
  <c r="Z505" i="21" s="1"/>
  <c r="X505" i="21" s="1"/>
  <c r="S505" i="21"/>
  <c r="R505" i="21"/>
  <c r="G569" i="14"/>
  <c r="C527" i="19"/>
  <c r="J526" i="19"/>
  <c r="Z501" i="21" l="1"/>
  <c r="X501" i="21" s="1"/>
  <c r="Z503" i="21"/>
  <c r="Z504" i="21"/>
  <c r="Z502" i="21"/>
  <c r="T505" i="21"/>
  <c r="P505" i="21" s="1"/>
  <c r="O505" i="21"/>
  <c r="T501" i="21"/>
  <c r="P501" i="21" s="1"/>
  <c r="O501" i="21"/>
  <c r="G570" i="14"/>
  <c r="C528" i="19"/>
  <c r="J527" i="19"/>
  <c r="X504" i="21" l="1"/>
  <c r="X502" i="21"/>
  <c r="X503" i="21"/>
  <c r="G572" i="14"/>
  <c r="G571" i="14"/>
  <c r="C529" i="19"/>
  <c r="J528" i="19"/>
  <c r="I571" i="14" l="1"/>
  <c r="H571" i="14"/>
  <c r="G574" i="14"/>
  <c r="J529" i="19"/>
  <c r="C530" i="19"/>
  <c r="N510" i="21" l="1"/>
  <c r="G573" i="14"/>
  <c r="G576" i="14"/>
  <c r="C531" i="19"/>
  <c r="J530" i="19"/>
  <c r="R510" i="21" l="1"/>
  <c r="S510" i="21"/>
  <c r="Q510" i="21"/>
  <c r="M510" i="21" s="1"/>
  <c r="G575" i="14"/>
  <c r="C532" i="19"/>
  <c r="J531" i="19"/>
  <c r="Z510" i="21" l="1"/>
  <c r="X510" i="21" s="1"/>
  <c r="Z512" i="21"/>
  <c r="Z513" i="21"/>
  <c r="Z511" i="21"/>
  <c r="T510" i="21"/>
  <c r="P510" i="21" s="1"/>
  <c r="O510" i="21"/>
  <c r="C533" i="19"/>
  <c r="J532" i="19"/>
  <c r="X512" i="21" l="1"/>
  <c r="X513" i="21"/>
  <c r="X511" i="21"/>
  <c r="C534" i="19"/>
  <c r="J533" i="19"/>
  <c r="J534" i="19" l="1"/>
  <c r="C535" i="19"/>
  <c r="C536" i="19" l="1"/>
  <c r="J535" i="19"/>
  <c r="C537" i="19" l="1"/>
  <c r="J536" i="19"/>
  <c r="C538" i="19" l="1"/>
  <c r="J537" i="19"/>
  <c r="C539" i="19" l="1"/>
  <c r="J538" i="19"/>
  <c r="J539" i="19" l="1"/>
  <c r="C540" i="19"/>
  <c r="C541" i="19" l="1"/>
  <c r="J540" i="19"/>
  <c r="C542" i="19" l="1"/>
  <c r="J541" i="19"/>
  <c r="C543" i="19" l="1"/>
  <c r="J542" i="19"/>
  <c r="C544" i="19" l="1"/>
  <c r="J543" i="19"/>
  <c r="J544" i="19" l="1"/>
  <c r="C545" i="19"/>
  <c r="C546" i="19" l="1"/>
  <c r="J545" i="19"/>
  <c r="J546" i="19" l="1"/>
  <c r="C547" i="19"/>
  <c r="C548" i="19" l="1"/>
  <c r="J547" i="19"/>
  <c r="C549" i="19" l="1"/>
  <c r="J548" i="19"/>
  <c r="C550" i="19" l="1"/>
  <c r="J549" i="19"/>
  <c r="C551" i="19" l="1"/>
  <c r="J550" i="19"/>
  <c r="C552" i="19" l="1"/>
  <c r="J551" i="19"/>
  <c r="C553" i="19" l="1"/>
  <c r="J552" i="19"/>
  <c r="J553" i="19" l="1"/>
  <c r="C554" i="19"/>
  <c r="C555" i="19" l="1"/>
  <c r="J554" i="19"/>
  <c r="C556" i="19" l="1"/>
  <c r="J555" i="19"/>
  <c r="J556" i="19" l="1"/>
  <c r="C557" i="19"/>
  <c r="C558" i="19" l="1"/>
  <c r="J557" i="19"/>
  <c r="J558" i="19" l="1"/>
  <c r="C559" i="19"/>
  <c r="C560" i="19" l="1"/>
  <c r="J559" i="19"/>
  <c r="C561" i="19" l="1"/>
  <c r="J560" i="19"/>
  <c r="C562" i="19" l="1"/>
  <c r="J561" i="19"/>
  <c r="J562" i="19" l="1"/>
  <c r="C563" i="19"/>
  <c r="C564" i="19" l="1"/>
  <c r="J563" i="19"/>
  <c r="C565" i="19" l="1"/>
  <c r="J564" i="19"/>
  <c r="C566" i="19" l="1"/>
  <c r="J565" i="19"/>
  <c r="C567" i="19" l="1"/>
  <c r="J566" i="19"/>
  <c r="J567" i="19" l="1"/>
  <c r="C568" i="19"/>
  <c r="J568" i="19" l="1"/>
  <c r="C569" i="19"/>
  <c r="C570" i="19" l="1"/>
  <c r="J569" i="19"/>
  <c r="C571" i="19" l="1"/>
  <c r="J570" i="19"/>
  <c r="C572" i="19" l="1"/>
  <c r="J571" i="19"/>
  <c r="C573" i="19" l="1"/>
  <c r="J572" i="19"/>
  <c r="C574" i="19" l="1"/>
  <c r="J573" i="19"/>
  <c r="C575" i="19" l="1"/>
  <c r="J574" i="19"/>
  <c r="C576" i="19" l="1"/>
  <c r="J575" i="19"/>
  <c r="J576" i="19" l="1"/>
  <c r="C577" i="19"/>
  <c r="C578" i="19" l="1"/>
  <c r="J577" i="19"/>
  <c r="J578" i="19" l="1"/>
  <c r="C579" i="19"/>
  <c r="C580" i="19" l="1"/>
  <c r="J579" i="19"/>
  <c r="C581" i="19" l="1"/>
  <c r="J580" i="19"/>
  <c r="C582" i="19" l="1"/>
  <c r="J581" i="19"/>
  <c r="J582" i="19" l="1"/>
  <c r="C583" i="19"/>
  <c r="C584" i="19" l="1"/>
  <c r="J583" i="19"/>
  <c r="C585" i="19" l="1"/>
  <c r="J584" i="19"/>
  <c r="C586" i="19" l="1"/>
  <c r="J585" i="19"/>
  <c r="C587" i="19" l="1"/>
  <c r="J586" i="19"/>
  <c r="C588" i="19" l="1"/>
  <c r="J587" i="19"/>
  <c r="J588" i="19" l="1"/>
  <c r="C589" i="19"/>
  <c r="C590" i="19" l="1"/>
  <c r="J589" i="19"/>
  <c r="C591" i="19" l="1"/>
  <c r="J590" i="19"/>
  <c r="C592" i="19" l="1"/>
  <c r="J591" i="19"/>
  <c r="C593" i="19" l="1"/>
  <c r="J592" i="19"/>
  <c r="J593" i="19" l="1"/>
  <c r="C594" i="19"/>
  <c r="C595" i="19" l="1"/>
  <c r="J594" i="19"/>
  <c r="C596" i="19" l="1"/>
  <c r="J595" i="19"/>
  <c r="J596" i="19" l="1"/>
  <c r="C597" i="19"/>
  <c r="C598" i="19" l="1"/>
  <c r="J597" i="19"/>
  <c r="J598" i="19" l="1"/>
  <c r="C599" i="19"/>
  <c r="C600" i="19" l="1"/>
  <c r="J599" i="19"/>
  <c r="C601" i="19" l="1"/>
  <c r="J600" i="19"/>
  <c r="C602" i="19" l="1"/>
  <c r="J601" i="19"/>
  <c r="J602" i="19" l="1"/>
  <c r="C603" i="19"/>
  <c r="C604" i="19" l="1"/>
  <c r="J603" i="19"/>
  <c r="C605" i="19" l="1"/>
  <c r="J604" i="19"/>
  <c r="C606" i="19" l="1"/>
  <c r="J605" i="19"/>
  <c r="C607" i="19" l="1"/>
  <c r="J606" i="19"/>
  <c r="J607" i="19" l="1"/>
  <c r="C608" i="19"/>
  <c r="J608" i="19" l="1"/>
  <c r="C609" i="19"/>
  <c r="C610" i="19" l="1"/>
  <c r="J609" i="19"/>
  <c r="C611" i="19" l="1"/>
  <c r="J610" i="19"/>
  <c r="C612" i="19" l="1"/>
  <c r="J611" i="19"/>
  <c r="C613" i="19" l="1"/>
  <c r="J612" i="19"/>
  <c r="C614" i="19" l="1"/>
  <c r="J613" i="19"/>
  <c r="C615" i="19" l="1"/>
  <c r="J614" i="19"/>
  <c r="C616" i="19" l="1"/>
  <c r="J615" i="19"/>
  <c r="J616" i="19" l="1"/>
  <c r="C617" i="19"/>
  <c r="C618" i="19" l="1"/>
  <c r="J617" i="19"/>
  <c r="J618" i="19" l="1"/>
  <c r="C619" i="19"/>
  <c r="C620" i="19" l="1"/>
  <c r="J619" i="19"/>
  <c r="C621" i="19" l="1"/>
  <c r="J620" i="19"/>
  <c r="C622" i="19" l="1"/>
  <c r="J621" i="19"/>
  <c r="J622" i="19" l="1"/>
  <c r="C623" i="19"/>
  <c r="C624" i="19" l="1"/>
  <c r="J623" i="19"/>
  <c r="C625" i="19" l="1"/>
  <c r="J624" i="19"/>
  <c r="C626" i="19" l="1"/>
  <c r="J625" i="19"/>
  <c r="C627" i="19" l="1"/>
  <c r="J626" i="19"/>
  <c r="C628" i="19" l="1"/>
  <c r="J627" i="19"/>
  <c r="J628" i="19" l="1"/>
  <c r="C629" i="19"/>
  <c r="C630" i="19" l="1"/>
  <c r="J629" i="19"/>
  <c r="C631" i="19" l="1"/>
  <c r="J630" i="19"/>
  <c r="C632" i="19" l="1"/>
  <c r="J632" i="19" s="1"/>
  <c r="J631" i="19"/>
  <c r="I622" i="14" l="1"/>
  <c r="N556" i="21" l="1"/>
  <c r="I632" i="14"/>
  <c r="R556" i="21" l="1"/>
  <c r="S556" i="21"/>
  <c r="Q556" i="21"/>
  <c r="M556" i="21" s="1"/>
  <c r="I638" i="14"/>
  <c r="Z556" i="21" l="1"/>
  <c r="X556" i="21" s="1"/>
  <c r="Z559" i="21"/>
  <c r="Z557" i="21"/>
  <c r="Z558" i="21"/>
  <c r="T556" i="21"/>
  <c r="P556" i="21" s="1"/>
  <c r="O556" i="21"/>
  <c r="N566" i="21"/>
  <c r="I640" i="14"/>
  <c r="X559" i="21" l="1"/>
  <c r="X557" i="21"/>
  <c r="X558" i="21"/>
  <c r="R566" i="21"/>
  <c r="Q566" i="21"/>
  <c r="M566" i="21" s="1"/>
  <c r="S566" i="21"/>
  <c r="N570" i="21"/>
  <c r="I652" i="14"/>
  <c r="Z566" i="21" l="1"/>
  <c r="X566" i="21" s="1"/>
  <c r="Z569" i="21"/>
  <c r="Z567" i="21"/>
  <c r="Z568" i="21"/>
  <c r="T566" i="21"/>
  <c r="P566" i="21" s="1"/>
  <c r="O566" i="21"/>
  <c r="R570" i="21"/>
  <c r="S570" i="21"/>
  <c r="Q570" i="21"/>
  <c r="M570" i="21" s="1"/>
  <c r="Z570" i="21" s="1"/>
  <c r="X570" i="21" s="1"/>
  <c r="N571" i="21"/>
  <c r="I654" i="14"/>
  <c r="X567" i="21" l="1"/>
  <c r="X568" i="21"/>
  <c r="X569" i="21"/>
  <c r="T570" i="21"/>
  <c r="P570" i="21" s="1"/>
  <c r="O570" i="21"/>
  <c r="R571" i="21"/>
  <c r="S571" i="21"/>
  <c r="Q571" i="21"/>
  <c r="M571" i="21" s="1"/>
  <c r="N581" i="21"/>
  <c r="I655" i="14"/>
  <c r="Z571" i="21" l="1"/>
  <c r="X571" i="21" s="1"/>
  <c r="Z572" i="21"/>
  <c r="Z574" i="21"/>
  <c r="Z573" i="21"/>
  <c r="T571" i="21"/>
  <c r="P571" i="21" s="1"/>
  <c r="O571" i="21"/>
  <c r="R581" i="21"/>
  <c r="S581" i="21"/>
  <c r="Q581" i="21"/>
  <c r="M581" i="21" s="1"/>
  <c r="Z581" i="21" s="1"/>
  <c r="X581" i="21" s="1"/>
  <c r="N582" i="21"/>
  <c r="I659" i="14"/>
  <c r="I658" i="14"/>
  <c r="I660" i="14"/>
  <c r="X574" i="21" l="1"/>
  <c r="X572" i="21"/>
  <c r="X573" i="21"/>
  <c r="T581" i="21"/>
  <c r="P581" i="21" s="1"/>
  <c r="O581" i="21"/>
  <c r="R582" i="21"/>
  <c r="Q582" i="21"/>
  <c r="M582" i="21" s="1"/>
  <c r="Z582" i="21" s="1"/>
  <c r="X582" i="21" s="1"/>
  <c r="S582" i="21"/>
  <c r="N585" i="21"/>
  <c r="N583" i="21"/>
  <c r="N586" i="21"/>
  <c r="I657" i="14"/>
  <c r="I661" i="14"/>
  <c r="I663" i="14"/>
  <c r="T582" i="21" l="1"/>
  <c r="P582" i="21" s="1"/>
  <c r="O582" i="21"/>
  <c r="R583" i="21"/>
  <c r="S583" i="21"/>
  <c r="Q583" i="21"/>
  <c r="M583" i="21" s="1"/>
  <c r="Z583" i="21" s="1"/>
  <c r="X583" i="21" s="1"/>
  <c r="R586" i="21"/>
  <c r="S586" i="21"/>
  <c r="Q586" i="21"/>
  <c r="M586" i="21" s="1"/>
  <c r="R585" i="21"/>
  <c r="S585" i="21"/>
  <c r="Q585" i="21"/>
  <c r="M585" i="21" s="1"/>
  <c r="N587" i="21"/>
  <c r="I662" i="14"/>
  <c r="I665" i="14"/>
  <c r="I664" i="14"/>
  <c r="Z586" i="21" l="1"/>
  <c r="Z585" i="21"/>
  <c r="T586" i="21"/>
  <c r="P586" i="21" s="1"/>
  <c r="O586" i="21"/>
  <c r="T585" i="21"/>
  <c r="P585" i="21" s="1"/>
  <c r="O585" i="21"/>
  <c r="T583" i="21"/>
  <c r="P583" i="21" s="1"/>
  <c r="O583" i="21"/>
  <c r="R587" i="21"/>
  <c r="S587" i="21"/>
  <c r="Q587" i="21"/>
  <c r="M587" i="21" s="1"/>
  <c r="N588" i="21"/>
  <c r="N584" i="21"/>
  <c r="N590" i="21"/>
  <c r="I668" i="14"/>
  <c r="Z587" i="21" l="1"/>
  <c r="Z588" i="21"/>
  <c r="Z584" i="21"/>
  <c r="T587" i="21"/>
  <c r="P587" i="21" s="1"/>
  <c r="O587" i="21"/>
  <c r="R590" i="21"/>
  <c r="S590" i="21"/>
  <c r="Q590" i="21"/>
  <c r="M590" i="21" s="1"/>
  <c r="R584" i="21"/>
  <c r="S584" i="21"/>
  <c r="Q584" i="21"/>
  <c r="M584" i="21" s="1"/>
  <c r="X584" i="21" s="1"/>
  <c r="R588" i="21"/>
  <c r="S588" i="21"/>
  <c r="Q588" i="21"/>
  <c r="M588" i="21" s="1"/>
  <c r="N592" i="21"/>
  <c r="N591" i="21"/>
  <c r="N589" i="21"/>
  <c r="I672" i="14"/>
  <c r="I671" i="14"/>
  <c r="I670" i="14"/>
  <c r="Z591" i="21" l="1"/>
  <c r="Z589" i="21"/>
  <c r="Z590" i="21"/>
  <c r="W585" i="21"/>
  <c r="W586" i="21"/>
  <c r="W588" i="21"/>
  <c r="W587" i="21"/>
  <c r="W584" i="21"/>
  <c r="T588" i="21"/>
  <c r="P588" i="21" s="1"/>
  <c r="O588" i="21"/>
  <c r="T584" i="21"/>
  <c r="P584" i="21" s="1"/>
  <c r="O584" i="21"/>
  <c r="T590" i="21"/>
  <c r="P590" i="21" s="1"/>
  <c r="O590" i="21"/>
  <c r="R589" i="21"/>
  <c r="S589" i="21"/>
  <c r="Q589" i="21"/>
  <c r="M589" i="21" s="1"/>
  <c r="X589" i="21" s="1"/>
  <c r="R592" i="21"/>
  <c r="S592" i="21"/>
  <c r="Q592" i="21"/>
  <c r="M592" i="21" s="1"/>
  <c r="R591" i="21"/>
  <c r="Q591" i="21"/>
  <c r="M591" i="21" s="1"/>
  <c r="S591" i="21"/>
  <c r="N595" i="21"/>
  <c r="N593" i="21"/>
  <c r="N596" i="21"/>
  <c r="I675" i="14"/>
  <c r="I673" i="14"/>
  <c r="I669" i="14"/>
  <c r="Z592" i="21" l="1"/>
  <c r="X592" i="21"/>
  <c r="W591" i="21"/>
  <c r="W590" i="21"/>
  <c r="W589" i="21"/>
  <c r="U586" i="21"/>
  <c r="U585" i="21"/>
  <c r="U588" i="21"/>
  <c r="U587" i="21"/>
  <c r="U584" i="21"/>
  <c r="T589" i="21"/>
  <c r="P589" i="21" s="1"/>
  <c r="O589" i="21"/>
  <c r="T592" i="21"/>
  <c r="P592" i="21" s="1"/>
  <c r="O592" i="21"/>
  <c r="T591" i="21"/>
  <c r="P591" i="21" s="1"/>
  <c r="O591" i="21"/>
  <c r="R595" i="21"/>
  <c r="S595" i="21"/>
  <c r="Q595" i="21"/>
  <c r="M595" i="21" s="1"/>
  <c r="R593" i="21"/>
  <c r="S593" i="21"/>
  <c r="Q593" i="21"/>
  <c r="M593" i="21" s="1"/>
  <c r="Z593" i="21" s="1"/>
  <c r="X593" i="21" s="1"/>
  <c r="R596" i="21"/>
  <c r="S596" i="21"/>
  <c r="Q596" i="21"/>
  <c r="M596" i="21" s="1"/>
  <c r="N597" i="21"/>
  <c r="I676" i="14"/>
  <c r="I674" i="14"/>
  <c r="I678" i="14"/>
  <c r="Z596" i="21" l="1"/>
  <c r="Z595" i="21"/>
  <c r="U591" i="21"/>
  <c r="U590" i="21"/>
  <c r="U589" i="21"/>
  <c r="T596" i="21"/>
  <c r="P596" i="21" s="1"/>
  <c r="O596" i="21"/>
  <c r="T593" i="21"/>
  <c r="P593" i="21" s="1"/>
  <c r="O593" i="21"/>
  <c r="T595" i="21"/>
  <c r="P595" i="21" s="1"/>
  <c r="O595" i="21"/>
  <c r="R597" i="21"/>
  <c r="S597" i="21"/>
  <c r="Q597" i="21"/>
  <c r="M597" i="21" s="1"/>
  <c r="N600" i="21"/>
  <c r="N598" i="21"/>
  <c r="N594" i="21"/>
  <c r="I679" i="14"/>
  <c r="Z597" i="21" l="1"/>
  <c r="Z598" i="21"/>
  <c r="Z594" i="21"/>
  <c r="T597" i="21"/>
  <c r="P597" i="21" s="1"/>
  <c r="O597" i="21"/>
  <c r="I684" i="14"/>
  <c r="I687" i="14" s="1"/>
  <c r="N603" i="21"/>
  <c r="R594" i="21"/>
  <c r="Q594" i="21"/>
  <c r="M594" i="21" s="1"/>
  <c r="X594" i="21" s="1"/>
  <c r="S594" i="21"/>
  <c r="R600" i="21"/>
  <c r="Q600" i="21"/>
  <c r="M600" i="21" s="1"/>
  <c r="S600" i="21"/>
  <c r="R598" i="21"/>
  <c r="Q598" i="21"/>
  <c r="M598" i="21" s="1"/>
  <c r="S598" i="21"/>
  <c r="N601" i="21"/>
  <c r="N599" i="21"/>
  <c r="N602" i="21"/>
  <c r="I688" i="14" l="1"/>
  <c r="N611" i="21" s="1"/>
  <c r="I689" i="14"/>
  <c r="Z599" i="21"/>
  <c r="Z600" i="21"/>
  <c r="Z601" i="21"/>
  <c r="W596" i="21"/>
  <c r="W595" i="21"/>
  <c r="W598" i="21"/>
  <c r="W597" i="21"/>
  <c r="W594" i="21"/>
  <c r="T600" i="21"/>
  <c r="P600" i="21" s="1"/>
  <c r="O600" i="21"/>
  <c r="T598" i="21"/>
  <c r="P598" i="21" s="1"/>
  <c r="O598" i="21"/>
  <c r="T594" i="21"/>
  <c r="P594" i="21" s="1"/>
  <c r="O594" i="21"/>
  <c r="R603" i="21"/>
  <c r="Q603" i="21"/>
  <c r="M603" i="21" s="1"/>
  <c r="S603" i="21"/>
  <c r="R601" i="21"/>
  <c r="Q601" i="21"/>
  <c r="M601" i="21" s="1"/>
  <c r="S601" i="21"/>
  <c r="R599" i="21"/>
  <c r="Q599" i="21"/>
  <c r="M599" i="21" s="1"/>
  <c r="X599" i="21" s="1"/>
  <c r="S599" i="21"/>
  <c r="R602" i="21"/>
  <c r="Q602" i="21"/>
  <c r="M602" i="21" s="1"/>
  <c r="S602" i="21"/>
  <c r="N610" i="21"/>
  <c r="N608" i="21"/>
  <c r="I690" i="14"/>
  <c r="I692" i="14"/>
  <c r="I686" i="14"/>
  <c r="Z602" i="21" l="1"/>
  <c r="X602" i="21"/>
  <c r="Z603" i="21"/>
  <c r="X603" i="21" s="1"/>
  <c r="Z605" i="21"/>
  <c r="Z604" i="21"/>
  <c r="W601" i="21"/>
  <c r="W600" i="21"/>
  <c r="W599" i="21"/>
  <c r="U598" i="21"/>
  <c r="U597" i="21"/>
  <c r="U594" i="21"/>
  <c r="U596" i="21"/>
  <c r="U595" i="21"/>
  <c r="T602" i="21"/>
  <c r="P602" i="21" s="1"/>
  <c r="O602" i="21"/>
  <c r="T599" i="21"/>
  <c r="P599" i="21" s="1"/>
  <c r="O599" i="21"/>
  <c r="T601" i="21"/>
  <c r="P601" i="21" s="1"/>
  <c r="O601" i="21"/>
  <c r="T603" i="21"/>
  <c r="P603" i="21" s="1"/>
  <c r="O603" i="21"/>
  <c r="R611" i="21"/>
  <c r="S611" i="21"/>
  <c r="Q611" i="21"/>
  <c r="M611" i="21" s="1"/>
  <c r="R608" i="21"/>
  <c r="S608" i="21"/>
  <c r="Q608" i="21"/>
  <c r="M608" i="21" s="1"/>
  <c r="Z608" i="21" s="1"/>
  <c r="X608" i="21" s="1"/>
  <c r="R610" i="21"/>
  <c r="S610" i="21"/>
  <c r="Q610" i="21"/>
  <c r="M610" i="21" s="1"/>
  <c r="N612" i="21"/>
  <c r="I695" i="14"/>
  <c r="I691" i="14"/>
  <c r="I693" i="14"/>
  <c r="X604" i="21" l="1"/>
  <c r="X605" i="21"/>
  <c r="Z611" i="21"/>
  <c r="Z610" i="21"/>
  <c r="U601" i="21"/>
  <c r="U600" i="21"/>
  <c r="U599" i="21"/>
  <c r="T610" i="21"/>
  <c r="P610" i="21" s="1"/>
  <c r="O610" i="21"/>
  <c r="T611" i="21"/>
  <c r="P611" i="21" s="1"/>
  <c r="O611" i="21"/>
  <c r="T608" i="21"/>
  <c r="P608" i="21" s="1"/>
  <c r="O608" i="21"/>
  <c r="R612" i="21"/>
  <c r="S612" i="21"/>
  <c r="Q612" i="21"/>
  <c r="M612" i="21" s="1"/>
  <c r="N609" i="21"/>
  <c r="N615" i="21"/>
  <c r="N613" i="21"/>
  <c r="I696" i="14"/>
  <c r="Z613" i="21" l="1"/>
  <c r="Z609" i="21"/>
  <c r="Z612" i="21"/>
  <c r="T612" i="21"/>
  <c r="P612" i="21" s="1"/>
  <c r="O612" i="21"/>
  <c r="R609" i="21"/>
  <c r="S609" i="21"/>
  <c r="Q609" i="21"/>
  <c r="M609" i="21" s="1"/>
  <c r="X609" i="21" s="1"/>
  <c r="R613" i="21"/>
  <c r="Q613" i="21"/>
  <c r="M613" i="21" s="1"/>
  <c r="S613" i="21"/>
  <c r="R615" i="21"/>
  <c r="Q615" i="21"/>
  <c r="M615" i="21" s="1"/>
  <c r="S615" i="21"/>
  <c r="N617" i="21"/>
  <c r="N616" i="21"/>
  <c r="N614" i="21"/>
  <c r="I701" i="14"/>
  <c r="I699" i="14"/>
  <c r="I700" i="14"/>
  <c r="Z616" i="21" l="1"/>
  <c r="Z614" i="21"/>
  <c r="Z615" i="21"/>
  <c r="W611" i="21"/>
  <c r="W610" i="21"/>
  <c r="W613" i="21"/>
  <c r="W612" i="21"/>
  <c r="W609" i="21"/>
  <c r="T613" i="21"/>
  <c r="P613" i="21" s="1"/>
  <c r="O613" i="21"/>
  <c r="T615" i="21"/>
  <c r="P615" i="21" s="1"/>
  <c r="O615" i="21"/>
  <c r="T609" i="21"/>
  <c r="P609" i="21" s="1"/>
  <c r="O609" i="21"/>
  <c r="R614" i="21"/>
  <c r="Q614" i="21"/>
  <c r="M614" i="21" s="1"/>
  <c r="X614" i="21" s="1"/>
  <c r="S614" i="21"/>
  <c r="R616" i="21"/>
  <c r="Q616" i="21"/>
  <c r="M616" i="21" s="1"/>
  <c r="S616" i="21"/>
  <c r="R617" i="21"/>
  <c r="Q617" i="21"/>
  <c r="M617" i="21" s="1"/>
  <c r="S617" i="21"/>
  <c r="N621" i="21"/>
  <c r="N620" i="21"/>
  <c r="N618" i="21"/>
  <c r="I704" i="14"/>
  <c r="I702" i="14"/>
  <c r="I698" i="14"/>
  <c r="Z617" i="21" l="1"/>
  <c r="X617" i="21"/>
  <c r="W616" i="21"/>
  <c r="W615" i="21"/>
  <c r="W614" i="21"/>
  <c r="U613" i="21"/>
  <c r="U612" i="21"/>
  <c r="U609" i="21"/>
  <c r="U611" i="21"/>
  <c r="U610" i="21"/>
  <c r="T617" i="21"/>
  <c r="P617" i="21" s="1"/>
  <c r="O617" i="21"/>
  <c r="T614" i="21"/>
  <c r="P614" i="21" s="1"/>
  <c r="O614" i="21"/>
  <c r="T616" i="21"/>
  <c r="P616" i="21" s="1"/>
  <c r="O616" i="21"/>
  <c r="R620" i="21"/>
  <c r="Q620" i="21"/>
  <c r="M620" i="21" s="1"/>
  <c r="S620" i="21"/>
  <c r="R618" i="21"/>
  <c r="Q618" i="21"/>
  <c r="M618" i="21" s="1"/>
  <c r="Z618" i="21" s="1"/>
  <c r="X618" i="21" s="1"/>
  <c r="S618" i="21"/>
  <c r="R621" i="21"/>
  <c r="Q621" i="21"/>
  <c r="M621" i="21" s="1"/>
  <c r="S621" i="21"/>
  <c r="N622" i="21"/>
  <c r="I703" i="14"/>
  <c r="I707" i="14"/>
  <c r="I705" i="14"/>
  <c r="Z621" i="21" l="1"/>
  <c r="Z620" i="21"/>
  <c r="U616" i="21"/>
  <c r="U615" i="21"/>
  <c r="U614" i="21"/>
  <c r="T621" i="21"/>
  <c r="P621" i="21" s="1"/>
  <c r="O621" i="21"/>
  <c r="T618" i="21"/>
  <c r="P618" i="21" s="1"/>
  <c r="O618" i="21"/>
  <c r="T620" i="21"/>
  <c r="P620" i="21" s="1"/>
  <c r="O620" i="21"/>
  <c r="R622" i="21"/>
  <c r="Q622" i="21"/>
  <c r="M622" i="21" s="1"/>
  <c r="S622" i="21"/>
  <c r="N619" i="21"/>
  <c r="N623" i="21"/>
  <c r="N625" i="21"/>
  <c r="I712" i="14"/>
  <c r="Z623" i="21" l="1"/>
  <c r="Z619" i="21"/>
  <c r="Z622" i="21"/>
  <c r="T622" i="21"/>
  <c r="P622" i="21" s="1"/>
  <c r="O622" i="21"/>
  <c r="R625" i="21"/>
  <c r="S625" i="21"/>
  <c r="Q625" i="21"/>
  <c r="M625" i="21" s="1"/>
  <c r="R623" i="21"/>
  <c r="Q623" i="21"/>
  <c r="M623" i="21" s="1"/>
  <c r="S623" i="21"/>
  <c r="R619" i="21"/>
  <c r="Q619" i="21"/>
  <c r="M619" i="21" s="1"/>
  <c r="X619" i="21" s="1"/>
  <c r="S619" i="21"/>
  <c r="N624" i="21"/>
  <c r="N626" i="21"/>
  <c r="N627" i="21"/>
  <c r="I716" i="14"/>
  <c r="I717" i="14"/>
  <c r="I715" i="14"/>
  <c r="Z626" i="21" l="1"/>
  <c r="Z624" i="21"/>
  <c r="Z625" i="21"/>
  <c r="W621" i="21"/>
  <c r="W620" i="21"/>
  <c r="W623" i="21"/>
  <c r="W622" i="21"/>
  <c r="W619" i="21"/>
  <c r="T619" i="21"/>
  <c r="P619" i="21" s="1"/>
  <c r="O619" i="21"/>
  <c r="T623" i="21"/>
  <c r="P623" i="21" s="1"/>
  <c r="O623" i="21"/>
  <c r="T625" i="21"/>
  <c r="P625" i="21" s="1"/>
  <c r="O625" i="21"/>
  <c r="R626" i="21"/>
  <c r="S626" i="21"/>
  <c r="Q626" i="21"/>
  <c r="M626" i="21" s="1"/>
  <c r="R624" i="21"/>
  <c r="S624" i="21"/>
  <c r="Q624" i="21"/>
  <c r="M624" i="21" s="1"/>
  <c r="X624" i="21" s="1"/>
  <c r="R627" i="21"/>
  <c r="S627" i="21"/>
  <c r="Q627" i="21"/>
  <c r="M627" i="21" s="1"/>
  <c r="N635" i="21"/>
  <c r="N634" i="21"/>
  <c r="N632" i="21"/>
  <c r="I714" i="14"/>
  <c r="I720" i="14"/>
  <c r="I718" i="14"/>
  <c r="X627" i="21" l="1"/>
  <c r="Z627" i="21"/>
  <c r="Z628" i="21"/>
  <c r="Z629" i="21"/>
  <c r="W625" i="21"/>
  <c r="W624" i="21"/>
  <c r="W626" i="21"/>
  <c r="U619" i="21"/>
  <c r="U621" i="21"/>
  <c r="U620" i="21"/>
  <c r="U623" i="21"/>
  <c r="U622" i="21"/>
  <c r="T624" i="21"/>
  <c r="P624" i="21" s="1"/>
  <c r="O624" i="21"/>
  <c r="T627" i="21"/>
  <c r="P627" i="21" s="1"/>
  <c r="O627" i="21"/>
  <c r="T626" i="21"/>
  <c r="P626" i="21" s="1"/>
  <c r="O626" i="21"/>
  <c r="R635" i="21"/>
  <c r="Q635" i="21"/>
  <c r="M635" i="21" s="1"/>
  <c r="S635" i="21"/>
  <c r="R632" i="21"/>
  <c r="S632" i="21"/>
  <c r="Q632" i="21"/>
  <c r="M632" i="21" s="1"/>
  <c r="Z632" i="21" s="1"/>
  <c r="X632" i="21" s="1"/>
  <c r="R634" i="21"/>
  <c r="S634" i="21"/>
  <c r="Q634" i="21"/>
  <c r="M634" i="21" s="1"/>
  <c r="N636" i="21"/>
  <c r="I721" i="14"/>
  <c r="I719" i="14"/>
  <c r="I723" i="14"/>
  <c r="X629" i="21" l="1"/>
  <c r="X628" i="21"/>
  <c r="Z634" i="21"/>
  <c r="Z635" i="21"/>
  <c r="U626" i="21"/>
  <c r="U625" i="21"/>
  <c r="U624" i="21"/>
  <c r="T634" i="21"/>
  <c r="P634" i="21" s="1"/>
  <c r="O634" i="21"/>
  <c r="T632" i="21"/>
  <c r="P632" i="21" s="1"/>
  <c r="O632" i="21"/>
  <c r="T635" i="21"/>
  <c r="P635" i="21" s="1"/>
  <c r="O635" i="21"/>
  <c r="R636" i="21"/>
  <c r="Q636" i="21"/>
  <c r="M636" i="21" s="1"/>
  <c r="S636" i="21"/>
  <c r="N633" i="21"/>
  <c r="N639" i="21"/>
  <c r="N637" i="21"/>
  <c r="I726" i="14"/>
  <c r="I728" i="14"/>
  <c r="I727" i="14"/>
  <c r="Z633" i="21" l="1"/>
  <c r="Z636" i="21"/>
  <c r="Z637" i="21"/>
  <c r="T636" i="21"/>
  <c r="P636" i="21" s="1"/>
  <c r="O636" i="21"/>
  <c r="R639" i="21"/>
  <c r="Q639" i="21"/>
  <c r="M639" i="21" s="1"/>
  <c r="S639" i="21"/>
  <c r="R637" i="21"/>
  <c r="Q637" i="21"/>
  <c r="M637" i="21" s="1"/>
  <c r="S637" i="21"/>
  <c r="R633" i="21"/>
  <c r="S633" i="21"/>
  <c r="Q633" i="21"/>
  <c r="M633" i="21" s="1"/>
  <c r="X633" i="21" s="1"/>
  <c r="N644" i="21"/>
  <c r="N643" i="21"/>
  <c r="N640" i="21"/>
  <c r="N641" i="21"/>
  <c r="N638" i="21"/>
  <c r="I724" i="14"/>
  <c r="I731" i="14"/>
  <c r="I729" i="14"/>
  <c r="Z640" i="21" l="1"/>
  <c r="Z639" i="21"/>
  <c r="Z638" i="21"/>
  <c r="W635" i="21"/>
  <c r="W634" i="21"/>
  <c r="W637" i="21"/>
  <c r="W636" i="21"/>
  <c r="W633" i="21"/>
  <c r="T637" i="21"/>
  <c r="P637" i="21" s="1"/>
  <c r="O637" i="21"/>
  <c r="T633" i="21"/>
  <c r="P633" i="21" s="1"/>
  <c r="O633" i="21"/>
  <c r="T639" i="21"/>
  <c r="P639" i="21" s="1"/>
  <c r="O639" i="21"/>
  <c r="R640" i="21"/>
  <c r="Q640" i="21"/>
  <c r="M640" i="21" s="1"/>
  <c r="S640" i="21"/>
  <c r="R641" i="21"/>
  <c r="Q641" i="21"/>
  <c r="M641" i="21" s="1"/>
  <c r="S641" i="21"/>
  <c r="R638" i="21"/>
  <c r="Q638" i="21"/>
  <c r="M638" i="21" s="1"/>
  <c r="X638" i="21" s="1"/>
  <c r="S638" i="21"/>
  <c r="R643" i="21"/>
  <c r="Q643" i="21"/>
  <c r="M643" i="21" s="1"/>
  <c r="S643" i="21"/>
  <c r="R644" i="21"/>
  <c r="S644" i="21"/>
  <c r="Q644" i="21"/>
  <c r="M644" i="21" s="1"/>
  <c r="N645" i="21"/>
  <c r="I732" i="14"/>
  <c r="I734" i="14"/>
  <c r="I730" i="14"/>
  <c r="Z641" i="21" l="1"/>
  <c r="X641" i="21"/>
  <c r="Z644" i="21"/>
  <c r="Z643" i="21"/>
  <c r="W640" i="21"/>
  <c r="W639" i="21"/>
  <c r="W638" i="21"/>
  <c r="U635" i="21"/>
  <c r="U634" i="21"/>
  <c r="U637" i="21"/>
  <c r="U636" i="21"/>
  <c r="U633" i="21"/>
  <c r="T644" i="21"/>
  <c r="P644" i="21" s="1"/>
  <c r="O644" i="21"/>
  <c r="T643" i="21"/>
  <c r="P643" i="21" s="1"/>
  <c r="O643" i="21"/>
  <c r="T641" i="21"/>
  <c r="P641" i="21" s="1"/>
  <c r="O641" i="21"/>
  <c r="T640" i="21"/>
  <c r="P640" i="21" s="1"/>
  <c r="O640" i="21"/>
  <c r="T638" i="21"/>
  <c r="P638" i="21" s="1"/>
  <c r="O638" i="21"/>
  <c r="R645" i="21"/>
  <c r="S645" i="21"/>
  <c r="Q645" i="21"/>
  <c r="M645" i="21" s="1"/>
  <c r="N642" i="21"/>
  <c r="N646" i="21"/>
  <c r="N648" i="21"/>
  <c r="I743" i="14"/>
  <c r="Z646" i="21" l="1"/>
  <c r="Z642" i="21"/>
  <c r="Z645" i="21"/>
  <c r="U640" i="21"/>
  <c r="U639" i="21"/>
  <c r="U638" i="21"/>
  <c r="T645" i="21"/>
  <c r="P645" i="21" s="1"/>
  <c r="O645" i="21"/>
  <c r="R646" i="21"/>
  <c r="S646" i="21"/>
  <c r="Q646" i="21"/>
  <c r="M646" i="21" s="1"/>
  <c r="R642" i="21"/>
  <c r="Q642" i="21"/>
  <c r="M642" i="21" s="1"/>
  <c r="X642" i="21" s="1"/>
  <c r="S642" i="21"/>
  <c r="R648" i="21"/>
  <c r="S648" i="21"/>
  <c r="Q648" i="21"/>
  <c r="M648" i="21" s="1"/>
  <c r="N650" i="21"/>
  <c r="N647" i="21"/>
  <c r="N649" i="21"/>
  <c r="I746" i="14"/>
  <c r="I747" i="14"/>
  <c r="I748" i="14"/>
  <c r="Z649" i="21" l="1"/>
  <c r="Z647" i="21"/>
  <c r="Z648" i="21"/>
  <c r="W644" i="21"/>
  <c r="W643" i="21"/>
  <c r="W646" i="21"/>
  <c r="W645" i="21"/>
  <c r="W642" i="21"/>
  <c r="T642" i="21"/>
  <c r="P642" i="21" s="1"/>
  <c r="O642" i="21"/>
  <c r="T648" i="21"/>
  <c r="P648" i="21" s="1"/>
  <c r="O648" i="21"/>
  <c r="T646" i="21"/>
  <c r="P646" i="21" s="1"/>
  <c r="O646" i="21"/>
  <c r="R650" i="21"/>
  <c r="S650" i="21"/>
  <c r="Q650" i="21"/>
  <c r="M650" i="21" s="1"/>
  <c r="R647" i="21"/>
  <c r="S647" i="21"/>
  <c r="Q647" i="21"/>
  <c r="M647" i="21" s="1"/>
  <c r="X647" i="21" s="1"/>
  <c r="R649" i="21"/>
  <c r="S649" i="21"/>
  <c r="Q649" i="21"/>
  <c r="M649" i="21" s="1"/>
  <c r="N658" i="21"/>
  <c r="N655" i="21"/>
  <c r="N657" i="21"/>
  <c r="I745" i="14"/>
  <c r="I749" i="14"/>
  <c r="I751" i="14"/>
  <c r="Z650" i="21" l="1"/>
  <c r="X650" i="21"/>
  <c r="Z651" i="21"/>
  <c r="Z652" i="21"/>
  <c r="W649" i="21"/>
  <c r="W648" i="21"/>
  <c r="W647" i="21"/>
  <c r="U644" i="21"/>
  <c r="U643" i="21"/>
  <c r="U646" i="21"/>
  <c r="U645" i="21"/>
  <c r="U642" i="21"/>
  <c r="T649" i="21"/>
  <c r="P649" i="21" s="1"/>
  <c r="O649" i="21"/>
  <c r="T647" i="21"/>
  <c r="P647" i="21" s="1"/>
  <c r="O647" i="21"/>
  <c r="T650" i="21"/>
  <c r="P650" i="21" s="1"/>
  <c r="O650" i="21"/>
  <c r="R657" i="21"/>
  <c r="S657" i="21"/>
  <c r="Q657" i="21"/>
  <c r="M657" i="21" s="1"/>
  <c r="R655" i="21"/>
  <c r="S655" i="21"/>
  <c r="Q655" i="21"/>
  <c r="M655" i="21" s="1"/>
  <c r="Z655" i="21" s="1"/>
  <c r="X655" i="21" s="1"/>
  <c r="R658" i="21"/>
  <c r="S658" i="21"/>
  <c r="Q658" i="21"/>
  <c r="M658" i="21" s="1"/>
  <c r="N659" i="21"/>
  <c r="I754" i="14"/>
  <c r="I750" i="14"/>
  <c r="I752" i="14"/>
  <c r="X651" i="21" l="1"/>
  <c r="X652" i="21"/>
  <c r="Z657" i="21"/>
  <c r="Z658" i="21"/>
  <c r="U649" i="21"/>
  <c r="U648" i="21"/>
  <c r="U647" i="21"/>
  <c r="T658" i="21"/>
  <c r="P658" i="21" s="1"/>
  <c r="O658" i="21"/>
  <c r="T655" i="21"/>
  <c r="P655" i="21" s="1"/>
  <c r="O655" i="21"/>
  <c r="T657" i="21"/>
  <c r="P657" i="21" s="1"/>
  <c r="O657" i="21"/>
  <c r="R659" i="21"/>
  <c r="S659" i="21"/>
  <c r="Q659" i="21"/>
  <c r="M659" i="21" s="1"/>
  <c r="N656" i="21"/>
  <c r="N660" i="21"/>
  <c r="N662" i="21"/>
  <c r="I758" i="14"/>
  <c r="I759" i="14"/>
  <c r="I757" i="14"/>
  <c r="Z660" i="21" l="1"/>
  <c r="Z656" i="21"/>
  <c r="Z659" i="21"/>
  <c r="T659" i="21"/>
  <c r="P659" i="21" s="1"/>
  <c r="O659" i="21"/>
  <c r="R656" i="21"/>
  <c r="Q656" i="21"/>
  <c r="M656" i="21" s="1"/>
  <c r="X656" i="21" s="1"/>
  <c r="S656" i="21"/>
  <c r="R662" i="21"/>
  <c r="Q662" i="21"/>
  <c r="M662" i="21" s="1"/>
  <c r="S662" i="21"/>
  <c r="R660" i="21"/>
  <c r="Q660" i="21"/>
  <c r="M660" i="21" s="1"/>
  <c r="S660" i="21"/>
  <c r="N664" i="21"/>
  <c r="N666" i="21"/>
  <c r="N663" i="21"/>
  <c r="N661" i="21"/>
  <c r="N667" i="21"/>
  <c r="I760" i="14"/>
  <c r="I755" i="14"/>
  <c r="I762" i="14"/>
  <c r="Z663" i="21" l="1"/>
  <c r="Z662" i="21"/>
  <c r="Z661" i="21"/>
  <c r="W658" i="21"/>
  <c r="W657" i="21"/>
  <c r="W660" i="21"/>
  <c r="W659" i="21"/>
  <c r="W656" i="21"/>
  <c r="T660" i="21"/>
  <c r="P660" i="21" s="1"/>
  <c r="O660" i="21"/>
  <c r="T662" i="21"/>
  <c r="P662" i="21" s="1"/>
  <c r="O662" i="21"/>
  <c r="T656" i="21"/>
  <c r="P656" i="21" s="1"/>
  <c r="O656" i="21"/>
  <c r="R667" i="21"/>
  <c r="S667" i="21"/>
  <c r="Q667" i="21"/>
  <c r="M667" i="21" s="1"/>
  <c r="R666" i="21"/>
  <c r="Q666" i="21"/>
  <c r="M666" i="21" s="1"/>
  <c r="S666" i="21"/>
  <c r="R664" i="21"/>
  <c r="Q664" i="21"/>
  <c r="M664" i="21" s="1"/>
  <c r="S664" i="21"/>
  <c r="R661" i="21"/>
  <c r="Q661" i="21"/>
  <c r="M661" i="21" s="1"/>
  <c r="X661" i="21" s="1"/>
  <c r="S661" i="21"/>
  <c r="R663" i="21"/>
  <c r="Q663" i="21"/>
  <c r="M663" i="21" s="1"/>
  <c r="S663" i="21"/>
  <c r="N668" i="21"/>
  <c r="I763" i="14"/>
  <c r="I765" i="14"/>
  <c r="I761" i="14"/>
  <c r="Z664" i="21" l="1"/>
  <c r="X664" i="21"/>
  <c r="Z667" i="21"/>
  <c r="Z666" i="21"/>
  <c r="W663" i="21"/>
  <c r="W662" i="21"/>
  <c r="W661" i="21"/>
  <c r="U660" i="21"/>
  <c r="U659" i="21"/>
  <c r="U656" i="21"/>
  <c r="U658" i="21"/>
  <c r="U657" i="21"/>
  <c r="T661" i="21"/>
  <c r="P661" i="21" s="1"/>
  <c r="O661" i="21"/>
  <c r="T664" i="21"/>
  <c r="P664" i="21" s="1"/>
  <c r="O664" i="21"/>
  <c r="T666" i="21"/>
  <c r="P666" i="21" s="1"/>
  <c r="O666" i="21"/>
  <c r="T667" i="21"/>
  <c r="P667" i="21" s="1"/>
  <c r="O667" i="21"/>
  <c r="T663" i="21"/>
  <c r="P663" i="21" s="1"/>
  <c r="O663" i="21"/>
  <c r="R668" i="21"/>
  <c r="S668" i="21"/>
  <c r="Q668" i="21"/>
  <c r="M668" i="21" s="1"/>
  <c r="N665" i="21"/>
  <c r="N669" i="21"/>
  <c r="N671" i="21"/>
  <c r="I770" i="14"/>
  <c r="Z669" i="21" l="1"/>
  <c r="Z665" i="21"/>
  <c r="Z668" i="21"/>
  <c r="U663" i="21"/>
  <c r="U662" i="21"/>
  <c r="U661" i="21"/>
  <c r="T668" i="21"/>
  <c r="P668" i="21" s="1"/>
  <c r="O668" i="21"/>
  <c r="R669" i="21"/>
  <c r="S669" i="21"/>
  <c r="Q669" i="21"/>
  <c r="M669" i="21" s="1"/>
  <c r="R665" i="21"/>
  <c r="Q665" i="21"/>
  <c r="M665" i="21" s="1"/>
  <c r="X665" i="21" s="1"/>
  <c r="S665" i="21"/>
  <c r="R671" i="21"/>
  <c r="S671" i="21"/>
  <c r="Q671" i="21"/>
  <c r="M671" i="21" s="1"/>
  <c r="N673" i="21"/>
  <c r="N670" i="21"/>
  <c r="N672" i="21"/>
  <c r="I774" i="14"/>
  <c r="I775" i="14"/>
  <c r="I773" i="14"/>
  <c r="Z671" i="21" l="1"/>
  <c r="Z672" i="21"/>
  <c r="Z670" i="21"/>
  <c r="W667" i="21"/>
  <c r="W666" i="21"/>
  <c r="W665" i="21"/>
  <c r="W669" i="21"/>
  <c r="W668" i="21"/>
  <c r="T665" i="21"/>
  <c r="P665" i="21" s="1"/>
  <c r="O665" i="21"/>
  <c r="T671" i="21"/>
  <c r="P671" i="21" s="1"/>
  <c r="O671" i="21"/>
  <c r="T669" i="21"/>
  <c r="P669" i="21" s="1"/>
  <c r="O669" i="21"/>
  <c r="R670" i="21"/>
  <c r="S670" i="21"/>
  <c r="Q670" i="21"/>
  <c r="M670" i="21" s="1"/>
  <c r="X670" i="21" s="1"/>
  <c r="R672" i="21"/>
  <c r="S672" i="21"/>
  <c r="Q672" i="21"/>
  <c r="M672" i="21" s="1"/>
  <c r="R673" i="21"/>
  <c r="S673" i="21"/>
  <c r="Q673" i="21"/>
  <c r="M673" i="21" s="1"/>
  <c r="N678" i="21"/>
  <c r="N681" i="21"/>
  <c r="N680" i="21"/>
  <c r="I772" i="14"/>
  <c r="I778" i="14"/>
  <c r="I776" i="14"/>
  <c r="X673" i="21" l="1"/>
  <c r="Z673" i="21"/>
  <c r="Z674" i="21"/>
  <c r="Z675" i="21"/>
  <c r="W672" i="21"/>
  <c r="W671" i="21"/>
  <c r="W670" i="21"/>
  <c r="U667" i="21"/>
  <c r="U666" i="21"/>
  <c r="U669" i="21"/>
  <c r="U668" i="21"/>
  <c r="U665" i="21"/>
  <c r="T673" i="21"/>
  <c r="P673" i="21" s="1"/>
  <c r="O673" i="21"/>
  <c r="T670" i="21"/>
  <c r="P670" i="21" s="1"/>
  <c r="O670" i="21"/>
  <c r="T672" i="21"/>
  <c r="P672" i="21" s="1"/>
  <c r="O672" i="21"/>
  <c r="R681" i="21"/>
  <c r="S681" i="21"/>
  <c r="Q681" i="21"/>
  <c r="M681" i="21" s="1"/>
  <c r="R680" i="21"/>
  <c r="S680" i="21"/>
  <c r="Q680" i="21"/>
  <c r="M680" i="21" s="1"/>
  <c r="R678" i="21"/>
  <c r="Q678" i="21"/>
  <c r="M678" i="21" s="1"/>
  <c r="Z678" i="21" s="1"/>
  <c r="X678" i="21" s="1"/>
  <c r="S678" i="21"/>
  <c r="N682" i="21"/>
  <c r="I779" i="14"/>
  <c r="I782" i="14"/>
  <c r="I777" i="14"/>
  <c r="X675" i="21" l="1"/>
  <c r="X674" i="21"/>
  <c r="Z681" i="21"/>
  <c r="Z680" i="21"/>
  <c r="U672" i="21"/>
  <c r="U671" i="21"/>
  <c r="U670" i="21"/>
  <c r="T678" i="21"/>
  <c r="P678" i="21" s="1"/>
  <c r="O678" i="21"/>
  <c r="T680" i="21"/>
  <c r="P680" i="21" s="1"/>
  <c r="O680" i="21"/>
  <c r="T681" i="21"/>
  <c r="P681" i="21" s="1"/>
  <c r="O681" i="21"/>
  <c r="R682" i="21"/>
  <c r="S682" i="21"/>
  <c r="Q682" i="21"/>
  <c r="M682" i="21" s="1"/>
  <c r="N679" i="21"/>
  <c r="N685" i="21"/>
  <c r="N683" i="21"/>
  <c r="I784" i="14"/>
  <c r="I785" i="14"/>
  <c r="I786" i="14"/>
  <c r="Z683" i="21" l="1"/>
  <c r="Z679" i="21"/>
  <c r="Z682" i="21"/>
  <c r="T682" i="21"/>
  <c r="P682" i="21" s="1"/>
  <c r="O682" i="21"/>
  <c r="R683" i="21"/>
  <c r="Q683" i="21"/>
  <c r="M683" i="21" s="1"/>
  <c r="S683" i="21"/>
  <c r="R685" i="21"/>
  <c r="Q685" i="21"/>
  <c r="M685" i="21" s="1"/>
  <c r="S685" i="21"/>
  <c r="R679" i="21"/>
  <c r="S679" i="21"/>
  <c r="Q679" i="21"/>
  <c r="M679" i="21" s="1"/>
  <c r="X679" i="21" s="1"/>
  <c r="N690" i="21"/>
  <c r="N687" i="21"/>
  <c r="N689" i="21"/>
  <c r="N684" i="21"/>
  <c r="N686" i="21"/>
  <c r="I783" i="14"/>
  <c r="I787" i="14"/>
  <c r="I789" i="14"/>
  <c r="Z686" i="21" l="1"/>
  <c r="Z684" i="21"/>
  <c r="Z685" i="21"/>
  <c r="W681" i="21"/>
  <c r="W680" i="21"/>
  <c r="W683" i="21"/>
  <c r="W682" i="21"/>
  <c r="W679" i="21"/>
  <c r="T685" i="21"/>
  <c r="P685" i="21" s="1"/>
  <c r="O685" i="21"/>
  <c r="T679" i="21"/>
  <c r="P679" i="21" s="1"/>
  <c r="O679" i="21"/>
  <c r="T683" i="21"/>
  <c r="P683" i="21" s="1"/>
  <c r="O683" i="21"/>
  <c r="R690" i="21"/>
  <c r="Q690" i="21"/>
  <c r="M690" i="21" s="1"/>
  <c r="S690" i="21"/>
  <c r="R686" i="21"/>
  <c r="Q686" i="21"/>
  <c r="M686" i="21" s="1"/>
  <c r="S686" i="21"/>
  <c r="R684" i="21"/>
  <c r="Q684" i="21"/>
  <c r="M684" i="21" s="1"/>
  <c r="X684" i="21" s="1"/>
  <c r="S684" i="21"/>
  <c r="R689" i="21"/>
  <c r="Q689" i="21"/>
  <c r="M689" i="21" s="1"/>
  <c r="S689" i="21"/>
  <c r="R687" i="21"/>
  <c r="Q687" i="21"/>
  <c r="M687" i="21" s="1"/>
  <c r="S687" i="21"/>
  <c r="N691" i="21"/>
  <c r="I788" i="14"/>
  <c r="I792" i="14"/>
  <c r="I790" i="14"/>
  <c r="Z687" i="21" l="1"/>
  <c r="X687" i="21"/>
  <c r="Z690" i="21"/>
  <c r="Z689" i="21"/>
  <c r="W686" i="21"/>
  <c r="W685" i="21"/>
  <c r="W684" i="21"/>
  <c r="U680" i="21"/>
  <c r="U683" i="21"/>
  <c r="U682" i="21"/>
  <c r="U679" i="21"/>
  <c r="U681" i="21"/>
  <c r="T686" i="21"/>
  <c r="P686" i="21" s="1"/>
  <c r="O686" i="21"/>
  <c r="T684" i="21"/>
  <c r="P684" i="21" s="1"/>
  <c r="O684" i="21"/>
  <c r="T690" i="21"/>
  <c r="P690" i="21" s="1"/>
  <c r="O690" i="21"/>
  <c r="T689" i="21"/>
  <c r="P689" i="21" s="1"/>
  <c r="O689" i="21"/>
  <c r="T687" i="21"/>
  <c r="P687" i="21" s="1"/>
  <c r="O687" i="21"/>
  <c r="R691" i="21"/>
  <c r="S691" i="21"/>
  <c r="Q691" i="21"/>
  <c r="M691" i="21" s="1"/>
  <c r="N692" i="21"/>
  <c r="N694" i="21"/>
  <c r="N688" i="21"/>
  <c r="I797" i="14"/>
  <c r="Z688" i="21" l="1"/>
  <c r="Z691" i="21"/>
  <c r="Z692" i="21"/>
  <c r="U686" i="21"/>
  <c r="U685" i="21"/>
  <c r="U684" i="21"/>
  <c r="T691" i="21"/>
  <c r="P691" i="21" s="1"/>
  <c r="O691" i="21"/>
  <c r="R692" i="21"/>
  <c r="S692" i="21"/>
  <c r="Q692" i="21"/>
  <c r="M692" i="21" s="1"/>
  <c r="R688" i="21"/>
  <c r="Q688" i="21"/>
  <c r="M688" i="21" s="1"/>
  <c r="X688" i="21" s="1"/>
  <c r="S688" i="21"/>
  <c r="R694" i="21"/>
  <c r="S694" i="21"/>
  <c r="Q694" i="21"/>
  <c r="M694" i="21" s="1"/>
  <c r="N693" i="21"/>
  <c r="N696" i="21"/>
  <c r="N695" i="21"/>
  <c r="I800" i="14"/>
  <c r="I802" i="14"/>
  <c r="I801" i="14"/>
  <c r="Z695" i="21" l="1"/>
  <c r="Z694" i="21"/>
  <c r="Z693" i="21"/>
  <c r="W690" i="21"/>
  <c r="W689" i="21"/>
  <c r="W692" i="21"/>
  <c r="W691" i="21"/>
  <c r="W688" i="21"/>
  <c r="T688" i="21"/>
  <c r="P688" i="21" s="1"/>
  <c r="O688" i="21"/>
  <c r="T694" i="21"/>
  <c r="P694" i="21" s="1"/>
  <c r="O694" i="21"/>
  <c r="T692" i="21"/>
  <c r="P692" i="21" s="1"/>
  <c r="O692" i="21"/>
  <c r="R696" i="21"/>
  <c r="S696" i="21"/>
  <c r="Q696" i="21"/>
  <c r="M696" i="21" s="1"/>
  <c r="R695" i="21"/>
  <c r="S695" i="21"/>
  <c r="Q695" i="21"/>
  <c r="M695" i="21" s="1"/>
  <c r="R693" i="21"/>
  <c r="S693" i="21"/>
  <c r="Q693" i="21"/>
  <c r="M693" i="21" s="1"/>
  <c r="X693" i="21" s="1"/>
  <c r="N704" i="21"/>
  <c r="N703" i="21"/>
  <c r="N701" i="21"/>
  <c r="I805" i="14"/>
  <c r="I803" i="14"/>
  <c r="I799" i="14"/>
  <c r="X696" i="21" l="1"/>
  <c r="Z696" i="21"/>
  <c r="Z697" i="21"/>
  <c r="Z698" i="21"/>
  <c r="W695" i="21"/>
  <c r="W694" i="21"/>
  <c r="W693" i="21"/>
  <c r="U692" i="21"/>
  <c r="U691" i="21"/>
  <c r="U688" i="21"/>
  <c r="U690" i="21"/>
  <c r="U689" i="21"/>
  <c r="T695" i="21"/>
  <c r="P695" i="21" s="1"/>
  <c r="O695" i="21"/>
  <c r="T693" i="21"/>
  <c r="P693" i="21" s="1"/>
  <c r="O693" i="21"/>
  <c r="T696" i="21"/>
  <c r="P696" i="21" s="1"/>
  <c r="O696" i="21"/>
  <c r="R701" i="21"/>
  <c r="S701" i="21"/>
  <c r="Q701" i="21"/>
  <c r="M701" i="21" s="1"/>
  <c r="Z701" i="21" s="1"/>
  <c r="X701" i="21" s="1"/>
  <c r="R704" i="21"/>
  <c r="S704" i="21"/>
  <c r="Q704" i="21"/>
  <c r="M704" i="21" s="1"/>
  <c r="R703" i="21"/>
  <c r="S703" i="21"/>
  <c r="Q703" i="21"/>
  <c r="M703" i="21" s="1"/>
  <c r="N705" i="21"/>
  <c r="I808" i="14"/>
  <c r="I804" i="14"/>
  <c r="I806" i="14"/>
  <c r="X697" i="21" l="1"/>
  <c r="X698" i="21"/>
  <c r="Z704" i="21"/>
  <c r="Z703" i="21"/>
  <c r="U694" i="21"/>
  <c r="U693" i="21"/>
  <c r="U695" i="21"/>
  <c r="T704" i="21"/>
  <c r="P704" i="21" s="1"/>
  <c r="O704" i="21"/>
  <c r="T703" i="21"/>
  <c r="P703" i="21" s="1"/>
  <c r="O703" i="21"/>
  <c r="T701" i="21"/>
  <c r="P701" i="21" s="1"/>
  <c r="O701" i="21"/>
  <c r="R705" i="21"/>
  <c r="Q705" i="21"/>
  <c r="M705" i="21" s="1"/>
  <c r="S705" i="21"/>
  <c r="N702" i="21"/>
  <c r="N708" i="21"/>
  <c r="N706" i="21"/>
  <c r="I813" i="14"/>
  <c r="I812" i="14"/>
  <c r="I811" i="14"/>
  <c r="Z706" i="21" l="1"/>
  <c r="Z702" i="21"/>
  <c r="Z705" i="21"/>
  <c r="T705" i="21"/>
  <c r="P705" i="21" s="1"/>
  <c r="O705" i="21"/>
  <c r="R708" i="21"/>
  <c r="Q708" i="21"/>
  <c r="M708" i="21" s="1"/>
  <c r="S708" i="21"/>
  <c r="R702" i="21"/>
  <c r="S702" i="21"/>
  <c r="Q702" i="21"/>
  <c r="M702" i="21" s="1"/>
  <c r="X702" i="21" s="1"/>
  <c r="R706" i="21"/>
  <c r="Q706" i="21"/>
  <c r="M706" i="21" s="1"/>
  <c r="S706" i="21"/>
  <c r="N709" i="21"/>
  <c r="N713" i="21"/>
  <c r="N707" i="21"/>
  <c r="N710" i="21"/>
  <c r="N712" i="21"/>
  <c r="I814" i="14"/>
  <c r="I810" i="14"/>
  <c r="I816" i="14"/>
  <c r="Z709" i="21" l="1"/>
  <c r="Z707" i="21"/>
  <c r="Z708" i="21"/>
  <c r="W703" i="21"/>
  <c r="W704" i="21"/>
  <c r="W706" i="21"/>
  <c r="W705" i="21"/>
  <c r="W702" i="21"/>
  <c r="T702" i="21"/>
  <c r="P702" i="21" s="1"/>
  <c r="O702" i="21"/>
  <c r="T708" i="21"/>
  <c r="P708" i="21" s="1"/>
  <c r="O708" i="21"/>
  <c r="T706" i="21"/>
  <c r="P706" i="21" s="1"/>
  <c r="O706" i="21"/>
  <c r="R710" i="21"/>
  <c r="Q710" i="21"/>
  <c r="M710" i="21" s="1"/>
  <c r="S710" i="21"/>
  <c r="R712" i="21"/>
  <c r="Q712" i="21"/>
  <c r="M712" i="21" s="1"/>
  <c r="S712" i="21"/>
  <c r="R707" i="21"/>
  <c r="Q707" i="21"/>
  <c r="M707" i="21" s="1"/>
  <c r="X707" i="21" s="1"/>
  <c r="S707" i="21"/>
  <c r="R713" i="21"/>
  <c r="S713" i="21"/>
  <c r="Q713" i="21"/>
  <c r="M713" i="21" s="1"/>
  <c r="R709" i="21"/>
  <c r="Q709" i="21"/>
  <c r="M709" i="21" s="1"/>
  <c r="S709" i="21"/>
  <c r="N714" i="21"/>
  <c r="I817" i="14"/>
  <c r="I815" i="14"/>
  <c r="I819" i="14"/>
  <c r="Z710" i="21" l="1"/>
  <c r="X710" i="21"/>
  <c r="Z713" i="21"/>
  <c r="Z712" i="21"/>
  <c r="W709" i="21"/>
  <c r="W708" i="21"/>
  <c r="W707" i="21"/>
  <c r="U704" i="21"/>
  <c r="U703" i="21"/>
  <c r="U706" i="21"/>
  <c r="U705" i="21"/>
  <c r="U702" i="21"/>
  <c r="T707" i="21"/>
  <c r="P707" i="21" s="1"/>
  <c r="O707" i="21"/>
  <c r="T712" i="21"/>
  <c r="P712" i="21" s="1"/>
  <c r="O712" i="21"/>
  <c r="T710" i="21"/>
  <c r="P710" i="21" s="1"/>
  <c r="O710" i="21"/>
  <c r="T713" i="21"/>
  <c r="P713" i="21" s="1"/>
  <c r="O713" i="21"/>
  <c r="T709" i="21"/>
  <c r="P709" i="21" s="1"/>
  <c r="O709" i="21"/>
  <c r="R714" i="21"/>
  <c r="S714" i="21"/>
  <c r="Q714" i="21"/>
  <c r="M714" i="21" s="1"/>
  <c r="N717" i="21"/>
  <c r="N711" i="21"/>
  <c r="N715" i="21"/>
  <c r="I824" i="14"/>
  <c r="Z715" i="21" l="1"/>
  <c r="Z714" i="21"/>
  <c r="Z711" i="21"/>
  <c r="U709" i="21"/>
  <c r="U708" i="21"/>
  <c r="U707" i="21"/>
  <c r="T714" i="21"/>
  <c r="P714" i="21" s="1"/>
  <c r="O714" i="21"/>
  <c r="R711" i="21"/>
  <c r="Q711" i="21"/>
  <c r="M711" i="21" s="1"/>
  <c r="X711" i="21" s="1"/>
  <c r="S711" i="21"/>
  <c r="R717" i="21"/>
  <c r="S717" i="21"/>
  <c r="Q717" i="21"/>
  <c r="M717" i="21" s="1"/>
  <c r="R715" i="21"/>
  <c r="S715" i="21"/>
  <c r="Q715" i="21"/>
  <c r="M715" i="21" s="1"/>
  <c r="N718" i="21"/>
  <c r="N719" i="21"/>
  <c r="N716" i="21"/>
  <c r="I827" i="14"/>
  <c r="I830" i="14"/>
  <c r="I828" i="14"/>
  <c r="Z717" i="21" l="1"/>
  <c r="Z716" i="21"/>
  <c r="Z718" i="21"/>
  <c r="W713" i="21"/>
  <c r="W712" i="21"/>
  <c r="W715" i="21"/>
  <c r="W714" i="21"/>
  <c r="W711" i="21"/>
  <c r="T715" i="21"/>
  <c r="P715" i="21" s="1"/>
  <c r="O715" i="21"/>
  <c r="T717" i="21"/>
  <c r="P717" i="21" s="1"/>
  <c r="O717" i="21"/>
  <c r="T711" i="21"/>
  <c r="P711" i="21" s="1"/>
  <c r="O711" i="21"/>
  <c r="R716" i="21"/>
  <c r="S716" i="21"/>
  <c r="Q716" i="21"/>
  <c r="M716" i="21" s="1"/>
  <c r="X716" i="21" s="1"/>
  <c r="R718" i="21"/>
  <c r="S718" i="21"/>
  <c r="Q718" i="21"/>
  <c r="M718" i="21" s="1"/>
  <c r="R719" i="21"/>
  <c r="S719" i="21"/>
  <c r="Q719" i="21"/>
  <c r="M719" i="21" s="1"/>
  <c r="N726" i="21"/>
  <c r="N724" i="21"/>
  <c r="N727" i="21"/>
  <c r="I833" i="14"/>
  <c r="I831" i="14"/>
  <c r="I826" i="14"/>
  <c r="X719" i="21" l="1"/>
  <c r="Z719" i="21"/>
  <c r="Z721" i="21"/>
  <c r="Z720" i="21"/>
  <c r="W718" i="21"/>
  <c r="W717" i="21"/>
  <c r="W716" i="21"/>
  <c r="U715" i="21"/>
  <c r="U714" i="21"/>
  <c r="U711" i="21"/>
  <c r="U713" i="21"/>
  <c r="U712" i="21"/>
  <c r="T719" i="21"/>
  <c r="P719" i="21" s="1"/>
  <c r="O719" i="21"/>
  <c r="T718" i="21"/>
  <c r="P718" i="21" s="1"/>
  <c r="O718" i="21"/>
  <c r="T716" i="21"/>
  <c r="P716" i="21" s="1"/>
  <c r="O716" i="21"/>
  <c r="R726" i="21"/>
  <c r="Q726" i="21"/>
  <c r="M726" i="21" s="1"/>
  <c r="S726" i="21"/>
  <c r="R724" i="21"/>
  <c r="S724" i="21"/>
  <c r="Q724" i="21"/>
  <c r="M724" i="21" s="1"/>
  <c r="Z724" i="21" s="1"/>
  <c r="X724" i="21" s="1"/>
  <c r="R727" i="21"/>
  <c r="S727" i="21"/>
  <c r="Q727" i="21"/>
  <c r="M727" i="21" s="1"/>
  <c r="N728" i="21"/>
  <c r="I832" i="14"/>
  <c r="I834" i="14"/>
  <c r="I835" i="14"/>
  <c r="X720" i="21" l="1"/>
  <c r="X721" i="21"/>
  <c r="Z727" i="21"/>
  <c r="Z726" i="21"/>
  <c r="U718" i="21"/>
  <c r="U717" i="21"/>
  <c r="U716" i="21"/>
  <c r="T726" i="21"/>
  <c r="P726" i="21" s="1"/>
  <c r="O726" i="21"/>
  <c r="T727" i="21"/>
  <c r="P727" i="21" s="1"/>
  <c r="O727" i="21"/>
  <c r="T724" i="21"/>
  <c r="P724" i="21" s="1"/>
  <c r="O724" i="21"/>
  <c r="R728" i="21"/>
  <c r="S728" i="21"/>
  <c r="Q728" i="21"/>
  <c r="M728" i="21" s="1"/>
  <c r="N731" i="21"/>
  <c r="N725" i="21"/>
  <c r="N729" i="21"/>
  <c r="I837" i="14"/>
  <c r="Z725" i="21" l="1"/>
  <c r="Z729" i="21"/>
  <c r="Z728" i="21"/>
  <c r="T728" i="21"/>
  <c r="P728" i="21" s="1"/>
  <c r="O728" i="21"/>
  <c r="R729" i="21"/>
  <c r="S729" i="21"/>
  <c r="Q729" i="21"/>
  <c r="M729" i="21" s="1"/>
  <c r="R725" i="21"/>
  <c r="S725" i="21"/>
  <c r="Q725" i="21"/>
  <c r="M725" i="21" s="1"/>
  <c r="X725" i="21" s="1"/>
  <c r="R731" i="21"/>
  <c r="S731" i="21"/>
  <c r="Q731" i="21"/>
  <c r="M731" i="21" s="1"/>
  <c r="N733" i="21"/>
  <c r="N732" i="21"/>
  <c r="N730" i="21"/>
  <c r="I841" i="14"/>
  <c r="I836" i="14"/>
  <c r="I838" i="14"/>
  <c r="Z731" i="21" l="1"/>
  <c r="Z732" i="21"/>
  <c r="Z730" i="21"/>
  <c r="W727" i="21"/>
  <c r="W726" i="21"/>
  <c r="W729" i="21"/>
  <c r="W728" i="21"/>
  <c r="W725" i="21"/>
  <c r="T725" i="21"/>
  <c r="P725" i="21" s="1"/>
  <c r="O725" i="21"/>
  <c r="T731" i="21"/>
  <c r="P731" i="21" s="1"/>
  <c r="O731" i="21"/>
  <c r="T729" i="21"/>
  <c r="P729" i="21" s="1"/>
  <c r="O729" i="21"/>
  <c r="R730" i="21"/>
  <c r="Q730" i="21"/>
  <c r="M730" i="21" s="1"/>
  <c r="X730" i="21" s="1"/>
  <c r="S730" i="21"/>
  <c r="R732" i="21"/>
  <c r="S732" i="21"/>
  <c r="Q732" i="21"/>
  <c r="M732" i="21" s="1"/>
  <c r="R733" i="21"/>
  <c r="Q733" i="21"/>
  <c r="M733" i="21" s="1"/>
  <c r="S733" i="21"/>
  <c r="N735" i="21"/>
  <c r="I843" i="14"/>
  <c r="I842" i="14"/>
  <c r="I839" i="14"/>
  <c r="I844" i="14"/>
  <c r="I846" i="14"/>
  <c r="Z733" i="21" l="1"/>
  <c r="X733" i="21"/>
  <c r="W732" i="21"/>
  <c r="W731" i="21"/>
  <c r="W730" i="21"/>
  <c r="U729" i="21"/>
  <c r="U728" i="21"/>
  <c r="U725" i="21"/>
  <c r="U727" i="21"/>
  <c r="U726" i="21"/>
  <c r="T733" i="21"/>
  <c r="P733" i="21" s="1"/>
  <c r="O733" i="21"/>
  <c r="T730" i="21"/>
  <c r="P730" i="21" s="1"/>
  <c r="O730" i="21"/>
  <c r="T732" i="21"/>
  <c r="P732" i="21" s="1"/>
  <c r="O732" i="21"/>
  <c r="R735" i="21"/>
  <c r="S735" i="21"/>
  <c r="Q735" i="21"/>
  <c r="M735" i="21" s="1"/>
  <c r="N739" i="21"/>
  <c r="N740" i="21"/>
  <c r="N738" i="21"/>
  <c r="N734" i="21"/>
  <c r="N736" i="21"/>
  <c r="I851" i="14"/>
  <c r="Z736" i="21" l="1"/>
  <c r="Z734" i="21"/>
  <c r="Z735" i="21"/>
  <c r="U732" i="21"/>
  <c r="U731" i="21"/>
  <c r="U730" i="21"/>
  <c r="T735" i="21"/>
  <c r="P735" i="21" s="1"/>
  <c r="O735" i="21"/>
  <c r="R734" i="21"/>
  <c r="Q734" i="21"/>
  <c r="M734" i="21" s="1"/>
  <c r="X734" i="21" s="1"/>
  <c r="S734" i="21"/>
  <c r="R738" i="21"/>
  <c r="S738" i="21"/>
  <c r="Q738" i="21"/>
  <c r="M738" i="21" s="1"/>
  <c r="R740" i="21"/>
  <c r="S740" i="21"/>
  <c r="Q740" i="21"/>
  <c r="M740" i="21" s="1"/>
  <c r="R739" i="21"/>
  <c r="S739" i="21"/>
  <c r="Q739" i="21"/>
  <c r="M739" i="21" s="1"/>
  <c r="R736" i="21"/>
  <c r="S736" i="21"/>
  <c r="Q736" i="21"/>
  <c r="M736" i="21" s="1"/>
  <c r="N742" i="21"/>
  <c r="N741" i="21"/>
  <c r="N737" i="21"/>
  <c r="I864" i="14"/>
  <c r="I866" i="14"/>
  <c r="I865" i="14"/>
  <c r="Z739" i="21" l="1"/>
  <c r="Z740" i="21"/>
  <c r="Z741" i="21"/>
  <c r="Z737" i="21"/>
  <c r="Z738" i="21"/>
  <c r="W736" i="21"/>
  <c r="W735" i="21"/>
  <c r="W734" i="21"/>
  <c r="T736" i="21"/>
  <c r="P736" i="21" s="1"/>
  <c r="O736" i="21"/>
  <c r="T734" i="21"/>
  <c r="P734" i="21" s="1"/>
  <c r="O734" i="21"/>
  <c r="T739" i="21"/>
  <c r="P739" i="21" s="1"/>
  <c r="O739" i="21"/>
  <c r="T738" i="21"/>
  <c r="P738" i="21" s="1"/>
  <c r="O738" i="21"/>
  <c r="T740" i="21"/>
  <c r="P740" i="21" s="1"/>
  <c r="O740" i="21"/>
  <c r="R742" i="21"/>
  <c r="S742" i="21"/>
  <c r="Q742" i="21"/>
  <c r="M742" i="21" s="1"/>
  <c r="R737" i="21"/>
  <c r="S737" i="21"/>
  <c r="Q737" i="21"/>
  <c r="M737" i="21" s="1"/>
  <c r="X737" i="21" s="1"/>
  <c r="R741" i="21"/>
  <c r="S741" i="21"/>
  <c r="Q741" i="21"/>
  <c r="M741" i="21" s="1"/>
  <c r="N756" i="21"/>
  <c r="N755" i="21"/>
  <c r="N747" i="21"/>
  <c r="I863" i="14"/>
  <c r="I867" i="14"/>
  <c r="I869" i="14"/>
  <c r="X742" i="21" l="1"/>
  <c r="Z742" i="21"/>
  <c r="Z744" i="21"/>
  <c r="Z743" i="21"/>
  <c r="W740" i="21"/>
  <c r="W739" i="21"/>
  <c r="W738" i="21"/>
  <c r="W737" i="21"/>
  <c r="W741" i="21"/>
  <c r="U734" i="21"/>
  <c r="U736" i="21"/>
  <c r="U735" i="21"/>
  <c r="T741" i="21"/>
  <c r="P741" i="21" s="1"/>
  <c r="O741" i="21"/>
  <c r="T737" i="21"/>
  <c r="P737" i="21" s="1"/>
  <c r="O737" i="21"/>
  <c r="T742" i="21"/>
  <c r="P742" i="21" s="1"/>
  <c r="O742" i="21"/>
  <c r="R755" i="21"/>
  <c r="S755" i="21"/>
  <c r="Q755" i="21"/>
  <c r="M755" i="21" s="1"/>
  <c r="R756" i="21"/>
  <c r="S756" i="21"/>
  <c r="Q756" i="21"/>
  <c r="M756" i="21" s="1"/>
  <c r="R747" i="21"/>
  <c r="Q747" i="21"/>
  <c r="M747" i="21" s="1"/>
  <c r="S747" i="21"/>
  <c r="N757" i="21"/>
  <c r="I870" i="14"/>
  <c r="I868" i="14"/>
  <c r="I873" i="14"/>
  <c r="X743" i="21" l="1"/>
  <c r="X744" i="21"/>
  <c r="Z756" i="21"/>
  <c r="Z755" i="21"/>
  <c r="Z747" i="21"/>
  <c r="X747" i="21" s="1"/>
  <c r="Z750" i="21"/>
  <c r="Z748" i="21"/>
  <c r="Z749" i="21"/>
  <c r="U740" i="21"/>
  <c r="U739" i="21"/>
  <c r="U741" i="21"/>
  <c r="U738" i="21"/>
  <c r="U737" i="21"/>
  <c r="T747" i="21"/>
  <c r="P747" i="21" s="1"/>
  <c r="O747" i="21"/>
  <c r="T756" i="21"/>
  <c r="P756" i="21" s="1"/>
  <c r="O756" i="21"/>
  <c r="T755" i="21"/>
  <c r="P755" i="21" s="1"/>
  <c r="O755" i="21"/>
  <c r="R757" i="21"/>
  <c r="S757" i="21"/>
  <c r="Q757" i="21"/>
  <c r="M757" i="21" s="1"/>
  <c r="N754" i="21"/>
  <c r="N758" i="21"/>
  <c r="N760" i="21"/>
  <c r="I875" i="14"/>
  <c r="X750" i="21" l="1"/>
  <c r="X748" i="21"/>
  <c r="X749" i="21"/>
  <c r="Z757" i="21"/>
  <c r="Z758" i="21"/>
  <c r="Z754" i="21"/>
  <c r="T757" i="21"/>
  <c r="P757" i="21" s="1"/>
  <c r="O757" i="21"/>
  <c r="R754" i="21"/>
  <c r="S754" i="21"/>
  <c r="Q754" i="21"/>
  <c r="M754" i="21" s="1"/>
  <c r="X754" i="21" s="1"/>
  <c r="R760" i="21"/>
  <c r="S760" i="21"/>
  <c r="Q760" i="21"/>
  <c r="M760" i="21" s="1"/>
  <c r="R758" i="21"/>
  <c r="Q758" i="21"/>
  <c r="M758" i="21" s="1"/>
  <c r="S758" i="21"/>
  <c r="N762" i="21"/>
  <c r="N759" i="21"/>
  <c r="N761" i="21"/>
  <c r="I876" i="14"/>
  <c r="I874" i="14"/>
  <c r="I878" i="14"/>
  <c r="Z759" i="21" l="1"/>
  <c r="Z761" i="21"/>
  <c r="Z760" i="21"/>
  <c r="W756" i="21"/>
  <c r="W755" i="21"/>
  <c r="W758" i="21"/>
  <c r="W757" i="21"/>
  <c r="W754" i="21"/>
  <c r="T758" i="21"/>
  <c r="P758" i="21" s="1"/>
  <c r="O758" i="21"/>
  <c r="T760" i="21"/>
  <c r="P760" i="21" s="1"/>
  <c r="O760" i="21"/>
  <c r="T754" i="21"/>
  <c r="P754" i="21" s="1"/>
  <c r="O754" i="21"/>
  <c r="R759" i="21"/>
  <c r="Q759" i="21"/>
  <c r="M759" i="21" s="1"/>
  <c r="X759" i="21" s="1"/>
  <c r="S759" i="21"/>
  <c r="R761" i="21"/>
  <c r="Q761" i="21"/>
  <c r="M761" i="21" s="1"/>
  <c r="S761" i="21"/>
  <c r="R762" i="21"/>
  <c r="Q762" i="21"/>
  <c r="M762" i="21" s="1"/>
  <c r="S762" i="21"/>
  <c r="N764" i="21"/>
  <c r="I881" i="14"/>
  <c r="I877" i="14"/>
  <c r="I879" i="14"/>
  <c r="Z762" i="21" l="1"/>
  <c r="X762" i="21"/>
  <c r="W761" i="21"/>
  <c r="W760" i="21"/>
  <c r="W759" i="21"/>
  <c r="U756" i="21"/>
  <c r="U755" i="21"/>
  <c r="U758" i="21"/>
  <c r="U757" i="21"/>
  <c r="U754" i="21"/>
  <c r="T761" i="21"/>
  <c r="P761" i="21" s="1"/>
  <c r="O761" i="21"/>
  <c r="T759" i="21"/>
  <c r="P759" i="21" s="1"/>
  <c r="O759" i="21"/>
  <c r="T762" i="21"/>
  <c r="P762" i="21" s="1"/>
  <c r="O762" i="21"/>
  <c r="R764" i="21"/>
  <c r="Q764" i="21"/>
  <c r="M764" i="21" s="1"/>
  <c r="S764" i="21"/>
  <c r="N765" i="21"/>
  <c r="N763" i="21"/>
  <c r="N767" i="21"/>
  <c r="I886" i="14"/>
  <c r="Z765" i="21" l="1"/>
  <c r="Z764" i="21"/>
  <c r="Z763" i="21"/>
  <c r="U761" i="21"/>
  <c r="U760" i="21"/>
  <c r="U759" i="21"/>
  <c r="T764" i="21"/>
  <c r="P764" i="21" s="1"/>
  <c r="O764" i="21"/>
  <c r="R763" i="21"/>
  <c r="Q763" i="21"/>
  <c r="M763" i="21" s="1"/>
  <c r="X763" i="21" s="1"/>
  <c r="S763" i="21"/>
  <c r="R765" i="21"/>
  <c r="Q765" i="21"/>
  <c r="M765" i="21" s="1"/>
  <c r="S765" i="21"/>
  <c r="R767" i="21"/>
  <c r="Q767" i="21"/>
  <c r="M767" i="21" s="1"/>
  <c r="S767" i="21"/>
  <c r="N766" i="21"/>
  <c r="N768" i="21"/>
  <c r="N769" i="21"/>
  <c r="I889" i="14"/>
  <c r="I890" i="14"/>
  <c r="I891" i="14"/>
  <c r="Z767" i="21" l="1"/>
  <c r="Z768" i="21"/>
  <c r="Z766" i="21"/>
  <c r="W765" i="21"/>
  <c r="W764" i="21"/>
  <c r="W763" i="21"/>
  <c r="T767" i="21"/>
  <c r="P767" i="21" s="1"/>
  <c r="O767" i="21"/>
  <c r="T765" i="21"/>
  <c r="P765" i="21" s="1"/>
  <c r="O765" i="21"/>
  <c r="T763" i="21"/>
  <c r="P763" i="21" s="1"/>
  <c r="O763" i="21"/>
  <c r="R768" i="21"/>
  <c r="Q768" i="21"/>
  <c r="M768" i="21" s="1"/>
  <c r="S768" i="21"/>
  <c r="R766" i="21"/>
  <c r="Q766" i="21"/>
  <c r="M766" i="21" s="1"/>
  <c r="X766" i="21" s="1"/>
  <c r="S766" i="21"/>
  <c r="R769" i="21"/>
  <c r="Q769" i="21"/>
  <c r="M769" i="21" s="1"/>
  <c r="X769" i="21" s="1"/>
  <c r="S769" i="21"/>
  <c r="N777" i="21"/>
  <c r="N774" i="21"/>
  <c r="N776" i="21"/>
  <c r="I892" i="14"/>
  <c r="I888" i="14"/>
  <c r="I894" i="14"/>
  <c r="Z769" i="21" l="1"/>
  <c r="Z771" i="21"/>
  <c r="Z770" i="21"/>
  <c r="W768" i="21"/>
  <c r="W767" i="21"/>
  <c r="W766" i="21"/>
  <c r="U765" i="21"/>
  <c r="U764" i="21"/>
  <c r="U763" i="21"/>
  <c r="T769" i="21"/>
  <c r="P769" i="21" s="1"/>
  <c r="O769" i="21"/>
  <c r="T766" i="21"/>
  <c r="P766" i="21" s="1"/>
  <c r="O766" i="21"/>
  <c r="T768" i="21"/>
  <c r="P768" i="21" s="1"/>
  <c r="O768" i="21"/>
  <c r="R776" i="21"/>
  <c r="S776" i="21"/>
  <c r="Q776" i="21"/>
  <c r="M776" i="21" s="1"/>
  <c r="R777" i="21"/>
  <c r="Q777" i="21"/>
  <c r="M777" i="21" s="1"/>
  <c r="S777" i="21"/>
  <c r="R774" i="21"/>
  <c r="Q774" i="21"/>
  <c r="M774" i="21" s="1"/>
  <c r="Z774" i="21" s="1"/>
  <c r="X774" i="21" s="1"/>
  <c r="S774" i="21"/>
  <c r="N778" i="21"/>
  <c r="I893" i="14"/>
  <c r="I897" i="14"/>
  <c r="I896" i="14"/>
  <c r="X770" i="21" l="1"/>
  <c r="X771" i="21"/>
  <c r="Z777" i="21"/>
  <c r="Z776" i="21"/>
  <c r="U768" i="21"/>
  <c r="U767" i="21"/>
  <c r="U766" i="21"/>
  <c r="T774" i="21"/>
  <c r="P774" i="21" s="1"/>
  <c r="O774" i="21"/>
  <c r="T777" i="21"/>
  <c r="P777" i="21" s="1"/>
  <c r="O777" i="21"/>
  <c r="T776" i="21"/>
  <c r="P776" i="21" s="1"/>
  <c r="O776" i="21"/>
  <c r="R778" i="21"/>
  <c r="Q778" i="21"/>
  <c r="M778" i="21" s="1"/>
  <c r="S778" i="21"/>
  <c r="N781" i="21"/>
  <c r="N779" i="21"/>
  <c r="N775" i="21"/>
  <c r="I899" i="14"/>
  <c r="I901" i="14"/>
  <c r="I900" i="14"/>
  <c r="Z779" i="21" l="1"/>
  <c r="Z775" i="21"/>
  <c r="Z778" i="21"/>
  <c r="T778" i="21"/>
  <c r="P778" i="21" s="1"/>
  <c r="O778" i="21"/>
  <c r="R779" i="21"/>
  <c r="Q779" i="21"/>
  <c r="M779" i="21" s="1"/>
  <c r="S779" i="21"/>
  <c r="R775" i="21"/>
  <c r="Q775" i="21"/>
  <c r="M775" i="21" s="1"/>
  <c r="X775" i="21" s="1"/>
  <c r="S775" i="21"/>
  <c r="R781" i="21"/>
  <c r="Q781" i="21"/>
  <c r="M781" i="21" s="1"/>
  <c r="S781" i="21"/>
  <c r="N780" i="21"/>
  <c r="N782" i="21"/>
  <c r="N783" i="21"/>
  <c r="N785" i="21"/>
  <c r="N786" i="21"/>
  <c r="I904" i="14"/>
  <c r="I898" i="14"/>
  <c r="I902" i="14"/>
  <c r="Z781" i="21" l="1"/>
  <c r="Z782" i="21"/>
  <c r="Z780" i="21"/>
  <c r="W777" i="21"/>
  <c r="W776" i="21"/>
  <c r="W779" i="21"/>
  <c r="W778" i="21"/>
  <c r="W775" i="21"/>
  <c r="T775" i="21"/>
  <c r="P775" i="21" s="1"/>
  <c r="O775" i="21"/>
  <c r="T781" i="21"/>
  <c r="P781" i="21" s="1"/>
  <c r="O781" i="21"/>
  <c r="T779" i="21"/>
  <c r="P779" i="21" s="1"/>
  <c r="O779" i="21"/>
  <c r="R786" i="21"/>
  <c r="S786" i="21"/>
  <c r="Q786" i="21"/>
  <c r="M786" i="21" s="1"/>
  <c r="R783" i="21"/>
  <c r="Q783" i="21"/>
  <c r="M783" i="21" s="1"/>
  <c r="S783" i="21"/>
  <c r="R785" i="21"/>
  <c r="Q785" i="21"/>
  <c r="M785" i="21" s="1"/>
  <c r="S785" i="21"/>
  <c r="R780" i="21"/>
  <c r="Q780" i="21"/>
  <c r="M780" i="21" s="1"/>
  <c r="X780" i="21" s="1"/>
  <c r="S780" i="21"/>
  <c r="R782" i="21"/>
  <c r="Q782" i="21"/>
  <c r="M782" i="21" s="1"/>
  <c r="S782" i="21"/>
  <c r="N787" i="21"/>
  <c r="I903" i="14"/>
  <c r="I905" i="14"/>
  <c r="I907" i="14"/>
  <c r="Z783" i="21" l="1"/>
  <c r="X783" i="21"/>
  <c r="Z786" i="21"/>
  <c r="Z785" i="21"/>
  <c r="W782" i="21"/>
  <c r="W781" i="21"/>
  <c r="W780" i="21"/>
  <c r="U779" i="21"/>
  <c r="U778" i="21"/>
  <c r="U775" i="21"/>
  <c r="U777" i="21"/>
  <c r="U776" i="21"/>
  <c r="T785" i="21"/>
  <c r="P785" i="21" s="1"/>
  <c r="O785" i="21"/>
  <c r="T780" i="21"/>
  <c r="P780" i="21" s="1"/>
  <c r="O780" i="21"/>
  <c r="T783" i="21"/>
  <c r="P783" i="21" s="1"/>
  <c r="O783" i="21"/>
  <c r="T786" i="21"/>
  <c r="P786" i="21" s="1"/>
  <c r="O786" i="21"/>
  <c r="T782" i="21"/>
  <c r="P782" i="21" s="1"/>
  <c r="O782" i="21"/>
  <c r="R787" i="21"/>
  <c r="Q787" i="21"/>
  <c r="M787" i="21" s="1"/>
  <c r="S787" i="21"/>
  <c r="N788" i="21"/>
  <c r="N784" i="21"/>
  <c r="N790" i="21"/>
  <c r="I919" i="14"/>
  <c r="I918" i="14"/>
  <c r="I920" i="14"/>
  <c r="Z787" i="21" l="1"/>
  <c r="Z788" i="21"/>
  <c r="Z784" i="21"/>
  <c r="U782" i="21"/>
  <c r="U781" i="21"/>
  <c r="U780" i="21"/>
  <c r="T787" i="21"/>
  <c r="P787" i="21" s="1"/>
  <c r="O787" i="21"/>
  <c r="R788" i="21"/>
  <c r="S788" i="21"/>
  <c r="Q788" i="21"/>
  <c r="M788" i="21" s="1"/>
  <c r="R790" i="21"/>
  <c r="Q790" i="21"/>
  <c r="M790" i="21" s="1"/>
  <c r="S790" i="21"/>
  <c r="R784" i="21"/>
  <c r="Q784" i="21"/>
  <c r="M784" i="21" s="1"/>
  <c r="X784" i="21" s="1"/>
  <c r="S784" i="21"/>
  <c r="N792" i="21"/>
  <c r="N789" i="21"/>
  <c r="N798" i="21"/>
  <c r="N799" i="21"/>
  <c r="N791" i="21"/>
  <c r="I915" i="14"/>
  <c r="I921" i="14"/>
  <c r="I923" i="14"/>
  <c r="Z789" i="21" l="1"/>
  <c r="Z791" i="21"/>
  <c r="Z790" i="21"/>
  <c r="W786" i="21"/>
  <c r="W785" i="21"/>
  <c r="W784" i="21"/>
  <c r="W788" i="21"/>
  <c r="W787" i="21"/>
  <c r="T784" i="21"/>
  <c r="P784" i="21" s="1"/>
  <c r="O784" i="21"/>
  <c r="T790" i="21"/>
  <c r="P790" i="21" s="1"/>
  <c r="O790" i="21"/>
  <c r="T788" i="21"/>
  <c r="P788" i="21" s="1"/>
  <c r="O788" i="21"/>
  <c r="R791" i="21"/>
  <c r="Q791" i="21"/>
  <c r="M791" i="21" s="1"/>
  <c r="S791" i="21"/>
  <c r="R798" i="21"/>
  <c r="S798" i="21"/>
  <c r="Q798" i="21"/>
  <c r="M798" i="21" s="1"/>
  <c r="R799" i="21"/>
  <c r="S799" i="21"/>
  <c r="Q799" i="21"/>
  <c r="M799" i="21" s="1"/>
  <c r="R792" i="21"/>
  <c r="S792" i="21"/>
  <c r="Q792" i="21"/>
  <c r="M792" i="21" s="1"/>
  <c r="R789" i="21"/>
  <c r="S789" i="21"/>
  <c r="Q789" i="21"/>
  <c r="M789" i="21" s="1"/>
  <c r="X789" i="21" s="1"/>
  <c r="N800" i="21"/>
  <c r="I924" i="14"/>
  <c r="I922" i="14"/>
  <c r="I930" i="14"/>
  <c r="X792" i="21" l="1"/>
  <c r="Z799" i="21"/>
  <c r="Z798" i="21"/>
  <c r="Z792" i="21"/>
  <c r="Z793" i="21"/>
  <c r="Z794" i="21"/>
  <c r="W791" i="21"/>
  <c r="W790" i="21"/>
  <c r="W789" i="21"/>
  <c r="U786" i="21"/>
  <c r="U785" i="21"/>
  <c r="U788" i="21"/>
  <c r="U787" i="21"/>
  <c r="U784" i="21"/>
  <c r="T792" i="21"/>
  <c r="P792" i="21" s="1"/>
  <c r="O792" i="21"/>
  <c r="T789" i="21"/>
  <c r="P789" i="21" s="1"/>
  <c r="O789" i="21"/>
  <c r="T799" i="21"/>
  <c r="P799" i="21" s="1"/>
  <c r="O799" i="21"/>
  <c r="T791" i="21"/>
  <c r="P791" i="21" s="1"/>
  <c r="O791" i="21"/>
  <c r="T798" i="21"/>
  <c r="P798" i="21" s="1"/>
  <c r="O798" i="21"/>
  <c r="R800" i="21"/>
  <c r="S800" i="21"/>
  <c r="Q800" i="21"/>
  <c r="M800" i="21" s="1"/>
  <c r="N803" i="21"/>
  <c r="N797" i="21"/>
  <c r="N801" i="21"/>
  <c r="I933" i="14"/>
  <c r="I931" i="14"/>
  <c r="I927" i="14"/>
  <c r="X793" i="21" l="1"/>
  <c r="X794" i="21"/>
  <c r="Z797" i="21"/>
  <c r="Z801" i="21"/>
  <c r="Z800" i="21"/>
  <c r="U791" i="21"/>
  <c r="U790" i="21"/>
  <c r="U789" i="21"/>
  <c r="T800" i="21"/>
  <c r="P800" i="21" s="1"/>
  <c r="O800" i="21"/>
  <c r="R801" i="21"/>
  <c r="S801" i="21"/>
  <c r="Q801" i="21"/>
  <c r="M801" i="21" s="1"/>
  <c r="R797" i="21"/>
  <c r="S797" i="21"/>
  <c r="Q797" i="21"/>
  <c r="M797" i="21" s="1"/>
  <c r="X797" i="21" s="1"/>
  <c r="R803" i="21"/>
  <c r="S803" i="21"/>
  <c r="Q803" i="21"/>
  <c r="M803" i="21" s="1"/>
  <c r="N802" i="21"/>
  <c r="N808" i="21"/>
  <c r="N804" i="21"/>
  <c r="I934" i="14"/>
  <c r="I932" i="14"/>
  <c r="I936" i="14"/>
  <c r="Z802" i="21" l="1"/>
  <c r="Z804" i="21"/>
  <c r="Z803" i="21"/>
  <c r="Z805" i="21"/>
  <c r="Z806" i="21"/>
  <c r="W799" i="21"/>
  <c r="W798" i="21"/>
  <c r="W801" i="21"/>
  <c r="W800" i="21"/>
  <c r="W797" i="21"/>
  <c r="T803" i="21"/>
  <c r="P803" i="21" s="1"/>
  <c r="O803" i="21"/>
  <c r="T797" i="21"/>
  <c r="P797" i="21" s="1"/>
  <c r="O797" i="21"/>
  <c r="T801" i="21"/>
  <c r="P801" i="21" s="1"/>
  <c r="O801" i="21"/>
  <c r="R804" i="21"/>
  <c r="S804" i="21"/>
  <c r="Q804" i="21"/>
  <c r="M804" i="21" s="1"/>
  <c r="R808" i="21"/>
  <c r="S808" i="21"/>
  <c r="Q808" i="21"/>
  <c r="M808" i="21" s="1"/>
  <c r="R802" i="21"/>
  <c r="S802" i="21"/>
  <c r="Q802" i="21"/>
  <c r="M802" i="21" s="1"/>
  <c r="X802" i="21" s="1"/>
  <c r="N807" i="21"/>
  <c r="N809" i="21"/>
  <c r="N811" i="21"/>
  <c r="I941" i="14"/>
  <c r="X805" i="21" l="1"/>
  <c r="X806" i="21"/>
  <c r="Z808" i="21"/>
  <c r="Z809" i="21"/>
  <c r="Z807" i="21"/>
  <c r="W804" i="21"/>
  <c r="W803" i="21"/>
  <c r="W802" i="21"/>
  <c r="U799" i="21"/>
  <c r="U798" i="21"/>
  <c r="U801" i="21"/>
  <c r="U800" i="21"/>
  <c r="U797" i="21"/>
  <c r="T802" i="21"/>
  <c r="P802" i="21" s="1"/>
  <c r="O802" i="21"/>
  <c r="T808" i="21"/>
  <c r="P808" i="21" s="1"/>
  <c r="O808" i="21"/>
  <c r="T804" i="21"/>
  <c r="P804" i="21" s="1"/>
  <c r="O804" i="21"/>
  <c r="R811" i="21"/>
  <c r="Q811" i="21"/>
  <c r="M811" i="21" s="1"/>
  <c r="S811" i="21"/>
  <c r="R807" i="21"/>
  <c r="S807" i="21"/>
  <c r="Q807" i="21"/>
  <c r="M807" i="21" s="1"/>
  <c r="X807" i="21" s="1"/>
  <c r="R809" i="21"/>
  <c r="S809" i="21"/>
  <c r="Q809" i="21"/>
  <c r="M809" i="21" s="1"/>
  <c r="N813" i="21"/>
  <c r="N810" i="21"/>
  <c r="N812" i="21"/>
  <c r="I946" i="14"/>
  <c r="I945" i="14"/>
  <c r="I944" i="14"/>
  <c r="Z811" i="21" l="1"/>
  <c r="Z812" i="21"/>
  <c r="Z810" i="21"/>
  <c r="W809" i="21"/>
  <c r="W808" i="21"/>
  <c r="W807" i="21"/>
  <c r="U804" i="21"/>
  <c r="U803" i="21"/>
  <c r="U802" i="21"/>
  <c r="T809" i="21"/>
  <c r="P809" i="21" s="1"/>
  <c r="O809" i="21"/>
  <c r="T807" i="21"/>
  <c r="P807" i="21" s="1"/>
  <c r="O807" i="21"/>
  <c r="T811" i="21"/>
  <c r="P811" i="21" s="1"/>
  <c r="O811" i="21"/>
  <c r="R813" i="21"/>
  <c r="S813" i="21"/>
  <c r="Q813" i="21"/>
  <c r="M813" i="21" s="1"/>
  <c r="R812" i="21"/>
  <c r="Q812" i="21"/>
  <c r="M812" i="21" s="1"/>
  <c r="S812" i="21"/>
  <c r="R810" i="21"/>
  <c r="S810" i="21"/>
  <c r="Q810" i="21"/>
  <c r="M810" i="21" s="1"/>
  <c r="X810" i="21" s="1"/>
  <c r="N820" i="21"/>
  <c r="N821" i="21"/>
  <c r="N818" i="21"/>
  <c r="I949" i="14"/>
  <c r="I947" i="14"/>
  <c r="I943" i="14"/>
  <c r="X813" i="21" l="1"/>
  <c r="Z813" i="21"/>
  <c r="Z814" i="21"/>
  <c r="Z815" i="21"/>
  <c r="W812" i="21"/>
  <c r="W811" i="21"/>
  <c r="W810" i="21"/>
  <c r="U809" i="21"/>
  <c r="U808" i="21"/>
  <c r="U807" i="21"/>
  <c r="T810" i="21"/>
  <c r="P810" i="21" s="1"/>
  <c r="O810" i="21"/>
  <c r="T812" i="21"/>
  <c r="P812" i="21" s="1"/>
  <c r="O812" i="21"/>
  <c r="T813" i="21"/>
  <c r="P813" i="21" s="1"/>
  <c r="O813" i="21"/>
  <c r="R821" i="21"/>
  <c r="S821" i="21"/>
  <c r="Q821" i="21"/>
  <c r="M821" i="21" s="1"/>
  <c r="R818" i="21"/>
  <c r="S818" i="21"/>
  <c r="Q818" i="21"/>
  <c r="M818" i="21" s="1"/>
  <c r="Z818" i="21" s="1"/>
  <c r="X818" i="21" s="1"/>
  <c r="R820" i="21"/>
  <c r="S820" i="21"/>
  <c r="Q820" i="21"/>
  <c r="M820" i="21" s="1"/>
  <c r="N822" i="21"/>
  <c r="I956" i="14"/>
  <c r="I951" i="14"/>
  <c r="I948" i="14"/>
  <c r="X814" i="21" l="1"/>
  <c r="X815" i="21"/>
  <c r="Z821" i="21"/>
  <c r="Z820" i="21"/>
  <c r="U811" i="21"/>
  <c r="U810" i="21"/>
  <c r="U812" i="21"/>
  <c r="T818" i="21"/>
  <c r="P818" i="21" s="1"/>
  <c r="O818" i="21"/>
  <c r="T820" i="21"/>
  <c r="P820" i="21" s="1"/>
  <c r="O820" i="21"/>
  <c r="T821" i="21"/>
  <c r="P821" i="21" s="1"/>
  <c r="O821" i="21"/>
  <c r="R822" i="21"/>
  <c r="S822" i="21"/>
  <c r="Q822" i="21"/>
  <c r="M822" i="21" s="1"/>
  <c r="N819" i="21"/>
  <c r="N825" i="21"/>
  <c r="N823" i="21"/>
  <c r="I957" i="14"/>
  <c r="I955" i="14"/>
  <c r="I960" i="14"/>
  <c r="Z823" i="21" l="1"/>
  <c r="Z819" i="21"/>
  <c r="Z822" i="21"/>
  <c r="T822" i="21"/>
  <c r="P822" i="21" s="1"/>
  <c r="O822" i="21"/>
  <c r="R819" i="21"/>
  <c r="S819" i="21"/>
  <c r="Q819" i="21"/>
  <c r="M819" i="21" s="1"/>
  <c r="X819" i="21" s="1"/>
  <c r="R823" i="21"/>
  <c r="S823" i="21"/>
  <c r="Q823" i="21"/>
  <c r="M823" i="21" s="1"/>
  <c r="R825" i="21"/>
  <c r="S825" i="21"/>
  <c r="Q825" i="21"/>
  <c r="M825" i="21" s="1"/>
  <c r="N826" i="21"/>
  <c r="N830" i="21"/>
  <c r="N824" i="21"/>
  <c r="I958" i="14"/>
  <c r="I968" i="14"/>
  <c r="I961" i="14"/>
  <c r="Z826" i="21" l="1"/>
  <c r="Z824" i="21"/>
  <c r="Z825" i="21"/>
  <c r="Z828" i="21"/>
  <c r="Z827" i="21"/>
  <c r="W821" i="21"/>
  <c r="W820" i="21"/>
  <c r="W823" i="21"/>
  <c r="W822" i="21"/>
  <c r="W819" i="21"/>
  <c r="T825" i="21"/>
  <c r="P825" i="21" s="1"/>
  <c r="O825" i="21"/>
  <c r="T823" i="21"/>
  <c r="P823" i="21" s="1"/>
  <c r="O823" i="21"/>
  <c r="T819" i="21"/>
  <c r="P819" i="21" s="1"/>
  <c r="O819" i="21"/>
  <c r="R824" i="21"/>
  <c r="S824" i="21"/>
  <c r="Q824" i="21"/>
  <c r="M824" i="21" s="1"/>
  <c r="X824" i="21" s="1"/>
  <c r="R830" i="21"/>
  <c r="S830" i="21"/>
  <c r="Q830" i="21"/>
  <c r="M830" i="21" s="1"/>
  <c r="R826" i="21"/>
  <c r="S826" i="21"/>
  <c r="Q826" i="21"/>
  <c r="M826" i="21" s="1"/>
  <c r="X828" i="21" s="1"/>
  <c r="N833" i="21"/>
  <c r="N831" i="21"/>
  <c r="N829" i="21"/>
  <c r="I978" i="14"/>
  <c r="Z829" i="21" l="1"/>
  <c r="Z830" i="21"/>
  <c r="Z831" i="21"/>
  <c r="W826" i="21"/>
  <c r="W825" i="21"/>
  <c r="W824" i="21"/>
  <c r="U820" i="21"/>
  <c r="U823" i="21"/>
  <c r="U822" i="21"/>
  <c r="U819" i="21"/>
  <c r="U821" i="21"/>
  <c r="T824" i="21"/>
  <c r="P824" i="21" s="1"/>
  <c r="O824" i="21"/>
  <c r="T826" i="21"/>
  <c r="P826" i="21" s="1"/>
  <c r="O826" i="21"/>
  <c r="T830" i="21"/>
  <c r="P830" i="21" s="1"/>
  <c r="O830" i="21"/>
  <c r="R833" i="21"/>
  <c r="Q833" i="21"/>
  <c r="M833" i="21" s="1"/>
  <c r="S833" i="21"/>
  <c r="R829" i="21"/>
  <c r="S829" i="21"/>
  <c r="Q829" i="21"/>
  <c r="M829" i="21" s="1"/>
  <c r="X829" i="21" s="1"/>
  <c r="R831" i="21"/>
  <c r="S831" i="21"/>
  <c r="Q831" i="21"/>
  <c r="M831" i="21" s="1"/>
  <c r="N834" i="21"/>
  <c r="N838" i="21"/>
  <c r="N832" i="21"/>
  <c r="I983" i="14"/>
  <c r="I979" i="14"/>
  <c r="Z834" i="21" l="1"/>
  <c r="Z832" i="21"/>
  <c r="Z833" i="21"/>
  <c r="Z835" i="21"/>
  <c r="Z836" i="21"/>
  <c r="Z837" i="21"/>
  <c r="W831" i="21"/>
  <c r="W830" i="21"/>
  <c r="W829" i="21"/>
  <c r="U826" i="21"/>
  <c r="U825" i="21"/>
  <c r="U824" i="21"/>
  <c r="T833" i="21"/>
  <c r="P833" i="21" s="1"/>
  <c r="O833" i="21"/>
  <c r="T831" i="21"/>
  <c r="P831" i="21" s="1"/>
  <c r="O831" i="21"/>
  <c r="T829" i="21"/>
  <c r="P829" i="21" s="1"/>
  <c r="O829" i="21"/>
  <c r="R838" i="21"/>
  <c r="S838" i="21"/>
  <c r="Q838" i="21"/>
  <c r="M838" i="21" s="1"/>
  <c r="R832" i="21"/>
  <c r="Q832" i="21"/>
  <c r="M832" i="21" s="1"/>
  <c r="X832" i="21" s="1"/>
  <c r="S832" i="21"/>
  <c r="R834" i="21"/>
  <c r="Q834" i="21"/>
  <c r="M834" i="21" s="1"/>
  <c r="X835" i="21" s="1"/>
  <c r="S834" i="21"/>
  <c r="N843" i="21"/>
  <c r="I980" i="14"/>
  <c r="I985" i="14"/>
  <c r="Z838" i="21" l="1"/>
  <c r="X838" i="21" s="1"/>
  <c r="Z839" i="21"/>
  <c r="Z841" i="21"/>
  <c r="Z840" i="21"/>
  <c r="W834" i="21"/>
  <c r="W833" i="21"/>
  <c r="W832" i="21"/>
  <c r="U831" i="21"/>
  <c r="U830" i="21"/>
  <c r="U829" i="21"/>
  <c r="T834" i="21"/>
  <c r="P834" i="21" s="1"/>
  <c r="O834" i="21"/>
  <c r="T832" i="21"/>
  <c r="P832" i="21" s="1"/>
  <c r="O832" i="21"/>
  <c r="T838" i="21"/>
  <c r="P838" i="21" s="1"/>
  <c r="O838" i="21"/>
  <c r="R843" i="21"/>
  <c r="S843" i="21"/>
  <c r="Q843" i="21"/>
  <c r="M843" i="21" s="1"/>
  <c r="Z843" i="21" s="1"/>
  <c r="X843" i="21" s="1"/>
  <c r="N845" i="21"/>
  <c r="N846" i="21"/>
  <c r="N844" i="21"/>
  <c r="I986" i="14"/>
  <c r="I988" i="14" s="1"/>
  <c r="N849" i="21" s="1"/>
  <c r="R849" i="21" l="1"/>
  <c r="Q849" i="21"/>
  <c r="M849" i="21" s="1"/>
  <c r="S849" i="21"/>
  <c r="X841" i="21"/>
  <c r="X839" i="21"/>
  <c r="X840" i="21"/>
  <c r="U834" i="21"/>
  <c r="U833" i="21"/>
  <c r="U832" i="21"/>
  <c r="T843" i="21"/>
  <c r="P843" i="21" s="1"/>
  <c r="O843" i="21"/>
  <c r="R844" i="21"/>
  <c r="S844" i="21"/>
  <c r="Q844" i="21"/>
  <c r="M844" i="21" s="1"/>
  <c r="Z844" i="21" s="1"/>
  <c r="X844" i="21" s="1"/>
  <c r="R846" i="21"/>
  <c r="S846" i="21"/>
  <c r="Q846" i="21"/>
  <c r="M846" i="21" s="1"/>
  <c r="R845" i="21"/>
  <c r="S845" i="21"/>
  <c r="Q845" i="21"/>
  <c r="M845" i="21" s="1"/>
  <c r="N847" i="21"/>
  <c r="I1051" i="14"/>
  <c r="I1013" i="14"/>
  <c r="I1035" i="14"/>
  <c r="I1045" i="14"/>
  <c r="I990" i="14"/>
  <c r="I992" i="14"/>
  <c r="I1002" i="14"/>
  <c r="I1025" i="14"/>
  <c r="T849" i="21" l="1"/>
  <c r="P849" i="21" s="1"/>
  <c r="O849" i="21"/>
  <c r="Z845" i="21"/>
  <c r="X845" i="21" s="1"/>
  <c r="Z846" i="21"/>
  <c r="X846" i="21" s="1"/>
  <c r="T845" i="21"/>
  <c r="P845" i="21" s="1"/>
  <c r="O845" i="21"/>
  <c r="T846" i="21"/>
  <c r="P846" i="21" s="1"/>
  <c r="O846" i="21"/>
  <c r="T844" i="21"/>
  <c r="P844" i="21" s="1"/>
  <c r="O844" i="21"/>
  <c r="R847" i="21"/>
  <c r="Q847" i="21"/>
  <c r="M847" i="21" s="1"/>
  <c r="Z847" i="21" s="1"/>
  <c r="X847" i="21" s="1"/>
  <c r="S847" i="21"/>
  <c r="N848" i="21"/>
  <c r="I1017" i="14"/>
  <c r="I1009" i="14"/>
  <c r="I1028" i="14"/>
  <c r="I1022" i="14"/>
  <c r="I1005" i="14"/>
  <c r="I999" i="14"/>
  <c r="I989" i="14"/>
  <c r="I995" i="14"/>
  <c r="I991" i="14"/>
  <c r="I1049" i="14"/>
  <c r="I1041" i="14"/>
  <c r="I1032" i="14"/>
  <c r="I1038" i="14"/>
  <c r="I1052" i="14"/>
  <c r="T847" i="21" l="1"/>
  <c r="P847" i="21" s="1"/>
  <c r="O847" i="21"/>
  <c r="R848" i="21"/>
  <c r="Q848" i="21"/>
  <c r="M848" i="21" s="1"/>
  <c r="S848" i="21"/>
  <c r="N851" i="21"/>
  <c r="N883" i="21"/>
  <c r="N863" i="21"/>
  <c r="N893" i="21"/>
  <c r="N853" i="21"/>
  <c r="N873" i="21"/>
  <c r="N901" i="21"/>
  <c r="N905" i="21"/>
  <c r="I993" i="14"/>
  <c r="I1071" i="14"/>
  <c r="I1090" i="14"/>
  <c r="Z848" i="21" l="1"/>
  <c r="X848" i="21" s="1"/>
  <c r="Z849" i="21"/>
  <c r="X849" i="21" s="1"/>
  <c r="T848" i="21"/>
  <c r="P848" i="21" s="1"/>
  <c r="O848" i="21"/>
  <c r="R905" i="21"/>
  <c r="S905" i="21"/>
  <c r="Q905" i="21"/>
  <c r="M905" i="21" s="1"/>
  <c r="R901" i="21"/>
  <c r="S901" i="21"/>
  <c r="Q901" i="21"/>
  <c r="M901" i="21" s="1"/>
  <c r="R873" i="21"/>
  <c r="S873" i="21"/>
  <c r="Q873" i="21"/>
  <c r="M873" i="21" s="1"/>
  <c r="R853" i="21"/>
  <c r="S853" i="21"/>
  <c r="Q853" i="21"/>
  <c r="M853" i="21" s="1"/>
  <c r="R893" i="21"/>
  <c r="Q893" i="21"/>
  <c r="M893" i="21" s="1"/>
  <c r="S893" i="21"/>
  <c r="R863" i="21"/>
  <c r="Q863" i="21"/>
  <c r="M863" i="21" s="1"/>
  <c r="S863" i="21"/>
  <c r="R883" i="21"/>
  <c r="Q883" i="21"/>
  <c r="M883" i="21" s="1"/>
  <c r="S883" i="21"/>
  <c r="R851" i="21"/>
  <c r="S851" i="21"/>
  <c r="Q851" i="21"/>
  <c r="M851" i="21" s="1"/>
  <c r="Z851" i="21" s="1"/>
  <c r="N870" i="21"/>
  <c r="N852" i="21"/>
  <c r="N856" i="21"/>
  <c r="N904" i="21"/>
  <c r="N890" i="21"/>
  <c r="N880" i="21"/>
  <c r="N860" i="21"/>
  <c r="N896" i="21"/>
  <c r="N906" i="21"/>
  <c r="N876" i="21"/>
  <c r="N850" i="21"/>
  <c r="N866" i="21"/>
  <c r="N925" i="21"/>
  <c r="N898" i="21"/>
  <c r="N886" i="21"/>
  <c r="I1099" i="14"/>
  <c r="I994" i="14"/>
  <c r="T853" i="21" l="1"/>
  <c r="P853" i="21" s="1"/>
  <c r="O853" i="21"/>
  <c r="T893" i="21"/>
  <c r="P893" i="21" s="1"/>
  <c r="O893" i="21"/>
  <c r="T905" i="21"/>
  <c r="P905" i="21" s="1"/>
  <c r="O905" i="21"/>
  <c r="T863" i="21"/>
  <c r="P863" i="21" s="1"/>
  <c r="O863" i="21"/>
  <c r="T873" i="21"/>
  <c r="P873" i="21" s="1"/>
  <c r="O873" i="21"/>
  <c r="T883" i="21"/>
  <c r="P883" i="21" s="1"/>
  <c r="O883" i="21"/>
  <c r="T851" i="21"/>
  <c r="P851" i="21" s="1"/>
  <c r="O851" i="21"/>
  <c r="T901" i="21"/>
  <c r="P901" i="21" s="1"/>
  <c r="O901" i="21"/>
  <c r="R866" i="21"/>
  <c r="S866" i="21"/>
  <c r="Q866" i="21"/>
  <c r="M866" i="21" s="1"/>
  <c r="R925" i="21"/>
  <c r="Q925" i="21"/>
  <c r="M925" i="21" s="1"/>
  <c r="S925" i="21"/>
  <c r="R898" i="21"/>
  <c r="S898" i="21"/>
  <c r="Q898" i="21"/>
  <c r="M898" i="21" s="1"/>
  <c r="R890" i="21"/>
  <c r="Q890" i="21"/>
  <c r="M890" i="21" s="1"/>
  <c r="S890" i="21"/>
  <c r="R856" i="21"/>
  <c r="Q856" i="21"/>
  <c r="M856" i="21" s="1"/>
  <c r="S856" i="21"/>
  <c r="R896" i="21"/>
  <c r="Q896" i="21"/>
  <c r="M896" i="21" s="1"/>
  <c r="S896" i="21"/>
  <c r="R852" i="21"/>
  <c r="S852" i="21"/>
  <c r="Q852" i="21"/>
  <c r="M852" i="21" s="1"/>
  <c r="Z852" i="21" s="1"/>
  <c r="R876" i="21"/>
  <c r="Q876" i="21"/>
  <c r="M876" i="21" s="1"/>
  <c r="S876" i="21"/>
  <c r="R880" i="21"/>
  <c r="S880" i="21"/>
  <c r="Q880" i="21"/>
  <c r="M880" i="21" s="1"/>
  <c r="R870" i="21"/>
  <c r="S870" i="21"/>
  <c r="Q870" i="21"/>
  <c r="M870" i="21" s="1"/>
  <c r="R850" i="21"/>
  <c r="S850" i="21"/>
  <c r="Q850" i="21"/>
  <c r="M850" i="21" s="1"/>
  <c r="X850" i="21" s="1"/>
  <c r="R860" i="21"/>
  <c r="S860" i="21"/>
  <c r="Q860" i="21"/>
  <c r="M860" i="21" s="1"/>
  <c r="R906" i="21"/>
  <c r="S906" i="21"/>
  <c r="Q906" i="21"/>
  <c r="M906" i="21" s="1"/>
  <c r="R904" i="21"/>
  <c r="Q904" i="21"/>
  <c r="M904" i="21" s="1"/>
  <c r="S904" i="21"/>
  <c r="R886" i="21"/>
  <c r="S886" i="21"/>
  <c r="Q886" i="21"/>
  <c r="M886" i="21" s="1"/>
  <c r="N854" i="21"/>
  <c r="N944" i="21"/>
  <c r="I997" i="14"/>
  <c r="I996" i="14"/>
  <c r="I1105" i="14"/>
  <c r="Z850" i="21" l="1"/>
  <c r="Z906" i="21"/>
  <c r="X906" i="21" s="1"/>
  <c r="Z907" i="21"/>
  <c r="Z908" i="21"/>
  <c r="Z909" i="21"/>
  <c r="Z925" i="21"/>
  <c r="X925" i="21" s="1"/>
  <c r="Z928" i="21"/>
  <c r="Z926" i="21"/>
  <c r="Z927" i="21"/>
  <c r="Z856" i="21"/>
  <c r="Z853" i="21"/>
  <c r="W876" i="21"/>
  <c r="W873" i="21"/>
  <c r="W870" i="21"/>
  <c r="W856" i="21"/>
  <c r="W853" i="21"/>
  <c r="W850" i="21"/>
  <c r="W866" i="21"/>
  <c r="W863" i="21"/>
  <c r="W860" i="21"/>
  <c r="W896" i="21"/>
  <c r="W893" i="21"/>
  <c r="W890" i="21"/>
  <c r="W904" i="21"/>
  <c r="W901" i="21"/>
  <c r="W898" i="21"/>
  <c r="W883" i="21"/>
  <c r="W880" i="21"/>
  <c r="W886" i="21"/>
  <c r="T876" i="21"/>
  <c r="P876" i="21" s="1"/>
  <c r="O876" i="21"/>
  <c r="T850" i="21"/>
  <c r="P850" i="21" s="1"/>
  <c r="O850" i="21"/>
  <c r="T886" i="21"/>
  <c r="P886" i="21" s="1"/>
  <c r="O886" i="21"/>
  <c r="T860" i="21"/>
  <c r="P860" i="21" s="1"/>
  <c r="O860" i="21"/>
  <c r="T870" i="21"/>
  <c r="P870" i="21" s="1"/>
  <c r="O870" i="21"/>
  <c r="T904" i="21"/>
  <c r="P904" i="21" s="1"/>
  <c r="O904" i="21"/>
  <c r="T906" i="21"/>
  <c r="P906" i="21" s="1"/>
  <c r="O906" i="21"/>
  <c r="T898" i="21"/>
  <c r="P898" i="21" s="1"/>
  <c r="O898" i="21"/>
  <c r="T866" i="21"/>
  <c r="P866" i="21" s="1"/>
  <c r="O866" i="21"/>
  <c r="T896" i="21"/>
  <c r="P896" i="21" s="1"/>
  <c r="O896" i="21"/>
  <c r="T856" i="21"/>
  <c r="P856" i="21" s="1"/>
  <c r="O856" i="21"/>
  <c r="T890" i="21"/>
  <c r="P890" i="21" s="1"/>
  <c r="O890" i="21"/>
  <c r="T880" i="21"/>
  <c r="P880" i="21" s="1"/>
  <c r="O880" i="21"/>
  <c r="T925" i="21"/>
  <c r="P925" i="21" s="1"/>
  <c r="O925" i="21"/>
  <c r="T852" i="21"/>
  <c r="P852" i="21" s="1"/>
  <c r="O852" i="21"/>
  <c r="R944" i="21"/>
  <c r="Q944" i="21"/>
  <c r="M944" i="21" s="1"/>
  <c r="S944" i="21"/>
  <c r="R854" i="21"/>
  <c r="S854" i="21"/>
  <c r="Q854" i="21"/>
  <c r="M854" i="21" s="1"/>
  <c r="Z854" i="21" s="1"/>
  <c r="N953" i="21"/>
  <c r="N855" i="21"/>
  <c r="N857" i="21"/>
  <c r="I1118" i="14"/>
  <c r="I1000" i="14"/>
  <c r="I998" i="14"/>
  <c r="X908" i="21" l="1"/>
  <c r="X909" i="21"/>
  <c r="X907" i="21"/>
  <c r="X927" i="21"/>
  <c r="X926" i="21"/>
  <c r="X928" i="21"/>
  <c r="Z944" i="21"/>
  <c r="X944" i="21" s="1"/>
  <c r="Z946" i="21"/>
  <c r="Z945" i="21"/>
  <c r="Z947" i="21"/>
  <c r="U896" i="21"/>
  <c r="U893" i="21"/>
  <c r="U890" i="21"/>
  <c r="U898" i="21"/>
  <c r="U904" i="21"/>
  <c r="U901" i="21"/>
  <c r="U886" i="21"/>
  <c r="U883" i="21"/>
  <c r="U880" i="21"/>
  <c r="U866" i="21"/>
  <c r="U863" i="21"/>
  <c r="U860" i="21"/>
  <c r="U856" i="21"/>
  <c r="U853" i="21"/>
  <c r="U850" i="21"/>
  <c r="U870" i="21"/>
  <c r="U876" i="21"/>
  <c r="U873" i="21"/>
  <c r="T854" i="21"/>
  <c r="P854" i="21" s="1"/>
  <c r="O854" i="21"/>
  <c r="T944" i="21"/>
  <c r="P944" i="21" s="1"/>
  <c r="O944" i="21"/>
  <c r="R953" i="21"/>
  <c r="S953" i="21"/>
  <c r="Q953" i="21"/>
  <c r="M953" i="21" s="1"/>
  <c r="R857" i="21"/>
  <c r="S857" i="21"/>
  <c r="Q857" i="21"/>
  <c r="M857" i="21" s="1"/>
  <c r="R855" i="21"/>
  <c r="Q855" i="21"/>
  <c r="M855" i="21" s="1"/>
  <c r="Z855" i="21" s="1"/>
  <c r="S855" i="21"/>
  <c r="N858" i="21"/>
  <c r="N958" i="21"/>
  <c r="N859" i="21"/>
  <c r="I1001" i="14"/>
  <c r="I1123" i="14"/>
  <c r="I1111" i="14"/>
  <c r="I1133" i="14"/>
  <c r="X946" i="21" l="1"/>
  <c r="X945" i="21"/>
  <c r="X947" i="21"/>
  <c r="Z857" i="21"/>
  <c r="Z953" i="21"/>
  <c r="Z956" i="21"/>
  <c r="Z957" i="21"/>
  <c r="Z955" i="21"/>
  <c r="T857" i="21"/>
  <c r="P857" i="21" s="1"/>
  <c r="O857" i="21"/>
  <c r="T953" i="21"/>
  <c r="P953" i="21" s="1"/>
  <c r="O953" i="21"/>
  <c r="T855" i="21"/>
  <c r="P855" i="21" s="1"/>
  <c r="O855" i="21"/>
  <c r="R858" i="21"/>
  <c r="S858" i="21"/>
  <c r="Q858" i="21"/>
  <c r="M858" i="21" s="1"/>
  <c r="R859" i="21"/>
  <c r="S859" i="21"/>
  <c r="Q859" i="21"/>
  <c r="M859" i="21" s="1"/>
  <c r="R958" i="21"/>
  <c r="Q958" i="21"/>
  <c r="M958" i="21" s="1"/>
  <c r="S958" i="21"/>
  <c r="N861" i="21"/>
  <c r="N968" i="21"/>
  <c r="I1156" i="14"/>
  <c r="I1138" i="14"/>
  <c r="I1127" i="14"/>
  <c r="I1139" i="14"/>
  <c r="I1003" i="14"/>
  <c r="X956" i="21" l="1"/>
  <c r="X957" i="21"/>
  <c r="X955" i="21"/>
  <c r="Z858" i="21"/>
  <c r="X858" i="21"/>
  <c r="Z859" i="21"/>
  <c r="Z958" i="21"/>
  <c r="X958" i="21" s="1"/>
  <c r="Z961" i="21"/>
  <c r="Z959" i="21"/>
  <c r="Z960" i="21"/>
  <c r="T958" i="21"/>
  <c r="P958" i="21" s="1"/>
  <c r="O958" i="21"/>
  <c r="T858" i="21"/>
  <c r="P858" i="21" s="1"/>
  <c r="O858" i="21"/>
  <c r="T859" i="21"/>
  <c r="P859" i="21" s="1"/>
  <c r="O859" i="21"/>
  <c r="R861" i="21"/>
  <c r="S861" i="21"/>
  <c r="Q861" i="21"/>
  <c r="M861" i="21" s="1"/>
  <c r="R968" i="21"/>
  <c r="S968" i="21"/>
  <c r="Q968" i="21"/>
  <c r="M968" i="21" s="1"/>
  <c r="N962" i="21"/>
  <c r="N973" i="21"/>
  <c r="N862" i="21"/>
  <c r="N989" i="21"/>
  <c r="N983" i="21"/>
  <c r="I1150" i="14"/>
  <c r="I1161" i="14"/>
  <c r="I1173" i="14"/>
  <c r="I1004" i="14"/>
  <c r="X961" i="21" l="1"/>
  <c r="X959" i="21"/>
  <c r="X960" i="21"/>
  <c r="Z861" i="21"/>
  <c r="X861" i="21"/>
  <c r="Z968" i="21"/>
  <c r="Z962" i="21"/>
  <c r="Z973" i="21"/>
  <c r="Z972" i="21"/>
  <c r="Z970" i="21"/>
  <c r="Z971" i="21"/>
  <c r="T968" i="21"/>
  <c r="P968" i="21" s="1"/>
  <c r="O968" i="21"/>
  <c r="T861" i="21"/>
  <c r="P861" i="21" s="1"/>
  <c r="O861" i="21"/>
  <c r="R983" i="21"/>
  <c r="Q983" i="21"/>
  <c r="M983" i="21" s="1"/>
  <c r="S983" i="21"/>
  <c r="R862" i="21"/>
  <c r="Q862" i="21"/>
  <c r="M862" i="21" s="1"/>
  <c r="S862" i="21"/>
  <c r="R973" i="21"/>
  <c r="Q973" i="21"/>
  <c r="M973" i="21" s="1"/>
  <c r="S973" i="21"/>
  <c r="R962" i="21"/>
  <c r="Q962" i="21"/>
  <c r="M962" i="21" s="1"/>
  <c r="X962" i="21" s="1"/>
  <c r="S962" i="21"/>
  <c r="R989" i="21"/>
  <c r="S989" i="21"/>
  <c r="Q989" i="21"/>
  <c r="M989" i="21" s="1"/>
  <c r="N988" i="21"/>
  <c r="N1006" i="21"/>
  <c r="N977" i="21"/>
  <c r="N864" i="21"/>
  <c r="I1007" i="14"/>
  <c r="I1006" i="14"/>
  <c r="I1179" i="14"/>
  <c r="I1181" i="14"/>
  <c r="I1165" i="14"/>
  <c r="X975" i="21" l="1"/>
  <c r="X976" i="21"/>
  <c r="X974" i="21"/>
  <c r="Z862" i="21"/>
  <c r="Z866" i="21"/>
  <c r="Z860" i="21"/>
  <c r="Z863" i="21"/>
  <c r="Z988" i="21"/>
  <c r="Z977" i="21"/>
  <c r="Z983" i="21"/>
  <c r="Z985" i="21"/>
  <c r="Z987" i="21"/>
  <c r="Z986" i="21"/>
  <c r="Z989" i="21"/>
  <c r="Z990" i="21"/>
  <c r="Z991" i="21"/>
  <c r="Z992" i="21"/>
  <c r="W973" i="21"/>
  <c r="W968" i="21"/>
  <c r="W962" i="21"/>
  <c r="T862" i="21"/>
  <c r="P862" i="21" s="1"/>
  <c r="O862" i="21"/>
  <c r="T989" i="21"/>
  <c r="P989" i="21" s="1"/>
  <c r="O989" i="21"/>
  <c r="T973" i="21"/>
  <c r="P973" i="21" s="1"/>
  <c r="O973" i="21"/>
  <c r="T962" i="21"/>
  <c r="P962" i="21" s="1"/>
  <c r="O962" i="21"/>
  <c r="T983" i="21"/>
  <c r="P983" i="21" s="1"/>
  <c r="O983" i="21"/>
  <c r="R864" i="21"/>
  <c r="S864" i="21"/>
  <c r="Q864" i="21"/>
  <c r="M864" i="21" s="1"/>
  <c r="Z864" i="21" s="1"/>
  <c r="R977" i="21"/>
  <c r="Q977" i="21"/>
  <c r="M977" i="21" s="1"/>
  <c r="X977" i="21" s="1"/>
  <c r="S977" i="21"/>
  <c r="R988" i="21"/>
  <c r="S988" i="21"/>
  <c r="Q988" i="21"/>
  <c r="M988" i="21" s="1"/>
  <c r="X989" i="21" s="1"/>
  <c r="R1006" i="21"/>
  <c r="S1006" i="21"/>
  <c r="Q1006" i="21"/>
  <c r="M1006" i="21" s="1"/>
  <c r="N1021" i="21"/>
  <c r="N1011" i="21"/>
  <c r="N867" i="21"/>
  <c r="N1000" i="21"/>
  <c r="N865" i="21"/>
  <c r="I1011" i="14"/>
  <c r="I1008" i="14"/>
  <c r="I1182" i="14"/>
  <c r="X992" i="21" l="1"/>
  <c r="X990" i="21"/>
  <c r="X991" i="21"/>
  <c r="Z1011" i="21"/>
  <c r="Z1000" i="21"/>
  <c r="Z1006" i="21"/>
  <c r="Z1010" i="21"/>
  <c r="Z1008" i="21"/>
  <c r="Z1009" i="21"/>
  <c r="W988" i="21"/>
  <c r="W983" i="21"/>
  <c r="W977" i="21"/>
  <c r="U973" i="21"/>
  <c r="U968" i="21"/>
  <c r="U962" i="21"/>
  <c r="T988" i="21"/>
  <c r="P988" i="21" s="1"/>
  <c r="O988" i="21"/>
  <c r="T977" i="21"/>
  <c r="P977" i="21" s="1"/>
  <c r="O977" i="21"/>
  <c r="T864" i="21"/>
  <c r="P864" i="21" s="1"/>
  <c r="O864" i="21"/>
  <c r="T1006" i="21"/>
  <c r="P1006" i="21" s="1"/>
  <c r="O1006" i="21"/>
  <c r="R867" i="21"/>
  <c r="S867" i="21"/>
  <c r="Q867" i="21"/>
  <c r="M867" i="21" s="1"/>
  <c r="R865" i="21"/>
  <c r="S865" i="21"/>
  <c r="Q865" i="21"/>
  <c r="M865" i="21" s="1"/>
  <c r="Z865" i="21" s="1"/>
  <c r="R1011" i="21"/>
  <c r="S1011" i="21"/>
  <c r="Q1011" i="21"/>
  <c r="M1011" i="21" s="1"/>
  <c r="R1000" i="21"/>
  <c r="S1000" i="21"/>
  <c r="Q1000" i="21"/>
  <c r="M1000" i="21" s="1"/>
  <c r="X1000" i="21" s="1"/>
  <c r="R1021" i="21"/>
  <c r="Q1021" i="21"/>
  <c r="M1021" i="21" s="1"/>
  <c r="S1021" i="21"/>
  <c r="N1026" i="21"/>
  <c r="N1015" i="21"/>
  <c r="N869" i="21"/>
  <c r="N1027" i="21"/>
  <c r="N868" i="21"/>
  <c r="I1012" i="14"/>
  <c r="I1195" i="14"/>
  <c r="X1014" i="21" l="1"/>
  <c r="X1013" i="21"/>
  <c r="X1012" i="21"/>
  <c r="Z867" i="21"/>
  <c r="Z1021" i="21"/>
  <c r="Z1026" i="21"/>
  <c r="Z1015" i="21"/>
  <c r="Z1023" i="21"/>
  <c r="Z1025" i="21"/>
  <c r="Z1024" i="21"/>
  <c r="W1011" i="21"/>
  <c r="W1006" i="21"/>
  <c r="W1000" i="21"/>
  <c r="U988" i="21"/>
  <c r="U983" i="21"/>
  <c r="U977" i="21"/>
  <c r="T1011" i="21"/>
  <c r="P1011" i="21" s="1"/>
  <c r="O1011" i="21"/>
  <c r="T1000" i="21"/>
  <c r="P1000" i="21" s="1"/>
  <c r="O1000" i="21"/>
  <c r="T865" i="21"/>
  <c r="P865" i="21" s="1"/>
  <c r="O865" i="21"/>
  <c r="T867" i="21"/>
  <c r="P867" i="21" s="1"/>
  <c r="O867" i="21"/>
  <c r="T1021" i="21"/>
  <c r="P1021" i="21" s="1"/>
  <c r="O1021" i="21"/>
  <c r="R1015" i="21"/>
  <c r="S1015" i="21"/>
  <c r="Q1015" i="21"/>
  <c r="M1015" i="21" s="1"/>
  <c r="X1015" i="21" s="1"/>
  <c r="R868" i="21"/>
  <c r="Q868" i="21"/>
  <c r="M868" i="21" s="1"/>
  <c r="S868" i="21"/>
  <c r="R1027" i="21"/>
  <c r="Q1027" i="21"/>
  <c r="M1027" i="21" s="1"/>
  <c r="S1027" i="21"/>
  <c r="R1026" i="21"/>
  <c r="Q1026" i="21"/>
  <c r="M1026" i="21" s="1"/>
  <c r="S1026" i="21"/>
  <c r="R869" i="21"/>
  <c r="Q869" i="21"/>
  <c r="M869" i="21" s="1"/>
  <c r="Z869" i="21" s="1"/>
  <c r="S869" i="21"/>
  <c r="N871" i="21"/>
  <c r="N1028" i="21"/>
  <c r="I1015" i="14"/>
  <c r="I1202" i="14"/>
  <c r="Z1027" i="21" l="1"/>
  <c r="X1027" i="21"/>
  <c r="Z868" i="21"/>
  <c r="X868" i="21"/>
  <c r="W1026" i="21"/>
  <c r="W1021" i="21"/>
  <c r="W1015" i="21"/>
  <c r="U1011" i="21"/>
  <c r="U1006" i="21"/>
  <c r="U1000" i="21"/>
  <c r="T1027" i="21"/>
  <c r="P1027" i="21" s="1"/>
  <c r="O1027" i="21"/>
  <c r="T1015" i="21"/>
  <c r="P1015" i="21" s="1"/>
  <c r="O1015" i="21"/>
  <c r="T868" i="21"/>
  <c r="P868" i="21" s="1"/>
  <c r="O868" i="21"/>
  <c r="T1026" i="21"/>
  <c r="P1026" i="21" s="1"/>
  <c r="O1026" i="21"/>
  <c r="T869" i="21"/>
  <c r="P869" i="21" s="1"/>
  <c r="O869" i="21"/>
  <c r="R1028" i="21"/>
  <c r="Q1028" i="21"/>
  <c r="M1028" i="21" s="1"/>
  <c r="S1028" i="21"/>
  <c r="R871" i="21"/>
  <c r="S871" i="21"/>
  <c r="Q871" i="21"/>
  <c r="M871" i="21" s="1"/>
  <c r="N872" i="21"/>
  <c r="N1040" i="21"/>
  <c r="I1196" i="14"/>
  <c r="I1217" i="14"/>
  <c r="I1207" i="14"/>
  <c r="I1016" i="14"/>
  <c r="Z871" i="21" l="1"/>
  <c r="X871" i="21"/>
  <c r="Z1028" i="21"/>
  <c r="X1028" i="21" s="1"/>
  <c r="Z1029" i="21"/>
  <c r="Z1030" i="21"/>
  <c r="Z1031" i="21"/>
  <c r="U1026" i="21"/>
  <c r="U1021" i="21"/>
  <c r="U1015" i="21"/>
  <c r="T871" i="21"/>
  <c r="P871" i="21" s="1"/>
  <c r="O871" i="21"/>
  <c r="T1028" i="21"/>
  <c r="P1028" i="21" s="1"/>
  <c r="O1028" i="21"/>
  <c r="R872" i="21"/>
  <c r="S872" i="21"/>
  <c r="Q872" i="21"/>
  <c r="M872" i="21" s="1"/>
  <c r="R1040" i="21"/>
  <c r="S1040" i="21"/>
  <c r="Q1040" i="21"/>
  <c r="M1040" i="21" s="1"/>
  <c r="N874" i="21"/>
  <c r="N1047" i="21"/>
  <c r="I1211" i="14"/>
  <c r="I1223" i="14"/>
  <c r="I1222" i="14"/>
  <c r="I1240" i="14"/>
  <c r="I1018" i="14"/>
  <c r="I1019" i="14"/>
  <c r="X1031" i="21" l="1"/>
  <c r="X1029" i="21"/>
  <c r="X1030" i="21"/>
  <c r="Z872" i="21"/>
  <c r="Z876" i="21"/>
  <c r="Z873" i="21"/>
  <c r="Z870" i="21"/>
  <c r="Z1040" i="21"/>
  <c r="X1040" i="21" s="1"/>
  <c r="Z1043" i="21"/>
  <c r="Z1044" i="21"/>
  <c r="Z1042" i="21"/>
  <c r="T872" i="21"/>
  <c r="P872" i="21" s="1"/>
  <c r="O872" i="21"/>
  <c r="T1040" i="21"/>
  <c r="P1040" i="21" s="1"/>
  <c r="O1040" i="21"/>
  <c r="R1047" i="21"/>
  <c r="Q1047" i="21"/>
  <c r="M1047" i="21" s="1"/>
  <c r="S1047" i="21"/>
  <c r="R874" i="21"/>
  <c r="Q874" i="21"/>
  <c r="M874" i="21" s="1"/>
  <c r="Z874" i="21" s="1"/>
  <c r="S874" i="21"/>
  <c r="N877" i="21"/>
  <c r="N875" i="21"/>
  <c r="N1041" i="21"/>
  <c r="N1062" i="21"/>
  <c r="N1052" i="21"/>
  <c r="N1068" i="21"/>
  <c r="I1257" i="14"/>
  <c r="I1246" i="14"/>
  <c r="I1234" i="14"/>
  <c r="I1020" i="14"/>
  <c r="I1023" i="14"/>
  <c r="Z1041" i="21" l="1"/>
  <c r="Z1047" i="21"/>
  <c r="Z1052" i="21"/>
  <c r="Z1049" i="21"/>
  <c r="Z1050" i="21"/>
  <c r="Z1051" i="21"/>
  <c r="T874" i="21"/>
  <c r="P874" i="21" s="1"/>
  <c r="O874" i="21"/>
  <c r="T1047" i="21"/>
  <c r="P1047" i="21" s="1"/>
  <c r="O1047" i="21"/>
  <c r="R1052" i="21"/>
  <c r="S1052" i="21"/>
  <c r="Q1052" i="21"/>
  <c r="M1052" i="21" s="1"/>
  <c r="R1062" i="21"/>
  <c r="Q1062" i="21"/>
  <c r="M1062" i="21" s="1"/>
  <c r="S1062" i="21"/>
  <c r="R1041" i="21"/>
  <c r="Q1041" i="21"/>
  <c r="M1041" i="21" s="1"/>
  <c r="X1041" i="21" s="1"/>
  <c r="S1041" i="21"/>
  <c r="R1068" i="21"/>
  <c r="Q1068" i="21"/>
  <c r="M1068" i="21" s="1"/>
  <c r="S1068" i="21"/>
  <c r="R875" i="21"/>
  <c r="S875" i="21"/>
  <c r="Q875" i="21"/>
  <c r="M875" i="21" s="1"/>
  <c r="Z875" i="21" s="1"/>
  <c r="R877" i="21"/>
  <c r="S877" i="21"/>
  <c r="Q877" i="21"/>
  <c r="M877" i="21" s="1"/>
  <c r="Z877" i="21" s="1"/>
  <c r="N1085" i="21"/>
  <c r="N878" i="21"/>
  <c r="N879" i="21"/>
  <c r="N1067" i="21"/>
  <c r="N1056" i="21"/>
  <c r="I1262" i="14"/>
  <c r="I1263" i="14"/>
  <c r="I1250" i="14"/>
  <c r="I1024" i="14"/>
  <c r="X1055" i="21" l="1"/>
  <c r="X1053" i="21"/>
  <c r="X1054" i="21"/>
  <c r="Z1067" i="21"/>
  <c r="Z1056" i="21"/>
  <c r="Z1062" i="21"/>
  <c r="Z1066" i="21"/>
  <c r="Z1065" i="21"/>
  <c r="Z1064" i="21"/>
  <c r="Z1068" i="21"/>
  <c r="Z1071" i="21"/>
  <c r="Z1069" i="21"/>
  <c r="Z1070" i="21"/>
  <c r="W1041" i="21"/>
  <c r="W1052" i="21"/>
  <c r="W1047" i="21"/>
  <c r="T1068" i="21"/>
  <c r="P1068" i="21" s="1"/>
  <c r="O1068" i="21"/>
  <c r="T875" i="21"/>
  <c r="P875" i="21" s="1"/>
  <c r="O875" i="21"/>
  <c r="T1041" i="21"/>
  <c r="P1041" i="21" s="1"/>
  <c r="O1041" i="21"/>
  <c r="T1062" i="21"/>
  <c r="P1062" i="21" s="1"/>
  <c r="O1062" i="21"/>
  <c r="T1052" i="21"/>
  <c r="P1052" i="21" s="1"/>
  <c r="O1052" i="21"/>
  <c r="T877" i="21"/>
  <c r="P877" i="21" s="1"/>
  <c r="O877" i="21"/>
  <c r="R1085" i="21"/>
  <c r="S1085" i="21"/>
  <c r="Q1085" i="21"/>
  <c r="M1085" i="21" s="1"/>
  <c r="R878" i="21"/>
  <c r="S878" i="21"/>
  <c r="Q878" i="21"/>
  <c r="M878" i="21" s="1"/>
  <c r="R1056" i="21"/>
  <c r="Q1056" i="21"/>
  <c r="M1056" i="21" s="1"/>
  <c r="X1056" i="21" s="1"/>
  <c r="S1056" i="21"/>
  <c r="R1067" i="21"/>
  <c r="Q1067" i="21"/>
  <c r="M1067" i="21" s="1"/>
  <c r="X1068" i="21" s="1"/>
  <c r="S1067" i="21"/>
  <c r="R879" i="21"/>
  <c r="S879" i="21"/>
  <c r="Q879" i="21"/>
  <c r="M879" i="21" s="1"/>
  <c r="N1079" i="21"/>
  <c r="N1090" i="21"/>
  <c r="N881" i="21"/>
  <c r="N1100" i="21"/>
  <c r="I1269" i="14"/>
  <c r="I1026" i="14"/>
  <c r="X1070" i="21" l="1"/>
  <c r="X1071" i="21"/>
  <c r="X1069" i="21"/>
  <c r="Z879" i="21"/>
  <c r="Z878" i="21"/>
  <c r="X878" i="21"/>
  <c r="Z1090" i="21"/>
  <c r="Z1085" i="21"/>
  <c r="Z1079" i="21"/>
  <c r="Z1089" i="21"/>
  <c r="Z1088" i="21"/>
  <c r="Z1087" i="21"/>
  <c r="W1067" i="21"/>
  <c r="W1062" i="21"/>
  <c r="W1056" i="21"/>
  <c r="U1052" i="21"/>
  <c r="U1047" i="21"/>
  <c r="U1041" i="21"/>
  <c r="T1085" i="21"/>
  <c r="P1085" i="21" s="1"/>
  <c r="O1085" i="21"/>
  <c r="T1067" i="21"/>
  <c r="P1067" i="21" s="1"/>
  <c r="O1067" i="21"/>
  <c r="T878" i="21"/>
  <c r="P878" i="21" s="1"/>
  <c r="O878" i="21"/>
  <c r="T879" i="21"/>
  <c r="P879" i="21" s="1"/>
  <c r="O879" i="21"/>
  <c r="T1056" i="21"/>
  <c r="P1056" i="21" s="1"/>
  <c r="O1056" i="21"/>
  <c r="R1100" i="21"/>
  <c r="S1100" i="21"/>
  <c r="Q1100" i="21"/>
  <c r="M1100" i="21" s="1"/>
  <c r="R1079" i="21"/>
  <c r="S1079" i="21"/>
  <c r="Q1079" i="21"/>
  <c r="M1079" i="21" s="1"/>
  <c r="X1079" i="21" s="1"/>
  <c r="R881" i="21"/>
  <c r="S881" i="21"/>
  <c r="Q881" i="21"/>
  <c r="M881" i="21" s="1"/>
  <c r="R1090" i="21"/>
  <c r="S1090" i="21"/>
  <c r="Q1090" i="21"/>
  <c r="M1090" i="21" s="1"/>
  <c r="N1106" i="21"/>
  <c r="N1105" i="21"/>
  <c r="N882" i="21"/>
  <c r="N1094" i="21"/>
  <c r="I1027" i="14"/>
  <c r="I1278" i="14"/>
  <c r="X1093" i="21" l="1"/>
  <c r="X1091" i="21"/>
  <c r="X1092" i="21"/>
  <c r="Z881" i="21"/>
  <c r="X881" i="21"/>
  <c r="Z1094" i="21"/>
  <c r="Z1100" i="21"/>
  <c r="Z1105" i="21"/>
  <c r="Z1104" i="21"/>
  <c r="Z1102" i="21"/>
  <c r="Z1103" i="21"/>
  <c r="W1090" i="21"/>
  <c r="W1085" i="21"/>
  <c r="W1079" i="21"/>
  <c r="U1067" i="21"/>
  <c r="U1062" i="21"/>
  <c r="U1056" i="21"/>
  <c r="T881" i="21"/>
  <c r="P881" i="21" s="1"/>
  <c r="O881" i="21"/>
  <c r="T1100" i="21"/>
  <c r="P1100" i="21" s="1"/>
  <c r="O1100" i="21"/>
  <c r="T1079" i="21"/>
  <c r="P1079" i="21" s="1"/>
  <c r="O1079" i="21"/>
  <c r="T1090" i="21"/>
  <c r="P1090" i="21" s="1"/>
  <c r="O1090" i="21"/>
  <c r="R1105" i="21"/>
  <c r="Q1105" i="21"/>
  <c r="M1105" i="21" s="1"/>
  <c r="S1105" i="21"/>
  <c r="R882" i="21"/>
  <c r="Q882" i="21"/>
  <c r="M882" i="21" s="1"/>
  <c r="S882" i="21"/>
  <c r="R1094" i="21"/>
  <c r="Q1094" i="21"/>
  <c r="M1094" i="21" s="1"/>
  <c r="X1094" i="21" s="1"/>
  <c r="S1094" i="21"/>
  <c r="R1106" i="21"/>
  <c r="Q1106" i="21"/>
  <c r="M1106" i="21" s="1"/>
  <c r="X1106" i="21" s="1"/>
  <c r="S1106" i="21"/>
  <c r="N1110" i="21"/>
  <c r="N884" i="21"/>
  <c r="I1030" i="14"/>
  <c r="I1031" i="14" s="1"/>
  <c r="N889" i="21" s="1"/>
  <c r="I1029" i="14"/>
  <c r="I1290" i="14"/>
  <c r="Q889" i="21" l="1"/>
  <c r="M889" i="21" s="1"/>
  <c r="R889" i="21"/>
  <c r="S889" i="21"/>
  <c r="Z882" i="21"/>
  <c r="Z883" i="21"/>
  <c r="Z880" i="21"/>
  <c r="Z886" i="21"/>
  <c r="Z1106" i="21"/>
  <c r="Z1107" i="21"/>
  <c r="Z1108" i="21"/>
  <c r="Z1109" i="21"/>
  <c r="W1105" i="21"/>
  <c r="W1100" i="21"/>
  <c r="W1094" i="21"/>
  <c r="U1090" i="21"/>
  <c r="U1085" i="21"/>
  <c r="U1079" i="21"/>
  <c r="T1106" i="21"/>
  <c r="P1106" i="21" s="1"/>
  <c r="O1106" i="21"/>
  <c r="T882" i="21"/>
  <c r="P882" i="21" s="1"/>
  <c r="O882" i="21"/>
  <c r="T1094" i="21"/>
  <c r="P1094" i="21" s="1"/>
  <c r="O1094" i="21"/>
  <c r="T1105" i="21"/>
  <c r="P1105" i="21" s="1"/>
  <c r="O1105" i="21"/>
  <c r="R884" i="21"/>
  <c r="S884" i="21"/>
  <c r="Q884" i="21"/>
  <c r="M884" i="21" s="1"/>
  <c r="Z884" i="21" s="1"/>
  <c r="R1110" i="21"/>
  <c r="Q1110" i="21"/>
  <c r="M1110" i="21" s="1"/>
  <c r="S1110" i="21"/>
  <c r="N885" i="21"/>
  <c r="N887" i="21"/>
  <c r="N1119" i="21"/>
  <c r="I1291" i="14"/>
  <c r="I1033" i="14"/>
  <c r="X1109" i="21" l="1"/>
  <c r="X1107" i="21"/>
  <c r="X1108" i="21"/>
  <c r="T889" i="21"/>
  <c r="P889" i="21" s="1"/>
  <c r="O889" i="21"/>
  <c r="Z1110" i="21"/>
  <c r="X1110" i="21" s="1"/>
  <c r="Z1112" i="21"/>
  <c r="Z1111" i="21"/>
  <c r="Z1113" i="21"/>
  <c r="U1105" i="21"/>
  <c r="U1100" i="21"/>
  <c r="U1094" i="21"/>
  <c r="T1110" i="21"/>
  <c r="P1110" i="21" s="1"/>
  <c r="O1110" i="21"/>
  <c r="T884" i="21"/>
  <c r="P884" i="21" s="1"/>
  <c r="O884" i="21"/>
  <c r="R885" i="21"/>
  <c r="S885" i="21"/>
  <c r="Q885" i="21"/>
  <c r="M885" i="21" s="1"/>
  <c r="Z885" i="21" s="1"/>
  <c r="R1119" i="21"/>
  <c r="S1119" i="21"/>
  <c r="Q1119" i="21"/>
  <c r="M1119" i="21" s="1"/>
  <c r="R887" i="21"/>
  <c r="Q887" i="21"/>
  <c r="M887" i="21" s="1"/>
  <c r="S887" i="21"/>
  <c r="N888" i="21"/>
  <c r="N1128" i="21"/>
  <c r="I1034" i="14"/>
  <c r="I1295" i="14"/>
  <c r="X1112" i="21" l="1"/>
  <c r="X1113" i="21"/>
  <c r="X1111" i="21"/>
  <c r="Z887" i="21"/>
  <c r="Z1119" i="21"/>
  <c r="X1119" i="21" s="1"/>
  <c r="Z1120" i="21"/>
  <c r="Z1121" i="21"/>
  <c r="Z1122" i="21"/>
  <c r="T1119" i="21"/>
  <c r="P1119" i="21" s="1"/>
  <c r="O1119" i="21"/>
  <c r="T887" i="21"/>
  <c r="P887" i="21" s="1"/>
  <c r="O887" i="21"/>
  <c r="T885" i="21"/>
  <c r="P885" i="21" s="1"/>
  <c r="O885" i="21"/>
  <c r="R888" i="21"/>
  <c r="Q888" i="21"/>
  <c r="M888" i="21" s="1"/>
  <c r="S888" i="21"/>
  <c r="R1128" i="21"/>
  <c r="S1128" i="21"/>
  <c r="Q1128" i="21"/>
  <c r="M1128" i="21" s="1"/>
  <c r="Z1128" i="21" s="1"/>
  <c r="X1128" i="21" s="1"/>
  <c r="N1129" i="21"/>
  <c r="N891" i="21"/>
  <c r="I1303" i="14"/>
  <c r="I1036" i="14"/>
  <c r="X1122" i="21" l="1"/>
  <c r="X1120" i="21"/>
  <c r="X1121" i="21"/>
  <c r="Z888" i="21"/>
  <c r="X888" i="21"/>
  <c r="T1128" i="21"/>
  <c r="P1128" i="21" s="1"/>
  <c r="O1128" i="21"/>
  <c r="T888" i="21"/>
  <c r="P888" i="21" s="1"/>
  <c r="O888" i="21"/>
  <c r="R1129" i="21"/>
  <c r="S1129" i="21"/>
  <c r="Q1129" i="21"/>
  <c r="M1129" i="21" s="1"/>
  <c r="R891" i="21"/>
  <c r="S891" i="21"/>
  <c r="Q891" i="21"/>
  <c r="M891" i="21" s="1"/>
  <c r="N892" i="21"/>
  <c r="N1133" i="21"/>
  <c r="I1037" i="14"/>
  <c r="I1318" i="14"/>
  <c r="Z891" i="21" l="1"/>
  <c r="X891" i="21"/>
  <c r="Z1129" i="21"/>
  <c r="X1129" i="21" s="1"/>
  <c r="Z1130" i="21"/>
  <c r="Z1131" i="21"/>
  <c r="Z1132" i="21"/>
  <c r="T1129" i="21"/>
  <c r="P1129" i="21" s="1"/>
  <c r="O1129" i="21"/>
  <c r="T891" i="21"/>
  <c r="P891" i="21" s="1"/>
  <c r="O891" i="21"/>
  <c r="R1133" i="21"/>
  <c r="S1133" i="21"/>
  <c r="Q1133" i="21"/>
  <c r="M1133" i="21" s="1"/>
  <c r="X1134" i="21" s="1"/>
  <c r="R892" i="21"/>
  <c r="S892" i="21"/>
  <c r="Q892" i="21"/>
  <c r="M892" i="21" s="1"/>
  <c r="N1140" i="21"/>
  <c r="N894" i="21"/>
  <c r="I1324" i="14"/>
  <c r="I1039" i="14"/>
  <c r="X1130" i="21" l="1"/>
  <c r="X1131" i="21"/>
  <c r="X1132" i="21"/>
  <c r="Z892" i="21"/>
  <c r="Z893" i="21"/>
  <c r="Z896" i="21"/>
  <c r="Z890" i="21"/>
  <c r="Z1133" i="21"/>
  <c r="X1133" i="21" s="1"/>
  <c r="Z1135" i="21"/>
  <c r="Z1137" i="21"/>
  <c r="Z1136" i="21"/>
  <c r="T892" i="21"/>
  <c r="P892" i="21" s="1"/>
  <c r="O892" i="21"/>
  <c r="T1133" i="21"/>
  <c r="P1133" i="21" s="1"/>
  <c r="O1133" i="21"/>
  <c r="R894" i="21"/>
  <c r="S894" i="21"/>
  <c r="Q894" i="21"/>
  <c r="M894" i="21" s="1"/>
  <c r="Z894" i="21" s="1"/>
  <c r="R1140" i="21"/>
  <c r="Q1140" i="21"/>
  <c r="M1140" i="21" s="1"/>
  <c r="S1140" i="21"/>
  <c r="N895" i="21"/>
  <c r="N1155" i="21"/>
  <c r="I1042" i="14"/>
  <c r="I1342" i="14"/>
  <c r="Z1134" i="21" l="1"/>
  <c r="Z1140" i="21"/>
  <c r="Z1145" i="21"/>
  <c r="Z1144" i="21"/>
  <c r="Z1142" i="21"/>
  <c r="Z1143" i="21"/>
  <c r="T894" i="21"/>
  <c r="P894" i="21" s="1"/>
  <c r="O894" i="21"/>
  <c r="T1140" i="21"/>
  <c r="P1140" i="21" s="1"/>
  <c r="O1140" i="21"/>
  <c r="R895" i="21"/>
  <c r="Q895" i="21"/>
  <c r="M895" i="21" s="1"/>
  <c r="Z895" i="21" s="1"/>
  <c r="S895" i="21"/>
  <c r="R1155" i="21"/>
  <c r="Q1155" i="21"/>
  <c r="M1155" i="21" s="1"/>
  <c r="S1155" i="21"/>
  <c r="N897" i="21"/>
  <c r="N1161" i="21"/>
  <c r="I1347" i="14"/>
  <c r="I1335" i="14"/>
  <c r="I1358" i="14"/>
  <c r="I1044" i="14"/>
  <c r="Z1155" i="21" l="1"/>
  <c r="Z1160" i="21"/>
  <c r="Z1149" i="21"/>
  <c r="Z1159" i="21"/>
  <c r="Z1157" i="21"/>
  <c r="Z1158" i="21"/>
  <c r="T1155" i="21"/>
  <c r="P1155" i="21" s="1"/>
  <c r="O1155" i="21"/>
  <c r="T895" i="21"/>
  <c r="P895" i="21" s="1"/>
  <c r="O895" i="21"/>
  <c r="R897" i="21"/>
  <c r="S897" i="21"/>
  <c r="Q897" i="21"/>
  <c r="M897" i="21" s="1"/>
  <c r="R1161" i="21"/>
  <c r="S1161" i="21"/>
  <c r="Q1161" i="21"/>
  <c r="M1161" i="21" s="1"/>
  <c r="X1161" i="21" s="1"/>
  <c r="N899" i="21"/>
  <c r="N1178" i="21"/>
  <c r="I1046" i="14"/>
  <c r="I1364" i="14"/>
  <c r="I1351" i="14"/>
  <c r="I1365" i="14"/>
  <c r="Z897" i="21" l="1"/>
  <c r="X897" i="21"/>
  <c r="Z1161" i="21"/>
  <c r="Z1162" i="21"/>
  <c r="Z1164" i="21"/>
  <c r="Z1163" i="21"/>
  <c r="T1161" i="21"/>
  <c r="P1161" i="21" s="1"/>
  <c r="O1161" i="21"/>
  <c r="T897" i="21"/>
  <c r="P897" i="21" s="1"/>
  <c r="O897" i="21"/>
  <c r="R899" i="21"/>
  <c r="S899" i="21"/>
  <c r="Q899" i="21"/>
  <c r="M899" i="21" s="1"/>
  <c r="R1178" i="21"/>
  <c r="Q1178" i="21"/>
  <c r="M1178" i="21" s="1"/>
  <c r="S1178" i="21"/>
  <c r="N1193" i="21"/>
  <c r="N900" i="21"/>
  <c r="N1172" i="21"/>
  <c r="N1183" i="21"/>
  <c r="I1367" i="14"/>
  <c r="I1047" i="14"/>
  <c r="X1164" i="21" l="1"/>
  <c r="X1162" i="21"/>
  <c r="X1163" i="21"/>
  <c r="Z899" i="21"/>
  <c r="X899" i="21"/>
  <c r="Z1183" i="21"/>
  <c r="Z1172" i="21"/>
  <c r="Z1178" i="21"/>
  <c r="Z1182" i="21"/>
  <c r="Z1181" i="21"/>
  <c r="Z1180" i="21"/>
  <c r="T899" i="21"/>
  <c r="P899" i="21" s="1"/>
  <c r="O899" i="21"/>
  <c r="T1178" i="21"/>
  <c r="P1178" i="21" s="1"/>
  <c r="O1178" i="21"/>
  <c r="R1193" i="21"/>
  <c r="S1193" i="21"/>
  <c r="Q1193" i="21"/>
  <c r="M1193" i="21" s="1"/>
  <c r="R900" i="21"/>
  <c r="S900" i="21"/>
  <c r="Q900" i="21"/>
  <c r="M900" i="21" s="1"/>
  <c r="R1172" i="21"/>
  <c r="Q1172" i="21"/>
  <c r="M1172" i="21" s="1"/>
  <c r="X1172" i="21" s="1"/>
  <c r="S1172" i="21"/>
  <c r="R1183" i="21"/>
  <c r="Q1183" i="21"/>
  <c r="M1183" i="21" s="1"/>
  <c r="S1183" i="21"/>
  <c r="N1199" i="21"/>
  <c r="N902" i="21"/>
  <c r="N1198" i="21"/>
  <c r="N1187" i="21"/>
  <c r="N903" i="21"/>
  <c r="I1379" i="14"/>
  <c r="X1185" i="21" l="1"/>
  <c r="X1186" i="21"/>
  <c r="X1184" i="21"/>
  <c r="Z900" i="21"/>
  <c r="Z904" i="21"/>
  <c r="Z898" i="21"/>
  <c r="Z901" i="21"/>
  <c r="Z1198" i="21"/>
  <c r="Z1187" i="21"/>
  <c r="Z1193" i="21"/>
  <c r="Z1197" i="21"/>
  <c r="Z1195" i="21"/>
  <c r="Z1196" i="21"/>
  <c r="W1183" i="21"/>
  <c r="W1178" i="21"/>
  <c r="W1172" i="21"/>
  <c r="T1183" i="21"/>
  <c r="P1183" i="21" s="1"/>
  <c r="O1183" i="21"/>
  <c r="T900" i="21"/>
  <c r="P900" i="21" s="1"/>
  <c r="O900" i="21"/>
  <c r="T1172" i="21"/>
  <c r="P1172" i="21" s="1"/>
  <c r="O1172" i="21"/>
  <c r="T1193" i="21"/>
  <c r="P1193" i="21" s="1"/>
  <c r="O1193" i="21"/>
  <c r="R1199" i="21"/>
  <c r="S1199" i="21"/>
  <c r="Q1199" i="21"/>
  <c r="M1199" i="21" s="1"/>
  <c r="R1187" i="21"/>
  <c r="Q1187" i="21"/>
  <c r="M1187" i="21" s="1"/>
  <c r="X1187" i="21" s="1"/>
  <c r="S1187" i="21"/>
  <c r="R1198" i="21"/>
  <c r="Q1198" i="21"/>
  <c r="M1198" i="21" s="1"/>
  <c r="S1198" i="21"/>
  <c r="R902" i="21"/>
  <c r="S902" i="21"/>
  <c r="Q902" i="21"/>
  <c r="M902" i="21" s="1"/>
  <c r="Z902" i="21" s="1"/>
  <c r="R903" i="21"/>
  <c r="Q903" i="21"/>
  <c r="M903" i="21" s="1"/>
  <c r="X905" i="21" s="1"/>
  <c r="S903" i="21"/>
  <c r="N1201" i="21"/>
  <c r="I1386" i="14"/>
  <c r="Z1199" i="21" l="1"/>
  <c r="X1199" i="21"/>
  <c r="X1203" i="21"/>
  <c r="X1200" i="21"/>
  <c r="X1202" i="21"/>
  <c r="Z903" i="21"/>
  <c r="Z905" i="21"/>
  <c r="W1198" i="21"/>
  <c r="W1193" i="21"/>
  <c r="W1187" i="21"/>
  <c r="U1183" i="21"/>
  <c r="U1178" i="21"/>
  <c r="U1172" i="21"/>
  <c r="T902" i="21"/>
  <c r="P902" i="21" s="1"/>
  <c r="O902" i="21"/>
  <c r="T1199" i="21"/>
  <c r="P1199" i="21" s="1"/>
  <c r="O1199" i="21"/>
  <c r="T1198" i="21"/>
  <c r="P1198" i="21" s="1"/>
  <c r="O1198" i="21"/>
  <c r="T1187" i="21"/>
  <c r="P1187" i="21" s="1"/>
  <c r="O1187" i="21"/>
  <c r="T903" i="21"/>
  <c r="P903" i="21" s="1"/>
  <c r="O903" i="21"/>
  <c r="R1201" i="21"/>
  <c r="S1201" i="21"/>
  <c r="Q1201" i="21"/>
  <c r="M1201" i="21" s="1"/>
  <c r="N1212" i="21"/>
  <c r="I1380" i="14"/>
  <c r="I1399" i="14"/>
  <c r="I1391" i="14"/>
  <c r="Z1201" i="21" l="1"/>
  <c r="X1201" i="21" s="1"/>
  <c r="Z1203" i="21"/>
  <c r="Z1202" i="21"/>
  <c r="Z1200" i="21"/>
  <c r="U1198" i="21"/>
  <c r="U1193" i="21"/>
  <c r="U1187" i="21"/>
  <c r="T1201" i="21"/>
  <c r="P1201" i="21" s="1"/>
  <c r="O1201" i="21"/>
  <c r="R1212" i="21"/>
  <c r="Q1212" i="21"/>
  <c r="M1212" i="21" s="1"/>
  <c r="S1212" i="21"/>
  <c r="N1217" i="21"/>
  <c r="I1404" i="14"/>
  <c r="Z1212" i="21" l="1"/>
  <c r="X1212" i="21" s="1"/>
  <c r="Z1215" i="21"/>
  <c r="Z1214" i="21"/>
  <c r="Z1216" i="21"/>
  <c r="T1212" i="21"/>
  <c r="P1212" i="21" s="1"/>
  <c r="O1212" i="21"/>
  <c r="R1217" i="21"/>
  <c r="S1217" i="21"/>
  <c r="Q1217" i="21"/>
  <c r="M1217" i="21" s="1"/>
  <c r="N1229" i="21"/>
  <c r="N1221" i="21"/>
  <c r="N1213" i="21"/>
  <c r="I1413" i="14"/>
  <c r="Z1213" i="21" l="1"/>
  <c r="Z1221" i="21"/>
  <c r="Z1217" i="21"/>
  <c r="Z1220" i="21"/>
  <c r="Z1218" i="21"/>
  <c r="Z1219" i="21"/>
  <c r="T1217" i="21"/>
  <c r="P1217" i="21" s="1"/>
  <c r="O1217" i="21"/>
  <c r="R1213" i="21"/>
  <c r="Q1213" i="21"/>
  <c r="M1213" i="21" s="1"/>
  <c r="X1213" i="21" s="1"/>
  <c r="S1213" i="21"/>
  <c r="R1221" i="21"/>
  <c r="S1221" i="21"/>
  <c r="Q1221" i="21"/>
  <c r="M1221" i="21" s="1"/>
  <c r="R1229" i="21"/>
  <c r="Q1229" i="21"/>
  <c r="M1229" i="21" s="1"/>
  <c r="S1229" i="21"/>
  <c r="N1234" i="21"/>
  <c r="I1417" i="14"/>
  <c r="I1409" i="14"/>
  <c r="I1425" i="14"/>
  <c r="X1224" i="21" l="1"/>
  <c r="X1222" i="21"/>
  <c r="X1223" i="21"/>
  <c r="Z1233" i="21"/>
  <c r="Z1225" i="21"/>
  <c r="Z1229" i="21"/>
  <c r="Z1232" i="21"/>
  <c r="Z1230" i="21"/>
  <c r="Z1231" i="21"/>
  <c r="W1221" i="21"/>
  <c r="W1217" i="21"/>
  <c r="W1213" i="21"/>
  <c r="T1229" i="21"/>
  <c r="P1229" i="21" s="1"/>
  <c r="O1229" i="21"/>
  <c r="T1213" i="21"/>
  <c r="P1213" i="21" s="1"/>
  <c r="O1213" i="21"/>
  <c r="T1221" i="21"/>
  <c r="P1221" i="21" s="1"/>
  <c r="O1221" i="21"/>
  <c r="R1234" i="21"/>
  <c r="Q1234" i="21"/>
  <c r="M1234" i="21" s="1"/>
  <c r="X1234" i="21" s="1"/>
  <c r="S1234" i="21"/>
  <c r="N1242" i="21"/>
  <c r="I1430" i="14"/>
  <c r="I1421" i="14"/>
  <c r="I1429" i="14"/>
  <c r="Z1234" i="21" l="1"/>
  <c r="Z1237" i="21"/>
  <c r="Z1235" i="21"/>
  <c r="Z1236" i="21"/>
  <c r="U1221" i="21"/>
  <c r="U1217" i="21"/>
  <c r="U1213" i="21"/>
  <c r="T1234" i="21"/>
  <c r="P1234" i="21" s="1"/>
  <c r="O1234" i="21"/>
  <c r="R1242" i="21"/>
  <c r="S1242" i="21"/>
  <c r="Q1242" i="21"/>
  <c r="M1242" i="21" s="1"/>
  <c r="N1254" i="21"/>
  <c r="N1246" i="21"/>
  <c r="N1238" i="21"/>
  <c r="I1433" i="14"/>
  <c r="X1237" i="21" l="1"/>
  <c r="X1235" i="21"/>
  <c r="X1236" i="21"/>
  <c r="Z1246" i="21"/>
  <c r="Z1238" i="21"/>
  <c r="Z1242" i="21"/>
  <c r="Z1243" i="21"/>
  <c r="Z1244" i="21"/>
  <c r="Z1245" i="21"/>
  <c r="T1242" i="21"/>
  <c r="P1242" i="21" s="1"/>
  <c r="O1242" i="21"/>
  <c r="R1254" i="21"/>
  <c r="Q1254" i="21"/>
  <c r="M1254" i="21" s="1"/>
  <c r="S1254" i="21"/>
  <c r="R1238" i="21"/>
  <c r="S1238" i="21"/>
  <c r="Q1238" i="21"/>
  <c r="M1238" i="21" s="1"/>
  <c r="X1238" i="21" s="1"/>
  <c r="R1246" i="21"/>
  <c r="S1246" i="21"/>
  <c r="Q1246" i="21"/>
  <c r="M1246" i="21" s="1"/>
  <c r="N1259" i="21"/>
  <c r="N1250" i="21"/>
  <c r="N1258" i="21"/>
  <c r="I1439" i="14"/>
  <c r="X1249" i="21" l="1"/>
  <c r="X1247" i="21"/>
  <c r="X1248" i="21"/>
  <c r="Z1254" i="21"/>
  <c r="Z1250" i="21"/>
  <c r="Z1258" i="21"/>
  <c r="Z1255" i="21"/>
  <c r="Z1257" i="21"/>
  <c r="Z1256" i="21"/>
  <c r="W1246" i="21"/>
  <c r="W1242" i="21"/>
  <c r="W1238" i="21"/>
  <c r="T1238" i="21"/>
  <c r="P1238" i="21" s="1"/>
  <c r="O1238" i="21"/>
  <c r="T1246" i="21"/>
  <c r="P1246" i="21" s="1"/>
  <c r="O1246" i="21"/>
  <c r="T1254" i="21"/>
  <c r="P1254" i="21" s="1"/>
  <c r="O1254" i="21"/>
  <c r="R1258" i="21"/>
  <c r="Q1258" i="21"/>
  <c r="M1258" i="21" s="1"/>
  <c r="S1258" i="21"/>
  <c r="R1259" i="21"/>
  <c r="Q1259" i="21"/>
  <c r="M1259" i="21" s="1"/>
  <c r="S1259" i="21"/>
  <c r="R1250" i="21"/>
  <c r="Q1250" i="21"/>
  <c r="M1250" i="21" s="1"/>
  <c r="X1250" i="21" s="1"/>
  <c r="S1250" i="21"/>
  <c r="N1262" i="21"/>
  <c r="I1445" i="14"/>
  <c r="X1259" i="21" l="1"/>
  <c r="Z1259" i="21"/>
  <c r="Z1260" i="21"/>
  <c r="Z1261" i="21"/>
  <c r="W1258" i="21"/>
  <c r="W1254" i="21"/>
  <c r="W1250" i="21"/>
  <c r="U1246" i="21"/>
  <c r="U1242" i="21"/>
  <c r="U1238" i="21"/>
  <c r="T1250" i="21"/>
  <c r="P1250" i="21" s="1"/>
  <c r="O1250" i="21"/>
  <c r="T1258" i="21"/>
  <c r="P1258" i="21" s="1"/>
  <c r="O1258" i="21"/>
  <c r="T1259" i="21"/>
  <c r="P1259" i="21" s="1"/>
  <c r="O1259" i="21"/>
  <c r="R1262" i="21"/>
  <c r="S1262" i="21"/>
  <c r="Q1262" i="21"/>
  <c r="M1262" i="21" s="1"/>
  <c r="N1267" i="21"/>
  <c r="I1460" i="14"/>
  <c r="I1450" i="14"/>
  <c r="I1440" i="14"/>
  <c r="X1260" i="21" l="1"/>
  <c r="X1261" i="21"/>
  <c r="Z1262" i="21"/>
  <c r="X1262" i="21" s="1"/>
  <c r="Z1265" i="21"/>
  <c r="Z1264" i="21"/>
  <c r="Z1263" i="21"/>
  <c r="U1258" i="21"/>
  <c r="U1254" i="21"/>
  <c r="U1250" i="21"/>
  <c r="T1262" i="21"/>
  <c r="P1262" i="21" s="1"/>
  <c r="O1262" i="21"/>
  <c r="R1267" i="21"/>
  <c r="S1267" i="21"/>
  <c r="Q1267" i="21"/>
  <c r="M1267" i="21" s="1"/>
  <c r="N1272" i="21"/>
  <c r="I1465" i="14"/>
  <c r="I1466" i="14"/>
  <c r="I1454" i="14"/>
  <c r="X1263" i="21" l="1"/>
  <c r="X1264" i="21"/>
  <c r="X1265" i="21"/>
  <c r="Z1267" i="21"/>
  <c r="X1267" i="21" s="1"/>
  <c r="Z1271" i="21"/>
  <c r="Z1269" i="21"/>
  <c r="Z1270" i="21"/>
  <c r="T1267" i="21"/>
  <c r="P1267" i="21" s="1"/>
  <c r="O1267" i="21"/>
  <c r="R1272" i="21"/>
  <c r="Q1272" i="21"/>
  <c r="M1272" i="21" s="1"/>
  <c r="S1272" i="21"/>
  <c r="N1286" i="21"/>
  <c r="N1277" i="21"/>
  <c r="N1268" i="21"/>
  <c r="I1475" i="14"/>
  <c r="Z1277" i="21" l="1"/>
  <c r="Z1268" i="21"/>
  <c r="Z1272" i="21"/>
  <c r="Z1273" i="21"/>
  <c r="Z1274" i="21"/>
  <c r="Z1275" i="21"/>
  <c r="T1272" i="21"/>
  <c r="P1272" i="21" s="1"/>
  <c r="O1272" i="21"/>
  <c r="R1268" i="21"/>
  <c r="S1268" i="21"/>
  <c r="Q1268" i="21"/>
  <c r="M1268" i="21" s="1"/>
  <c r="X1268" i="21" s="1"/>
  <c r="R1286" i="21"/>
  <c r="S1286" i="21"/>
  <c r="Q1286" i="21"/>
  <c r="M1286" i="21" s="1"/>
  <c r="R1277" i="21"/>
  <c r="S1277" i="21"/>
  <c r="Q1277" i="21"/>
  <c r="M1277" i="21" s="1"/>
  <c r="N1290" i="21"/>
  <c r="N1291" i="21"/>
  <c r="N1281" i="21"/>
  <c r="I1487" i="14"/>
  <c r="I1479" i="14"/>
  <c r="I1471" i="14"/>
  <c r="X1279" i="21" l="1"/>
  <c r="X1280" i="21"/>
  <c r="X1278" i="21"/>
  <c r="Z1290" i="21"/>
  <c r="Z1286" i="21"/>
  <c r="Z1281" i="21"/>
  <c r="Z1289" i="21"/>
  <c r="Z1287" i="21"/>
  <c r="Z1288" i="21"/>
  <c r="W1277" i="21"/>
  <c r="W1272" i="21"/>
  <c r="W1268" i="21"/>
  <c r="T1277" i="21"/>
  <c r="P1277" i="21" s="1"/>
  <c r="O1277" i="21"/>
  <c r="T1286" i="21"/>
  <c r="P1286" i="21" s="1"/>
  <c r="O1286" i="21"/>
  <c r="T1268" i="21"/>
  <c r="P1268" i="21" s="1"/>
  <c r="O1268" i="21"/>
  <c r="R1291" i="21"/>
  <c r="S1291" i="21"/>
  <c r="Q1291" i="21"/>
  <c r="M1291" i="21" s="1"/>
  <c r="R1281" i="21"/>
  <c r="Q1281" i="21"/>
  <c r="M1281" i="21" s="1"/>
  <c r="X1281" i="21" s="1"/>
  <c r="S1281" i="21"/>
  <c r="R1290" i="21"/>
  <c r="S1290" i="21"/>
  <c r="Q1290" i="21"/>
  <c r="M1290" i="21" s="1"/>
  <c r="N1299" i="21"/>
  <c r="I1493" i="14"/>
  <c r="I1492" i="14"/>
  <c r="I1483" i="14"/>
  <c r="X1291" i="21" l="1"/>
  <c r="Z1291" i="21"/>
  <c r="Z1292" i="21"/>
  <c r="Z1293" i="21"/>
  <c r="Z1294" i="21"/>
  <c r="W1286" i="21"/>
  <c r="W1281" i="21"/>
  <c r="W1290" i="21"/>
  <c r="U1268" i="21"/>
  <c r="U1277" i="21"/>
  <c r="U1272" i="21"/>
  <c r="T1290" i="21"/>
  <c r="P1290" i="21" s="1"/>
  <c r="O1290" i="21"/>
  <c r="T1281" i="21"/>
  <c r="P1281" i="21" s="1"/>
  <c r="O1281" i="21"/>
  <c r="T1291" i="21"/>
  <c r="P1291" i="21" s="1"/>
  <c r="O1291" i="21"/>
  <c r="R1299" i="21"/>
  <c r="S1299" i="21"/>
  <c r="Q1299" i="21"/>
  <c r="M1299" i="21" s="1"/>
  <c r="N1303" i="21"/>
  <c r="N1311" i="21"/>
  <c r="N1295" i="21"/>
  <c r="I1501" i="14"/>
  <c r="X1294" i="21" l="1"/>
  <c r="X1292" i="21"/>
  <c r="X1293" i="21"/>
  <c r="Z1303" i="21"/>
  <c r="Z1299" i="21"/>
  <c r="Z1295" i="21"/>
  <c r="Z1300" i="21"/>
  <c r="Z1302" i="21"/>
  <c r="Z1301" i="21"/>
  <c r="U1290" i="21"/>
  <c r="U1286" i="21"/>
  <c r="U1281" i="21"/>
  <c r="R1311" i="21"/>
  <c r="Q1311" i="21"/>
  <c r="M1311" i="21" s="1"/>
  <c r="S1311" i="21"/>
  <c r="T1299" i="21"/>
  <c r="P1299" i="21" s="1"/>
  <c r="O1299" i="21"/>
  <c r="R1295" i="21"/>
  <c r="S1295" i="21"/>
  <c r="Q1295" i="21"/>
  <c r="M1295" i="21" s="1"/>
  <c r="X1295" i="21" s="1"/>
  <c r="R1303" i="21"/>
  <c r="Q1303" i="21"/>
  <c r="M1303" i="21" s="1"/>
  <c r="S1303" i="21"/>
  <c r="N1307" i="21"/>
  <c r="N1316" i="21"/>
  <c r="N1315" i="21"/>
  <c r="I1506" i="14"/>
  <c r="I1502" i="14"/>
  <c r="I1507" i="14"/>
  <c r="X1304" i="21" l="1"/>
  <c r="X1306" i="21"/>
  <c r="X1305" i="21"/>
  <c r="Z1315" i="21"/>
  <c r="Z1311" i="21"/>
  <c r="Z1307" i="21"/>
  <c r="Z1313" i="21"/>
  <c r="Z1314" i="21"/>
  <c r="Z1312" i="21"/>
  <c r="W1303" i="21"/>
  <c r="W1299" i="21"/>
  <c r="W1295" i="21"/>
  <c r="R1315" i="21"/>
  <c r="S1315" i="21"/>
  <c r="Q1315" i="21"/>
  <c r="M1315" i="21" s="1"/>
  <c r="T1303" i="21"/>
  <c r="P1303" i="21" s="1"/>
  <c r="O1303" i="21"/>
  <c r="R1316" i="21"/>
  <c r="S1316" i="21"/>
  <c r="Q1316" i="21"/>
  <c r="M1316" i="21" s="1"/>
  <c r="X1316" i="21" s="1"/>
  <c r="R1307" i="21"/>
  <c r="S1307" i="21"/>
  <c r="Q1307" i="21"/>
  <c r="M1307" i="21" s="1"/>
  <c r="X1307" i="21" s="1"/>
  <c r="T1295" i="21"/>
  <c r="P1295" i="21" s="1"/>
  <c r="O1295" i="21"/>
  <c r="T1311" i="21"/>
  <c r="P1311" i="21" s="1"/>
  <c r="O1311" i="21"/>
  <c r="N1327" i="21"/>
  <c r="N1328" i="21"/>
  <c r="N1324" i="21"/>
  <c r="I1508" i="14"/>
  <c r="Z1316" i="21" l="1"/>
  <c r="Z1318" i="21"/>
  <c r="Z1317" i="21"/>
  <c r="W1315" i="21"/>
  <c r="W1311" i="21"/>
  <c r="W1307" i="21"/>
  <c r="U1303" i="21"/>
  <c r="U1299" i="21"/>
  <c r="U1295" i="21"/>
  <c r="R1328" i="21"/>
  <c r="Q1328" i="21"/>
  <c r="M1328" i="21" s="1"/>
  <c r="S1328" i="21"/>
  <c r="T1307" i="21"/>
  <c r="P1307" i="21" s="1"/>
  <c r="O1307" i="21"/>
  <c r="R1324" i="21"/>
  <c r="S1324" i="21"/>
  <c r="Q1324" i="21"/>
  <c r="M1324" i="21" s="1"/>
  <c r="Z1324" i="21" s="1"/>
  <c r="X1324" i="21" s="1"/>
  <c r="R1327" i="21"/>
  <c r="Q1327" i="21"/>
  <c r="M1327" i="21" s="1"/>
  <c r="S1327" i="21"/>
  <c r="T1316" i="21"/>
  <c r="P1316" i="21" s="1"/>
  <c r="O1316" i="21"/>
  <c r="T1315" i="21"/>
  <c r="P1315" i="21" s="1"/>
  <c r="O1315" i="21"/>
  <c r="N1325" i="21"/>
  <c r="I1510" i="14"/>
  <c r="I1509" i="14"/>
  <c r="I1504" i="14"/>
  <c r="X1317" i="21" l="1"/>
  <c r="X1318" i="21"/>
  <c r="U1315" i="21"/>
  <c r="U1311" i="21"/>
  <c r="U1307" i="21"/>
  <c r="T1327" i="21"/>
  <c r="P1327" i="21" s="1"/>
  <c r="O1327" i="21"/>
  <c r="T1324" i="21"/>
  <c r="P1324" i="21" s="1"/>
  <c r="O1324" i="21"/>
  <c r="R1325" i="21"/>
  <c r="S1325" i="21"/>
  <c r="Q1325" i="21"/>
  <c r="M1325" i="21" s="1"/>
  <c r="Z1325" i="21" s="1"/>
  <c r="X1325" i="21" s="1"/>
  <c r="T1328" i="21"/>
  <c r="P1328" i="21" s="1"/>
  <c r="O1328" i="21"/>
  <c r="N1329" i="21"/>
  <c r="I1518" i="14"/>
  <c r="Z1327" i="21" l="1"/>
  <c r="Z1328" i="21"/>
  <c r="R1329" i="21"/>
  <c r="Q1329" i="21"/>
  <c r="M1329" i="21" s="1"/>
  <c r="S1329" i="21"/>
  <c r="T1325" i="21"/>
  <c r="P1325" i="21" s="1"/>
  <c r="O1325" i="21"/>
  <c r="N1331" i="21"/>
  <c r="N1330" i="21"/>
  <c r="N1326" i="21"/>
  <c r="I1521" i="14"/>
  <c r="I1520" i="14"/>
  <c r="I1522" i="14"/>
  <c r="Z1330" i="21" l="1"/>
  <c r="Z1326" i="21"/>
  <c r="Z1329" i="21"/>
  <c r="R1326" i="21"/>
  <c r="Q1326" i="21"/>
  <c r="M1326" i="21" s="1"/>
  <c r="X1326" i="21" s="1"/>
  <c r="S1326" i="21"/>
  <c r="R1330" i="21"/>
  <c r="Q1330" i="21"/>
  <c r="M1330" i="21" s="1"/>
  <c r="S1330" i="21"/>
  <c r="R1331" i="21"/>
  <c r="Q1331" i="21"/>
  <c r="M1331" i="21" s="1"/>
  <c r="X1331" i="21" s="1"/>
  <c r="S1331" i="21"/>
  <c r="T1329" i="21"/>
  <c r="P1329" i="21" s="1"/>
  <c r="O1329" i="21"/>
  <c r="N1339" i="21"/>
  <c r="N1341" i="21"/>
  <c r="N1342" i="21"/>
  <c r="I1524" i="14"/>
  <c r="I1519" i="14"/>
  <c r="I1523" i="14"/>
  <c r="Z1331" i="21" l="1"/>
  <c r="Z1332" i="21"/>
  <c r="Z1333" i="21"/>
  <c r="W1328" i="21"/>
  <c r="W1327" i="21"/>
  <c r="W1330" i="21"/>
  <c r="W1329" i="21"/>
  <c r="W1326" i="21"/>
  <c r="R1342" i="21"/>
  <c r="Q1342" i="21"/>
  <c r="M1342" i="21" s="1"/>
  <c r="S1342" i="21"/>
  <c r="R1339" i="21"/>
  <c r="Q1339" i="21"/>
  <c r="M1339" i="21" s="1"/>
  <c r="Z1339" i="21" s="1"/>
  <c r="X1339" i="21" s="1"/>
  <c r="S1339" i="21"/>
  <c r="T1331" i="21"/>
  <c r="P1331" i="21" s="1"/>
  <c r="O1331" i="21"/>
  <c r="T1326" i="21"/>
  <c r="P1326" i="21" s="1"/>
  <c r="O1326" i="21"/>
  <c r="T1330" i="21"/>
  <c r="P1330" i="21" s="1"/>
  <c r="O1330" i="21"/>
  <c r="R1341" i="21"/>
  <c r="Q1341" i="21"/>
  <c r="M1341" i="21" s="1"/>
  <c r="S1341" i="21"/>
  <c r="N1343" i="21"/>
  <c r="I1529" i="14"/>
  <c r="X1332" i="21" l="1"/>
  <c r="X1333" i="21"/>
  <c r="Z1342" i="21"/>
  <c r="Z1341" i="21"/>
  <c r="U1330" i="21"/>
  <c r="U1329" i="21"/>
  <c r="U1326" i="21"/>
  <c r="U1328" i="21"/>
  <c r="U1327" i="21"/>
  <c r="R1343" i="21"/>
  <c r="Q1343" i="21"/>
  <c r="M1343" i="21" s="1"/>
  <c r="S1343" i="21"/>
  <c r="T1341" i="21"/>
  <c r="P1341" i="21" s="1"/>
  <c r="O1341" i="21"/>
  <c r="T1339" i="21"/>
  <c r="P1339" i="21" s="1"/>
  <c r="O1339" i="21"/>
  <c r="T1342" i="21"/>
  <c r="P1342" i="21" s="1"/>
  <c r="O1342" i="21"/>
  <c r="N1345" i="21"/>
  <c r="N1344" i="21"/>
  <c r="N1340" i="21"/>
  <c r="I1530" i="14"/>
  <c r="Z1340" i="21" l="1"/>
  <c r="Z1343" i="21"/>
  <c r="Z1344" i="21"/>
  <c r="R1340" i="21"/>
  <c r="Q1340" i="21"/>
  <c r="M1340" i="21" s="1"/>
  <c r="X1340" i="21" s="1"/>
  <c r="S1340" i="21"/>
  <c r="R1344" i="21"/>
  <c r="S1344" i="21"/>
  <c r="Q1344" i="21"/>
  <c r="M1344" i="21" s="1"/>
  <c r="R1345" i="21"/>
  <c r="S1345" i="21"/>
  <c r="Q1345" i="21"/>
  <c r="M1345" i="21" s="1"/>
  <c r="X1345" i="21" s="1"/>
  <c r="T1343" i="21"/>
  <c r="P1343" i="21" s="1"/>
  <c r="O1343" i="21"/>
  <c r="N1350" i="21"/>
  <c r="I1535" i="14"/>
  <c r="I1536" i="14"/>
  <c r="I1534" i="14"/>
  <c r="Z1345" i="21" l="1"/>
  <c r="Z1346" i="21"/>
  <c r="Z1347" i="21"/>
  <c r="W1341" i="21"/>
  <c r="W1342" i="21"/>
  <c r="W1344" i="21"/>
  <c r="W1343" i="21"/>
  <c r="W1340" i="21"/>
  <c r="R1350" i="21"/>
  <c r="S1350" i="21"/>
  <c r="Q1350" i="21"/>
  <c r="M1350" i="21" s="1"/>
  <c r="Z1350" i="21" s="1"/>
  <c r="X1350" i="21" s="1"/>
  <c r="T1345" i="21"/>
  <c r="P1345" i="21" s="1"/>
  <c r="O1345" i="21"/>
  <c r="T1344" i="21"/>
  <c r="P1344" i="21" s="1"/>
  <c r="O1344" i="21"/>
  <c r="T1340" i="21"/>
  <c r="P1340" i="21" s="1"/>
  <c r="O1340" i="21"/>
  <c r="N1354" i="21"/>
  <c r="N1353" i="21"/>
  <c r="N1351" i="21"/>
  <c r="I1531" i="14"/>
  <c r="I1537" i="14"/>
  <c r="I1538" i="14"/>
  <c r="X1347" i="21" l="1"/>
  <c r="X1346" i="21"/>
  <c r="U1344" i="21"/>
  <c r="U1343" i="21"/>
  <c r="U1340" i="21"/>
  <c r="U1342" i="21"/>
  <c r="U1341" i="21"/>
  <c r="R1354" i="21"/>
  <c r="S1354" i="21"/>
  <c r="Q1354" i="21"/>
  <c r="M1354" i="21" s="1"/>
  <c r="R1351" i="21"/>
  <c r="S1351" i="21"/>
  <c r="Q1351" i="21"/>
  <c r="M1351" i="21" s="1"/>
  <c r="Z1351" i="21" s="1"/>
  <c r="X1351" i="21" s="1"/>
  <c r="R1353" i="21"/>
  <c r="S1353" i="21"/>
  <c r="Q1353" i="21"/>
  <c r="M1353" i="21" s="1"/>
  <c r="T1350" i="21"/>
  <c r="P1350" i="21" s="1"/>
  <c r="O1350" i="21"/>
  <c r="N1355" i="21"/>
  <c r="I1543" i="14"/>
  <c r="Z1354" i="21" l="1"/>
  <c r="Z1353" i="21"/>
  <c r="R1355" i="21"/>
  <c r="S1355" i="21"/>
  <c r="Q1355" i="21"/>
  <c r="M1355" i="21" s="1"/>
  <c r="T1353" i="21"/>
  <c r="P1353" i="21" s="1"/>
  <c r="O1353" i="21"/>
  <c r="T1354" i="21"/>
  <c r="P1354" i="21" s="1"/>
  <c r="O1354" i="21"/>
  <c r="T1351" i="21"/>
  <c r="P1351" i="21" s="1"/>
  <c r="O1351" i="21"/>
  <c r="N1356" i="21"/>
  <c r="N1352" i="21"/>
  <c r="N1357" i="21"/>
  <c r="I1545" i="14"/>
  <c r="I1546" i="14"/>
  <c r="I1547" i="14"/>
  <c r="Z1352" i="21" l="1"/>
  <c r="Z1355" i="21"/>
  <c r="Z1356" i="21"/>
  <c r="R1356" i="21"/>
  <c r="S1356" i="21"/>
  <c r="Q1356" i="21"/>
  <c r="M1356" i="21" s="1"/>
  <c r="R1357" i="21"/>
  <c r="S1357" i="21"/>
  <c r="Q1357" i="21"/>
  <c r="M1357" i="21" s="1"/>
  <c r="X1357" i="21" s="1"/>
  <c r="R1352" i="21"/>
  <c r="S1352" i="21"/>
  <c r="Q1352" i="21"/>
  <c r="M1352" i="21" s="1"/>
  <c r="X1352" i="21" s="1"/>
  <c r="T1355" i="21"/>
  <c r="P1355" i="21" s="1"/>
  <c r="O1355" i="21"/>
  <c r="N1362" i="21"/>
  <c r="N1365" i="21"/>
  <c r="N1366" i="21"/>
  <c r="I1548" i="14"/>
  <c r="I1552" i="14"/>
  <c r="I1544" i="14"/>
  <c r="Z1357" i="21" l="1"/>
  <c r="Z1358" i="21"/>
  <c r="Z1359" i="21"/>
  <c r="W1354" i="21"/>
  <c r="W1353" i="21"/>
  <c r="W1356" i="21"/>
  <c r="W1355" i="21"/>
  <c r="W1352" i="21"/>
  <c r="R1366" i="21"/>
  <c r="Q1366" i="21"/>
  <c r="M1366" i="21" s="1"/>
  <c r="S1366" i="21"/>
  <c r="R1362" i="21"/>
  <c r="S1362" i="21"/>
  <c r="Q1362" i="21"/>
  <c r="M1362" i="21" s="1"/>
  <c r="Z1362" i="21" s="1"/>
  <c r="X1362" i="21" s="1"/>
  <c r="T1352" i="21"/>
  <c r="P1352" i="21" s="1"/>
  <c r="O1352" i="21"/>
  <c r="R1365" i="21"/>
  <c r="S1365" i="21"/>
  <c r="Q1365" i="21"/>
  <c r="M1365" i="21" s="1"/>
  <c r="T1357" i="21"/>
  <c r="P1357" i="21" s="1"/>
  <c r="O1357" i="21"/>
  <c r="T1356" i="21"/>
  <c r="P1356" i="21" s="1"/>
  <c r="O1356" i="21"/>
  <c r="N1364" i="21"/>
  <c r="I1557" i="14"/>
  <c r="X1358" i="21" l="1"/>
  <c r="X1359" i="21"/>
  <c r="Z1368" i="21"/>
  <c r="U1356" i="21"/>
  <c r="U1355" i="21"/>
  <c r="U1352" i="21"/>
  <c r="U1354" i="21"/>
  <c r="U1353" i="21"/>
  <c r="T1365" i="21"/>
  <c r="P1365" i="21" s="1"/>
  <c r="O1365" i="21"/>
  <c r="T1366" i="21"/>
  <c r="P1366" i="21" s="1"/>
  <c r="O1366" i="21"/>
  <c r="R1364" i="21"/>
  <c r="S1364" i="21"/>
  <c r="Q1364" i="21"/>
  <c r="M1364" i="21" s="1"/>
  <c r="Z1365" i="21" s="1"/>
  <c r="T1362" i="21"/>
  <c r="P1362" i="21" s="1"/>
  <c r="O1362" i="21"/>
  <c r="N1367" i="21"/>
  <c r="N1363" i="21"/>
  <c r="N1370" i="21"/>
  <c r="I1563" i="14"/>
  <c r="I1560" i="14"/>
  <c r="I1561" i="14"/>
  <c r="Z1367" i="21" l="1"/>
  <c r="Z1364" i="21"/>
  <c r="Z1363" i="21"/>
  <c r="Z1366" i="21"/>
  <c r="R1367" i="21"/>
  <c r="Q1367" i="21"/>
  <c r="M1367" i="21" s="1"/>
  <c r="X1368" i="21" s="1"/>
  <c r="S1367" i="21"/>
  <c r="R1370" i="21"/>
  <c r="Q1370" i="21"/>
  <c r="M1370" i="21" s="1"/>
  <c r="S1370" i="21"/>
  <c r="R1363" i="21"/>
  <c r="S1363" i="21"/>
  <c r="Q1363" i="21"/>
  <c r="M1363" i="21" s="1"/>
  <c r="X1363" i="21" s="1"/>
  <c r="T1364" i="21"/>
  <c r="P1364" i="21" s="1"/>
  <c r="O1364" i="21"/>
  <c r="N1375" i="21"/>
  <c r="N1377" i="21"/>
  <c r="N1378" i="21"/>
  <c r="I1565" i="14"/>
  <c r="I1559" i="14"/>
  <c r="I1564" i="14"/>
  <c r="Z1370" i="21" l="1"/>
  <c r="X1370" i="21" s="1"/>
  <c r="Z1371" i="21"/>
  <c r="Z1372" i="21"/>
  <c r="W1366" i="21"/>
  <c r="W1365" i="21"/>
  <c r="W1367" i="21"/>
  <c r="W1364" i="21"/>
  <c r="W1363" i="21"/>
  <c r="R1378" i="21"/>
  <c r="S1378" i="21"/>
  <c r="Q1378" i="21"/>
  <c r="M1378" i="21" s="1"/>
  <c r="R1377" i="21"/>
  <c r="Q1377" i="21"/>
  <c r="M1377" i="21" s="1"/>
  <c r="S1377" i="21"/>
  <c r="T1367" i="21"/>
  <c r="P1367" i="21" s="1"/>
  <c r="O1367" i="21"/>
  <c r="R1375" i="21"/>
  <c r="S1375" i="21"/>
  <c r="Q1375" i="21"/>
  <c r="M1375" i="21" s="1"/>
  <c r="Z1375" i="21" s="1"/>
  <c r="X1375" i="21" s="1"/>
  <c r="T1363" i="21"/>
  <c r="P1363" i="21" s="1"/>
  <c r="O1363" i="21"/>
  <c r="T1370" i="21"/>
  <c r="P1370" i="21" s="1"/>
  <c r="O1370" i="21"/>
  <c r="N1379" i="21"/>
  <c r="I1573" i="14"/>
  <c r="X1371" i="21" l="1"/>
  <c r="X1372" i="21"/>
  <c r="Z1378" i="21"/>
  <c r="Z1377" i="21"/>
  <c r="U1366" i="21"/>
  <c r="U1365" i="21"/>
  <c r="U1367" i="21"/>
  <c r="U1364" i="21"/>
  <c r="U1363" i="21"/>
  <c r="R1379" i="21"/>
  <c r="Q1379" i="21"/>
  <c r="M1379" i="21" s="1"/>
  <c r="S1379" i="21"/>
  <c r="T1377" i="21"/>
  <c r="P1377" i="21" s="1"/>
  <c r="O1377" i="21"/>
  <c r="T1375" i="21"/>
  <c r="P1375" i="21" s="1"/>
  <c r="O1375" i="21"/>
  <c r="T1378" i="21"/>
  <c r="P1378" i="21" s="1"/>
  <c r="O1378" i="21"/>
  <c r="N1381" i="21"/>
  <c r="N1380" i="21"/>
  <c r="N1376" i="21"/>
  <c r="I1577" i="14"/>
  <c r="I1575" i="14"/>
  <c r="I1576" i="14"/>
  <c r="Z1380" i="21" l="1"/>
  <c r="Z1376" i="21"/>
  <c r="Z1379" i="21"/>
  <c r="T1379" i="21"/>
  <c r="P1379" i="21" s="1"/>
  <c r="O1379" i="21"/>
  <c r="R1376" i="21"/>
  <c r="S1376" i="21"/>
  <c r="Q1376" i="21"/>
  <c r="M1376" i="21" s="1"/>
  <c r="X1376" i="21" s="1"/>
  <c r="R1380" i="21"/>
  <c r="Q1380" i="21"/>
  <c r="M1380" i="21" s="1"/>
  <c r="S1380" i="21"/>
  <c r="R1381" i="21"/>
  <c r="Q1381" i="21"/>
  <c r="M1381" i="21" s="1"/>
  <c r="X1381" i="21" s="1"/>
  <c r="S1381" i="21"/>
  <c r="N1391" i="21"/>
  <c r="N1392" i="21"/>
  <c r="N1389" i="21"/>
  <c r="I1574" i="14"/>
  <c r="I1579" i="14"/>
  <c r="I1578" i="14"/>
  <c r="Z1381" i="21" l="1"/>
  <c r="Z1382" i="21"/>
  <c r="Z1383" i="21"/>
  <c r="W1378" i="21"/>
  <c r="W1377" i="21"/>
  <c r="W1376" i="21"/>
  <c r="W1380" i="21"/>
  <c r="W1379" i="21"/>
  <c r="T1381" i="21"/>
  <c r="P1381" i="21" s="1"/>
  <c r="O1381" i="21"/>
  <c r="T1376" i="21"/>
  <c r="P1376" i="21" s="1"/>
  <c r="O1376" i="21"/>
  <c r="R1389" i="21"/>
  <c r="S1389" i="21"/>
  <c r="Q1389" i="21"/>
  <c r="M1389" i="21" s="1"/>
  <c r="Z1389" i="21" s="1"/>
  <c r="X1389" i="21" s="1"/>
  <c r="R1391" i="21"/>
  <c r="Q1391" i="21"/>
  <c r="M1391" i="21" s="1"/>
  <c r="S1391" i="21"/>
  <c r="R1392" i="21"/>
  <c r="Q1392" i="21"/>
  <c r="M1392" i="21" s="1"/>
  <c r="S1392" i="21"/>
  <c r="T1380" i="21"/>
  <c r="P1380" i="21" s="1"/>
  <c r="O1380" i="21"/>
  <c r="N1393" i="21"/>
  <c r="I1586" i="14"/>
  <c r="X1382" i="21" l="1"/>
  <c r="X1383" i="21"/>
  <c r="Z1391" i="21"/>
  <c r="Z1392" i="21"/>
  <c r="U1378" i="21"/>
  <c r="U1377" i="21"/>
  <c r="U1380" i="21"/>
  <c r="U1379" i="21"/>
  <c r="U1376" i="21"/>
  <c r="R1393" i="21"/>
  <c r="Q1393" i="21"/>
  <c r="M1393" i="21" s="1"/>
  <c r="S1393" i="21"/>
  <c r="T1391" i="21"/>
  <c r="P1391" i="21" s="1"/>
  <c r="O1391" i="21"/>
  <c r="T1392" i="21"/>
  <c r="P1392" i="21" s="1"/>
  <c r="O1392" i="21"/>
  <c r="T1389" i="21"/>
  <c r="P1389" i="21" s="1"/>
  <c r="O1389" i="21"/>
  <c r="N1394" i="21"/>
  <c r="N1395" i="21"/>
  <c r="N1390" i="21"/>
  <c r="I1590" i="14"/>
  <c r="I1589" i="14"/>
  <c r="I1588" i="14"/>
  <c r="Z1390" i="21" l="1"/>
  <c r="Z1393" i="21"/>
  <c r="Z1394" i="21"/>
  <c r="R1394" i="21"/>
  <c r="Q1394" i="21"/>
  <c r="M1394" i="21" s="1"/>
  <c r="S1394" i="21"/>
  <c r="R1390" i="21"/>
  <c r="Q1390" i="21"/>
  <c r="M1390" i="21" s="1"/>
  <c r="X1390" i="21" s="1"/>
  <c r="S1390" i="21"/>
  <c r="R1395" i="21"/>
  <c r="Q1395" i="21"/>
  <c r="M1395" i="21" s="1"/>
  <c r="X1395" i="21" s="1"/>
  <c r="S1395" i="21"/>
  <c r="T1393" i="21"/>
  <c r="P1393" i="21" s="1"/>
  <c r="O1393" i="21"/>
  <c r="N1400" i="21"/>
  <c r="N1402" i="21"/>
  <c r="N1403" i="21"/>
  <c r="I1587" i="14"/>
  <c r="I1591" i="14"/>
  <c r="I1592" i="14"/>
  <c r="Z1395" i="21" l="1"/>
  <c r="Z1396" i="21"/>
  <c r="Z1397" i="21"/>
  <c r="W1392" i="21"/>
  <c r="W1391" i="21"/>
  <c r="W1394" i="21"/>
  <c r="W1393" i="21"/>
  <c r="W1390" i="21"/>
  <c r="R1403" i="21"/>
  <c r="Q1403" i="21"/>
  <c r="M1403" i="21" s="1"/>
  <c r="S1403" i="21"/>
  <c r="R1402" i="21"/>
  <c r="Q1402" i="21"/>
  <c r="M1402" i="21" s="1"/>
  <c r="S1402" i="21"/>
  <c r="R1400" i="21"/>
  <c r="Q1400" i="21"/>
  <c r="M1400" i="21" s="1"/>
  <c r="Z1400" i="21" s="1"/>
  <c r="X1400" i="21" s="1"/>
  <c r="S1400" i="21"/>
  <c r="T1395" i="21"/>
  <c r="P1395" i="21" s="1"/>
  <c r="O1395" i="21"/>
  <c r="T1394" i="21"/>
  <c r="P1394" i="21" s="1"/>
  <c r="O1394" i="21"/>
  <c r="T1390" i="21"/>
  <c r="P1390" i="21" s="1"/>
  <c r="O1390" i="21"/>
  <c r="N1404" i="21"/>
  <c r="I1597" i="14"/>
  <c r="X1396" i="21" l="1"/>
  <c r="X1397" i="21"/>
  <c r="Z1403" i="21"/>
  <c r="Z1402" i="21"/>
  <c r="U1392" i="21"/>
  <c r="U1391" i="21"/>
  <c r="U1394" i="21"/>
  <c r="U1393" i="21"/>
  <c r="U1390" i="21"/>
  <c r="R1404" i="21"/>
  <c r="Q1404" i="21"/>
  <c r="M1404" i="21" s="1"/>
  <c r="S1404" i="21"/>
  <c r="T1402" i="21"/>
  <c r="P1402" i="21" s="1"/>
  <c r="O1402" i="21"/>
  <c r="T1403" i="21"/>
  <c r="P1403" i="21" s="1"/>
  <c r="O1403" i="21"/>
  <c r="T1400" i="21"/>
  <c r="P1400" i="21" s="1"/>
  <c r="O1400" i="21"/>
  <c r="N1405" i="21"/>
  <c r="N1401" i="21"/>
  <c r="N1406" i="21"/>
  <c r="I1599" i="14"/>
  <c r="I1601" i="14"/>
  <c r="I1600" i="14"/>
  <c r="Z1405" i="21" l="1"/>
  <c r="Z1404" i="21"/>
  <c r="Z1401" i="21"/>
  <c r="R1401" i="21"/>
  <c r="Q1401" i="21"/>
  <c r="M1401" i="21" s="1"/>
  <c r="X1401" i="21" s="1"/>
  <c r="S1401" i="21"/>
  <c r="R1406" i="21"/>
  <c r="Q1406" i="21"/>
  <c r="M1406" i="21" s="1"/>
  <c r="S1406" i="21"/>
  <c r="R1405" i="21"/>
  <c r="Q1405" i="21"/>
  <c r="M1405" i="21" s="1"/>
  <c r="S1405" i="21"/>
  <c r="T1404" i="21"/>
  <c r="P1404" i="21" s="1"/>
  <c r="O1404" i="21"/>
  <c r="N1414" i="21"/>
  <c r="N1413" i="21"/>
  <c r="N1411" i="21"/>
  <c r="I1605" i="14"/>
  <c r="I1598" i="14"/>
  <c r="I1602" i="14"/>
  <c r="X1406" i="21" l="1"/>
  <c r="Z1406" i="21"/>
  <c r="Z1408" i="21"/>
  <c r="Z1407" i="21"/>
  <c r="W1403" i="21"/>
  <c r="W1402" i="21"/>
  <c r="W1405" i="21"/>
  <c r="W1404" i="21"/>
  <c r="W1401" i="21"/>
  <c r="R1414" i="21"/>
  <c r="S1414" i="21"/>
  <c r="Q1414" i="21"/>
  <c r="M1414" i="21" s="1"/>
  <c r="R1413" i="21"/>
  <c r="S1413" i="21"/>
  <c r="Q1413" i="21"/>
  <c r="M1413" i="21" s="1"/>
  <c r="T1406" i="21"/>
  <c r="P1406" i="21" s="1"/>
  <c r="O1406" i="21"/>
  <c r="R1411" i="21"/>
  <c r="S1411" i="21"/>
  <c r="Q1411" i="21"/>
  <c r="M1411" i="21" s="1"/>
  <c r="Z1411" i="21" s="1"/>
  <c r="X1411" i="21" s="1"/>
  <c r="T1405" i="21"/>
  <c r="P1405" i="21" s="1"/>
  <c r="O1405" i="21"/>
  <c r="T1401" i="21"/>
  <c r="P1401" i="21" s="1"/>
  <c r="O1401" i="21"/>
  <c r="N1415" i="21"/>
  <c r="I1606" i="14"/>
  <c r="X1407" i="21" l="1"/>
  <c r="X1408" i="21"/>
  <c r="Z1414" i="21"/>
  <c r="Z1413" i="21"/>
  <c r="U1403" i="21"/>
  <c r="U1402" i="21"/>
  <c r="U1405" i="21"/>
  <c r="U1404" i="21"/>
  <c r="U1401" i="21"/>
  <c r="T1413" i="21"/>
  <c r="P1413" i="21" s="1"/>
  <c r="O1413" i="21"/>
  <c r="T1414" i="21"/>
  <c r="P1414" i="21" s="1"/>
  <c r="O1414" i="21"/>
  <c r="R1415" i="21"/>
  <c r="S1415" i="21"/>
  <c r="Q1415" i="21"/>
  <c r="M1415" i="21" s="1"/>
  <c r="T1411" i="21"/>
  <c r="P1411" i="21" s="1"/>
  <c r="O1411" i="21"/>
  <c r="N1412" i="21"/>
  <c r="N1417" i="21"/>
  <c r="N1416" i="21"/>
  <c r="I1614" i="14"/>
  <c r="Z1412" i="21" l="1"/>
  <c r="Z1415" i="21"/>
  <c r="Z1416" i="21"/>
  <c r="R1416" i="21"/>
  <c r="S1416" i="21"/>
  <c r="Q1416" i="21"/>
  <c r="M1416" i="21" s="1"/>
  <c r="R1417" i="21"/>
  <c r="S1417" i="21"/>
  <c r="Q1417" i="21"/>
  <c r="M1417" i="21" s="1"/>
  <c r="R1412" i="21"/>
  <c r="S1412" i="21"/>
  <c r="Q1412" i="21"/>
  <c r="M1412" i="21" s="1"/>
  <c r="X1412" i="21" s="1"/>
  <c r="T1415" i="21"/>
  <c r="P1415" i="21" s="1"/>
  <c r="O1415" i="21"/>
  <c r="N1418" i="21"/>
  <c r="I1619" i="14"/>
  <c r="I1618" i="14"/>
  <c r="I1617" i="14"/>
  <c r="Z1417" i="21" l="1"/>
  <c r="X1417" i="21"/>
  <c r="W1414" i="21"/>
  <c r="W1413" i="21"/>
  <c r="W1416" i="21"/>
  <c r="W1415" i="21"/>
  <c r="W1412" i="21"/>
  <c r="R1418" i="21"/>
  <c r="Q1418" i="21"/>
  <c r="M1418" i="21" s="1"/>
  <c r="S1418" i="21"/>
  <c r="T1412" i="21"/>
  <c r="P1412" i="21" s="1"/>
  <c r="O1412" i="21"/>
  <c r="T1417" i="21"/>
  <c r="P1417" i="21" s="1"/>
  <c r="O1417" i="21"/>
  <c r="T1416" i="21"/>
  <c r="P1416" i="21" s="1"/>
  <c r="O1416" i="21"/>
  <c r="N1426" i="21"/>
  <c r="N1428" i="21"/>
  <c r="N1429" i="21"/>
  <c r="I1615" i="14"/>
  <c r="I1622" i="14"/>
  <c r="I1620" i="14"/>
  <c r="Z1418" i="21" l="1"/>
  <c r="X1418" i="21" s="1"/>
  <c r="Z1419" i="21"/>
  <c r="Z1420" i="21"/>
  <c r="U1414" i="21"/>
  <c r="U1413" i="21"/>
  <c r="U1416" i="21"/>
  <c r="U1415" i="21"/>
  <c r="U1412" i="21"/>
  <c r="R1429" i="21"/>
  <c r="S1429" i="21"/>
  <c r="Q1429" i="21"/>
  <c r="M1429" i="21" s="1"/>
  <c r="R1428" i="21"/>
  <c r="Q1428" i="21"/>
  <c r="M1428" i="21" s="1"/>
  <c r="S1428" i="21"/>
  <c r="R1426" i="21"/>
  <c r="Q1426" i="21"/>
  <c r="M1426" i="21" s="1"/>
  <c r="Z1426" i="21" s="1"/>
  <c r="X1426" i="21" s="1"/>
  <c r="S1426" i="21"/>
  <c r="T1418" i="21"/>
  <c r="P1418" i="21" s="1"/>
  <c r="O1418" i="21"/>
  <c r="N1430" i="21"/>
  <c r="I1624" i="14"/>
  <c r="I1623" i="14"/>
  <c r="I1621" i="14"/>
  <c r="X1419" i="21" l="1"/>
  <c r="X1420" i="21"/>
  <c r="Z1428" i="21"/>
  <c r="Z1429" i="21"/>
  <c r="T1426" i="21"/>
  <c r="P1426" i="21" s="1"/>
  <c r="O1426" i="21"/>
  <c r="T1428" i="21"/>
  <c r="P1428" i="21" s="1"/>
  <c r="O1428" i="21"/>
  <c r="R1430" i="21"/>
  <c r="Q1430" i="21"/>
  <c r="M1430" i="21" s="1"/>
  <c r="S1430" i="21"/>
  <c r="T1429" i="21"/>
  <c r="P1429" i="21" s="1"/>
  <c r="O1429" i="21"/>
  <c r="N1431" i="21"/>
  <c r="N1433" i="21"/>
  <c r="N1427" i="21"/>
  <c r="I1634" i="14"/>
  <c r="Z1427" i="21" l="1"/>
  <c r="Z1430" i="21"/>
  <c r="Z1431" i="21"/>
  <c r="R1427" i="21"/>
  <c r="S1427" i="21"/>
  <c r="Q1427" i="21"/>
  <c r="M1427" i="21" s="1"/>
  <c r="X1427" i="21" s="1"/>
  <c r="T1430" i="21"/>
  <c r="P1430" i="21" s="1"/>
  <c r="O1430" i="21"/>
  <c r="R1433" i="21"/>
  <c r="Q1433" i="21"/>
  <c r="M1433" i="21" s="1"/>
  <c r="S1433" i="21"/>
  <c r="R1431" i="21"/>
  <c r="Q1431" i="21"/>
  <c r="M1431" i="21" s="1"/>
  <c r="S1431" i="21"/>
  <c r="N1432" i="21"/>
  <c r="N1434" i="21"/>
  <c r="N1435" i="21"/>
  <c r="I1637" i="14"/>
  <c r="I1638" i="14"/>
  <c r="I1636" i="14"/>
  <c r="Z1432" i="21" l="1"/>
  <c r="Z1433" i="21"/>
  <c r="Z1434" i="21"/>
  <c r="W1429" i="21"/>
  <c r="W1428" i="21"/>
  <c r="W1431" i="21"/>
  <c r="W1430" i="21"/>
  <c r="W1427" i="21"/>
  <c r="R1435" i="21"/>
  <c r="Q1435" i="21"/>
  <c r="M1435" i="21" s="1"/>
  <c r="S1435" i="21"/>
  <c r="R1434" i="21"/>
  <c r="Q1434" i="21"/>
  <c r="M1434" i="21" s="1"/>
  <c r="S1434" i="21"/>
  <c r="R1432" i="21"/>
  <c r="Q1432" i="21"/>
  <c r="M1432" i="21" s="1"/>
  <c r="X1432" i="21" s="1"/>
  <c r="S1432" i="21"/>
  <c r="T1427" i="21"/>
  <c r="P1427" i="21" s="1"/>
  <c r="O1427" i="21"/>
  <c r="T1431" i="21"/>
  <c r="P1431" i="21" s="1"/>
  <c r="O1431" i="21"/>
  <c r="T1433" i="21"/>
  <c r="P1433" i="21" s="1"/>
  <c r="O1433" i="21"/>
  <c r="N1445" i="21"/>
  <c r="N1443" i="21"/>
  <c r="N1446" i="21"/>
  <c r="I1639" i="14"/>
  <c r="I1641" i="14"/>
  <c r="I1635" i="14"/>
  <c r="X1435" i="21" l="1"/>
  <c r="Z1435" i="21"/>
  <c r="Z1437" i="21"/>
  <c r="Z1436" i="21"/>
  <c r="W1434" i="21"/>
  <c r="W1433" i="21"/>
  <c r="W1432" i="21"/>
  <c r="U1429" i="21"/>
  <c r="U1428" i="21"/>
  <c r="U1431" i="21"/>
  <c r="U1430" i="21"/>
  <c r="U1427" i="21"/>
  <c r="R1446" i="21"/>
  <c r="Q1446" i="21"/>
  <c r="M1446" i="21" s="1"/>
  <c r="S1446" i="21"/>
  <c r="R1443" i="21"/>
  <c r="Q1443" i="21"/>
  <c r="M1443" i="21" s="1"/>
  <c r="Z1443" i="21" s="1"/>
  <c r="X1443" i="21" s="1"/>
  <c r="S1443" i="21"/>
  <c r="R1445" i="21"/>
  <c r="S1445" i="21"/>
  <c r="Q1445" i="21"/>
  <c r="M1445" i="21" s="1"/>
  <c r="T1434" i="21"/>
  <c r="P1434" i="21" s="1"/>
  <c r="O1434" i="21"/>
  <c r="T1432" i="21"/>
  <c r="P1432" i="21" s="1"/>
  <c r="O1432" i="21"/>
  <c r="T1435" i="21"/>
  <c r="P1435" i="21" s="1"/>
  <c r="O1435" i="21"/>
  <c r="N1447" i="21"/>
  <c r="I1640" i="14"/>
  <c r="I1643" i="14"/>
  <c r="I1644" i="14"/>
  <c r="X1436" i="21" l="1"/>
  <c r="X1437" i="21"/>
  <c r="Z1446" i="21"/>
  <c r="Z1445" i="21"/>
  <c r="U1433" i="21"/>
  <c r="U1432" i="21"/>
  <c r="U1434" i="21"/>
  <c r="T1443" i="21"/>
  <c r="P1443" i="21" s="1"/>
  <c r="O1443" i="21"/>
  <c r="R1447" i="21"/>
  <c r="Q1447" i="21"/>
  <c r="M1447" i="21" s="1"/>
  <c r="S1447" i="21"/>
  <c r="T1445" i="21"/>
  <c r="P1445" i="21" s="1"/>
  <c r="O1445" i="21"/>
  <c r="T1446" i="21"/>
  <c r="P1446" i="21" s="1"/>
  <c r="O1446" i="21"/>
  <c r="N1444" i="21"/>
  <c r="N1448" i="21"/>
  <c r="N1450" i="21"/>
  <c r="I1650" i="14"/>
  <c r="Z1444" i="21" l="1"/>
  <c r="Z1448" i="21"/>
  <c r="Z1447" i="21"/>
  <c r="R1444" i="21"/>
  <c r="Q1444" i="21"/>
  <c r="M1444" i="21" s="1"/>
  <c r="X1444" i="21" s="1"/>
  <c r="S1444" i="21"/>
  <c r="R1450" i="21"/>
  <c r="Q1450" i="21"/>
  <c r="M1450" i="21" s="1"/>
  <c r="S1450" i="21"/>
  <c r="R1448" i="21"/>
  <c r="Q1448" i="21"/>
  <c r="M1448" i="21" s="1"/>
  <c r="S1448" i="21"/>
  <c r="T1447" i="21"/>
  <c r="P1447" i="21" s="1"/>
  <c r="O1447" i="21"/>
  <c r="N1449" i="21"/>
  <c r="N1452" i="21"/>
  <c r="N1451" i="21"/>
  <c r="I1654" i="14"/>
  <c r="I1655" i="14"/>
  <c r="I1653" i="14"/>
  <c r="Z1449" i="21" l="1"/>
  <c r="Z1450" i="21"/>
  <c r="Z1451" i="21"/>
  <c r="W1446" i="21"/>
  <c r="W1445" i="21"/>
  <c r="W1448" i="21"/>
  <c r="W1447" i="21"/>
  <c r="W1444" i="21"/>
  <c r="R1452" i="21"/>
  <c r="Q1452" i="21"/>
  <c r="M1452" i="21" s="1"/>
  <c r="S1452" i="21"/>
  <c r="R1451" i="21"/>
  <c r="Q1451" i="21"/>
  <c r="M1451" i="21" s="1"/>
  <c r="S1451" i="21"/>
  <c r="R1449" i="21"/>
  <c r="Q1449" i="21"/>
  <c r="M1449" i="21" s="1"/>
  <c r="X1449" i="21" s="1"/>
  <c r="S1449" i="21"/>
  <c r="T1448" i="21"/>
  <c r="P1448" i="21" s="1"/>
  <c r="O1448" i="21"/>
  <c r="T1450" i="21"/>
  <c r="P1450" i="21" s="1"/>
  <c r="O1450" i="21"/>
  <c r="T1444" i="21"/>
  <c r="P1444" i="21" s="1"/>
  <c r="O1444" i="21"/>
  <c r="N1460" i="21"/>
  <c r="N1457" i="21"/>
  <c r="N1459" i="21"/>
  <c r="I1658" i="14"/>
  <c r="I1651" i="14"/>
  <c r="I1656" i="14"/>
  <c r="X1452" i="21" l="1"/>
  <c r="Z1452" i="21"/>
  <c r="Z1454" i="21"/>
  <c r="Z1453" i="21"/>
  <c r="W1451" i="21"/>
  <c r="W1450" i="21"/>
  <c r="W1449" i="21"/>
  <c r="U1445" i="21"/>
  <c r="U1448" i="21"/>
  <c r="U1447" i="21"/>
  <c r="U1444" i="21"/>
  <c r="U1446" i="21"/>
  <c r="R1459" i="21"/>
  <c r="Q1459" i="21"/>
  <c r="M1459" i="21" s="1"/>
  <c r="S1459" i="21"/>
  <c r="T1451" i="21"/>
  <c r="P1451" i="21" s="1"/>
  <c r="O1451" i="21"/>
  <c r="R1457" i="21"/>
  <c r="Q1457" i="21"/>
  <c r="M1457" i="21" s="1"/>
  <c r="Z1457" i="21" s="1"/>
  <c r="X1457" i="21" s="1"/>
  <c r="S1457" i="21"/>
  <c r="R1460" i="21"/>
  <c r="Q1460" i="21"/>
  <c r="M1460" i="21" s="1"/>
  <c r="S1460" i="21"/>
  <c r="T1449" i="21"/>
  <c r="P1449" i="21" s="1"/>
  <c r="O1449" i="21"/>
  <c r="T1452" i="21"/>
  <c r="P1452" i="21" s="1"/>
  <c r="O1452" i="21"/>
  <c r="N1461" i="21"/>
  <c r="I1660" i="14"/>
  <c r="I1661" i="14"/>
  <c r="I1657" i="14"/>
  <c r="X1453" i="21" l="1"/>
  <c r="X1454" i="21"/>
  <c r="Z1460" i="21"/>
  <c r="Z1459" i="21"/>
  <c r="U1451" i="21"/>
  <c r="U1450" i="21"/>
  <c r="U1449" i="21"/>
  <c r="R1461" i="21"/>
  <c r="S1461" i="21"/>
  <c r="Q1461" i="21"/>
  <c r="M1461" i="21" s="1"/>
  <c r="T1460" i="21"/>
  <c r="P1460" i="21" s="1"/>
  <c r="O1460" i="21"/>
  <c r="T1457" i="21"/>
  <c r="P1457" i="21" s="1"/>
  <c r="O1457" i="21"/>
  <c r="T1459" i="21"/>
  <c r="P1459" i="21" s="1"/>
  <c r="O1459" i="21"/>
  <c r="N1462" i="21"/>
  <c r="N1458" i="21"/>
  <c r="N1464" i="21"/>
  <c r="I1670" i="14"/>
  <c r="Z1462" i="21" l="1"/>
  <c r="Z1458" i="21"/>
  <c r="Z1461" i="21"/>
  <c r="R1464" i="21"/>
  <c r="Q1464" i="21"/>
  <c r="M1464" i="21" s="1"/>
  <c r="S1464" i="21"/>
  <c r="R1462" i="21"/>
  <c r="Q1462" i="21"/>
  <c r="M1462" i="21" s="1"/>
  <c r="S1462" i="21"/>
  <c r="R1458" i="21"/>
  <c r="S1458" i="21"/>
  <c r="Q1458" i="21"/>
  <c r="M1458" i="21" s="1"/>
  <c r="X1458" i="21" s="1"/>
  <c r="T1461" i="21"/>
  <c r="P1461" i="21" s="1"/>
  <c r="O1461" i="21"/>
  <c r="N1466" i="21"/>
  <c r="N1463" i="21"/>
  <c r="N1465" i="21"/>
  <c r="I1672" i="14"/>
  <c r="I1674" i="14"/>
  <c r="I1673" i="14"/>
  <c r="Z1465" i="21" l="1"/>
  <c r="Z1464" i="21"/>
  <c r="Z1463" i="21"/>
  <c r="W1460" i="21"/>
  <c r="W1459" i="21"/>
  <c r="W1462" i="21"/>
  <c r="W1461" i="21"/>
  <c r="W1458" i="21"/>
  <c r="R1463" i="21"/>
  <c r="Q1463" i="21"/>
  <c r="M1463" i="21" s="1"/>
  <c r="X1463" i="21" s="1"/>
  <c r="S1463" i="21"/>
  <c r="T1458" i="21"/>
  <c r="P1458" i="21" s="1"/>
  <c r="O1458" i="21"/>
  <c r="T1464" i="21"/>
  <c r="P1464" i="21" s="1"/>
  <c r="O1464" i="21"/>
  <c r="R1465" i="21"/>
  <c r="S1465" i="21"/>
  <c r="Q1465" i="21"/>
  <c r="M1465" i="21" s="1"/>
  <c r="R1466" i="21"/>
  <c r="S1466" i="21"/>
  <c r="Q1466" i="21"/>
  <c r="M1466" i="21" s="1"/>
  <c r="T1462" i="21"/>
  <c r="P1462" i="21" s="1"/>
  <c r="O1462" i="21"/>
  <c r="N1477" i="21"/>
  <c r="N1476" i="21"/>
  <c r="N1474" i="21"/>
  <c r="I1678" i="14"/>
  <c r="I1671" i="14"/>
  <c r="I1675" i="14"/>
  <c r="X1466" i="21" l="1"/>
  <c r="Z1466" i="21"/>
  <c r="Z1468" i="21"/>
  <c r="Z1467" i="21"/>
  <c r="W1465" i="21"/>
  <c r="W1464" i="21"/>
  <c r="W1463" i="21"/>
  <c r="U1462" i="21"/>
  <c r="U1461" i="21"/>
  <c r="U1458" i="21"/>
  <c r="U1460" i="21"/>
  <c r="U1459" i="21"/>
  <c r="R1476" i="21"/>
  <c r="S1476" i="21"/>
  <c r="Q1476" i="21"/>
  <c r="M1476" i="21" s="1"/>
  <c r="R1474" i="21"/>
  <c r="S1474" i="21"/>
  <c r="Q1474" i="21"/>
  <c r="M1474" i="21" s="1"/>
  <c r="Z1474" i="21" s="1"/>
  <c r="X1474" i="21" s="1"/>
  <c r="R1477" i="21"/>
  <c r="S1477" i="21"/>
  <c r="Q1477" i="21"/>
  <c r="M1477" i="21" s="1"/>
  <c r="T1466" i="21"/>
  <c r="P1466" i="21" s="1"/>
  <c r="O1466" i="21"/>
  <c r="T1465" i="21"/>
  <c r="P1465" i="21" s="1"/>
  <c r="O1465" i="21"/>
  <c r="T1463" i="21"/>
  <c r="P1463" i="21" s="1"/>
  <c r="O1463" i="21"/>
  <c r="N1478" i="21"/>
  <c r="I1676" i="14"/>
  <c r="I1681" i="14"/>
  <c r="I1680" i="14"/>
  <c r="X1467" i="21" l="1"/>
  <c r="X1468" i="21"/>
  <c r="Z1476" i="21"/>
  <c r="Z1477" i="21"/>
  <c r="I1682" i="14"/>
  <c r="I1687" i="14" s="1"/>
  <c r="N1483" i="21"/>
  <c r="U1465" i="21"/>
  <c r="U1464" i="21"/>
  <c r="U1463" i="21"/>
  <c r="T1476" i="21"/>
  <c r="P1476" i="21" s="1"/>
  <c r="O1476" i="21"/>
  <c r="R1478" i="21"/>
  <c r="S1478" i="21"/>
  <c r="Q1478" i="21"/>
  <c r="M1478" i="21" s="1"/>
  <c r="T1477" i="21"/>
  <c r="P1477" i="21" s="1"/>
  <c r="O1477" i="21"/>
  <c r="T1474" i="21"/>
  <c r="P1474" i="21" s="1"/>
  <c r="O1474" i="21"/>
  <c r="N1475" i="21"/>
  <c r="N1479" i="21"/>
  <c r="N1481" i="21"/>
  <c r="Z1478" i="21" l="1"/>
  <c r="Z1479" i="21"/>
  <c r="Z1475" i="21"/>
  <c r="Q1483" i="21"/>
  <c r="M1483" i="21" s="1"/>
  <c r="R1483" i="21"/>
  <c r="S1483" i="21"/>
  <c r="R1475" i="21"/>
  <c r="S1475" i="21"/>
  <c r="Q1475" i="21"/>
  <c r="M1475" i="21" s="1"/>
  <c r="X1475" i="21" s="1"/>
  <c r="T1478" i="21"/>
  <c r="P1478" i="21" s="1"/>
  <c r="O1478" i="21"/>
  <c r="R1479" i="21"/>
  <c r="Q1479" i="21"/>
  <c r="M1479" i="21" s="1"/>
  <c r="S1479" i="21"/>
  <c r="R1481" i="21"/>
  <c r="Q1481" i="21"/>
  <c r="M1481" i="21" s="1"/>
  <c r="S1481" i="21"/>
  <c r="N1484" i="21"/>
  <c r="N1482" i="21"/>
  <c r="N1480" i="21"/>
  <c r="I1709" i="14"/>
  <c r="Z1483" i="21" l="1"/>
  <c r="Z1482" i="21"/>
  <c r="Z1480" i="21"/>
  <c r="Z1481" i="21"/>
  <c r="T1483" i="21"/>
  <c r="P1483" i="21" s="1"/>
  <c r="O1483" i="21"/>
  <c r="W1476" i="21"/>
  <c r="W1477" i="21"/>
  <c r="W1479" i="21"/>
  <c r="W1478" i="21"/>
  <c r="W1475" i="21"/>
  <c r="R1482" i="21"/>
  <c r="Q1482" i="21"/>
  <c r="M1482" i="21" s="1"/>
  <c r="X1483" i="21" s="1"/>
  <c r="S1482" i="21"/>
  <c r="R1484" i="21"/>
  <c r="Q1484" i="21"/>
  <c r="M1484" i="21" s="1"/>
  <c r="S1484" i="21"/>
  <c r="T1479" i="21"/>
  <c r="P1479" i="21" s="1"/>
  <c r="O1479" i="21"/>
  <c r="T1481" i="21"/>
  <c r="P1481" i="21" s="1"/>
  <c r="O1481" i="21"/>
  <c r="T1475" i="21"/>
  <c r="P1475" i="21" s="1"/>
  <c r="O1475" i="21"/>
  <c r="R1480" i="21"/>
  <c r="S1480" i="21"/>
  <c r="Q1480" i="21"/>
  <c r="M1480" i="21" s="1"/>
  <c r="X1480" i="21" s="1"/>
  <c r="N1489" i="21"/>
  <c r="I1710" i="14"/>
  <c r="Z1484" i="21" l="1"/>
  <c r="X1484" i="21" s="1"/>
  <c r="Z1485" i="21"/>
  <c r="Z1486" i="21"/>
  <c r="W1482" i="21"/>
  <c r="W1481" i="21"/>
  <c r="W1480" i="21"/>
  <c r="U1479" i="21"/>
  <c r="U1478" i="21"/>
  <c r="U1475" i="21"/>
  <c r="U1477" i="21"/>
  <c r="U1476" i="21"/>
  <c r="T1480" i="21"/>
  <c r="P1480" i="21" s="1"/>
  <c r="O1480" i="21"/>
  <c r="R1489" i="21"/>
  <c r="Q1489" i="21"/>
  <c r="M1489" i="21" s="1"/>
  <c r="S1489" i="21"/>
  <c r="T1484" i="21"/>
  <c r="P1484" i="21" s="1"/>
  <c r="O1484" i="21"/>
  <c r="T1482" i="21"/>
  <c r="P1482" i="21" s="1"/>
  <c r="O1482" i="21"/>
  <c r="N1506" i="21"/>
  <c r="I1730" i="14"/>
  <c r="X1485" i="21" l="1"/>
  <c r="X1486" i="21"/>
  <c r="Z1489" i="21"/>
  <c r="X1489" i="21" s="1"/>
  <c r="Z1493" i="21"/>
  <c r="Z1491" i="21"/>
  <c r="Z1492" i="21"/>
  <c r="Z1494" i="21"/>
  <c r="Z1490" i="21"/>
  <c r="U1482" i="21"/>
  <c r="U1481" i="21"/>
  <c r="U1480" i="21"/>
  <c r="R1506" i="21"/>
  <c r="S1506" i="21"/>
  <c r="Q1506" i="21"/>
  <c r="M1506" i="21" s="1"/>
  <c r="Z1506" i="21" s="1"/>
  <c r="X1506" i="21" s="1"/>
  <c r="T1489" i="21"/>
  <c r="P1489" i="21" s="1"/>
  <c r="O1489" i="21"/>
  <c r="N1507" i="21"/>
  <c r="I1731" i="14"/>
  <c r="X1495" i="21" l="1"/>
  <c r="X1494" i="21"/>
  <c r="X1493" i="21"/>
  <c r="X1491" i="21"/>
  <c r="X1490" i="21"/>
  <c r="X1492" i="21"/>
  <c r="R1507" i="21"/>
  <c r="S1507" i="21"/>
  <c r="Q1507" i="21"/>
  <c r="M1507" i="21" s="1"/>
  <c r="T1506" i="21"/>
  <c r="P1506" i="21" s="1"/>
  <c r="O1506" i="21"/>
  <c r="N1524" i="21"/>
  <c r="I1732" i="14"/>
  <c r="Z1507" i="21" l="1"/>
  <c r="X1507" i="21" s="1"/>
  <c r="Z1515" i="21"/>
  <c r="Z1514" i="21"/>
  <c r="Z1510" i="21"/>
  <c r="Z1512" i="21"/>
  <c r="Z1516" i="21"/>
  <c r="Z1513" i="21"/>
  <c r="Z1511" i="21"/>
  <c r="Z1509" i="21"/>
  <c r="Z1508" i="21"/>
  <c r="Z1517" i="21"/>
  <c r="R1524" i="21"/>
  <c r="Q1524" i="21"/>
  <c r="M1524" i="21" s="1"/>
  <c r="Z1524" i="21" s="1"/>
  <c r="X1524" i="21" s="1"/>
  <c r="S1524" i="21"/>
  <c r="T1507" i="21"/>
  <c r="P1507" i="21" s="1"/>
  <c r="O1507" i="21"/>
  <c r="N1525" i="21"/>
  <c r="I1733" i="14"/>
  <c r="X1517" i="21" l="1"/>
  <c r="X1516" i="21"/>
  <c r="X1511" i="21"/>
  <c r="X1509" i="21"/>
  <c r="X1514" i="21"/>
  <c r="X1510" i="21"/>
  <c r="X1508" i="21"/>
  <c r="X1512" i="21"/>
  <c r="X1513" i="21"/>
  <c r="X1515" i="21"/>
  <c r="R1525" i="21"/>
  <c r="Q1525" i="21"/>
  <c r="M1525" i="21" s="1"/>
  <c r="Z1525" i="21" s="1"/>
  <c r="X1525" i="21" s="1"/>
  <c r="S1525" i="21"/>
  <c r="T1524" i="21"/>
  <c r="P1524" i="21" s="1"/>
  <c r="O1524" i="21"/>
  <c r="N1526" i="21"/>
  <c r="I1746" i="14"/>
  <c r="R1526" i="21" l="1"/>
  <c r="S1526" i="21"/>
  <c r="Q1526" i="21"/>
  <c r="M1526" i="21" s="1"/>
  <c r="Z1526" i="21" s="1"/>
  <c r="X1526" i="21" s="1"/>
  <c r="T1525" i="21"/>
  <c r="P1525" i="21" s="1"/>
  <c r="O1525" i="21"/>
  <c r="N1527" i="21"/>
  <c r="I1749" i="14"/>
  <c r="I1747" i="14"/>
  <c r="I1745" i="14"/>
  <c r="R1527" i="21" l="1"/>
  <c r="Q1527" i="21"/>
  <c r="M1527" i="21" s="1"/>
  <c r="S1527" i="21"/>
  <c r="T1526" i="21"/>
  <c r="P1526" i="21" s="1"/>
  <c r="O1526" i="21"/>
  <c r="N1539" i="21"/>
  <c r="I1751" i="14"/>
  <c r="I1752" i="14"/>
  <c r="I1748" i="14"/>
  <c r="Z1527" i="21" l="1"/>
  <c r="X1527" i="21" s="1"/>
  <c r="Z1528" i="21"/>
  <c r="Z1529" i="21"/>
  <c r="Z1530" i="21"/>
  <c r="R1539" i="21"/>
  <c r="S1539" i="21"/>
  <c r="Q1539" i="21"/>
  <c r="M1539" i="21" s="1"/>
  <c r="T1527" i="21"/>
  <c r="P1527" i="21" s="1"/>
  <c r="O1527" i="21"/>
  <c r="N1542" i="21"/>
  <c r="N1540" i="21"/>
  <c r="N1538" i="21"/>
  <c r="I1754" i="14"/>
  <c r="X1529" i="21" l="1"/>
  <c r="X1530" i="21"/>
  <c r="X1528" i="21"/>
  <c r="Z1540" i="21"/>
  <c r="Z1538" i="21"/>
  <c r="Z1539" i="21"/>
  <c r="R1542" i="21"/>
  <c r="Q1542" i="21"/>
  <c r="M1542" i="21" s="1"/>
  <c r="S1542" i="21"/>
  <c r="R1540" i="21"/>
  <c r="Q1540" i="21"/>
  <c r="M1540" i="21" s="1"/>
  <c r="S1540" i="21"/>
  <c r="R1538" i="21"/>
  <c r="S1538" i="21"/>
  <c r="Q1538" i="21"/>
  <c r="M1538" i="21" s="1"/>
  <c r="X1538" i="21" s="1"/>
  <c r="T1539" i="21"/>
  <c r="P1539" i="21" s="1"/>
  <c r="O1539" i="21"/>
  <c r="N1543" i="21"/>
  <c r="N1541" i="21"/>
  <c r="N1544" i="21"/>
  <c r="I1753" i="14"/>
  <c r="I1758" i="14"/>
  <c r="I1756" i="14"/>
  <c r="Z1543" i="21" l="1"/>
  <c r="Z1541" i="21"/>
  <c r="Z1542" i="21"/>
  <c r="W1540" i="21"/>
  <c r="W1539" i="21"/>
  <c r="W1538" i="21"/>
  <c r="R1544" i="21"/>
  <c r="S1544" i="21"/>
  <c r="Q1544" i="21"/>
  <c r="M1544" i="21" s="1"/>
  <c r="T1540" i="21"/>
  <c r="P1540" i="21" s="1"/>
  <c r="O1540" i="21"/>
  <c r="R1541" i="21"/>
  <c r="Q1541" i="21"/>
  <c r="M1541" i="21" s="1"/>
  <c r="X1541" i="21" s="1"/>
  <c r="S1541" i="21"/>
  <c r="R1543" i="21"/>
  <c r="Q1543" i="21"/>
  <c r="M1543" i="21" s="1"/>
  <c r="S1543" i="21"/>
  <c r="T1538" i="21"/>
  <c r="P1538" i="21" s="1"/>
  <c r="O1538" i="21"/>
  <c r="T1542" i="21"/>
  <c r="P1542" i="21" s="1"/>
  <c r="O1542" i="21"/>
  <c r="N1546" i="21"/>
  <c r="I1762" i="14"/>
  <c r="I1760" i="14"/>
  <c r="I1757" i="14"/>
  <c r="Z1544" i="21" l="1"/>
  <c r="X1544" i="21"/>
  <c r="W1542" i="21"/>
  <c r="W1541" i="21"/>
  <c r="W1543" i="21"/>
  <c r="U1538" i="21"/>
  <c r="U1540" i="21"/>
  <c r="U1539" i="21"/>
  <c r="R1546" i="21"/>
  <c r="Q1546" i="21"/>
  <c r="M1546" i="21" s="1"/>
  <c r="S1546" i="21"/>
  <c r="T1544" i="21"/>
  <c r="P1544" i="21" s="1"/>
  <c r="O1544" i="21"/>
  <c r="T1543" i="21"/>
  <c r="P1543" i="21" s="1"/>
  <c r="O1543" i="21"/>
  <c r="T1541" i="21"/>
  <c r="P1541" i="21" s="1"/>
  <c r="O1541" i="21"/>
  <c r="N1547" i="21"/>
  <c r="N1545" i="21"/>
  <c r="N1549" i="21"/>
  <c r="I1773" i="14"/>
  <c r="Z1547" i="21" l="1"/>
  <c r="Z1546" i="21"/>
  <c r="Z1545" i="21"/>
  <c r="U1543" i="21"/>
  <c r="U1542" i="21"/>
  <c r="U1541" i="21"/>
  <c r="R1549" i="21"/>
  <c r="Q1549" i="21"/>
  <c r="M1549" i="21" s="1"/>
  <c r="S1549" i="21"/>
  <c r="R1545" i="21"/>
  <c r="S1545" i="21"/>
  <c r="Q1545" i="21"/>
  <c r="M1545" i="21" s="1"/>
  <c r="X1545" i="21" s="1"/>
  <c r="R1547" i="21"/>
  <c r="Q1547" i="21"/>
  <c r="M1547" i="21" s="1"/>
  <c r="S1547" i="21"/>
  <c r="T1546" i="21"/>
  <c r="P1546" i="21" s="1"/>
  <c r="O1546" i="21"/>
  <c r="N1550" i="21"/>
  <c r="N1548" i="21"/>
  <c r="N1551" i="21"/>
  <c r="I1776" i="14"/>
  <c r="Z1550" i="21" l="1"/>
  <c r="Z1548" i="21"/>
  <c r="Z1549" i="21"/>
  <c r="W1547" i="21"/>
  <c r="W1546" i="21"/>
  <c r="W1545" i="21"/>
  <c r="R1550" i="21"/>
  <c r="Q1550" i="21"/>
  <c r="M1550" i="21" s="1"/>
  <c r="S1550" i="21"/>
  <c r="R1551" i="21"/>
  <c r="Q1551" i="21"/>
  <c r="M1551" i="21" s="1"/>
  <c r="X1551" i="21" s="1"/>
  <c r="S1551" i="21"/>
  <c r="R1548" i="21"/>
  <c r="Q1548" i="21"/>
  <c r="M1548" i="21" s="1"/>
  <c r="X1548" i="21" s="1"/>
  <c r="S1548" i="21"/>
  <c r="T1547" i="21"/>
  <c r="P1547" i="21" s="1"/>
  <c r="O1547" i="21"/>
  <c r="T1545" i="21"/>
  <c r="P1545" i="21" s="1"/>
  <c r="O1545" i="21"/>
  <c r="T1549" i="21"/>
  <c r="P1549" i="21" s="1"/>
  <c r="O1549" i="21"/>
  <c r="N1562" i="21"/>
  <c r="I1775" i="14"/>
  <c r="I1779" i="14"/>
  <c r="I1777" i="14"/>
  <c r="Z1551" i="21" l="1"/>
  <c r="Z1552" i="21"/>
  <c r="Z1553" i="21"/>
  <c r="Z1554" i="21"/>
  <c r="W1550" i="21"/>
  <c r="W1549" i="21"/>
  <c r="W1548" i="21"/>
  <c r="U1547" i="21"/>
  <c r="U1546" i="21"/>
  <c r="U1545" i="21"/>
  <c r="R1562" i="21"/>
  <c r="Q1562" i="21"/>
  <c r="M1562" i="21" s="1"/>
  <c r="Z1562" i="21" s="1"/>
  <c r="X1562" i="21" s="1"/>
  <c r="S1562" i="21"/>
  <c r="T1551" i="21"/>
  <c r="P1551" i="21" s="1"/>
  <c r="O1551" i="21"/>
  <c r="T1548" i="21"/>
  <c r="P1548" i="21" s="1"/>
  <c r="O1548" i="21"/>
  <c r="T1550" i="21"/>
  <c r="P1550" i="21" s="1"/>
  <c r="O1550" i="21"/>
  <c r="N1564" i="21"/>
  <c r="I1783" i="14"/>
  <c r="I1778" i="14"/>
  <c r="I1782" i="14"/>
  <c r="X1552" i="21" l="1"/>
  <c r="X1553" i="21"/>
  <c r="X1554" i="21"/>
  <c r="U1550" i="21"/>
  <c r="U1549" i="21"/>
  <c r="U1548" i="21"/>
  <c r="R1564" i="21"/>
  <c r="Q1564" i="21"/>
  <c r="M1564" i="21" s="1"/>
  <c r="S1564" i="21"/>
  <c r="T1562" i="21"/>
  <c r="P1562" i="21" s="1"/>
  <c r="O1562" i="21"/>
  <c r="N1567" i="21"/>
  <c r="N1565" i="21"/>
  <c r="N1563" i="21"/>
  <c r="I1785" i="14"/>
  <c r="Z1565" i="21" l="1"/>
  <c r="Z1564" i="21"/>
  <c r="Z1563" i="21"/>
  <c r="R1567" i="21"/>
  <c r="Q1567" i="21"/>
  <c r="M1567" i="21" s="1"/>
  <c r="S1567" i="21"/>
  <c r="R1563" i="21"/>
  <c r="Q1563" i="21"/>
  <c r="M1563" i="21" s="1"/>
  <c r="X1563" i="21" s="1"/>
  <c r="S1563" i="21"/>
  <c r="R1565" i="21"/>
  <c r="Q1565" i="21"/>
  <c r="M1565" i="21" s="1"/>
  <c r="S1565" i="21"/>
  <c r="T1564" i="21"/>
  <c r="P1564" i="21" s="1"/>
  <c r="O1564" i="21"/>
  <c r="N1568" i="21"/>
  <c r="N1569" i="21"/>
  <c r="N1566" i="21"/>
  <c r="I1788" i="14"/>
  <c r="I1784" i="14"/>
  <c r="I1786" i="14"/>
  <c r="Z1566" i="21" l="1"/>
  <c r="Z1568" i="21"/>
  <c r="Z1567" i="21"/>
  <c r="W1565" i="21"/>
  <c r="W1564" i="21"/>
  <c r="W1563" i="21"/>
  <c r="R1569" i="21"/>
  <c r="S1569" i="21"/>
  <c r="Q1569" i="21"/>
  <c r="M1569" i="21" s="1"/>
  <c r="T1565" i="21"/>
  <c r="P1565" i="21" s="1"/>
  <c r="O1565" i="21"/>
  <c r="T1563" i="21"/>
  <c r="P1563" i="21" s="1"/>
  <c r="O1563" i="21"/>
  <c r="T1567" i="21"/>
  <c r="P1567" i="21" s="1"/>
  <c r="O1567" i="21"/>
  <c r="R1566" i="21"/>
  <c r="Q1566" i="21"/>
  <c r="M1566" i="21" s="1"/>
  <c r="X1566" i="21" s="1"/>
  <c r="S1566" i="21"/>
  <c r="R1568" i="21"/>
  <c r="Q1568" i="21"/>
  <c r="M1568" i="21" s="1"/>
  <c r="S1568" i="21"/>
  <c r="N1571" i="21"/>
  <c r="I1789" i="14"/>
  <c r="I1791" i="14"/>
  <c r="I1787" i="14"/>
  <c r="Z1569" i="21" l="1"/>
  <c r="X1569" i="21"/>
  <c r="W1568" i="21"/>
  <c r="W1567" i="21"/>
  <c r="W1566" i="21"/>
  <c r="U1565" i="21"/>
  <c r="U1564" i="21"/>
  <c r="U1563" i="21"/>
  <c r="T1568" i="21"/>
  <c r="P1568" i="21" s="1"/>
  <c r="O1568" i="21"/>
  <c r="T1566" i="21"/>
  <c r="P1566" i="21" s="1"/>
  <c r="O1566" i="21"/>
  <c r="T1569" i="21"/>
  <c r="P1569" i="21" s="1"/>
  <c r="O1569" i="21"/>
  <c r="R1571" i="21"/>
  <c r="S1571" i="21"/>
  <c r="Q1571" i="21"/>
  <c r="M1571" i="21" s="1"/>
  <c r="N1574" i="21"/>
  <c r="N1570" i="21"/>
  <c r="N1572" i="21"/>
  <c r="I1794" i="14"/>
  <c r="Z1572" i="21" l="1"/>
  <c r="Z1571" i="21"/>
  <c r="Z1570" i="21"/>
  <c r="U1568" i="21"/>
  <c r="U1567" i="21"/>
  <c r="U1566" i="21"/>
  <c r="R1572" i="21"/>
  <c r="Q1572" i="21"/>
  <c r="M1572" i="21" s="1"/>
  <c r="S1572" i="21"/>
  <c r="R1574" i="21"/>
  <c r="Q1574" i="21"/>
  <c r="M1574" i="21" s="1"/>
  <c r="S1574" i="21"/>
  <c r="T1571" i="21"/>
  <c r="P1571" i="21" s="1"/>
  <c r="O1571" i="21"/>
  <c r="R1570" i="21"/>
  <c r="S1570" i="21"/>
  <c r="Q1570" i="21"/>
  <c r="M1570" i="21" s="1"/>
  <c r="X1570" i="21" s="1"/>
  <c r="N1573" i="21"/>
  <c r="N1575" i="21"/>
  <c r="N1576" i="21"/>
  <c r="I1795" i="14"/>
  <c r="I1797" i="14"/>
  <c r="I1793" i="14"/>
  <c r="Z1574" i="21" l="1"/>
  <c r="Z1575" i="21"/>
  <c r="Z1573" i="21"/>
  <c r="W1572" i="21"/>
  <c r="W1571" i="21"/>
  <c r="W1570" i="21"/>
  <c r="R1576" i="21"/>
  <c r="Q1576" i="21"/>
  <c r="M1576" i="21" s="1"/>
  <c r="S1576" i="21"/>
  <c r="R1573" i="21"/>
  <c r="S1573" i="21"/>
  <c r="Q1573" i="21"/>
  <c r="M1573" i="21" s="1"/>
  <c r="X1573" i="21" s="1"/>
  <c r="T1574" i="21"/>
  <c r="P1574" i="21" s="1"/>
  <c r="O1574" i="21"/>
  <c r="R1575" i="21"/>
  <c r="Q1575" i="21"/>
  <c r="M1575" i="21" s="1"/>
  <c r="S1575" i="21"/>
  <c r="T1570" i="21"/>
  <c r="P1570" i="21" s="1"/>
  <c r="O1570" i="21"/>
  <c r="T1572" i="21"/>
  <c r="P1572" i="21" s="1"/>
  <c r="O1572" i="21"/>
  <c r="N1578" i="21"/>
  <c r="I1796" i="14"/>
  <c r="I1799" i="14"/>
  <c r="I1800" i="14"/>
  <c r="Z1576" i="21" l="1"/>
  <c r="X1576" i="21"/>
  <c r="W1575" i="21"/>
  <c r="W1574" i="21"/>
  <c r="W1573" i="21"/>
  <c r="U1572" i="21"/>
  <c r="U1571" i="21"/>
  <c r="U1570" i="21"/>
  <c r="R1578" i="21"/>
  <c r="S1578" i="21"/>
  <c r="Q1578" i="21"/>
  <c r="M1578" i="21" s="1"/>
  <c r="T1576" i="21"/>
  <c r="P1576" i="21" s="1"/>
  <c r="O1576" i="21"/>
  <c r="T1575" i="21"/>
  <c r="P1575" i="21" s="1"/>
  <c r="O1575" i="21"/>
  <c r="T1573" i="21"/>
  <c r="P1573" i="21" s="1"/>
  <c r="O1573" i="21"/>
  <c r="N1579" i="21"/>
  <c r="N1581" i="21"/>
  <c r="N1577" i="21"/>
  <c r="I1803" i="14"/>
  <c r="Z1578" i="21" l="1"/>
  <c r="Z1579" i="21"/>
  <c r="Z1577" i="21"/>
  <c r="U1575" i="21"/>
  <c r="U1574" i="21"/>
  <c r="U1573" i="21"/>
  <c r="R1579" i="21"/>
  <c r="Q1579" i="21"/>
  <c r="M1579" i="21" s="1"/>
  <c r="S1579" i="21"/>
  <c r="R1581" i="21"/>
  <c r="Q1581" i="21"/>
  <c r="M1581" i="21" s="1"/>
  <c r="S1581" i="21"/>
  <c r="T1578" i="21"/>
  <c r="P1578" i="21" s="1"/>
  <c r="O1578" i="21"/>
  <c r="R1577" i="21"/>
  <c r="S1577" i="21"/>
  <c r="Q1577" i="21"/>
  <c r="M1577" i="21" s="1"/>
  <c r="X1577" i="21" s="1"/>
  <c r="N1582" i="21"/>
  <c r="N1580" i="21"/>
  <c r="N1583" i="21"/>
  <c r="I1804" i="14"/>
  <c r="I1806" i="14"/>
  <c r="I1802" i="14"/>
  <c r="Z1582" i="21" l="1"/>
  <c r="Z1580" i="21"/>
  <c r="Z1581" i="21"/>
  <c r="W1577" i="21"/>
  <c r="W1579" i="21"/>
  <c r="W1578" i="21"/>
  <c r="R1583" i="21"/>
  <c r="Q1583" i="21"/>
  <c r="M1583" i="21" s="1"/>
  <c r="S1583" i="21"/>
  <c r="T1577" i="21"/>
  <c r="P1577" i="21" s="1"/>
  <c r="O1577" i="21"/>
  <c r="R1582" i="21"/>
  <c r="Q1582" i="21"/>
  <c r="M1582" i="21" s="1"/>
  <c r="S1582" i="21"/>
  <c r="T1579" i="21"/>
  <c r="P1579" i="21" s="1"/>
  <c r="O1579" i="21"/>
  <c r="T1581" i="21"/>
  <c r="P1581" i="21" s="1"/>
  <c r="O1581" i="21"/>
  <c r="R1580" i="21"/>
  <c r="Q1580" i="21"/>
  <c r="M1580" i="21" s="1"/>
  <c r="X1580" i="21" s="1"/>
  <c r="S1580" i="21"/>
  <c r="N1585" i="21"/>
  <c r="I1809" i="14"/>
  <c r="I1805" i="14"/>
  <c r="I1807" i="14"/>
  <c r="Z1583" i="21" l="1"/>
  <c r="X1583" i="21"/>
  <c r="W1582" i="21"/>
  <c r="W1581" i="21"/>
  <c r="W1580" i="21"/>
  <c r="U1579" i="21"/>
  <c r="U1578" i="21"/>
  <c r="U1577" i="21"/>
  <c r="R1585" i="21"/>
  <c r="Q1585" i="21"/>
  <c r="M1585" i="21" s="1"/>
  <c r="S1585" i="21"/>
  <c r="T1580" i="21"/>
  <c r="P1580" i="21" s="1"/>
  <c r="O1580" i="21"/>
  <c r="T1582" i="21"/>
  <c r="P1582" i="21" s="1"/>
  <c r="O1582" i="21"/>
  <c r="T1583" i="21"/>
  <c r="P1583" i="21" s="1"/>
  <c r="O1583" i="21"/>
  <c r="N1586" i="21"/>
  <c r="N1588" i="21"/>
  <c r="N1584" i="21"/>
  <c r="I1820" i="14"/>
  <c r="Z1584" i="21" l="1"/>
  <c r="Z1585" i="21"/>
  <c r="Z1586" i="21"/>
  <c r="U1582" i="21"/>
  <c r="U1581" i="21"/>
  <c r="U1580" i="21"/>
  <c r="R1584" i="21"/>
  <c r="Q1584" i="21"/>
  <c r="M1584" i="21" s="1"/>
  <c r="X1584" i="21" s="1"/>
  <c r="S1584" i="21"/>
  <c r="R1588" i="21"/>
  <c r="Q1588" i="21"/>
  <c r="M1588" i="21" s="1"/>
  <c r="S1588" i="21"/>
  <c r="R1586" i="21"/>
  <c r="Q1586" i="21"/>
  <c r="M1586" i="21" s="1"/>
  <c r="S1586" i="21"/>
  <c r="T1585" i="21"/>
  <c r="P1585" i="21" s="1"/>
  <c r="O1585" i="21"/>
  <c r="N1589" i="21"/>
  <c r="N1590" i="21"/>
  <c r="N1587" i="21"/>
  <c r="I1823" i="14"/>
  <c r="Z1589" i="21" l="1"/>
  <c r="Z1588" i="21"/>
  <c r="Z1587" i="21"/>
  <c r="W1586" i="21"/>
  <c r="W1585" i="21"/>
  <c r="W1584" i="21"/>
  <c r="R1587" i="21"/>
  <c r="Q1587" i="21"/>
  <c r="M1587" i="21" s="1"/>
  <c r="X1587" i="21" s="1"/>
  <c r="S1587" i="21"/>
  <c r="R1589" i="21"/>
  <c r="Q1589" i="21"/>
  <c r="M1589" i="21" s="1"/>
  <c r="S1589" i="21"/>
  <c r="T1586" i="21"/>
  <c r="P1586" i="21" s="1"/>
  <c r="O1586" i="21"/>
  <c r="T1588" i="21"/>
  <c r="P1588" i="21" s="1"/>
  <c r="O1588" i="21"/>
  <c r="T1584" i="21"/>
  <c r="P1584" i="21" s="1"/>
  <c r="O1584" i="21"/>
  <c r="R1590" i="21"/>
  <c r="Q1590" i="21"/>
  <c r="M1590" i="21" s="1"/>
  <c r="X1590" i="21" s="1"/>
  <c r="S1590" i="21"/>
  <c r="N1601" i="21"/>
  <c r="I1826" i="14"/>
  <c r="I1822" i="14"/>
  <c r="I1824" i="14"/>
  <c r="Z1590" i="21" l="1"/>
  <c r="Z1593" i="21"/>
  <c r="Z1591" i="21"/>
  <c r="Z1592" i="21"/>
  <c r="W1589" i="21"/>
  <c r="W1588" i="21"/>
  <c r="W1587" i="21"/>
  <c r="U1586" i="21"/>
  <c r="U1585" i="21"/>
  <c r="U1584" i="21"/>
  <c r="T1587" i="21"/>
  <c r="P1587" i="21" s="1"/>
  <c r="O1587" i="21"/>
  <c r="T1590" i="21"/>
  <c r="P1590" i="21" s="1"/>
  <c r="O1590" i="21"/>
  <c r="T1589" i="21"/>
  <c r="P1589" i="21" s="1"/>
  <c r="O1589" i="21"/>
  <c r="R1601" i="21"/>
  <c r="S1601" i="21"/>
  <c r="Q1601" i="21"/>
  <c r="M1601" i="21" s="1"/>
  <c r="Z1601" i="21" s="1"/>
  <c r="X1601" i="21" s="1"/>
  <c r="N1603" i="21"/>
  <c r="I1830" i="14"/>
  <c r="I1825" i="14"/>
  <c r="I1829" i="14"/>
  <c r="X1593" i="21" l="1"/>
  <c r="X1592" i="21"/>
  <c r="X1591" i="21"/>
  <c r="U1589" i="21"/>
  <c r="U1588" i="21"/>
  <c r="U1587" i="21"/>
  <c r="R1603" i="21"/>
  <c r="Q1603" i="21"/>
  <c r="M1603" i="21" s="1"/>
  <c r="S1603" i="21"/>
  <c r="T1601" i="21"/>
  <c r="P1601" i="21" s="1"/>
  <c r="O1601" i="21"/>
  <c r="N1606" i="21"/>
  <c r="N1604" i="21"/>
  <c r="N1602" i="21"/>
  <c r="I1831" i="14"/>
  <c r="Z1602" i="21" l="1"/>
  <c r="Z1603" i="21"/>
  <c r="Z1604" i="21"/>
  <c r="R1606" i="21"/>
  <c r="Q1606" i="21"/>
  <c r="M1606" i="21" s="1"/>
  <c r="S1606" i="21"/>
  <c r="R1604" i="21"/>
  <c r="Q1604" i="21"/>
  <c r="M1604" i="21" s="1"/>
  <c r="S1604" i="21"/>
  <c r="T1603" i="21"/>
  <c r="P1603" i="21" s="1"/>
  <c r="O1603" i="21"/>
  <c r="R1602" i="21"/>
  <c r="S1602" i="21"/>
  <c r="Q1602" i="21"/>
  <c r="M1602" i="21" s="1"/>
  <c r="X1602" i="21" s="1"/>
  <c r="N1608" i="21"/>
  <c r="N1605" i="21"/>
  <c r="N1607" i="21"/>
  <c r="I1833" i="14"/>
  <c r="Z1607" i="21" l="1"/>
  <c r="Z1606" i="21"/>
  <c r="Z1605" i="21"/>
  <c r="W1604" i="21"/>
  <c r="W1603" i="21"/>
  <c r="W1602" i="21"/>
  <c r="R1607" i="21"/>
  <c r="Q1607" i="21"/>
  <c r="M1607" i="21" s="1"/>
  <c r="S1607" i="21"/>
  <c r="R1608" i="21"/>
  <c r="Q1608" i="21"/>
  <c r="M1608" i="21" s="1"/>
  <c r="S1608" i="21"/>
  <c r="R1605" i="21"/>
  <c r="Q1605" i="21"/>
  <c r="M1605" i="21" s="1"/>
  <c r="X1605" i="21" s="1"/>
  <c r="S1605" i="21"/>
  <c r="T1604" i="21"/>
  <c r="P1604" i="21" s="1"/>
  <c r="O1604" i="21"/>
  <c r="T1602" i="21"/>
  <c r="P1602" i="21" s="1"/>
  <c r="O1602" i="21"/>
  <c r="T1606" i="21"/>
  <c r="P1606" i="21" s="1"/>
  <c r="O1606" i="21"/>
  <c r="N1609" i="21"/>
  <c r="I1834" i="14"/>
  <c r="I1832" i="14"/>
  <c r="I1836" i="14"/>
  <c r="Z1608" i="21" l="1"/>
  <c r="X1608" i="21"/>
  <c r="W1607" i="21"/>
  <c r="W1606" i="21"/>
  <c r="W1605" i="21"/>
  <c r="U1604" i="21"/>
  <c r="U1603" i="21"/>
  <c r="U1602" i="21"/>
  <c r="T1605" i="21"/>
  <c r="P1605" i="21" s="1"/>
  <c r="O1605" i="21"/>
  <c r="T1607" i="21"/>
  <c r="P1607" i="21" s="1"/>
  <c r="O1607" i="21"/>
  <c r="R1609" i="21"/>
  <c r="Q1609" i="21"/>
  <c r="M1609" i="21" s="1"/>
  <c r="Z1609" i="21" s="1"/>
  <c r="X1609" i="21" s="1"/>
  <c r="S1609" i="21"/>
  <c r="T1608" i="21"/>
  <c r="P1608" i="21" s="1"/>
  <c r="O1608" i="21"/>
  <c r="N1611" i="21"/>
  <c r="I1835" i="14"/>
  <c r="I1839" i="14"/>
  <c r="I1837" i="14"/>
  <c r="U1606" i="21" l="1"/>
  <c r="U1605" i="21"/>
  <c r="U1607" i="21"/>
  <c r="R1611" i="21"/>
  <c r="Q1611" i="21"/>
  <c r="M1611" i="21" s="1"/>
  <c r="S1611" i="21"/>
  <c r="T1609" i="21"/>
  <c r="P1609" i="21" s="1"/>
  <c r="O1609" i="21"/>
  <c r="N1612" i="21"/>
  <c r="N1614" i="21"/>
  <c r="N1610" i="21"/>
  <c r="I1842" i="14"/>
  <c r="Z1612" i="21" l="1"/>
  <c r="Z1611" i="21"/>
  <c r="Z1610" i="21"/>
  <c r="R1614" i="21"/>
  <c r="Q1614" i="21"/>
  <c r="M1614" i="21" s="1"/>
  <c r="S1614" i="21"/>
  <c r="R1612" i="21"/>
  <c r="Q1612" i="21"/>
  <c r="M1612" i="21" s="1"/>
  <c r="S1612" i="21"/>
  <c r="R1610" i="21"/>
  <c r="Q1610" i="21"/>
  <c r="M1610" i="21" s="1"/>
  <c r="X1610" i="21" s="1"/>
  <c r="S1610" i="21"/>
  <c r="T1611" i="21"/>
  <c r="P1611" i="21" s="1"/>
  <c r="O1611" i="21"/>
  <c r="N1616" i="21"/>
  <c r="N1615" i="21"/>
  <c r="N1613" i="21"/>
  <c r="I1845" i="14"/>
  <c r="I1843" i="14"/>
  <c r="I1841" i="14"/>
  <c r="Z1614" i="21" l="1"/>
  <c r="Z1615" i="21"/>
  <c r="Z1613" i="21"/>
  <c r="W1612" i="21"/>
  <c r="W1611" i="21"/>
  <c r="W1610" i="21"/>
  <c r="R1616" i="21"/>
  <c r="Q1616" i="21"/>
  <c r="M1616" i="21" s="1"/>
  <c r="S1616" i="21"/>
  <c r="R1613" i="21"/>
  <c r="Q1613" i="21"/>
  <c r="M1613" i="21" s="1"/>
  <c r="X1613" i="21" s="1"/>
  <c r="S1613" i="21"/>
  <c r="R1615" i="21"/>
  <c r="S1615" i="21"/>
  <c r="Q1615" i="21"/>
  <c r="M1615" i="21" s="1"/>
  <c r="T1610" i="21"/>
  <c r="P1610" i="21" s="1"/>
  <c r="O1610" i="21"/>
  <c r="T1614" i="21"/>
  <c r="P1614" i="21" s="1"/>
  <c r="O1614" i="21"/>
  <c r="T1612" i="21"/>
  <c r="P1612" i="21" s="1"/>
  <c r="O1612" i="21"/>
  <c r="N1618" i="21"/>
  <c r="I1844" i="14"/>
  <c r="I1848" i="14"/>
  <c r="I1847" i="14"/>
  <c r="Z1616" i="21" l="1"/>
  <c r="X1616" i="21"/>
  <c r="W1615" i="21"/>
  <c r="W1614" i="21"/>
  <c r="W1613" i="21"/>
  <c r="U1612" i="21"/>
  <c r="U1611" i="21"/>
  <c r="U1610" i="21"/>
  <c r="R1618" i="21"/>
  <c r="S1618" i="21"/>
  <c r="Q1618" i="21"/>
  <c r="M1618" i="21" s="1"/>
  <c r="T1615" i="21"/>
  <c r="P1615" i="21" s="1"/>
  <c r="O1615" i="21"/>
  <c r="T1613" i="21"/>
  <c r="P1613" i="21" s="1"/>
  <c r="O1613" i="21"/>
  <c r="T1616" i="21"/>
  <c r="P1616" i="21" s="1"/>
  <c r="O1616" i="21"/>
  <c r="N1621" i="21"/>
  <c r="N1619" i="21"/>
  <c r="N1617" i="21"/>
  <c r="I1851" i="14"/>
  <c r="Z1618" i="21" l="1"/>
  <c r="Z1619" i="21"/>
  <c r="Z1617" i="21"/>
  <c r="U1615" i="21"/>
  <c r="U1614" i="21"/>
  <c r="U1613" i="21"/>
  <c r="R1617" i="21"/>
  <c r="S1617" i="21"/>
  <c r="Q1617" i="21"/>
  <c r="M1617" i="21" s="1"/>
  <c r="X1617" i="21" s="1"/>
  <c r="R1619" i="21"/>
  <c r="S1619" i="21"/>
  <c r="Q1619" i="21"/>
  <c r="M1619" i="21" s="1"/>
  <c r="R1621" i="21"/>
  <c r="S1621" i="21"/>
  <c r="Q1621" i="21"/>
  <c r="M1621" i="21" s="1"/>
  <c r="T1618" i="21"/>
  <c r="P1618" i="21" s="1"/>
  <c r="O1618" i="21"/>
  <c r="N1622" i="21"/>
  <c r="N1620" i="21"/>
  <c r="N1623" i="21"/>
  <c r="I1854" i="14"/>
  <c r="I1852" i="14"/>
  <c r="I1850" i="14"/>
  <c r="Z1622" i="21" l="1"/>
  <c r="Z1620" i="21"/>
  <c r="Z1621" i="21"/>
  <c r="W1619" i="21"/>
  <c r="W1618" i="21"/>
  <c r="W1617" i="21"/>
  <c r="R1620" i="21"/>
  <c r="S1620" i="21"/>
  <c r="Q1620" i="21"/>
  <c r="M1620" i="21" s="1"/>
  <c r="X1620" i="21" s="1"/>
  <c r="R1623" i="21"/>
  <c r="S1623" i="21"/>
  <c r="Q1623" i="21"/>
  <c r="M1623" i="21" s="1"/>
  <c r="T1621" i="21"/>
  <c r="P1621" i="21" s="1"/>
  <c r="O1621" i="21"/>
  <c r="R1622" i="21"/>
  <c r="S1622" i="21"/>
  <c r="Q1622" i="21"/>
  <c r="M1622" i="21" s="1"/>
  <c r="T1619" i="21"/>
  <c r="P1619" i="21" s="1"/>
  <c r="O1619" i="21"/>
  <c r="T1617" i="21"/>
  <c r="P1617" i="21" s="1"/>
  <c r="O1617" i="21"/>
  <c r="N1625" i="21"/>
  <c r="I1853" i="14"/>
  <c r="I1855" i="14"/>
  <c r="I1857" i="14"/>
  <c r="Z1623" i="21" l="1"/>
  <c r="X1623" i="21"/>
  <c r="W1622" i="21"/>
  <c r="W1621" i="21"/>
  <c r="W1620" i="21"/>
  <c r="U1619" i="21"/>
  <c r="U1618" i="21"/>
  <c r="U1617" i="21"/>
  <c r="R1625" i="21"/>
  <c r="Q1625" i="21"/>
  <c r="M1625" i="21" s="1"/>
  <c r="S1625" i="21"/>
  <c r="T1620" i="21"/>
  <c r="P1620" i="21" s="1"/>
  <c r="O1620" i="21"/>
  <c r="T1622" i="21"/>
  <c r="P1622" i="21" s="1"/>
  <c r="O1622" i="21"/>
  <c r="T1623" i="21"/>
  <c r="P1623" i="21" s="1"/>
  <c r="O1623" i="21"/>
  <c r="N1624" i="21"/>
  <c r="N1626" i="21"/>
  <c r="N1628" i="21"/>
  <c r="I1868" i="14"/>
  <c r="Z1624" i="21" l="1"/>
  <c r="Z1626" i="21"/>
  <c r="Z1625" i="21"/>
  <c r="U1622" i="21"/>
  <c r="U1621" i="21"/>
  <c r="U1620" i="21"/>
  <c r="R1624" i="21"/>
  <c r="S1624" i="21"/>
  <c r="Q1624" i="21"/>
  <c r="M1624" i="21" s="1"/>
  <c r="X1624" i="21" s="1"/>
  <c r="R1628" i="21"/>
  <c r="S1628" i="21"/>
  <c r="Q1628" i="21"/>
  <c r="M1628" i="21" s="1"/>
  <c r="R1626" i="21"/>
  <c r="S1626" i="21"/>
  <c r="Q1626" i="21"/>
  <c r="M1626" i="21" s="1"/>
  <c r="T1625" i="21"/>
  <c r="P1625" i="21" s="1"/>
  <c r="O1625" i="21"/>
  <c r="N1627" i="21"/>
  <c r="N1630" i="21"/>
  <c r="N1629" i="21"/>
  <c r="I1871" i="14"/>
  <c r="Z1629" i="21" l="1"/>
  <c r="Z1628" i="21"/>
  <c r="Z1627" i="21"/>
  <c r="W1626" i="21"/>
  <c r="W1625" i="21"/>
  <c r="W1624" i="21"/>
  <c r="R1630" i="21"/>
  <c r="Q1630" i="21"/>
  <c r="M1630" i="21" s="1"/>
  <c r="S1630" i="21"/>
  <c r="T1624" i="21"/>
  <c r="P1624" i="21" s="1"/>
  <c r="O1624" i="21"/>
  <c r="R1629" i="21"/>
  <c r="Q1629" i="21"/>
  <c r="M1629" i="21" s="1"/>
  <c r="S1629" i="21"/>
  <c r="R1627" i="21"/>
  <c r="S1627" i="21"/>
  <c r="Q1627" i="21"/>
  <c r="M1627" i="21" s="1"/>
  <c r="X1627" i="21" s="1"/>
  <c r="T1626" i="21"/>
  <c r="P1626" i="21" s="1"/>
  <c r="O1626" i="21"/>
  <c r="T1628" i="21"/>
  <c r="P1628" i="21" s="1"/>
  <c r="O1628" i="21"/>
  <c r="N1641" i="21"/>
  <c r="I1870" i="14"/>
  <c r="I1874" i="14"/>
  <c r="I1872" i="14"/>
  <c r="X1630" i="21" l="1"/>
  <c r="Z1630" i="21"/>
  <c r="Z1633" i="21"/>
  <c r="Z1631" i="21"/>
  <c r="Z1632" i="21"/>
  <c r="W1629" i="21"/>
  <c r="W1628" i="21"/>
  <c r="W1627" i="21"/>
  <c r="U1626" i="21"/>
  <c r="U1625" i="21"/>
  <c r="U1624" i="21"/>
  <c r="T1627" i="21"/>
  <c r="P1627" i="21" s="1"/>
  <c r="O1627" i="21"/>
  <c r="T1629" i="21"/>
  <c r="P1629" i="21" s="1"/>
  <c r="O1629" i="21"/>
  <c r="R1641" i="21"/>
  <c r="S1641" i="21"/>
  <c r="Q1641" i="21"/>
  <c r="M1641" i="21" s="1"/>
  <c r="Z1641" i="21" s="1"/>
  <c r="X1641" i="21" s="1"/>
  <c r="T1630" i="21"/>
  <c r="P1630" i="21" s="1"/>
  <c r="O1630" i="21"/>
  <c r="N1643" i="21"/>
  <c r="I1876" i="14"/>
  <c r="I1877" i="14"/>
  <c r="I1873" i="14"/>
  <c r="X1633" i="21" l="1"/>
  <c r="X1631" i="21"/>
  <c r="X1632" i="21"/>
  <c r="U1629" i="21"/>
  <c r="U1628" i="21"/>
  <c r="U1627" i="21"/>
  <c r="R1643" i="21"/>
  <c r="S1643" i="21"/>
  <c r="Q1643" i="21"/>
  <c r="M1643" i="21" s="1"/>
  <c r="T1641" i="21"/>
  <c r="P1641" i="21" s="1"/>
  <c r="O1641" i="21"/>
  <c r="N1646" i="21"/>
  <c r="N1642" i="21"/>
  <c r="N1644" i="21"/>
  <c r="I1878" i="14"/>
  <c r="Z1642" i="21" l="1"/>
  <c r="Z1643" i="21"/>
  <c r="Z1644" i="21"/>
  <c r="R1642" i="21"/>
  <c r="S1642" i="21"/>
  <c r="Q1642" i="21"/>
  <c r="M1642" i="21" s="1"/>
  <c r="X1642" i="21" s="1"/>
  <c r="T1643" i="21"/>
  <c r="P1643" i="21" s="1"/>
  <c r="O1643" i="21"/>
  <c r="R1644" i="21"/>
  <c r="S1644" i="21"/>
  <c r="Q1644" i="21"/>
  <c r="M1644" i="21" s="1"/>
  <c r="R1646" i="21"/>
  <c r="S1646" i="21"/>
  <c r="Q1646" i="21"/>
  <c r="M1646" i="21" s="1"/>
  <c r="N1648" i="21"/>
  <c r="N1647" i="21"/>
  <c r="N1645" i="21"/>
  <c r="I1881" i="14"/>
  <c r="Z1647" i="21" l="1"/>
  <c r="Z1646" i="21"/>
  <c r="Z1645" i="21"/>
  <c r="W1644" i="21"/>
  <c r="W1643" i="21"/>
  <c r="W1642" i="21"/>
  <c r="T1646" i="21"/>
  <c r="P1646" i="21" s="1"/>
  <c r="O1646" i="21"/>
  <c r="R1648" i="21"/>
  <c r="S1648" i="21"/>
  <c r="Q1648" i="21"/>
  <c r="M1648" i="21" s="1"/>
  <c r="R1645" i="21"/>
  <c r="S1645" i="21"/>
  <c r="Q1645" i="21"/>
  <c r="M1645" i="21" s="1"/>
  <c r="X1645" i="21" s="1"/>
  <c r="T1644" i="21"/>
  <c r="P1644" i="21" s="1"/>
  <c r="O1644" i="21"/>
  <c r="T1642" i="21"/>
  <c r="P1642" i="21" s="1"/>
  <c r="O1642" i="21"/>
  <c r="R1647" i="21"/>
  <c r="Q1647" i="21"/>
  <c r="M1647" i="21" s="1"/>
  <c r="S1647" i="21"/>
  <c r="N1649" i="21"/>
  <c r="I1884" i="14"/>
  <c r="I1879" i="14"/>
  <c r="I1882" i="14"/>
  <c r="Z1648" i="21" l="1"/>
  <c r="X1648" i="21"/>
  <c r="W1646" i="21"/>
  <c r="W1645" i="21"/>
  <c r="W1647" i="21"/>
  <c r="U1642" i="21"/>
  <c r="U1644" i="21"/>
  <c r="U1643" i="21"/>
  <c r="T1647" i="21"/>
  <c r="P1647" i="21" s="1"/>
  <c r="O1647" i="21"/>
  <c r="R1649" i="21"/>
  <c r="Q1649" i="21"/>
  <c r="M1649" i="21" s="1"/>
  <c r="Z1649" i="21" s="1"/>
  <c r="X1649" i="21" s="1"/>
  <c r="S1649" i="21"/>
  <c r="T1645" i="21"/>
  <c r="P1645" i="21" s="1"/>
  <c r="O1645" i="21"/>
  <c r="T1648" i="21"/>
  <c r="P1648" i="21" s="1"/>
  <c r="O1648" i="21"/>
  <c r="N1651" i="21"/>
  <c r="I1887" i="14"/>
  <c r="I1885" i="14"/>
  <c r="I1883" i="14"/>
  <c r="U1647" i="21" l="1"/>
  <c r="U1646" i="21"/>
  <c r="U1645" i="21"/>
  <c r="T1649" i="21"/>
  <c r="P1649" i="21" s="1"/>
  <c r="O1649" i="21"/>
  <c r="R1651" i="21"/>
  <c r="Q1651" i="21"/>
  <c r="M1651" i="21" s="1"/>
  <c r="S1651" i="21"/>
  <c r="N1650" i="21"/>
  <c r="N1654" i="21"/>
  <c r="N1652" i="21"/>
  <c r="I1890" i="14"/>
  <c r="Z1652" i="21" l="1"/>
  <c r="Z1651" i="21"/>
  <c r="Z1650" i="21"/>
  <c r="R1650" i="21"/>
  <c r="Q1650" i="21"/>
  <c r="M1650" i="21" s="1"/>
  <c r="X1650" i="21" s="1"/>
  <c r="S1650" i="21"/>
  <c r="R1654" i="21"/>
  <c r="S1654" i="21"/>
  <c r="Q1654" i="21"/>
  <c r="M1654" i="21" s="1"/>
  <c r="R1652" i="21"/>
  <c r="Q1652" i="21"/>
  <c r="M1652" i="21" s="1"/>
  <c r="S1652" i="21"/>
  <c r="T1651" i="21"/>
  <c r="P1651" i="21" s="1"/>
  <c r="O1651" i="21"/>
  <c r="N1655" i="21"/>
  <c r="N1656" i="21"/>
  <c r="N1653" i="21"/>
  <c r="I1893" i="14"/>
  <c r="I1891" i="14"/>
  <c r="I1889" i="14"/>
  <c r="Z1654" i="21" l="1"/>
  <c r="Z1655" i="21"/>
  <c r="Z1653" i="21"/>
  <c r="W1652" i="21"/>
  <c r="W1651" i="21"/>
  <c r="W1650" i="21"/>
  <c r="T1652" i="21"/>
  <c r="P1652" i="21" s="1"/>
  <c r="O1652" i="21"/>
  <c r="R1653" i="21"/>
  <c r="Q1653" i="21"/>
  <c r="M1653" i="21" s="1"/>
  <c r="X1653" i="21" s="1"/>
  <c r="S1653" i="21"/>
  <c r="R1655" i="21"/>
  <c r="Q1655" i="21"/>
  <c r="M1655" i="21" s="1"/>
  <c r="S1655" i="21"/>
  <c r="R1656" i="21"/>
  <c r="S1656" i="21"/>
  <c r="Q1656" i="21"/>
  <c r="M1656" i="21" s="1"/>
  <c r="T1654" i="21"/>
  <c r="P1654" i="21" s="1"/>
  <c r="O1654" i="21"/>
  <c r="T1650" i="21"/>
  <c r="P1650" i="21" s="1"/>
  <c r="O1650" i="21"/>
  <c r="N1658" i="21"/>
  <c r="I1897" i="14"/>
  <c r="I1892" i="14"/>
  <c r="I1895" i="14"/>
  <c r="Z1656" i="21" l="1"/>
  <c r="X1656" i="21"/>
  <c r="W1655" i="21"/>
  <c r="W1654" i="21"/>
  <c r="W1653" i="21"/>
  <c r="U1652" i="21"/>
  <c r="U1651" i="21"/>
  <c r="U1650" i="21"/>
  <c r="T1655" i="21"/>
  <c r="P1655" i="21" s="1"/>
  <c r="O1655" i="21"/>
  <c r="R1658" i="21"/>
  <c r="S1658" i="21"/>
  <c r="Q1658" i="21"/>
  <c r="M1658" i="21" s="1"/>
  <c r="T1656" i="21"/>
  <c r="P1656" i="21" s="1"/>
  <c r="O1656" i="21"/>
  <c r="T1653" i="21"/>
  <c r="P1653" i="21" s="1"/>
  <c r="O1653" i="21"/>
  <c r="N1661" i="21"/>
  <c r="N1657" i="21"/>
  <c r="N1659" i="21"/>
  <c r="I1899" i="14"/>
  <c r="I575" i="14"/>
  <c r="H575" i="14"/>
  <c r="G578" i="14"/>
  <c r="Z1658" i="21" l="1"/>
  <c r="Z1659" i="21"/>
  <c r="Z1657" i="21"/>
  <c r="U1655" i="21"/>
  <c r="U1654" i="21"/>
  <c r="U1653" i="21"/>
  <c r="R1659" i="21"/>
  <c r="S1659" i="21"/>
  <c r="Q1659" i="21"/>
  <c r="M1659" i="21" s="1"/>
  <c r="R1657" i="21"/>
  <c r="S1657" i="21"/>
  <c r="Q1657" i="21"/>
  <c r="M1657" i="21" s="1"/>
  <c r="X1657" i="21" s="1"/>
  <c r="T1658" i="21"/>
  <c r="P1658" i="21" s="1"/>
  <c r="O1658" i="21"/>
  <c r="R1661" i="21"/>
  <c r="S1661" i="21"/>
  <c r="Q1661" i="21"/>
  <c r="M1661" i="21" s="1"/>
  <c r="N1662" i="21"/>
  <c r="N1663" i="21"/>
  <c r="N1660" i="21"/>
  <c r="N514" i="21"/>
  <c r="G580" i="14"/>
  <c r="I1898" i="14"/>
  <c r="I1900" i="14"/>
  <c r="I1902" i="14"/>
  <c r="G577" i="14"/>
  <c r="Z1662" i="21" l="1"/>
  <c r="Z1660" i="21"/>
  <c r="Z1661" i="21"/>
  <c r="G581" i="14"/>
  <c r="W1659" i="21"/>
  <c r="W1658" i="21"/>
  <c r="W1657" i="21"/>
  <c r="T1661" i="21"/>
  <c r="P1661" i="21" s="1"/>
  <c r="O1661" i="21"/>
  <c r="R1663" i="21"/>
  <c r="S1663" i="21"/>
  <c r="Q1663" i="21"/>
  <c r="M1663" i="21" s="1"/>
  <c r="R1660" i="21"/>
  <c r="Q1660" i="21"/>
  <c r="M1660" i="21" s="1"/>
  <c r="X1660" i="21" s="1"/>
  <c r="S1660" i="21"/>
  <c r="R1662" i="21"/>
  <c r="S1662" i="21"/>
  <c r="Q1662" i="21"/>
  <c r="M1662" i="21" s="1"/>
  <c r="T1657" i="21"/>
  <c r="P1657" i="21" s="1"/>
  <c r="O1657" i="21"/>
  <c r="T1659" i="21"/>
  <c r="P1659" i="21" s="1"/>
  <c r="O1659" i="21"/>
  <c r="R514" i="21"/>
  <c r="S514" i="21"/>
  <c r="Q514" i="21"/>
  <c r="M514" i="21" s="1"/>
  <c r="N1665" i="21"/>
  <c r="I1905" i="14"/>
  <c r="I1903" i="14"/>
  <c r="I1901" i="14"/>
  <c r="G582" i="14"/>
  <c r="Z1663" i="21" l="1"/>
  <c r="X1663" i="21"/>
  <c r="Z514" i="21"/>
  <c r="X514" i="21" s="1"/>
  <c r="Z515" i="21"/>
  <c r="Z517" i="21"/>
  <c r="Z516" i="21"/>
  <c r="W1662" i="21"/>
  <c r="W1661" i="21"/>
  <c r="W1660" i="21"/>
  <c r="U1659" i="21"/>
  <c r="U1658" i="21"/>
  <c r="U1657" i="21"/>
  <c r="R1665" i="21"/>
  <c r="S1665" i="21"/>
  <c r="Q1665" i="21"/>
  <c r="M1665" i="21" s="1"/>
  <c r="T1663" i="21"/>
  <c r="P1663" i="21" s="1"/>
  <c r="O1663" i="21"/>
  <c r="T514" i="21"/>
  <c r="P514" i="21" s="1"/>
  <c r="O514" i="21"/>
  <c r="T1662" i="21"/>
  <c r="P1662" i="21" s="1"/>
  <c r="O1662" i="21"/>
  <c r="T1660" i="21"/>
  <c r="P1660" i="21" s="1"/>
  <c r="O1660" i="21"/>
  <c r="N1668" i="21"/>
  <c r="N1664" i="21"/>
  <c r="N1666" i="21"/>
  <c r="I1918" i="14"/>
  <c r="G583" i="14"/>
  <c r="G584" i="14"/>
  <c r="X517" i="21" l="1"/>
  <c r="X515" i="21"/>
  <c r="X516" i="21"/>
  <c r="Z1664" i="21"/>
  <c r="Z1665" i="21"/>
  <c r="Z1666" i="21"/>
  <c r="U1662" i="21"/>
  <c r="U1661" i="21"/>
  <c r="U1660" i="21"/>
  <c r="R1668" i="21"/>
  <c r="S1668" i="21"/>
  <c r="Q1668" i="21"/>
  <c r="M1668" i="21" s="1"/>
  <c r="R1666" i="21"/>
  <c r="S1666" i="21"/>
  <c r="Q1666" i="21"/>
  <c r="M1666" i="21" s="1"/>
  <c r="R1664" i="21"/>
  <c r="S1664" i="21"/>
  <c r="Q1664" i="21"/>
  <c r="M1664" i="21" s="1"/>
  <c r="X1664" i="21" s="1"/>
  <c r="T1665" i="21"/>
  <c r="P1665" i="21" s="1"/>
  <c r="O1665" i="21"/>
  <c r="N1670" i="21"/>
  <c r="N1669" i="21"/>
  <c r="N1667" i="21"/>
  <c r="I1921" i="14"/>
  <c r="G587" i="14"/>
  <c r="G585" i="14"/>
  <c r="H583" i="14"/>
  <c r="I583" i="14"/>
  <c r="Z1669" i="21" l="1"/>
  <c r="Z1668" i="21"/>
  <c r="Z1667" i="21"/>
  <c r="W1666" i="21"/>
  <c r="W1665" i="21"/>
  <c r="W1664" i="21"/>
  <c r="R1669" i="21"/>
  <c r="S1669" i="21"/>
  <c r="Q1669" i="21"/>
  <c r="M1669" i="21" s="1"/>
  <c r="R1667" i="21"/>
  <c r="Q1667" i="21"/>
  <c r="M1667" i="21" s="1"/>
  <c r="X1667" i="21" s="1"/>
  <c r="S1667" i="21"/>
  <c r="R1670" i="21"/>
  <c r="Q1670" i="21"/>
  <c r="M1670" i="21" s="1"/>
  <c r="S1670" i="21"/>
  <c r="T1664" i="21"/>
  <c r="P1664" i="21" s="1"/>
  <c r="O1664" i="21"/>
  <c r="T1668" i="21"/>
  <c r="P1668" i="21" s="1"/>
  <c r="O1668" i="21"/>
  <c r="T1666" i="21"/>
  <c r="P1666" i="21" s="1"/>
  <c r="O1666" i="21"/>
  <c r="N521" i="21"/>
  <c r="N1681" i="21"/>
  <c r="I1924" i="14"/>
  <c r="G586" i="14"/>
  <c r="I585" i="14"/>
  <c r="G590" i="14"/>
  <c r="H585" i="14"/>
  <c r="X1671" i="21" l="1"/>
  <c r="X1670" i="21"/>
  <c r="Z1670" i="21"/>
  <c r="Z1673" i="21"/>
  <c r="Z1671" i="21"/>
  <c r="Z1672" i="21"/>
  <c r="W1669" i="21"/>
  <c r="W1668" i="21"/>
  <c r="W1667" i="21"/>
  <c r="U1666" i="21"/>
  <c r="U1665" i="21"/>
  <c r="U1664" i="21"/>
  <c r="R1681" i="21"/>
  <c r="S1681" i="21"/>
  <c r="Q1681" i="21"/>
  <c r="M1681" i="21" s="1"/>
  <c r="Z1681" i="21" s="1"/>
  <c r="X1681" i="21" s="1"/>
  <c r="T1670" i="21"/>
  <c r="P1670" i="21" s="1"/>
  <c r="O1670" i="21"/>
  <c r="T1667" i="21"/>
  <c r="P1667" i="21" s="1"/>
  <c r="O1667" i="21"/>
  <c r="T1669" i="21"/>
  <c r="P1669" i="21" s="1"/>
  <c r="O1669" i="21"/>
  <c r="R521" i="21"/>
  <c r="S521" i="21"/>
  <c r="Q521" i="21"/>
  <c r="M521" i="21" s="1"/>
  <c r="Z522" i="21" s="1"/>
  <c r="X522" i="21" s="1"/>
  <c r="N1682" i="21"/>
  <c r="N523" i="21"/>
  <c r="R523" i="21" s="1"/>
  <c r="H586" i="14"/>
  <c r="I1923" i="14"/>
  <c r="I1925" i="14"/>
  <c r="I1928" i="14"/>
  <c r="I586" i="14"/>
  <c r="G591" i="14"/>
  <c r="G589" i="14"/>
  <c r="U1669" i="21" l="1"/>
  <c r="U1668" i="21"/>
  <c r="U1667" i="21"/>
  <c r="R1682" i="21"/>
  <c r="Q1682" i="21"/>
  <c r="M1682" i="21" s="1"/>
  <c r="Z1682" i="21" s="1"/>
  <c r="X1682" i="21" s="1"/>
  <c r="S1682" i="21"/>
  <c r="T521" i="21"/>
  <c r="P521" i="21" s="1"/>
  <c r="O521" i="21"/>
  <c r="T1681" i="21"/>
  <c r="P1681" i="21" s="1"/>
  <c r="O1681" i="21"/>
  <c r="S523" i="21"/>
  <c r="Q523" i="21"/>
  <c r="M523" i="21" s="1"/>
  <c r="Z523" i="21" s="1"/>
  <c r="X523" i="21" s="1"/>
  <c r="N524" i="21"/>
  <c r="N1684" i="21"/>
  <c r="I1930" i="14"/>
  <c r="I1929" i="14"/>
  <c r="I1926" i="14"/>
  <c r="G593" i="14"/>
  <c r="T523" i="21" l="1"/>
  <c r="P523" i="21" s="1"/>
  <c r="O523" i="21"/>
  <c r="T1682" i="21"/>
  <c r="P1682" i="21" s="1"/>
  <c r="O1682" i="21"/>
  <c r="R1684" i="21"/>
  <c r="S1684" i="21"/>
  <c r="Q1684" i="21"/>
  <c r="M1684" i="21" s="1"/>
  <c r="R524" i="21"/>
  <c r="S524" i="21"/>
  <c r="Q524" i="21"/>
  <c r="M524" i="21" s="1"/>
  <c r="N1683" i="21"/>
  <c r="N1685" i="21"/>
  <c r="N1687" i="21"/>
  <c r="I1933" i="14"/>
  <c r="G594" i="14"/>
  <c r="Z1685" i="21" l="1"/>
  <c r="Z1684" i="21"/>
  <c r="Z1683" i="21"/>
  <c r="Z524" i="21"/>
  <c r="X524" i="21" s="1"/>
  <c r="Z527" i="21"/>
  <c r="Z525" i="21"/>
  <c r="Z526" i="21"/>
  <c r="R1685" i="21"/>
  <c r="S1685" i="21"/>
  <c r="Q1685" i="21"/>
  <c r="M1685" i="21" s="1"/>
  <c r="R1687" i="21"/>
  <c r="S1687" i="21"/>
  <c r="Q1687" i="21"/>
  <c r="M1687" i="21" s="1"/>
  <c r="T524" i="21"/>
  <c r="P524" i="21" s="1"/>
  <c r="O524" i="21"/>
  <c r="T1684" i="21"/>
  <c r="P1684" i="21" s="1"/>
  <c r="O1684" i="21"/>
  <c r="R1683" i="21"/>
  <c r="S1683" i="21"/>
  <c r="Q1683" i="21"/>
  <c r="M1683" i="21" s="1"/>
  <c r="X1683" i="21" s="1"/>
  <c r="N1688" i="21"/>
  <c r="N1689" i="21"/>
  <c r="N1686" i="21"/>
  <c r="I1936" i="14"/>
  <c r="I1934" i="14"/>
  <c r="I1932" i="14"/>
  <c r="G595" i="14"/>
  <c r="X527" i="21" l="1"/>
  <c r="X525" i="21"/>
  <c r="X526" i="21"/>
  <c r="Z1686" i="21"/>
  <c r="Z1688" i="21"/>
  <c r="Z1687" i="21"/>
  <c r="G596" i="14"/>
  <c r="W1683" i="21"/>
  <c r="W1685" i="21"/>
  <c r="W1684" i="21"/>
  <c r="R1689" i="21"/>
  <c r="S1689" i="21"/>
  <c r="Q1689" i="21"/>
  <c r="M1689" i="21" s="1"/>
  <c r="R1686" i="21"/>
  <c r="S1686" i="21"/>
  <c r="Q1686" i="21"/>
  <c r="M1686" i="21" s="1"/>
  <c r="X1686" i="21" s="1"/>
  <c r="R1688" i="21"/>
  <c r="S1688" i="21"/>
  <c r="Q1688" i="21"/>
  <c r="M1688" i="21" s="1"/>
  <c r="T1683" i="21"/>
  <c r="P1683" i="21" s="1"/>
  <c r="O1683" i="21"/>
  <c r="T1687" i="21"/>
  <c r="P1687" i="21" s="1"/>
  <c r="O1687" i="21"/>
  <c r="T1685" i="21"/>
  <c r="P1685" i="21" s="1"/>
  <c r="O1685" i="21"/>
  <c r="N1691" i="21"/>
  <c r="I1939" i="14"/>
  <c r="I1935" i="14"/>
  <c r="I1937" i="14"/>
  <c r="G597" i="14"/>
  <c r="Z1689" i="21" l="1"/>
  <c r="X1689" i="21"/>
  <c r="W1688" i="21"/>
  <c r="W1687" i="21"/>
  <c r="W1686" i="21"/>
  <c r="U1685" i="21"/>
  <c r="U1684" i="21"/>
  <c r="U1683" i="21"/>
  <c r="T1688" i="21"/>
  <c r="P1688" i="21" s="1"/>
  <c r="O1688" i="21"/>
  <c r="R1691" i="21"/>
  <c r="S1691" i="21"/>
  <c r="Q1691" i="21"/>
  <c r="M1691" i="21" s="1"/>
  <c r="T1686" i="21"/>
  <c r="P1686" i="21" s="1"/>
  <c r="O1686" i="21"/>
  <c r="T1689" i="21"/>
  <c r="P1689" i="21" s="1"/>
  <c r="O1689" i="21"/>
  <c r="N1694" i="21"/>
  <c r="N1692" i="21"/>
  <c r="N1690" i="21"/>
  <c r="I1942" i="14"/>
  <c r="G599" i="14"/>
  <c r="Z1692" i="21" l="1"/>
  <c r="Z1690" i="21"/>
  <c r="Z1691" i="21"/>
  <c r="U1688" i="21"/>
  <c r="U1687" i="21"/>
  <c r="U1686" i="21"/>
  <c r="R1690" i="21"/>
  <c r="S1690" i="21"/>
  <c r="Q1690" i="21"/>
  <c r="M1690" i="21" s="1"/>
  <c r="X1690" i="21" s="1"/>
  <c r="R1692" i="21"/>
  <c r="Q1692" i="21"/>
  <c r="M1692" i="21" s="1"/>
  <c r="S1692" i="21"/>
  <c r="R1694" i="21"/>
  <c r="S1694" i="21"/>
  <c r="Q1694" i="21"/>
  <c r="M1694" i="21" s="1"/>
  <c r="T1691" i="21"/>
  <c r="P1691" i="21" s="1"/>
  <c r="O1691" i="21"/>
  <c r="N1695" i="21"/>
  <c r="N1696" i="21"/>
  <c r="N1693" i="21"/>
  <c r="I1945" i="14"/>
  <c r="I1943" i="14"/>
  <c r="I1941" i="14"/>
  <c r="G600" i="14"/>
  <c r="G598" i="14"/>
  <c r="G602" i="14"/>
  <c r="Z1694" i="21" l="1"/>
  <c r="Z1695" i="21"/>
  <c r="Z1693" i="21"/>
  <c r="W1692" i="21"/>
  <c r="W1691" i="21"/>
  <c r="W1690" i="21"/>
  <c r="R1696" i="21"/>
  <c r="Q1696" i="21"/>
  <c r="M1696" i="21" s="1"/>
  <c r="S1696" i="21"/>
  <c r="R1693" i="21"/>
  <c r="Q1693" i="21"/>
  <c r="M1693" i="21" s="1"/>
  <c r="X1693" i="21" s="1"/>
  <c r="S1693" i="21"/>
  <c r="R1695" i="21"/>
  <c r="Q1695" i="21"/>
  <c r="M1695" i="21" s="1"/>
  <c r="S1695" i="21"/>
  <c r="T1694" i="21"/>
  <c r="P1694" i="21" s="1"/>
  <c r="O1694" i="21"/>
  <c r="T1692" i="21"/>
  <c r="P1692" i="21" s="1"/>
  <c r="O1692" i="21"/>
  <c r="T1690" i="21"/>
  <c r="P1690" i="21" s="1"/>
  <c r="O1690" i="21"/>
  <c r="N1698" i="21"/>
  <c r="G601" i="14"/>
  <c r="I1948" i="14"/>
  <c r="I1944" i="14"/>
  <c r="I1950" i="14"/>
  <c r="I600" i="14"/>
  <c r="G604" i="14"/>
  <c r="H600" i="14"/>
  <c r="Z1696" i="21" l="1"/>
  <c r="X1696" i="21"/>
  <c r="W1695" i="21"/>
  <c r="W1694" i="21"/>
  <c r="W1693" i="21"/>
  <c r="U1692" i="21"/>
  <c r="U1691" i="21"/>
  <c r="U1690" i="21"/>
  <c r="T1693" i="21"/>
  <c r="P1693" i="21" s="1"/>
  <c r="O1693" i="21"/>
  <c r="R1698" i="21"/>
  <c r="S1698" i="21"/>
  <c r="Q1698" i="21"/>
  <c r="M1698" i="21" s="1"/>
  <c r="T1696" i="21"/>
  <c r="P1696" i="21" s="1"/>
  <c r="O1696" i="21"/>
  <c r="T1695" i="21"/>
  <c r="P1695" i="21" s="1"/>
  <c r="O1695" i="21"/>
  <c r="N1697" i="21"/>
  <c r="N1701" i="21"/>
  <c r="N1699" i="21"/>
  <c r="N536" i="21"/>
  <c r="H601" i="14"/>
  <c r="I601" i="14"/>
  <c r="I1949" i="14"/>
  <c r="I1953" i="14"/>
  <c r="I1951" i="14"/>
  <c r="G605" i="14"/>
  <c r="G603" i="14"/>
  <c r="Z1698" i="21" l="1"/>
  <c r="Z1699" i="21"/>
  <c r="Z1697" i="21"/>
  <c r="U1695" i="21"/>
  <c r="U1694" i="21"/>
  <c r="U1693" i="21"/>
  <c r="R1699" i="21"/>
  <c r="Q1699" i="21"/>
  <c r="M1699" i="21" s="1"/>
  <c r="S1699" i="21"/>
  <c r="R1697" i="21"/>
  <c r="Q1697" i="21"/>
  <c r="M1697" i="21" s="1"/>
  <c r="X1697" i="21" s="1"/>
  <c r="S1697" i="21"/>
  <c r="T1698" i="21"/>
  <c r="P1698" i="21" s="1"/>
  <c r="O1698" i="21"/>
  <c r="R1701" i="21"/>
  <c r="S1701" i="21"/>
  <c r="Q1701" i="21"/>
  <c r="M1701" i="21" s="1"/>
  <c r="R536" i="21"/>
  <c r="S536" i="21"/>
  <c r="Q536" i="21"/>
  <c r="M536" i="21" s="1"/>
  <c r="Z536" i="21" s="1"/>
  <c r="X536" i="21" s="1"/>
  <c r="N1700" i="21"/>
  <c r="N537" i="21"/>
  <c r="N1702" i="21"/>
  <c r="N1704" i="21"/>
  <c r="I1956" i="14"/>
  <c r="I1952" i="14"/>
  <c r="I1954" i="14"/>
  <c r="G607" i="14"/>
  <c r="Z1702" i="21" l="1"/>
  <c r="Z1700" i="21"/>
  <c r="Z1701" i="21"/>
  <c r="W1699" i="21"/>
  <c r="W1698" i="21"/>
  <c r="W1697" i="21"/>
  <c r="R1700" i="21"/>
  <c r="Q1700" i="21"/>
  <c r="M1700" i="21" s="1"/>
  <c r="X1700" i="21" s="1"/>
  <c r="S1700" i="21"/>
  <c r="T1699" i="21"/>
  <c r="P1699" i="21" s="1"/>
  <c r="O1699" i="21"/>
  <c r="R1704" i="21"/>
  <c r="Q1704" i="21"/>
  <c r="M1704" i="21" s="1"/>
  <c r="S1704" i="21"/>
  <c r="T1701" i="21"/>
  <c r="P1701" i="21" s="1"/>
  <c r="O1701" i="21"/>
  <c r="T1697" i="21"/>
  <c r="P1697" i="21" s="1"/>
  <c r="O1697" i="21"/>
  <c r="R1702" i="21"/>
  <c r="Q1702" i="21"/>
  <c r="M1702" i="21" s="1"/>
  <c r="S1702" i="21"/>
  <c r="T536" i="21"/>
  <c r="P536" i="21" s="1"/>
  <c r="O536" i="21"/>
  <c r="R537" i="21"/>
  <c r="Q537" i="21"/>
  <c r="M537" i="21" s="1"/>
  <c r="S537" i="21"/>
  <c r="N1707" i="21"/>
  <c r="N1705" i="21"/>
  <c r="N1703" i="21"/>
  <c r="I1967" i="14"/>
  <c r="G608" i="14"/>
  <c r="Z1705" i="21" l="1"/>
  <c r="Z1704" i="21"/>
  <c r="Z1703" i="21"/>
  <c r="Z537" i="21"/>
  <c r="X537" i="21" s="1"/>
  <c r="Z540" i="21"/>
  <c r="Z539" i="21"/>
  <c r="Z538" i="21"/>
  <c r="W1702" i="21"/>
  <c r="W1701" i="21"/>
  <c r="W1700" i="21"/>
  <c r="U1699" i="21"/>
  <c r="U1698" i="21"/>
  <c r="U1697" i="21"/>
  <c r="T537" i="21"/>
  <c r="P537" i="21" s="1"/>
  <c r="O537" i="21"/>
  <c r="T1702" i="21"/>
  <c r="P1702" i="21" s="1"/>
  <c r="O1702" i="21"/>
  <c r="T1704" i="21"/>
  <c r="P1704" i="21" s="1"/>
  <c r="O1704" i="21"/>
  <c r="R1705" i="21"/>
  <c r="Q1705" i="21"/>
  <c r="M1705" i="21" s="1"/>
  <c r="S1705" i="21"/>
  <c r="R1703" i="21"/>
  <c r="Q1703" i="21"/>
  <c r="M1703" i="21" s="1"/>
  <c r="X1703" i="21" s="1"/>
  <c r="S1703" i="21"/>
  <c r="T1700" i="21"/>
  <c r="P1700" i="21" s="1"/>
  <c r="O1700" i="21"/>
  <c r="R1707" i="21"/>
  <c r="S1707" i="21"/>
  <c r="Q1707" i="21"/>
  <c r="M1707" i="21" s="1"/>
  <c r="N1709" i="21"/>
  <c r="N1706" i="21"/>
  <c r="N1708" i="21"/>
  <c r="I1970" i="14"/>
  <c r="G610" i="14"/>
  <c r="X540" i="21" l="1"/>
  <c r="X538" i="21"/>
  <c r="X539" i="21"/>
  <c r="Z1706" i="21"/>
  <c r="Z1708" i="21"/>
  <c r="Z1707" i="21"/>
  <c r="W1705" i="21"/>
  <c r="W1704" i="21"/>
  <c r="W1703" i="21"/>
  <c r="U1701" i="21"/>
  <c r="U1700" i="21"/>
  <c r="U1702" i="21"/>
  <c r="R1708" i="21"/>
  <c r="S1708" i="21"/>
  <c r="Q1708" i="21"/>
  <c r="M1708" i="21" s="1"/>
  <c r="T1707" i="21"/>
  <c r="P1707" i="21" s="1"/>
  <c r="O1707" i="21"/>
  <c r="R1706" i="21"/>
  <c r="S1706" i="21"/>
  <c r="Q1706" i="21"/>
  <c r="M1706" i="21" s="1"/>
  <c r="X1706" i="21" s="1"/>
  <c r="R1709" i="21"/>
  <c r="S1709" i="21"/>
  <c r="Q1709" i="21"/>
  <c r="M1709" i="21" s="1"/>
  <c r="T1703" i="21"/>
  <c r="P1703" i="21" s="1"/>
  <c r="O1703" i="21"/>
  <c r="T1705" i="21"/>
  <c r="P1705" i="21" s="1"/>
  <c r="O1705" i="21"/>
  <c r="N1720" i="21"/>
  <c r="I1973" i="14"/>
  <c r="I1969" i="14"/>
  <c r="I1971" i="14"/>
  <c r="G611" i="14"/>
  <c r="G613" i="14"/>
  <c r="X1709" i="21" l="1"/>
  <c r="Z1709" i="21"/>
  <c r="Z1712" i="21"/>
  <c r="Z1710" i="21"/>
  <c r="Z1711" i="21"/>
  <c r="W1708" i="21"/>
  <c r="W1707" i="21"/>
  <c r="W1706" i="21"/>
  <c r="U1705" i="21"/>
  <c r="U1704" i="21"/>
  <c r="U1703" i="21"/>
  <c r="R1720" i="21"/>
  <c r="Q1720" i="21"/>
  <c r="M1720" i="21" s="1"/>
  <c r="Z1720" i="21" s="1"/>
  <c r="X1720" i="21" s="1"/>
  <c r="S1720" i="21"/>
  <c r="T1709" i="21"/>
  <c r="P1709" i="21" s="1"/>
  <c r="O1709" i="21"/>
  <c r="T1706" i="21"/>
  <c r="P1706" i="21" s="1"/>
  <c r="O1706" i="21"/>
  <c r="T1708" i="21"/>
  <c r="P1708" i="21" s="1"/>
  <c r="O1708" i="21"/>
  <c r="N1722" i="21"/>
  <c r="G612" i="14"/>
  <c r="I1976" i="14"/>
  <c r="I1977" i="14"/>
  <c r="I1972" i="14"/>
  <c r="H611" i="14"/>
  <c r="G615" i="14"/>
  <c r="I611" i="14"/>
  <c r="X1711" i="21" l="1"/>
  <c r="X1712" i="21"/>
  <c r="X1710" i="21"/>
  <c r="H612" i="14"/>
  <c r="I612" i="14"/>
  <c r="N546" i="21" s="1"/>
  <c r="U1708" i="21"/>
  <c r="U1707" i="21"/>
  <c r="U1706" i="21"/>
  <c r="T1720" i="21"/>
  <c r="P1720" i="21" s="1"/>
  <c r="O1720" i="21"/>
  <c r="R1722" i="21"/>
  <c r="S1722" i="21"/>
  <c r="Q1722" i="21"/>
  <c r="M1722" i="21" s="1"/>
  <c r="N545" i="21"/>
  <c r="N1721" i="21"/>
  <c r="N1725" i="21"/>
  <c r="N1723" i="21"/>
  <c r="I1979" i="14"/>
  <c r="G617" i="14"/>
  <c r="G614" i="14"/>
  <c r="Z1723" i="21" l="1"/>
  <c r="Z1721" i="21"/>
  <c r="Z1722" i="21"/>
  <c r="T1722" i="21"/>
  <c r="P1722" i="21" s="1"/>
  <c r="O1722" i="21"/>
  <c r="R1721" i="21"/>
  <c r="S1721" i="21"/>
  <c r="Q1721" i="21"/>
  <c r="M1721" i="21" s="1"/>
  <c r="X1721" i="21" s="1"/>
  <c r="R1723" i="21"/>
  <c r="S1723" i="21"/>
  <c r="Q1723" i="21"/>
  <c r="M1723" i="21" s="1"/>
  <c r="R1725" i="21"/>
  <c r="Q1725" i="21"/>
  <c r="M1725" i="21" s="1"/>
  <c r="S1725" i="21"/>
  <c r="R546" i="21"/>
  <c r="Q546" i="21"/>
  <c r="M546" i="21" s="1"/>
  <c r="S546" i="21"/>
  <c r="R545" i="21"/>
  <c r="Q545" i="21"/>
  <c r="M545" i="21" s="1"/>
  <c r="S545" i="21"/>
  <c r="N1726" i="21"/>
  <c r="N1724" i="21"/>
  <c r="N1727" i="21"/>
  <c r="I1980" i="14"/>
  <c r="I1982" i="14"/>
  <c r="I1978" i="14"/>
  <c r="G618" i="14"/>
  <c r="G616" i="14"/>
  <c r="Z1724" i="21" l="1"/>
  <c r="Z1726" i="21"/>
  <c r="Z1725" i="21"/>
  <c r="Z546" i="21"/>
  <c r="X546" i="21" s="1"/>
  <c r="Z549" i="21"/>
  <c r="Z547" i="21"/>
  <c r="Z548" i="21"/>
  <c r="W1723" i="21"/>
  <c r="W1722" i="21"/>
  <c r="W1721" i="21"/>
  <c r="R1726" i="21"/>
  <c r="Q1726" i="21"/>
  <c r="M1726" i="21" s="1"/>
  <c r="S1726" i="21"/>
  <c r="T545" i="21"/>
  <c r="P545" i="21" s="1"/>
  <c r="O545" i="21"/>
  <c r="T1721" i="21"/>
  <c r="P1721" i="21" s="1"/>
  <c r="O1721" i="21"/>
  <c r="R1724" i="21"/>
  <c r="S1724" i="21"/>
  <c r="Q1724" i="21"/>
  <c r="M1724" i="21" s="1"/>
  <c r="X1724" i="21" s="1"/>
  <c r="T546" i="21"/>
  <c r="P546" i="21" s="1"/>
  <c r="O546" i="21"/>
  <c r="T1725" i="21"/>
  <c r="P1725" i="21" s="1"/>
  <c r="O1725" i="21"/>
  <c r="R1727" i="21"/>
  <c r="S1727" i="21"/>
  <c r="Q1727" i="21"/>
  <c r="M1727" i="21" s="1"/>
  <c r="T1723" i="21"/>
  <c r="P1723" i="21" s="1"/>
  <c r="O1723" i="21"/>
  <c r="N1729" i="21"/>
  <c r="I1981" i="14"/>
  <c r="I1983" i="14"/>
  <c r="I1984" i="14"/>
  <c r="I616" i="14"/>
  <c r="H616" i="14"/>
  <c r="G619" i="14"/>
  <c r="Z1727" i="21" l="1"/>
  <c r="X1727" i="21"/>
  <c r="X548" i="21"/>
  <c r="X549" i="21"/>
  <c r="X547" i="21"/>
  <c r="W1726" i="21"/>
  <c r="W1725" i="21"/>
  <c r="W1724" i="21"/>
  <c r="U1723" i="21"/>
  <c r="U1722" i="21"/>
  <c r="U1721" i="21"/>
  <c r="R1729" i="21"/>
  <c r="Q1729" i="21"/>
  <c r="M1729" i="21" s="1"/>
  <c r="S1729" i="21"/>
  <c r="T1727" i="21"/>
  <c r="P1727" i="21" s="1"/>
  <c r="O1727" i="21"/>
  <c r="T1724" i="21"/>
  <c r="P1724" i="21" s="1"/>
  <c r="O1724" i="21"/>
  <c r="T1726" i="21"/>
  <c r="P1726" i="21" s="1"/>
  <c r="O1726" i="21"/>
  <c r="N1730" i="21"/>
  <c r="N1728" i="21"/>
  <c r="N1732" i="21"/>
  <c r="N550" i="21"/>
  <c r="I1988" i="14"/>
  <c r="G620" i="14"/>
  <c r="Z1730" i="21" l="1"/>
  <c r="Z1728" i="21"/>
  <c r="Z1729" i="21"/>
  <c r="U1726" i="21"/>
  <c r="U1725" i="21"/>
  <c r="U1724" i="21"/>
  <c r="R1732" i="21"/>
  <c r="Q1732" i="21"/>
  <c r="M1732" i="21" s="1"/>
  <c r="S1732" i="21"/>
  <c r="R1728" i="21"/>
  <c r="Q1728" i="21"/>
  <c r="M1728" i="21" s="1"/>
  <c r="X1728" i="21" s="1"/>
  <c r="S1728" i="21"/>
  <c r="R1730" i="21"/>
  <c r="S1730" i="21"/>
  <c r="Q1730" i="21"/>
  <c r="M1730" i="21" s="1"/>
  <c r="T1729" i="21"/>
  <c r="P1729" i="21" s="1"/>
  <c r="O1729" i="21"/>
  <c r="R550" i="21"/>
  <c r="S550" i="21"/>
  <c r="Q550" i="21"/>
  <c r="M550" i="21" s="1"/>
  <c r="N1731" i="21"/>
  <c r="N1733" i="21"/>
  <c r="N1734" i="21"/>
  <c r="I1991" i="14"/>
  <c r="I1989" i="14"/>
  <c r="I1987" i="14"/>
  <c r="G621" i="14"/>
  <c r="Z550" i="21" l="1"/>
  <c r="X550" i="21" s="1"/>
  <c r="Z551" i="21"/>
  <c r="X551" i="21" s="1"/>
  <c r="Z1733" i="21"/>
  <c r="Z1731" i="21"/>
  <c r="Z1732" i="21"/>
  <c r="W1730" i="21"/>
  <c r="W1729" i="21"/>
  <c r="W1728" i="21"/>
  <c r="R1733" i="21"/>
  <c r="Q1733" i="21"/>
  <c r="M1733" i="21" s="1"/>
  <c r="S1733" i="21"/>
  <c r="R1734" i="21"/>
  <c r="S1734" i="21"/>
  <c r="Q1734" i="21"/>
  <c r="M1734" i="21" s="1"/>
  <c r="T550" i="21"/>
  <c r="P550" i="21" s="1"/>
  <c r="O550" i="21"/>
  <c r="R1731" i="21"/>
  <c r="S1731" i="21"/>
  <c r="Q1731" i="21"/>
  <c r="M1731" i="21" s="1"/>
  <c r="X1731" i="21" s="1"/>
  <c r="T1730" i="21"/>
  <c r="P1730" i="21" s="1"/>
  <c r="O1730" i="21"/>
  <c r="T1728" i="21"/>
  <c r="P1728" i="21" s="1"/>
  <c r="O1728" i="21"/>
  <c r="T1732" i="21"/>
  <c r="P1732" i="21" s="1"/>
  <c r="O1732" i="21"/>
  <c r="N1736" i="21"/>
  <c r="G622" i="14"/>
  <c r="G623" i="14" s="1"/>
  <c r="I1995" i="14"/>
  <c r="I1990" i="14"/>
  <c r="I1994" i="14"/>
  <c r="Z1734" i="21" l="1"/>
  <c r="X1734" i="21"/>
  <c r="W1733" i="21"/>
  <c r="W1732" i="21"/>
  <c r="W1731" i="21"/>
  <c r="U1730" i="21"/>
  <c r="U1729" i="21"/>
  <c r="U1728" i="21"/>
  <c r="T1731" i="21"/>
  <c r="P1731" i="21" s="1"/>
  <c r="O1731" i="21"/>
  <c r="R1736" i="21"/>
  <c r="S1736" i="21"/>
  <c r="Q1736" i="21"/>
  <c r="M1736" i="21" s="1"/>
  <c r="T1733" i="21"/>
  <c r="P1733" i="21" s="1"/>
  <c r="O1733" i="21"/>
  <c r="T1734" i="21"/>
  <c r="P1734" i="21" s="1"/>
  <c r="O1734" i="21"/>
  <c r="N1737" i="21"/>
  <c r="N1739" i="21"/>
  <c r="N1735" i="21"/>
  <c r="G632" i="14"/>
  <c r="I1997" i="14"/>
  <c r="G624" i="14"/>
  <c r="Z1736" i="21" l="1"/>
  <c r="Z1737" i="21"/>
  <c r="Z1735" i="21"/>
  <c r="U1733" i="21"/>
  <c r="U1732" i="21"/>
  <c r="U1731" i="21"/>
  <c r="R1735" i="21"/>
  <c r="S1735" i="21"/>
  <c r="Q1735" i="21"/>
  <c r="M1735" i="21" s="1"/>
  <c r="X1735" i="21" s="1"/>
  <c r="T1736" i="21"/>
  <c r="P1736" i="21" s="1"/>
  <c r="O1736" i="21"/>
  <c r="R1739" i="21"/>
  <c r="S1739" i="21"/>
  <c r="Q1739" i="21"/>
  <c r="M1739" i="21" s="1"/>
  <c r="R1737" i="21"/>
  <c r="Q1737" i="21"/>
  <c r="M1737" i="21" s="1"/>
  <c r="S1737" i="21"/>
  <c r="N1738" i="21"/>
  <c r="N1741" i="21"/>
  <c r="N1740" i="21"/>
  <c r="I1996" i="14"/>
  <c r="I1998" i="14"/>
  <c r="I2000" i="14"/>
  <c r="G638" i="14"/>
  <c r="G625" i="14"/>
  <c r="Z1740" i="21" l="1"/>
  <c r="Z1739" i="21"/>
  <c r="Z1738" i="21"/>
  <c r="W1737" i="21"/>
  <c r="W1736" i="21"/>
  <c r="W1735" i="21"/>
  <c r="R1741" i="21"/>
  <c r="Q1741" i="21"/>
  <c r="M1741" i="21" s="1"/>
  <c r="S1741" i="21"/>
  <c r="R1738" i="21"/>
  <c r="Q1738" i="21"/>
  <c r="M1738" i="21" s="1"/>
  <c r="X1738" i="21" s="1"/>
  <c r="S1738" i="21"/>
  <c r="R1740" i="21"/>
  <c r="Q1740" i="21"/>
  <c r="M1740" i="21" s="1"/>
  <c r="S1740" i="21"/>
  <c r="T1739" i="21"/>
  <c r="P1739" i="21" s="1"/>
  <c r="O1739" i="21"/>
  <c r="T1735" i="21"/>
  <c r="P1735" i="21" s="1"/>
  <c r="O1735" i="21"/>
  <c r="T1737" i="21"/>
  <c r="P1737" i="21" s="1"/>
  <c r="O1737" i="21"/>
  <c r="N1743" i="21"/>
  <c r="G640" i="14"/>
  <c r="I1999" i="14"/>
  <c r="I2003" i="14"/>
  <c r="I2001" i="14"/>
  <c r="G626" i="14"/>
  <c r="Z1741" i="21" l="1"/>
  <c r="X1741" i="21"/>
  <c r="W1739" i="21"/>
  <c r="W1738" i="21"/>
  <c r="W1740" i="21"/>
  <c r="U1735" i="21"/>
  <c r="U1737" i="21"/>
  <c r="U1736" i="21"/>
  <c r="R1743" i="21"/>
  <c r="Q1743" i="21"/>
  <c r="M1743" i="21" s="1"/>
  <c r="S1743" i="21"/>
  <c r="T1738" i="21"/>
  <c r="P1738" i="21" s="1"/>
  <c r="O1738" i="21"/>
  <c r="T1741" i="21"/>
  <c r="P1741" i="21" s="1"/>
  <c r="O1741" i="21"/>
  <c r="T1740" i="21"/>
  <c r="P1740" i="21" s="1"/>
  <c r="O1740" i="21"/>
  <c r="N1742" i="21"/>
  <c r="N1744" i="21"/>
  <c r="N1746" i="21"/>
  <c r="G652" i="14"/>
  <c r="I2014" i="14"/>
  <c r="G627" i="14"/>
  <c r="Z1742" i="21" l="1"/>
  <c r="Z1743" i="21"/>
  <c r="Z1744" i="21"/>
  <c r="U1740" i="21"/>
  <c r="U1739" i="21"/>
  <c r="U1738" i="21"/>
  <c r="R1744" i="21"/>
  <c r="Q1744" i="21"/>
  <c r="M1744" i="21" s="1"/>
  <c r="S1744" i="21"/>
  <c r="R1742" i="21"/>
  <c r="Q1742" i="21"/>
  <c r="M1742" i="21" s="1"/>
  <c r="X1742" i="21" s="1"/>
  <c r="S1742" i="21"/>
  <c r="R1746" i="21"/>
  <c r="S1746" i="21"/>
  <c r="Q1746" i="21"/>
  <c r="M1746" i="21" s="1"/>
  <c r="T1743" i="21"/>
  <c r="P1743" i="21" s="1"/>
  <c r="O1743" i="21"/>
  <c r="N1747" i="21"/>
  <c r="N1745" i="21"/>
  <c r="N1748" i="21"/>
  <c r="I2017" i="14"/>
  <c r="G654" i="14"/>
  <c r="G628" i="14"/>
  <c r="Z1747" i="21" l="1"/>
  <c r="Z1746" i="21"/>
  <c r="Z1745" i="21"/>
  <c r="W1744" i="21"/>
  <c r="W1743" i="21"/>
  <c r="W1742" i="21"/>
  <c r="R1748" i="21"/>
  <c r="Q1748" i="21"/>
  <c r="M1748" i="21" s="1"/>
  <c r="S1748" i="21"/>
  <c r="R1747" i="21"/>
  <c r="S1747" i="21"/>
  <c r="Q1747" i="21"/>
  <c r="M1747" i="21" s="1"/>
  <c r="T1746" i="21"/>
  <c r="P1746" i="21" s="1"/>
  <c r="O1746" i="21"/>
  <c r="R1745" i="21"/>
  <c r="Q1745" i="21"/>
  <c r="M1745" i="21" s="1"/>
  <c r="X1745" i="21" s="1"/>
  <c r="S1745" i="21"/>
  <c r="T1742" i="21"/>
  <c r="P1742" i="21" s="1"/>
  <c r="O1742" i="21"/>
  <c r="T1744" i="21"/>
  <c r="P1744" i="21" s="1"/>
  <c r="O1744" i="21"/>
  <c r="N1759" i="21"/>
  <c r="G655" i="14"/>
  <c r="I2016" i="14"/>
  <c r="I2020" i="14"/>
  <c r="I2018" i="14"/>
  <c r="G629" i="14"/>
  <c r="X1748" i="21" l="1"/>
  <c r="Z1748" i="21"/>
  <c r="Z1751" i="21"/>
  <c r="Z1749" i="21"/>
  <c r="Z1750" i="21"/>
  <c r="W1747" i="21"/>
  <c r="W1746" i="21"/>
  <c r="W1745" i="21"/>
  <c r="U1744" i="21"/>
  <c r="U1743" i="21"/>
  <c r="U1742" i="21"/>
  <c r="R1759" i="21"/>
  <c r="S1759" i="21"/>
  <c r="Q1759" i="21"/>
  <c r="M1759" i="21" s="1"/>
  <c r="Z1759" i="21" s="1"/>
  <c r="X1759" i="21" s="1"/>
  <c r="T1745" i="21"/>
  <c r="P1745" i="21" s="1"/>
  <c r="O1745" i="21"/>
  <c r="T1747" i="21"/>
  <c r="P1747" i="21" s="1"/>
  <c r="O1747" i="21"/>
  <c r="T1748" i="21"/>
  <c r="P1748" i="21" s="1"/>
  <c r="O1748" i="21"/>
  <c r="N1761" i="21"/>
  <c r="G659" i="14"/>
  <c r="G658" i="14"/>
  <c r="G660" i="14"/>
  <c r="I2019" i="14"/>
  <c r="I2023" i="14"/>
  <c r="I2024" i="14"/>
  <c r="G630" i="14"/>
  <c r="X1751" i="21" l="1"/>
  <c r="X1749" i="21"/>
  <c r="X1750" i="21"/>
  <c r="U1747" i="21"/>
  <c r="U1746" i="21"/>
  <c r="U1745" i="21"/>
  <c r="R1761" i="21"/>
  <c r="Q1761" i="21"/>
  <c r="M1761" i="21" s="1"/>
  <c r="S1761" i="21"/>
  <c r="T1759" i="21"/>
  <c r="P1759" i="21" s="1"/>
  <c r="O1759" i="21"/>
  <c r="N1764" i="21"/>
  <c r="N1762" i="21"/>
  <c r="N1760" i="21"/>
  <c r="G663" i="14"/>
  <c r="G657" i="14"/>
  <c r="G661" i="14"/>
  <c r="I2026" i="14"/>
  <c r="G631" i="14"/>
  <c r="Z1762" i="21" l="1"/>
  <c r="Z1760" i="21"/>
  <c r="Z1761" i="21"/>
  <c r="R1760" i="21"/>
  <c r="S1760" i="21"/>
  <c r="Q1760" i="21"/>
  <c r="M1760" i="21" s="1"/>
  <c r="X1760" i="21" s="1"/>
  <c r="R1762" i="21"/>
  <c r="Q1762" i="21"/>
  <c r="M1762" i="21" s="1"/>
  <c r="S1762" i="21"/>
  <c r="R1764" i="21"/>
  <c r="Q1764" i="21"/>
  <c r="M1764" i="21" s="1"/>
  <c r="S1764" i="21"/>
  <c r="T1761" i="21"/>
  <c r="P1761" i="21" s="1"/>
  <c r="O1761" i="21"/>
  <c r="N1763" i="21"/>
  <c r="N1766" i="21"/>
  <c r="N1765" i="21"/>
  <c r="G664" i="14"/>
  <c r="G662" i="14"/>
  <c r="G665" i="14"/>
  <c r="I2029" i="14"/>
  <c r="I2027" i="14"/>
  <c r="I2025" i="14"/>
  <c r="G633" i="14"/>
  <c r="Z1765" i="21" l="1"/>
  <c r="Z1764" i="21"/>
  <c r="Z1763" i="21"/>
  <c r="W1762" i="21"/>
  <c r="W1761" i="21"/>
  <c r="W1760" i="21"/>
  <c r="R1765" i="21"/>
  <c r="S1765" i="21"/>
  <c r="Q1765" i="21"/>
  <c r="M1765" i="21" s="1"/>
  <c r="R1766" i="21"/>
  <c r="S1766" i="21"/>
  <c r="Q1766" i="21"/>
  <c r="M1766" i="21" s="1"/>
  <c r="R1763" i="21"/>
  <c r="Q1763" i="21"/>
  <c r="M1763" i="21" s="1"/>
  <c r="X1763" i="21" s="1"/>
  <c r="S1763" i="21"/>
  <c r="T1764" i="21"/>
  <c r="P1764" i="21" s="1"/>
  <c r="O1764" i="21"/>
  <c r="T1762" i="21"/>
  <c r="P1762" i="21" s="1"/>
  <c r="O1762" i="21"/>
  <c r="T1760" i="21"/>
  <c r="P1760" i="21" s="1"/>
  <c r="O1760" i="21"/>
  <c r="N1768" i="21"/>
  <c r="I2030" i="14"/>
  <c r="I2032" i="14"/>
  <c r="I2028" i="14"/>
  <c r="G668" i="14"/>
  <c r="G634" i="14"/>
  <c r="G635" i="14" s="1"/>
  <c r="Z1766" i="21" l="1"/>
  <c r="X1766" i="21"/>
  <c r="W1765" i="21"/>
  <c r="W1764" i="21"/>
  <c r="W1763" i="21"/>
  <c r="U1762" i="21"/>
  <c r="U1761" i="21"/>
  <c r="U1760" i="21"/>
  <c r="R1768" i="21"/>
  <c r="Q1768" i="21"/>
  <c r="M1768" i="21" s="1"/>
  <c r="S1768" i="21"/>
  <c r="T1763" i="21"/>
  <c r="P1763" i="21" s="1"/>
  <c r="O1763" i="21"/>
  <c r="T1766" i="21"/>
  <c r="P1766" i="21" s="1"/>
  <c r="O1766" i="21"/>
  <c r="T1765" i="21"/>
  <c r="P1765" i="21" s="1"/>
  <c r="O1765" i="21"/>
  <c r="N1767" i="21"/>
  <c r="N1769" i="21"/>
  <c r="N1771" i="21"/>
  <c r="I2035" i="14"/>
  <c r="G672" i="14"/>
  <c r="G671" i="14"/>
  <c r="G670" i="14"/>
  <c r="G636" i="14"/>
  <c r="Z1769" i="21" l="1"/>
  <c r="Z1768" i="21"/>
  <c r="Z1767" i="21"/>
  <c r="U1765" i="21"/>
  <c r="U1764" i="21"/>
  <c r="U1763" i="21"/>
  <c r="R1771" i="21"/>
  <c r="S1771" i="21"/>
  <c r="Q1771" i="21"/>
  <c r="M1771" i="21" s="1"/>
  <c r="R1767" i="21"/>
  <c r="Q1767" i="21"/>
  <c r="M1767" i="21" s="1"/>
  <c r="X1767" i="21" s="1"/>
  <c r="S1767" i="21"/>
  <c r="R1769" i="21"/>
  <c r="S1769" i="21"/>
  <c r="Q1769" i="21"/>
  <c r="M1769" i="21" s="1"/>
  <c r="T1768" i="21"/>
  <c r="P1768" i="21" s="1"/>
  <c r="O1768" i="21"/>
  <c r="N1770" i="21"/>
  <c r="N1773" i="21"/>
  <c r="N1772" i="21"/>
  <c r="G669" i="14"/>
  <c r="G675" i="14"/>
  <c r="G673" i="14"/>
  <c r="I2034" i="14"/>
  <c r="I2036" i="14"/>
  <c r="I2038" i="14"/>
  <c r="G637" i="14"/>
  <c r="G639" i="14" s="1"/>
  <c r="G641" i="14" s="1"/>
  <c r="Z1772" i="21" l="1"/>
  <c r="Z1770" i="21"/>
  <c r="Z1771" i="21"/>
  <c r="W1769" i="21"/>
  <c r="W1768" i="21"/>
  <c r="W1767" i="21"/>
  <c r="R1772" i="21"/>
  <c r="S1772" i="21"/>
  <c r="Q1772" i="21"/>
  <c r="M1772" i="21" s="1"/>
  <c r="R1773" i="21"/>
  <c r="S1773" i="21"/>
  <c r="Q1773" i="21"/>
  <c r="M1773" i="21" s="1"/>
  <c r="T1769" i="21"/>
  <c r="P1769" i="21" s="1"/>
  <c r="O1769" i="21"/>
  <c r="R1770" i="21"/>
  <c r="S1770" i="21"/>
  <c r="Q1770" i="21"/>
  <c r="M1770" i="21" s="1"/>
  <c r="X1770" i="21" s="1"/>
  <c r="T1771" i="21"/>
  <c r="P1771" i="21" s="1"/>
  <c r="O1771" i="21"/>
  <c r="T1767" i="21"/>
  <c r="P1767" i="21" s="1"/>
  <c r="O1767" i="21"/>
  <c r="N1775" i="21"/>
  <c r="G678" i="14"/>
  <c r="G676" i="14"/>
  <c r="G674" i="14"/>
  <c r="I2043" i="14"/>
  <c r="I2040" i="14"/>
  <c r="I2037" i="14"/>
  <c r="G642" i="14"/>
  <c r="Z1773" i="21" l="1"/>
  <c r="X1773" i="21"/>
  <c r="W1772" i="21"/>
  <c r="W1771" i="21"/>
  <c r="W1770" i="21"/>
  <c r="U1769" i="21"/>
  <c r="U1768" i="21"/>
  <c r="U1767" i="21"/>
  <c r="R1775" i="21"/>
  <c r="Q1775" i="21"/>
  <c r="M1775" i="21" s="1"/>
  <c r="S1775" i="21"/>
  <c r="T1773" i="21"/>
  <c r="P1773" i="21" s="1"/>
  <c r="O1773" i="21"/>
  <c r="T1770" i="21"/>
  <c r="P1770" i="21" s="1"/>
  <c r="O1770" i="21"/>
  <c r="T1772" i="21"/>
  <c r="P1772" i="21" s="1"/>
  <c r="O1772" i="21"/>
  <c r="N1774" i="21"/>
  <c r="N1776" i="21"/>
  <c r="N1778" i="21"/>
  <c r="G679" i="14"/>
  <c r="I2042" i="14"/>
  <c r="I2046" i="14"/>
  <c r="I2044" i="14"/>
  <c r="G643" i="14"/>
  <c r="Z1774" i="21" l="1"/>
  <c r="Z1775" i="21"/>
  <c r="Z1776" i="21"/>
  <c r="U1772" i="21"/>
  <c r="U1771" i="21"/>
  <c r="U1770" i="21"/>
  <c r="R1778" i="21"/>
  <c r="S1778" i="21"/>
  <c r="Q1778" i="21"/>
  <c r="M1778" i="21" s="1"/>
  <c r="T1775" i="21"/>
  <c r="P1775" i="21" s="1"/>
  <c r="O1775" i="21"/>
  <c r="R1776" i="21"/>
  <c r="S1776" i="21"/>
  <c r="Q1776" i="21"/>
  <c r="M1776" i="21" s="1"/>
  <c r="R1774" i="21"/>
  <c r="S1774" i="21"/>
  <c r="Q1774" i="21"/>
  <c r="M1774" i="21" s="1"/>
  <c r="X1774" i="21" s="1"/>
  <c r="G684" i="14"/>
  <c r="N1777" i="21"/>
  <c r="N1779" i="21"/>
  <c r="N1781" i="21"/>
  <c r="I2047" i="14"/>
  <c r="I2049" i="14"/>
  <c r="I2045" i="14"/>
  <c r="G644" i="14"/>
  <c r="G645" i="14" s="1"/>
  <c r="Z1778" i="21" l="1"/>
  <c r="Z1779" i="21"/>
  <c r="Z1777" i="21"/>
  <c r="G688" i="14"/>
  <c r="G689" i="14"/>
  <c r="G687" i="14"/>
  <c r="W1774" i="21"/>
  <c r="W1776" i="21"/>
  <c r="W1775" i="21"/>
  <c r="R1777" i="21"/>
  <c r="S1777" i="21"/>
  <c r="Q1777" i="21"/>
  <c r="M1777" i="21" s="1"/>
  <c r="X1777" i="21" s="1"/>
  <c r="R1781" i="21"/>
  <c r="S1781" i="21"/>
  <c r="Q1781" i="21"/>
  <c r="M1781" i="21" s="1"/>
  <c r="T1774" i="21"/>
  <c r="P1774" i="21" s="1"/>
  <c r="O1774" i="21"/>
  <c r="T1776" i="21"/>
  <c r="P1776" i="21" s="1"/>
  <c r="O1776" i="21"/>
  <c r="R1779" i="21"/>
  <c r="Q1779" i="21"/>
  <c r="M1779" i="21" s="1"/>
  <c r="S1779" i="21"/>
  <c r="T1778" i="21"/>
  <c r="P1778" i="21" s="1"/>
  <c r="O1778" i="21"/>
  <c r="N1784" i="21"/>
  <c r="N1782" i="21"/>
  <c r="N1780" i="21"/>
  <c r="G692" i="14"/>
  <c r="G686" i="14"/>
  <c r="G690" i="14"/>
  <c r="I2060" i="14"/>
  <c r="G646" i="14"/>
  <c r="Z1782" i="21" l="1"/>
  <c r="Z1780" i="21"/>
  <c r="Z1781" i="21"/>
  <c r="W1779" i="21"/>
  <c r="W1778" i="21"/>
  <c r="W1777" i="21"/>
  <c r="U1776" i="21"/>
  <c r="U1775" i="21"/>
  <c r="U1774" i="21"/>
  <c r="R1784" i="21"/>
  <c r="S1784" i="21"/>
  <c r="Q1784" i="21"/>
  <c r="M1784" i="21" s="1"/>
  <c r="T1779" i="21"/>
  <c r="P1779" i="21" s="1"/>
  <c r="O1779" i="21"/>
  <c r="R1780" i="21"/>
  <c r="Q1780" i="21"/>
  <c r="M1780" i="21" s="1"/>
  <c r="X1780" i="21" s="1"/>
  <c r="S1780" i="21"/>
  <c r="T1781" i="21"/>
  <c r="P1781" i="21" s="1"/>
  <c r="O1781" i="21"/>
  <c r="T1777" i="21"/>
  <c r="P1777" i="21" s="1"/>
  <c r="O1777" i="21"/>
  <c r="R1782" i="21"/>
  <c r="S1782" i="21"/>
  <c r="Q1782" i="21"/>
  <c r="M1782" i="21" s="1"/>
  <c r="N1783" i="21"/>
  <c r="N1786" i="21"/>
  <c r="N1785" i="21"/>
  <c r="G693" i="14"/>
  <c r="G691" i="14"/>
  <c r="G695" i="14"/>
  <c r="I2063" i="14"/>
  <c r="G647" i="14"/>
  <c r="Z1785" i="21" l="1"/>
  <c r="Z1784" i="21"/>
  <c r="Z1783" i="21"/>
  <c r="W1782" i="21"/>
  <c r="W1781" i="21"/>
  <c r="W1780" i="21"/>
  <c r="U1779" i="21"/>
  <c r="U1778" i="21"/>
  <c r="U1777" i="21"/>
  <c r="R1783" i="21"/>
  <c r="Q1783" i="21"/>
  <c r="M1783" i="21" s="1"/>
  <c r="X1783" i="21" s="1"/>
  <c r="S1783" i="21"/>
  <c r="R1786" i="21"/>
  <c r="Q1786" i="21"/>
  <c r="M1786" i="21" s="1"/>
  <c r="S1786" i="21"/>
  <c r="T1782" i="21"/>
  <c r="P1782" i="21" s="1"/>
  <c r="O1782" i="21"/>
  <c r="R1785" i="21"/>
  <c r="S1785" i="21"/>
  <c r="Q1785" i="21"/>
  <c r="M1785" i="21" s="1"/>
  <c r="T1780" i="21"/>
  <c r="P1780" i="21" s="1"/>
  <c r="O1780" i="21"/>
  <c r="T1784" i="21"/>
  <c r="P1784" i="21" s="1"/>
  <c r="O1784" i="21"/>
  <c r="N1797" i="21"/>
  <c r="G696" i="14"/>
  <c r="I2064" i="14"/>
  <c r="I2062" i="14"/>
  <c r="I2066" i="14"/>
  <c r="G648" i="14"/>
  <c r="X1786" i="21" l="1"/>
  <c r="Z1786" i="21"/>
  <c r="Z1789" i="21"/>
  <c r="Z1788" i="21"/>
  <c r="Z1787" i="21"/>
  <c r="W1785" i="21"/>
  <c r="W1784" i="21"/>
  <c r="W1783" i="21"/>
  <c r="U1782" i="21"/>
  <c r="U1781" i="21"/>
  <c r="U1780" i="21"/>
  <c r="T1785" i="21"/>
  <c r="P1785" i="21" s="1"/>
  <c r="O1785" i="21"/>
  <c r="R1797" i="21"/>
  <c r="Q1797" i="21"/>
  <c r="M1797" i="21" s="1"/>
  <c r="Z1797" i="21" s="1"/>
  <c r="X1797" i="21" s="1"/>
  <c r="S1797" i="21"/>
  <c r="T1786" i="21"/>
  <c r="P1786" i="21" s="1"/>
  <c r="O1786" i="21"/>
  <c r="T1783" i="21"/>
  <c r="P1783" i="21" s="1"/>
  <c r="O1783" i="21"/>
  <c r="N1799" i="21"/>
  <c r="G701" i="14"/>
  <c r="G699" i="14"/>
  <c r="G700" i="14"/>
  <c r="I2065" i="14"/>
  <c r="I2068" i="14"/>
  <c r="I2070" i="14"/>
  <c r="G649" i="14"/>
  <c r="X1789" i="21" l="1"/>
  <c r="X1787" i="21"/>
  <c r="X1788" i="21"/>
  <c r="U1785" i="21"/>
  <c r="U1784" i="21"/>
  <c r="U1783" i="21"/>
  <c r="R1799" i="21"/>
  <c r="Q1799" i="21"/>
  <c r="M1799" i="21" s="1"/>
  <c r="S1799" i="21"/>
  <c r="T1797" i="21"/>
  <c r="P1797" i="21" s="1"/>
  <c r="O1797" i="21"/>
  <c r="N1800" i="21"/>
  <c r="N1798" i="21"/>
  <c r="N1802" i="21"/>
  <c r="G704" i="14"/>
  <c r="G702" i="14"/>
  <c r="G698" i="14"/>
  <c r="I2072" i="14"/>
  <c r="G650" i="14"/>
  <c r="Z1800" i="21" l="1"/>
  <c r="Z1798" i="21"/>
  <c r="Z1799" i="21"/>
  <c r="R1802" i="21"/>
  <c r="Q1802" i="21"/>
  <c r="M1802" i="21" s="1"/>
  <c r="S1802" i="21"/>
  <c r="R1800" i="21"/>
  <c r="Q1800" i="21"/>
  <c r="M1800" i="21" s="1"/>
  <c r="S1800" i="21"/>
  <c r="R1798" i="21"/>
  <c r="Q1798" i="21"/>
  <c r="M1798" i="21" s="1"/>
  <c r="X1798" i="21" s="1"/>
  <c r="S1798" i="21"/>
  <c r="T1799" i="21"/>
  <c r="P1799" i="21" s="1"/>
  <c r="O1799" i="21"/>
  <c r="N1804" i="21"/>
  <c r="N1803" i="21"/>
  <c r="N1801" i="21"/>
  <c r="G705" i="14"/>
  <c r="G707" i="14"/>
  <c r="G703" i="14"/>
  <c r="I2073" i="14"/>
  <c r="I2071" i="14"/>
  <c r="I2075" i="14"/>
  <c r="G651" i="14"/>
  <c r="G653" i="14" s="1"/>
  <c r="G656" i="14" s="1"/>
  <c r="Z1803" i="21" l="1"/>
  <c r="Z1801" i="21"/>
  <c r="Z1802" i="21"/>
  <c r="W1800" i="21"/>
  <c r="W1799" i="21"/>
  <c r="W1798" i="21"/>
  <c r="R1801" i="21"/>
  <c r="Q1801" i="21"/>
  <c r="M1801" i="21" s="1"/>
  <c r="X1801" i="21" s="1"/>
  <c r="S1801" i="21"/>
  <c r="R1804" i="21"/>
  <c r="S1804" i="21"/>
  <c r="Q1804" i="21"/>
  <c r="M1804" i="21" s="1"/>
  <c r="T1800" i="21"/>
  <c r="P1800" i="21" s="1"/>
  <c r="O1800" i="21"/>
  <c r="R1803" i="21"/>
  <c r="Q1803" i="21"/>
  <c r="M1803" i="21" s="1"/>
  <c r="S1803" i="21"/>
  <c r="T1798" i="21"/>
  <c r="P1798" i="21" s="1"/>
  <c r="O1798" i="21"/>
  <c r="T1802" i="21"/>
  <c r="P1802" i="21" s="1"/>
  <c r="O1802" i="21"/>
  <c r="N1806" i="21"/>
  <c r="I2078" i="14"/>
  <c r="I2074" i="14"/>
  <c r="I2076" i="14"/>
  <c r="G712" i="14"/>
  <c r="Z1804" i="21" l="1"/>
  <c r="X1804" i="21"/>
  <c r="W1803" i="21"/>
  <c r="W1802" i="21"/>
  <c r="W1801" i="21"/>
  <c r="U1800" i="21"/>
  <c r="U1799" i="21"/>
  <c r="U1798" i="21"/>
  <c r="T1803" i="21"/>
  <c r="P1803" i="21" s="1"/>
  <c r="O1803" i="21"/>
  <c r="T1804" i="21"/>
  <c r="P1804" i="21" s="1"/>
  <c r="O1804" i="21"/>
  <c r="R1806" i="21"/>
  <c r="S1806" i="21"/>
  <c r="Q1806" i="21"/>
  <c r="M1806" i="21" s="1"/>
  <c r="T1801" i="21"/>
  <c r="P1801" i="21" s="1"/>
  <c r="O1801" i="21"/>
  <c r="N1807" i="21"/>
  <c r="N1805" i="21"/>
  <c r="N1809" i="21"/>
  <c r="G715" i="14"/>
  <c r="G716" i="14"/>
  <c r="G717" i="14"/>
  <c r="I2081" i="14"/>
  <c r="Z1807" i="21" l="1"/>
  <c r="Z1805" i="21"/>
  <c r="Z1806" i="21"/>
  <c r="U1802" i="21"/>
  <c r="U1801" i="21"/>
  <c r="U1803" i="21"/>
  <c r="R1809" i="21"/>
  <c r="S1809" i="21"/>
  <c r="Q1809" i="21"/>
  <c r="M1809" i="21" s="1"/>
  <c r="R1807" i="21"/>
  <c r="S1807" i="21"/>
  <c r="Q1807" i="21"/>
  <c r="M1807" i="21" s="1"/>
  <c r="T1806" i="21"/>
  <c r="P1806" i="21" s="1"/>
  <c r="O1806" i="21"/>
  <c r="R1805" i="21"/>
  <c r="S1805" i="21"/>
  <c r="Q1805" i="21"/>
  <c r="M1805" i="21" s="1"/>
  <c r="X1805" i="21" s="1"/>
  <c r="N1810" i="21"/>
  <c r="N1811" i="21"/>
  <c r="N1808" i="21"/>
  <c r="G714" i="14"/>
  <c r="G718" i="14"/>
  <c r="G720" i="14"/>
  <c r="I2084" i="14"/>
  <c r="I2080" i="14"/>
  <c r="I2082" i="14"/>
  <c r="Z1810" i="21" l="1"/>
  <c r="Z1808" i="21"/>
  <c r="Z1809" i="21"/>
  <c r="W1807" i="21"/>
  <c r="W1806" i="21"/>
  <c r="W1805" i="21"/>
  <c r="R1808" i="21"/>
  <c r="S1808" i="21"/>
  <c r="Q1808" i="21"/>
  <c r="M1808" i="21" s="1"/>
  <c r="X1808" i="21" s="1"/>
  <c r="T1805" i="21"/>
  <c r="P1805" i="21" s="1"/>
  <c r="O1805" i="21"/>
  <c r="R1811" i="21"/>
  <c r="S1811" i="21"/>
  <c r="Q1811" i="21"/>
  <c r="M1811" i="21" s="1"/>
  <c r="T1807" i="21"/>
  <c r="P1807" i="21" s="1"/>
  <c r="O1807" i="21"/>
  <c r="T1809" i="21"/>
  <c r="P1809" i="21" s="1"/>
  <c r="O1809" i="21"/>
  <c r="R1810" i="21"/>
  <c r="S1810" i="21"/>
  <c r="Q1810" i="21"/>
  <c r="M1810" i="21" s="1"/>
  <c r="N1813" i="21"/>
  <c r="G721" i="14"/>
  <c r="G723" i="14"/>
  <c r="G719" i="14"/>
  <c r="I2087" i="14"/>
  <c r="I2083" i="14"/>
  <c r="I2089" i="14"/>
  <c r="Z1811" i="21" l="1"/>
  <c r="X1811" i="21"/>
  <c r="W1810" i="21"/>
  <c r="W1809" i="21"/>
  <c r="W1808" i="21"/>
  <c r="U1807" i="21"/>
  <c r="U1806" i="21"/>
  <c r="U1805" i="21"/>
  <c r="R1813" i="21"/>
  <c r="Q1813" i="21"/>
  <c r="M1813" i="21" s="1"/>
  <c r="S1813" i="21"/>
  <c r="T1808" i="21"/>
  <c r="P1808" i="21" s="1"/>
  <c r="O1808" i="21"/>
  <c r="T1810" i="21"/>
  <c r="P1810" i="21" s="1"/>
  <c r="O1810" i="21"/>
  <c r="T1811" i="21"/>
  <c r="P1811" i="21" s="1"/>
  <c r="O1811" i="21"/>
  <c r="N1816" i="21"/>
  <c r="N1812" i="21"/>
  <c r="N1814" i="21"/>
  <c r="G726" i="14"/>
  <c r="G728" i="14"/>
  <c r="G727" i="14"/>
  <c r="I2090" i="14"/>
  <c r="I2088" i="14"/>
  <c r="I2092" i="14"/>
  <c r="Z1812" i="21" l="1"/>
  <c r="Z1813" i="21"/>
  <c r="Z1814" i="21"/>
  <c r="U1810" i="21"/>
  <c r="U1809" i="21"/>
  <c r="U1808" i="21"/>
  <c r="T1813" i="21"/>
  <c r="P1813" i="21" s="1"/>
  <c r="O1813" i="21"/>
  <c r="R1814" i="21"/>
  <c r="Q1814" i="21"/>
  <c r="M1814" i="21" s="1"/>
  <c r="S1814" i="21"/>
  <c r="R1812" i="21"/>
  <c r="S1812" i="21"/>
  <c r="Q1812" i="21"/>
  <c r="M1812" i="21" s="1"/>
  <c r="X1812" i="21" s="1"/>
  <c r="R1816" i="21"/>
  <c r="Q1816" i="21"/>
  <c r="M1816" i="21" s="1"/>
  <c r="S1816" i="21"/>
  <c r="N1817" i="21"/>
  <c r="N1815" i="21"/>
  <c r="N1819" i="21"/>
  <c r="G729" i="14"/>
  <c r="G731" i="14"/>
  <c r="G724" i="14"/>
  <c r="I2095" i="14"/>
  <c r="I2091" i="14"/>
  <c r="I2093" i="14"/>
  <c r="G666" i="14"/>
  <c r="G667" i="14" s="1"/>
  <c r="Z1817" i="21" l="1"/>
  <c r="Z1816" i="21"/>
  <c r="Z1815" i="21"/>
  <c r="W1814" i="21"/>
  <c r="W1813" i="21"/>
  <c r="W1812" i="21"/>
  <c r="R1815" i="21"/>
  <c r="S1815" i="21"/>
  <c r="Q1815" i="21"/>
  <c r="M1815" i="21" s="1"/>
  <c r="X1815" i="21" s="1"/>
  <c r="R1819" i="21"/>
  <c r="Q1819" i="21"/>
  <c r="M1819" i="21" s="1"/>
  <c r="S1819" i="21"/>
  <c r="T1816" i="21"/>
  <c r="P1816" i="21" s="1"/>
  <c r="O1816" i="21"/>
  <c r="R1817" i="21"/>
  <c r="Q1817" i="21"/>
  <c r="M1817" i="21" s="1"/>
  <c r="S1817" i="21"/>
  <c r="T1812" i="21"/>
  <c r="P1812" i="21" s="1"/>
  <c r="O1812" i="21"/>
  <c r="T1814" i="21"/>
  <c r="P1814" i="21" s="1"/>
  <c r="O1814" i="21"/>
  <c r="N1822" i="21"/>
  <c r="N1818" i="21"/>
  <c r="N1820" i="21"/>
  <c r="G732" i="14"/>
  <c r="G730" i="14"/>
  <c r="G734" i="14"/>
  <c r="I2108" i="14"/>
  <c r="Z1820" i="21" l="1"/>
  <c r="Z1818" i="21"/>
  <c r="Z1819" i="21"/>
  <c r="W1817" i="21"/>
  <c r="W1816" i="21"/>
  <c r="W1815" i="21"/>
  <c r="U1814" i="21"/>
  <c r="U1813" i="21"/>
  <c r="U1812" i="21"/>
  <c r="T1817" i="21"/>
  <c r="P1817" i="21" s="1"/>
  <c r="O1817" i="21"/>
  <c r="R1822" i="21"/>
  <c r="S1822" i="21"/>
  <c r="Q1822" i="21"/>
  <c r="M1822" i="21" s="1"/>
  <c r="T1819" i="21"/>
  <c r="P1819" i="21" s="1"/>
  <c r="O1819" i="21"/>
  <c r="T1815" i="21"/>
  <c r="P1815" i="21" s="1"/>
  <c r="O1815" i="21"/>
  <c r="R1820" i="21"/>
  <c r="Q1820" i="21"/>
  <c r="M1820" i="21" s="1"/>
  <c r="S1820" i="21"/>
  <c r="R1818" i="21"/>
  <c r="Q1818" i="21"/>
  <c r="M1818" i="21" s="1"/>
  <c r="X1818" i="21" s="1"/>
  <c r="S1818" i="21"/>
  <c r="N1821" i="21"/>
  <c r="N1824" i="21"/>
  <c r="N1823" i="21"/>
  <c r="G743" i="14"/>
  <c r="I2113" i="14"/>
  <c r="Z1823" i="21" l="1"/>
  <c r="Z1821" i="21"/>
  <c r="Z1822" i="21"/>
  <c r="W1820" i="21"/>
  <c r="W1819" i="21"/>
  <c r="W1818" i="21"/>
  <c r="U1817" i="21"/>
  <c r="U1816" i="21"/>
  <c r="U1815" i="21"/>
  <c r="R1821" i="21"/>
  <c r="Q1821" i="21"/>
  <c r="M1821" i="21" s="1"/>
  <c r="X1821" i="21" s="1"/>
  <c r="S1821" i="21"/>
  <c r="R1824" i="21"/>
  <c r="Q1824" i="21"/>
  <c r="M1824" i="21" s="1"/>
  <c r="S1824" i="21"/>
  <c r="R1823" i="21"/>
  <c r="Q1823" i="21"/>
  <c r="M1823" i="21" s="1"/>
  <c r="S1823" i="21"/>
  <c r="T1818" i="21"/>
  <c r="P1818" i="21" s="1"/>
  <c r="O1818" i="21"/>
  <c r="T1820" i="21"/>
  <c r="P1820" i="21" s="1"/>
  <c r="O1820" i="21"/>
  <c r="T1822" i="21"/>
  <c r="P1822" i="21" s="1"/>
  <c r="O1822" i="21"/>
  <c r="N1835" i="21"/>
  <c r="I2110" i="14"/>
  <c r="I2114" i="14"/>
  <c r="I2116" i="14"/>
  <c r="G748" i="14"/>
  <c r="G747" i="14"/>
  <c r="G746" i="14"/>
  <c r="X1824" i="21" l="1"/>
  <c r="Z1824" i="21"/>
  <c r="Z1827" i="21"/>
  <c r="Z1825" i="21"/>
  <c r="Z1826" i="21"/>
  <c r="W1823" i="21"/>
  <c r="W1822" i="21"/>
  <c r="W1821" i="21"/>
  <c r="U1820" i="21"/>
  <c r="U1819" i="21"/>
  <c r="U1818" i="21"/>
  <c r="R1835" i="21"/>
  <c r="Q1835" i="21"/>
  <c r="M1835" i="21" s="1"/>
  <c r="Z1835" i="21" s="1"/>
  <c r="X1835" i="21" s="1"/>
  <c r="S1835" i="21"/>
  <c r="T1823" i="21"/>
  <c r="P1823" i="21" s="1"/>
  <c r="O1823" i="21"/>
  <c r="T1824" i="21"/>
  <c r="P1824" i="21" s="1"/>
  <c r="O1824" i="21"/>
  <c r="T1821" i="21"/>
  <c r="P1821" i="21" s="1"/>
  <c r="O1821" i="21"/>
  <c r="N1837" i="21"/>
  <c r="G745" i="14"/>
  <c r="G751" i="14"/>
  <c r="G749" i="14"/>
  <c r="I2115" i="14"/>
  <c r="I2119" i="14"/>
  <c r="I2120" i="14"/>
  <c r="X1827" i="21" l="1"/>
  <c r="X1825" i="21"/>
  <c r="X1826" i="21"/>
  <c r="U1823" i="21"/>
  <c r="U1822" i="21"/>
  <c r="U1821" i="21"/>
  <c r="T1835" i="21"/>
  <c r="P1835" i="21" s="1"/>
  <c r="O1835" i="21"/>
  <c r="R1837" i="21"/>
  <c r="Q1837" i="21"/>
  <c r="M1837" i="21" s="1"/>
  <c r="S1837" i="21"/>
  <c r="N1836" i="21"/>
  <c r="N1838" i="21"/>
  <c r="N1840" i="21"/>
  <c r="G754" i="14"/>
  <c r="G750" i="14"/>
  <c r="G752" i="14"/>
  <c r="I2121" i="14"/>
  <c r="Z1836" i="21" l="1"/>
  <c r="Z1838" i="21"/>
  <c r="Z1837" i="21"/>
  <c r="R1838" i="21"/>
  <c r="Q1838" i="21"/>
  <c r="M1838" i="21" s="1"/>
  <c r="S1838" i="21"/>
  <c r="R1840" i="21"/>
  <c r="S1840" i="21"/>
  <c r="Q1840" i="21"/>
  <c r="M1840" i="21" s="1"/>
  <c r="T1837" i="21"/>
  <c r="P1837" i="21" s="1"/>
  <c r="O1837" i="21"/>
  <c r="R1836" i="21"/>
  <c r="S1836" i="21"/>
  <c r="Q1836" i="21"/>
  <c r="M1836" i="21" s="1"/>
  <c r="X1836" i="21" s="1"/>
  <c r="N1839" i="21"/>
  <c r="N1842" i="21"/>
  <c r="N1841" i="21"/>
  <c r="G758" i="14"/>
  <c r="G759" i="14"/>
  <c r="G757" i="14"/>
  <c r="I2123" i="14"/>
  <c r="G677" i="14"/>
  <c r="G680" i="14" s="1"/>
  <c r="Z1841" i="21" l="1"/>
  <c r="Z1839" i="21"/>
  <c r="Z1840" i="21"/>
  <c r="W1838" i="21"/>
  <c r="W1837" i="21"/>
  <c r="W1836" i="21"/>
  <c r="R1842" i="21"/>
  <c r="Q1842" i="21"/>
  <c r="M1842" i="21" s="1"/>
  <c r="S1842" i="21"/>
  <c r="T1836" i="21"/>
  <c r="P1836" i="21" s="1"/>
  <c r="O1836" i="21"/>
  <c r="T1838" i="21"/>
  <c r="P1838" i="21" s="1"/>
  <c r="O1838" i="21"/>
  <c r="T1840" i="21"/>
  <c r="P1840" i="21" s="1"/>
  <c r="O1840" i="21"/>
  <c r="R1841" i="21"/>
  <c r="S1841" i="21"/>
  <c r="Q1841" i="21"/>
  <c r="M1841" i="21" s="1"/>
  <c r="R1839" i="21"/>
  <c r="Q1839" i="21"/>
  <c r="M1839" i="21" s="1"/>
  <c r="X1839" i="21" s="1"/>
  <c r="S1839" i="21"/>
  <c r="N1843" i="21"/>
  <c r="G762" i="14"/>
  <c r="G755" i="14"/>
  <c r="G760" i="14"/>
  <c r="I2122" i="14"/>
  <c r="I2126" i="14"/>
  <c r="I2124" i="14"/>
  <c r="G681" i="14"/>
  <c r="Z1842" i="21" l="1"/>
  <c r="X1842" i="21"/>
  <c r="W1840" i="21"/>
  <c r="W1839" i="21"/>
  <c r="W1841" i="21"/>
  <c r="U1836" i="21"/>
  <c r="U1838" i="21"/>
  <c r="U1837" i="21"/>
  <c r="R1843" i="21"/>
  <c r="S1843" i="21"/>
  <c r="Q1843" i="21"/>
  <c r="M1843" i="21" s="1"/>
  <c r="Z1843" i="21" s="1"/>
  <c r="X1843" i="21" s="1"/>
  <c r="T1841" i="21"/>
  <c r="P1841" i="21" s="1"/>
  <c r="O1841" i="21"/>
  <c r="T1839" i="21"/>
  <c r="P1839" i="21" s="1"/>
  <c r="O1839" i="21"/>
  <c r="T1842" i="21"/>
  <c r="P1842" i="21" s="1"/>
  <c r="O1842" i="21"/>
  <c r="N1845" i="21"/>
  <c r="I2127" i="14"/>
  <c r="I2128" i="14"/>
  <c r="I2125" i="14"/>
  <c r="G761" i="14"/>
  <c r="G763" i="14"/>
  <c r="G765" i="14"/>
  <c r="G682" i="14"/>
  <c r="U1841" i="21" l="1"/>
  <c r="U1840" i="21"/>
  <c r="U1839" i="21"/>
  <c r="T1843" i="21"/>
  <c r="P1843" i="21" s="1"/>
  <c r="O1843" i="21"/>
  <c r="R1845" i="21"/>
  <c r="S1845" i="21"/>
  <c r="Q1845" i="21"/>
  <c r="M1845" i="21" s="1"/>
  <c r="N1846" i="21"/>
  <c r="N1844" i="21"/>
  <c r="N1848" i="21"/>
  <c r="G770" i="14"/>
  <c r="I2132" i="14"/>
  <c r="G683" i="14"/>
  <c r="Z1846" i="21" l="1"/>
  <c r="Z1844" i="21"/>
  <c r="Z1845" i="21"/>
  <c r="R1846" i="21"/>
  <c r="S1846" i="21"/>
  <c r="Q1846" i="21"/>
  <c r="M1846" i="21" s="1"/>
  <c r="R1848" i="21"/>
  <c r="Q1848" i="21"/>
  <c r="M1848" i="21" s="1"/>
  <c r="S1848" i="21"/>
  <c r="R1844" i="21"/>
  <c r="S1844" i="21"/>
  <c r="Q1844" i="21"/>
  <c r="M1844" i="21" s="1"/>
  <c r="X1844" i="21" s="1"/>
  <c r="T1845" i="21"/>
  <c r="P1845" i="21" s="1"/>
  <c r="O1845" i="21"/>
  <c r="N1847" i="21"/>
  <c r="N1849" i="21"/>
  <c r="N1850" i="21"/>
  <c r="I2131" i="14"/>
  <c r="I2133" i="14"/>
  <c r="I2135" i="14"/>
  <c r="G775" i="14"/>
  <c r="G773" i="14"/>
  <c r="G774" i="14"/>
  <c r="G685" i="14"/>
  <c r="Z1849" i="21" l="1"/>
  <c r="Z1848" i="21"/>
  <c r="Z1847" i="21"/>
  <c r="W1846" i="21"/>
  <c r="W1845" i="21"/>
  <c r="W1844" i="21"/>
  <c r="R1850" i="21"/>
  <c r="Q1850" i="21"/>
  <c r="M1850" i="21" s="1"/>
  <c r="S1850" i="21"/>
  <c r="R1849" i="21"/>
  <c r="Q1849" i="21"/>
  <c r="M1849" i="21" s="1"/>
  <c r="S1849" i="21"/>
  <c r="T1844" i="21"/>
  <c r="P1844" i="21" s="1"/>
  <c r="O1844" i="21"/>
  <c r="T1846" i="21"/>
  <c r="P1846" i="21" s="1"/>
  <c r="O1846" i="21"/>
  <c r="R1847" i="21"/>
  <c r="S1847" i="21"/>
  <c r="Q1847" i="21"/>
  <c r="M1847" i="21" s="1"/>
  <c r="X1847" i="21" s="1"/>
  <c r="T1848" i="21"/>
  <c r="P1848" i="21" s="1"/>
  <c r="O1848" i="21"/>
  <c r="N1852" i="21"/>
  <c r="G776" i="14"/>
  <c r="G772" i="14"/>
  <c r="G778" i="14"/>
  <c r="I2134" i="14"/>
  <c r="I2140" i="14"/>
  <c r="I2136" i="14"/>
  <c r="Z1850" i="21" l="1"/>
  <c r="X1850" i="21"/>
  <c r="W1849" i="21"/>
  <c r="W1848" i="21"/>
  <c r="W1847" i="21"/>
  <c r="U1846" i="21"/>
  <c r="U1845" i="21"/>
  <c r="U1844" i="21"/>
  <c r="T1849" i="21"/>
  <c r="P1849" i="21" s="1"/>
  <c r="O1849" i="21"/>
  <c r="T1850" i="21"/>
  <c r="P1850" i="21" s="1"/>
  <c r="O1850" i="21"/>
  <c r="R1852" i="21"/>
  <c r="S1852" i="21"/>
  <c r="Q1852" i="21"/>
  <c r="M1852" i="21" s="1"/>
  <c r="T1847" i="21"/>
  <c r="P1847" i="21" s="1"/>
  <c r="O1847" i="21"/>
  <c r="N1851" i="21"/>
  <c r="N1855" i="21"/>
  <c r="N1853" i="21"/>
  <c r="I2139" i="14"/>
  <c r="I2143" i="14"/>
  <c r="I2141" i="14"/>
  <c r="G777" i="14"/>
  <c r="G779" i="14"/>
  <c r="G782" i="14"/>
  <c r="Z1853" i="21" l="1"/>
  <c r="Z1851" i="21"/>
  <c r="Z1852" i="21"/>
  <c r="U1849" i="21"/>
  <c r="U1848" i="21"/>
  <c r="U1847" i="21"/>
  <c r="R1855" i="21"/>
  <c r="Q1855" i="21"/>
  <c r="M1855" i="21" s="1"/>
  <c r="S1855" i="21"/>
  <c r="R1853" i="21"/>
  <c r="Q1853" i="21"/>
  <c r="M1853" i="21" s="1"/>
  <c r="S1853" i="21"/>
  <c r="R1851" i="21"/>
  <c r="Q1851" i="21"/>
  <c r="M1851" i="21" s="1"/>
  <c r="X1851" i="21" s="1"/>
  <c r="S1851" i="21"/>
  <c r="T1852" i="21"/>
  <c r="P1852" i="21" s="1"/>
  <c r="O1852" i="21"/>
  <c r="N1854" i="21"/>
  <c r="N1858" i="21"/>
  <c r="N1856" i="21"/>
  <c r="I2142" i="14"/>
  <c r="I2146" i="14"/>
  <c r="I2144" i="14"/>
  <c r="G786" i="14"/>
  <c r="G784" i="14"/>
  <c r="G785" i="14"/>
  <c r="Z1854" i="21" l="1"/>
  <c r="Z1855" i="21"/>
  <c r="Z1856" i="21"/>
  <c r="W1853" i="21"/>
  <c r="W1852" i="21"/>
  <c r="W1851" i="21"/>
  <c r="R1854" i="21"/>
  <c r="Q1854" i="21"/>
  <c r="M1854" i="21" s="1"/>
  <c r="X1854" i="21" s="1"/>
  <c r="S1854" i="21"/>
  <c r="T1851" i="21"/>
  <c r="P1851" i="21" s="1"/>
  <c r="O1851" i="21"/>
  <c r="R1856" i="21"/>
  <c r="Q1856" i="21"/>
  <c r="M1856" i="21" s="1"/>
  <c r="S1856" i="21"/>
  <c r="T1853" i="21"/>
  <c r="P1853" i="21" s="1"/>
  <c r="O1853" i="21"/>
  <c r="T1855" i="21"/>
  <c r="P1855" i="21" s="1"/>
  <c r="O1855" i="21"/>
  <c r="R1858" i="21"/>
  <c r="Q1858" i="21"/>
  <c r="M1858" i="21" s="1"/>
  <c r="S1858" i="21"/>
  <c r="N1861" i="21"/>
  <c r="N1859" i="21"/>
  <c r="N1857" i="21"/>
  <c r="G783" i="14"/>
  <c r="G787" i="14"/>
  <c r="G789" i="14"/>
  <c r="I2157" i="14"/>
  <c r="Z1858" i="21" l="1"/>
  <c r="Z1859" i="21"/>
  <c r="Z1857" i="21"/>
  <c r="W1856" i="21"/>
  <c r="W1855" i="21"/>
  <c r="W1854" i="21"/>
  <c r="U1853" i="21"/>
  <c r="U1852" i="21"/>
  <c r="U1851" i="21"/>
  <c r="T1858" i="21"/>
  <c r="P1858" i="21" s="1"/>
  <c r="O1858" i="21"/>
  <c r="T1854" i="21"/>
  <c r="P1854" i="21" s="1"/>
  <c r="O1854" i="21"/>
  <c r="R1857" i="21"/>
  <c r="Q1857" i="21"/>
  <c r="M1857" i="21" s="1"/>
  <c r="X1857" i="21" s="1"/>
  <c r="S1857" i="21"/>
  <c r="T1856" i="21"/>
  <c r="P1856" i="21" s="1"/>
  <c r="O1856" i="21"/>
  <c r="R1859" i="21"/>
  <c r="Q1859" i="21"/>
  <c r="M1859" i="21" s="1"/>
  <c r="S1859" i="21"/>
  <c r="R1861" i="21"/>
  <c r="S1861" i="21"/>
  <c r="Q1861" i="21"/>
  <c r="M1861" i="21" s="1"/>
  <c r="N1863" i="21"/>
  <c r="N1860" i="21"/>
  <c r="N1862" i="21"/>
  <c r="I2160" i="14"/>
  <c r="G788" i="14"/>
  <c r="G790" i="14"/>
  <c r="G792" i="14"/>
  <c r="Z1862" i="21" l="1"/>
  <c r="Z1860" i="21"/>
  <c r="Z1861" i="21"/>
  <c r="W1859" i="21"/>
  <c r="W1858" i="21"/>
  <c r="W1857" i="21"/>
  <c r="U1856" i="21"/>
  <c r="U1855" i="21"/>
  <c r="U1854" i="21"/>
  <c r="R1860" i="21"/>
  <c r="Q1860" i="21"/>
  <c r="M1860" i="21" s="1"/>
  <c r="X1860" i="21" s="1"/>
  <c r="S1860" i="21"/>
  <c r="R1863" i="21"/>
  <c r="Q1863" i="21"/>
  <c r="M1863" i="21" s="1"/>
  <c r="S1863" i="21"/>
  <c r="T1859" i="21"/>
  <c r="P1859" i="21" s="1"/>
  <c r="O1859" i="21"/>
  <c r="R1862" i="21"/>
  <c r="Q1862" i="21"/>
  <c r="M1862" i="21" s="1"/>
  <c r="S1862" i="21"/>
  <c r="T1861" i="21"/>
  <c r="P1861" i="21" s="1"/>
  <c r="O1861" i="21"/>
  <c r="T1857" i="21"/>
  <c r="P1857" i="21" s="1"/>
  <c r="O1857" i="21"/>
  <c r="N1874" i="21"/>
  <c r="G797" i="14"/>
  <c r="I2161" i="14"/>
  <c r="I2163" i="14"/>
  <c r="I2159" i="14"/>
  <c r="G694" i="14"/>
  <c r="G697" i="14" s="1"/>
  <c r="X1863" i="21" l="1"/>
  <c r="Z1863" i="21"/>
  <c r="Z1866" i="21"/>
  <c r="Z1864" i="21"/>
  <c r="Z1865" i="21"/>
  <c r="W1862" i="21"/>
  <c r="W1861" i="21"/>
  <c r="W1860" i="21"/>
  <c r="U1859" i="21"/>
  <c r="U1858" i="21"/>
  <c r="U1857" i="21"/>
  <c r="T1862" i="21"/>
  <c r="P1862" i="21" s="1"/>
  <c r="O1862" i="21"/>
  <c r="T1863" i="21"/>
  <c r="P1863" i="21" s="1"/>
  <c r="O1863" i="21"/>
  <c r="T1860" i="21"/>
  <c r="P1860" i="21" s="1"/>
  <c r="O1860" i="21"/>
  <c r="R1874" i="21"/>
  <c r="S1874" i="21"/>
  <c r="Q1874" i="21"/>
  <c r="M1874" i="21" s="1"/>
  <c r="Z1874" i="21" s="1"/>
  <c r="X1874" i="21" s="1"/>
  <c r="N1876" i="21"/>
  <c r="G802" i="14"/>
  <c r="G800" i="14"/>
  <c r="G801" i="14"/>
  <c r="I2162" i="14"/>
  <c r="I2165" i="14"/>
  <c r="I2164" i="14"/>
  <c r="X1866" i="21" l="1"/>
  <c r="X1865" i="21"/>
  <c r="X1864" i="21"/>
  <c r="U1862" i="21"/>
  <c r="U1861" i="21"/>
  <c r="U1860" i="21"/>
  <c r="R1876" i="21"/>
  <c r="S1876" i="21"/>
  <c r="Q1876" i="21"/>
  <c r="M1876" i="21" s="1"/>
  <c r="T1874" i="21"/>
  <c r="P1874" i="21" s="1"/>
  <c r="O1874" i="21"/>
  <c r="N1877" i="21"/>
  <c r="N1875" i="21"/>
  <c r="N1879" i="21"/>
  <c r="G799" i="14"/>
  <c r="G805" i="14"/>
  <c r="G803" i="14"/>
  <c r="I2169" i="14"/>
  <c r="Z1877" i="21" l="1"/>
  <c r="Z1876" i="21"/>
  <c r="Z1875" i="21"/>
  <c r="T1876" i="21"/>
  <c r="P1876" i="21" s="1"/>
  <c r="O1876" i="21"/>
  <c r="R1879" i="21"/>
  <c r="Q1879" i="21"/>
  <c r="M1879" i="21" s="1"/>
  <c r="S1879" i="21"/>
  <c r="R1875" i="21"/>
  <c r="Q1875" i="21"/>
  <c r="M1875" i="21" s="1"/>
  <c r="X1875" i="21" s="1"/>
  <c r="S1875" i="21"/>
  <c r="R1877" i="21"/>
  <c r="S1877" i="21"/>
  <c r="Q1877" i="21"/>
  <c r="M1877" i="21" s="1"/>
  <c r="N1881" i="21"/>
  <c r="N1880" i="21"/>
  <c r="N1878" i="21"/>
  <c r="I2166" i="14"/>
  <c r="I2172" i="14"/>
  <c r="I2170" i="14"/>
  <c r="G804" i="14"/>
  <c r="G808" i="14"/>
  <c r="G806" i="14"/>
  <c r="Z1880" i="21" l="1"/>
  <c r="Z1878" i="21"/>
  <c r="Z1879" i="21"/>
  <c r="W1875" i="21"/>
  <c r="W1877" i="21"/>
  <c r="W1876" i="21"/>
  <c r="R1878" i="21"/>
  <c r="Q1878" i="21"/>
  <c r="M1878" i="21" s="1"/>
  <c r="X1878" i="21" s="1"/>
  <c r="S1878" i="21"/>
  <c r="R1881" i="21"/>
  <c r="Q1881" i="21"/>
  <c r="M1881" i="21" s="1"/>
  <c r="S1881" i="21"/>
  <c r="T1877" i="21"/>
  <c r="P1877" i="21" s="1"/>
  <c r="O1877" i="21"/>
  <c r="R1880" i="21"/>
  <c r="S1880" i="21"/>
  <c r="Q1880" i="21"/>
  <c r="M1880" i="21" s="1"/>
  <c r="T1879" i="21"/>
  <c r="P1879" i="21" s="1"/>
  <c r="O1879" i="21"/>
  <c r="T1875" i="21"/>
  <c r="P1875" i="21" s="1"/>
  <c r="O1875" i="21"/>
  <c r="N1883" i="21"/>
  <c r="I2171" i="14"/>
  <c r="I2175" i="14"/>
  <c r="I2173" i="14"/>
  <c r="G812" i="14"/>
  <c r="G813" i="14"/>
  <c r="G811" i="14"/>
  <c r="Z1881" i="21" l="1"/>
  <c r="X1881" i="21"/>
  <c r="W1880" i="21"/>
  <c r="W1879" i="21"/>
  <c r="W1878" i="21"/>
  <c r="U1877" i="21"/>
  <c r="U1876" i="21"/>
  <c r="U1875" i="21"/>
  <c r="R1883" i="21"/>
  <c r="S1883" i="21"/>
  <c r="Q1883" i="21"/>
  <c r="M1883" i="21" s="1"/>
  <c r="T1878" i="21"/>
  <c r="P1878" i="21" s="1"/>
  <c r="O1878" i="21"/>
  <c r="T1881" i="21"/>
  <c r="P1881" i="21" s="1"/>
  <c r="O1881" i="21"/>
  <c r="T1880" i="21"/>
  <c r="P1880" i="21" s="1"/>
  <c r="O1880" i="21"/>
  <c r="N1882" i="21"/>
  <c r="N1884" i="21"/>
  <c r="N1886" i="21"/>
  <c r="I2178" i="14"/>
  <c r="G810" i="14"/>
  <c r="G814" i="14"/>
  <c r="G816" i="14"/>
  <c r="Z1884" i="21" l="1"/>
  <c r="Z1882" i="21"/>
  <c r="Z1883" i="21"/>
  <c r="U1880" i="21"/>
  <c r="U1879" i="21"/>
  <c r="U1878" i="21"/>
  <c r="R1882" i="21"/>
  <c r="Q1882" i="21"/>
  <c r="M1882" i="21" s="1"/>
  <c r="X1882" i="21" s="1"/>
  <c r="S1882" i="21"/>
  <c r="R1884" i="21"/>
  <c r="Q1884" i="21"/>
  <c r="M1884" i="21" s="1"/>
  <c r="S1884" i="21"/>
  <c r="T1883" i="21"/>
  <c r="P1883" i="21" s="1"/>
  <c r="O1883" i="21"/>
  <c r="R1886" i="21"/>
  <c r="Q1886" i="21"/>
  <c r="M1886" i="21" s="1"/>
  <c r="S1886" i="21"/>
  <c r="N1885" i="21"/>
  <c r="N1888" i="21"/>
  <c r="N1887" i="21"/>
  <c r="G819" i="14"/>
  <c r="G815" i="14"/>
  <c r="G817" i="14"/>
  <c r="I2177" i="14"/>
  <c r="I2181" i="14"/>
  <c r="I2179" i="14"/>
  <c r="G706" i="14"/>
  <c r="G708" i="14" s="1"/>
  <c r="Z1887" i="21" l="1"/>
  <c r="Z1885" i="21"/>
  <c r="Z1886" i="21"/>
  <c r="W1884" i="21"/>
  <c r="W1883" i="21"/>
  <c r="W1882" i="21"/>
  <c r="R1888" i="21"/>
  <c r="S1888" i="21"/>
  <c r="Q1888" i="21"/>
  <c r="M1888" i="21" s="1"/>
  <c r="T1884" i="21"/>
  <c r="P1884" i="21" s="1"/>
  <c r="O1884" i="21"/>
  <c r="T1882" i="21"/>
  <c r="P1882" i="21" s="1"/>
  <c r="O1882" i="21"/>
  <c r="R1887" i="21"/>
  <c r="Q1887" i="21"/>
  <c r="M1887" i="21" s="1"/>
  <c r="S1887" i="21"/>
  <c r="R1885" i="21"/>
  <c r="S1885" i="21"/>
  <c r="Q1885" i="21"/>
  <c r="M1885" i="21" s="1"/>
  <c r="X1885" i="21" s="1"/>
  <c r="T1886" i="21"/>
  <c r="P1886" i="21" s="1"/>
  <c r="O1886" i="21"/>
  <c r="N1890" i="21"/>
  <c r="I2180" i="14"/>
  <c r="I2182" i="14"/>
  <c r="I2183" i="14"/>
  <c r="G824" i="14"/>
  <c r="G709" i="14"/>
  <c r="Z1888" i="21" l="1"/>
  <c r="X1888" i="21"/>
  <c r="W1887" i="21"/>
  <c r="W1886" i="21"/>
  <c r="W1885" i="21"/>
  <c r="U1884" i="21"/>
  <c r="U1883" i="21"/>
  <c r="U1882" i="21"/>
  <c r="R1890" i="21"/>
  <c r="Q1890" i="21"/>
  <c r="M1890" i="21" s="1"/>
  <c r="S1890" i="21"/>
  <c r="T1887" i="21"/>
  <c r="P1887" i="21" s="1"/>
  <c r="O1887" i="21"/>
  <c r="T1885" i="21"/>
  <c r="P1885" i="21" s="1"/>
  <c r="O1885" i="21"/>
  <c r="T1888" i="21"/>
  <c r="P1888" i="21" s="1"/>
  <c r="O1888" i="21"/>
  <c r="N1891" i="21"/>
  <c r="N1889" i="21"/>
  <c r="N1893" i="21"/>
  <c r="G830" i="14"/>
  <c r="G827" i="14"/>
  <c r="G828" i="14"/>
  <c r="I2187" i="14"/>
  <c r="G710" i="14"/>
  <c r="Z1891" i="21" l="1"/>
  <c r="Z1889" i="21"/>
  <c r="Z1890" i="21"/>
  <c r="U1887" i="21"/>
  <c r="U1886" i="21"/>
  <c r="U1885" i="21"/>
  <c r="R1891" i="21"/>
  <c r="Q1891" i="21"/>
  <c r="M1891" i="21" s="1"/>
  <c r="S1891" i="21"/>
  <c r="R1893" i="21"/>
  <c r="Q1893" i="21"/>
  <c r="M1893" i="21" s="1"/>
  <c r="S1893" i="21"/>
  <c r="R1889" i="21"/>
  <c r="Q1889" i="21"/>
  <c r="M1889" i="21" s="1"/>
  <c r="X1889" i="21" s="1"/>
  <c r="S1889" i="21"/>
  <c r="T1890" i="21"/>
  <c r="P1890" i="21" s="1"/>
  <c r="O1890" i="21"/>
  <c r="N1895" i="21"/>
  <c r="N1892" i="21"/>
  <c r="N1894" i="21"/>
  <c r="I2190" i="14"/>
  <c r="I2185" i="14"/>
  <c r="I2188" i="14"/>
  <c r="G831" i="14"/>
  <c r="G826" i="14"/>
  <c r="G833" i="14"/>
  <c r="G711" i="14"/>
  <c r="Z1892" i="21" l="1"/>
  <c r="Z1893" i="21"/>
  <c r="Z1894" i="21"/>
  <c r="W1891" i="21"/>
  <c r="W1890" i="21"/>
  <c r="W1889" i="21"/>
  <c r="R1895" i="21"/>
  <c r="Q1895" i="21"/>
  <c r="M1895" i="21" s="1"/>
  <c r="S1895" i="21"/>
  <c r="R1894" i="21"/>
  <c r="S1894" i="21"/>
  <c r="Q1894" i="21"/>
  <c r="M1894" i="21" s="1"/>
  <c r="T1893" i="21"/>
  <c r="P1893" i="21" s="1"/>
  <c r="O1893" i="21"/>
  <c r="R1892" i="21"/>
  <c r="Q1892" i="21"/>
  <c r="M1892" i="21" s="1"/>
  <c r="X1892" i="21" s="1"/>
  <c r="S1892" i="21"/>
  <c r="T1889" i="21"/>
  <c r="P1889" i="21" s="1"/>
  <c r="O1889" i="21"/>
  <c r="T1891" i="21"/>
  <c r="P1891" i="21" s="1"/>
  <c r="O1891" i="21"/>
  <c r="N1897" i="21"/>
  <c r="I2189" i="14"/>
  <c r="I2192" i="14"/>
  <c r="I2191" i="14"/>
  <c r="G835" i="14"/>
  <c r="G834" i="14"/>
  <c r="G832" i="14"/>
  <c r="G713" i="14"/>
  <c r="Z1895" i="21" l="1"/>
  <c r="X1895" i="21"/>
  <c r="W1894" i="21"/>
  <c r="W1893" i="21"/>
  <c r="W1892" i="21"/>
  <c r="U1891" i="21"/>
  <c r="U1890" i="21"/>
  <c r="U1889" i="21"/>
  <c r="R1897" i="21"/>
  <c r="S1897" i="21"/>
  <c r="Q1897" i="21"/>
  <c r="M1897" i="21" s="1"/>
  <c r="T1895" i="21"/>
  <c r="P1895" i="21" s="1"/>
  <c r="O1895" i="21"/>
  <c r="T1894" i="21"/>
  <c r="P1894" i="21" s="1"/>
  <c r="O1894" i="21"/>
  <c r="T1892" i="21"/>
  <c r="P1892" i="21" s="1"/>
  <c r="O1892" i="21"/>
  <c r="N1896" i="21"/>
  <c r="N1900" i="21"/>
  <c r="N1898" i="21"/>
  <c r="G837" i="14"/>
  <c r="I2204" i="14"/>
  <c r="Z1896" i="21" l="1"/>
  <c r="Z1898" i="21"/>
  <c r="Z1897" i="21"/>
  <c r="U1893" i="21"/>
  <c r="U1892" i="21"/>
  <c r="U1894" i="21"/>
  <c r="R1898" i="21"/>
  <c r="Q1898" i="21"/>
  <c r="M1898" i="21" s="1"/>
  <c r="S1898" i="21"/>
  <c r="R1900" i="21"/>
  <c r="Q1900" i="21"/>
  <c r="M1900" i="21" s="1"/>
  <c r="S1900" i="21"/>
  <c r="R1896" i="21"/>
  <c r="Q1896" i="21"/>
  <c r="M1896" i="21" s="1"/>
  <c r="X1896" i="21" s="1"/>
  <c r="S1896" i="21"/>
  <c r="T1897" i="21"/>
  <c r="P1897" i="21" s="1"/>
  <c r="O1897" i="21"/>
  <c r="N1899" i="21"/>
  <c r="N1901" i="21"/>
  <c r="N1902" i="21"/>
  <c r="I2207" i="14"/>
  <c r="G836" i="14"/>
  <c r="G838" i="14"/>
  <c r="G841" i="14"/>
  <c r="Z1901" i="21" l="1"/>
  <c r="Z1899" i="21"/>
  <c r="Z1900" i="21"/>
  <c r="W1898" i="21"/>
  <c r="W1897" i="21"/>
  <c r="W1896" i="21"/>
  <c r="R1902" i="21"/>
  <c r="S1902" i="21"/>
  <c r="Q1902" i="21"/>
  <c r="M1902" i="21" s="1"/>
  <c r="R1899" i="21"/>
  <c r="S1899" i="21"/>
  <c r="Q1899" i="21"/>
  <c r="M1899" i="21" s="1"/>
  <c r="X1899" i="21" s="1"/>
  <c r="T1898" i="21"/>
  <c r="P1898" i="21" s="1"/>
  <c r="O1898" i="21"/>
  <c r="T1896" i="21"/>
  <c r="P1896" i="21" s="1"/>
  <c r="O1896" i="21"/>
  <c r="T1900" i="21"/>
  <c r="P1900" i="21" s="1"/>
  <c r="O1900" i="21"/>
  <c r="R1901" i="21"/>
  <c r="Q1901" i="21"/>
  <c r="M1901" i="21" s="1"/>
  <c r="S1901" i="21"/>
  <c r="N1913" i="21"/>
  <c r="G844" i="14"/>
  <c r="G843" i="14"/>
  <c r="G839" i="14"/>
  <c r="G842" i="14"/>
  <c r="G846" i="14"/>
  <c r="I2210" i="14"/>
  <c r="I2208" i="14"/>
  <c r="I2206" i="14"/>
  <c r="X1902" i="21" l="1"/>
  <c r="Z1902" i="21"/>
  <c r="Z1905" i="21"/>
  <c r="Z1904" i="21"/>
  <c r="Z1903" i="21"/>
  <c r="W1901" i="21"/>
  <c r="W1900" i="21"/>
  <c r="W1899" i="21"/>
  <c r="U1898" i="21"/>
  <c r="U1897" i="21"/>
  <c r="U1896" i="21"/>
  <c r="T1901" i="21"/>
  <c r="P1901" i="21" s="1"/>
  <c r="O1901" i="21"/>
  <c r="R1913" i="21"/>
  <c r="S1913" i="21"/>
  <c r="Q1913" i="21"/>
  <c r="M1913" i="21" s="1"/>
  <c r="T1899" i="21"/>
  <c r="P1899" i="21" s="1"/>
  <c r="O1899" i="21"/>
  <c r="T1902" i="21"/>
  <c r="P1902" i="21" s="1"/>
  <c r="O1902" i="21"/>
  <c r="N1915" i="21"/>
  <c r="G851" i="14"/>
  <c r="I2213" i="14"/>
  <c r="I2214" i="14"/>
  <c r="I2209" i="14"/>
  <c r="Z1913" i="21" l="1"/>
  <c r="X1913" i="21"/>
  <c r="X1903" i="21"/>
  <c r="X1904" i="21"/>
  <c r="X1905" i="21"/>
  <c r="U1901" i="21"/>
  <c r="U1900" i="21"/>
  <c r="U1899" i="21"/>
  <c r="T1913" i="21"/>
  <c r="P1913" i="21" s="1"/>
  <c r="O1913" i="21"/>
  <c r="R1915" i="21"/>
  <c r="Q1915" i="21"/>
  <c r="M1915" i="21" s="1"/>
  <c r="S1915" i="21"/>
  <c r="N1916" i="21"/>
  <c r="N1914" i="21"/>
  <c r="N1918" i="21"/>
  <c r="G866" i="14"/>
  <c r="G865" i="14"/>
  <c r="G864" i="14"/>
  <c r="I2216" i="14"/>
  <c r="Z1914" i="21" l="1"/>
  <c r="Z1915" i="21"/>
  <c r="Z1916" i="21"/>
  <c r="R1918" i="21"/>
  <c r="Q1918" i="21"/>
  <c r="M1918" i="21" s="1"/>
  <c r="S1918" i="21"/>
  <c r="R1914" i="21"/>
  <c r="Q1914" i="21"/>
  <c r="M1914" i="21" s="1"/>
  <c r="X1914" i="21" s="1"/>
  <c r="S1914" i="21"/>
  <c r="R1916" i="21"/>
  <c r="Q1916" i="21"/>
  <c r="M1916" i="21" s="1"/>
  <c r="S1916" i="21"/>
  <c r="T1915" i="21"/>
  <c r="P1915" i="21" s="1"/>
  <c r="O1915" i="21"/>
  <c r="N1919" i="21"/>
  <c r="N1920" i="21"/>
  <c r="N1917" i="21"/>
  <c r="G867" i="14"/>
  <c r="G863" i="14"/>
  <c r="G869" i="14"/>
  <c r="I2215" i="14"/>
  <c r="I2219" i="14"/>
  <c r="I2217" i="14"/>
  <c r="G722" i="14"/>
  <c r="Z1918" i="21" l="1"/>
  <c r="Z1919" i="21"/>
  <c r="Z1917" i="21"/>
  <c r="W1916" i="21"/>
  <c r="W1915" i="21"/>
  <c r="W1914" i="21"/>
  <c r="R1920" i="21"/>
  <c r="Q1920" i="21"/>
  <c r="M1920" i="21" s="1"/>
  <c r="S1920" i="21"/>
  <c r="T1916" i="21"/>
  <c r="P1916" i="21" s="1"/>
  <c r="O1916" i="21"/>
  <c r="R1917" i="21"/>
  <c r="Q1917" i="21"/>
  <c r="M1917" i="21" s="1"/>
  <c r="X1917" i="21" s="1"/>
  <c r="S1917" i="21"/>
  <c r="T1914" i="21"/>
  <c r="P1914" i="21" s="1"/>
  <c r="O1914" i="21"/>
  <c r="T1918" i="21"/>
  <c r="P1918" i="21" s="1"/>
  <c r="O1918" i="21"/>
  <c r="R1919" i="21"/>
  <c r="Q1919" i="21"/>
  <c r="M1919" i="21" s="1"/>
  <c r="S1919" i="21"/>
  <c r="N1922" i="21"/>
  <c r="G868" i="14"/>
  <c r="G873" i="14"/>
  <c r="G870" i="14"/>
  <c r="I2218" i="14"/>
  <c r="I2220" i="14"/>
  <c r="I2221" i="14"/>
  <c r="G725" i="14"/>
  <c r="Z1920" i="21" l="1"/>
  <c r="X1920" i="21"/>
  <c r="I2225" i="14"/>
  <c r="N1927" i="21"/>
  <c r="W1919" i="21"/>
  <c r="W1918" i="21"/>
  <c r="W1917" i="21"/>
  <c r="U1916" i="21"/>
  <c r="U1915" i="21"/>
  <c r="U1914" i="21"/>
  <c r="T1919" i="21"/>
  <c r="P1919" i="21" s="1"/>
  <c r="O1919" i="21"/>
  <c r="T1917" i="21"/>
  <c r="P1917" i="21" s="1"/>
  <c r="O1917" i="21"/>
  <c r="T1920" i="21"/>
  <c r="P1920" i="21" s="1"/>
  <c r="O1920" i="21"/>
  <c r="R1922" i="21"/>
  <c r="Q1922" i="21"/>
  <c r="M1922" i="21" s="1"/>
  <c r="S1922" i="21"/>
  <c r="N1923" i="21"/>
  <c r="N1921" i="21"/>
  <c r="N1925" i="21"/>
  <c r="G875" i="14"/>
  <c r="I2228" i="14"/>
  <c r="I2226" i="14"/>
  <c r="I2224" i="14"/>
  <c r="Z1921" i="21" l="1"/>
  <c r="Z1922" i="21"/>
  <c r="Z1923" i="21"/>
  <c r="S1927" i="21"/>
  <c r="Q1927" i="21"/>
  <c r="M1927" i="21" s="1"/>
  <c r="R1927" i="21"/>
  <c r="U1919" i="21"/>
  <c r="U1918" i="21"/>
  <c r="U1917" i="21"/>
  <c r="R1925" i="21"/>
  <c r="Q1925" i="21"/>
  <c r="M1925" i="21" s="1"/>
  <c r="S1925" i="21"/>
  <c r="R1921" i="21"/>
  <c r="Q1921" i="21"/>
  <c r="M1921" i="21" s="1"/>
  <c r="X1921" i="21" s="1"/>
  <c r="S1921" i="21"/>
  <c r="R1923" i="21"/>
  <c r="Q1923" i="21"/>
  <c r="M1923" i="21" s="1"/>
  <c r="S1923" i="21"/>
  <c r="T1922" i="21"/>
  <c r="P1922" i="21" s="1"/>
  <c r="O1922" i="21"/>
  <c r="N1929" i="21"/>
  <c r="N1926" i="21"/>
  <c r="N1924" i="21"/>
  <c r="I2231" i="14"/>
  <c r="I2232" i="14"/>
  <c r="I2227" i="14"/>
  <c r="G876" i="14"/>
  <c r="G874" i="14"/>
  <c r="G878" i="14"/>
  <c r="Z1926" i="21" l="1"/>
  <c r="Z1924" i="21"/>
  <c r="Z1925" i="21"/>
  <c r="Z1927" i="21"/>
  <c r="T1927" i="21"/>
  <c r="P1927" i="21" s="1"/>
  <c r="O1927" i="21"/>
  <c r="W1923" i="21"/>
  <c r="W1922" i="21"/>
  <c r="W1921" i="21"/>
  <c r="R1929" i="21"/>
  <c r="Q1929" i="21"/>
  <c r="M1929" i="21" s="1"/>
  <c r="S1929" i="21"/>
  <c r="T1923" i="21"/>
  <c r="P1923" i="21" s="1"/>
  <c r="O1923" i="21"/>
  <c r="T1925" i="21"/>
  <c r="P1925" i="21" s="1"/>
  <c r="O1925" i="21"/>
  <c r="R1924" i="21"/>
  <c r="Q1924" i="21"/>
  <c r="M1924" i="21" s="1"/>
  <c r="X1924" i="21" s="1"/>
  <c r="S1924" i="21"/>
  <c r="R1926" i="21"/>
  <c r="Q1926" i="21"/>
  <c r="M1926" i="21" s="1"/>
  <c r="X1927" i="21" s="1"/>
  <c r="S1926" i="21"/>
  <c r="T1921" i="21"/>
  <c r="P1921" i="21" s="1"/>
  <c r="O1921" i="21"/>
  <c r="N1930" i="21"/>
  <c r="N1928" i="21"/>
  <c r="N1932" i="21"/>
  <c r="I2234" i="14"/>
  <c r="G877" i="14"/>
  <c r="G879" i="14"/>
  <c r="G881" i="14"/>
  <c r="Z1930" i="21" l="1"/>
  <c r="Z1928" i="21"/>
  <c r="Z1929" i="21"/>
  <c r="W1926" i="21"/>
  <c r="W1925" i="21"/>
  <c r="W1924" i="21"/>
  <c r="U1923" i="21"/>
  <c r="U1922" i="21"/>
  <c r="U1921" i="21"/>
  <c r="R1932" i="21"/>
  <c r="S1932" i="21"/>
  <c r="Q1932" i="21"/>
  <c r="M1932" i="21" s="1"/>
  <c r="R1928" i="21"/>
  <c r="Q1928" i="21"/>
  <c r="M1928" i="21" s="1"/>
  <c r="X1928" i="21" s="1"/>
  <c r="S1928" i="21"/>
  <c r="R1930" i="21"/>
  <c r="S1930" i="21"/>
  <c r="Q1930" i="21"/>
  <c r="M1930" i="21" s="1"/>
  <c r="T1924" i="21"/>
  <c r="P1924" i="21" s="1"/>
  <c r="O1924" i="21"/>
  <c r="T1926" i="21"/>
  <c r="P1926" i="21" s="1"/>
  <c r="O1926" i="21"/>
  <c r="T1929" i="21"/>
  <c r="P1929" i="21" s="1"/>
  <c r="O1929" i="21"/>
  <c r="N1933" i="21"/>
  <c r="N1934" i="21"/>
  <c r="N1931" i="21"/>
  <c r="G886" i="14"/>
  <c r="I2237" i="14"/>
  <c r="I2235" i="14"/>
  <c r="I2233" i="14"/>
  <c r="Z1933" i="21" l="1"/>
  <c r="Z1931" i="21"/>
  <c r="Z1932" i="21"/>
  <c r="W1930" i="21"/>
  <c r="W1929" i="21"/>
  <c r="W1928" i="21"/>
  <c r="U1926" i="21"/>
  <c r="U1925" i="21"/>
  <c r="U1924" i="21"/>
  <c r="R1933" i="21"/>
  <c r="S1933" i="21"/>
  <c r="Q1933" i="21"/>
  <c r="M1933" i="21" s="1"/>
  <c r="T1930" i="21"/>
  <c r="P1930" i="21" s="1"/>
  <c r="O1930" i="21"/>
  <c r="R1931" i="21"/>
  <c r="Q1931" i="21"/>
  <c r="M1931" i="21" s="1"/>
  <c r="X1931" i="21" s="1"/>
  <c r="S1931" i="21"/>
  <c r="R1934" i="21"/>
  <c r="Q1934" i="21"/>
  <c r="M1934" i="21" s="1"/>
  <c r="S1934" i="21"/>
  <c r="T1928" i="21"/>
  <c r="P1928" i="21" s="1"/>
  <c r="O1928" i="21"/>
  <c r="T1932" i="21"/>
  <c r="P1932" i="21" s="1"/>
  <c r="O1932" i="21"/>
  <c r="N1936" i="21"/>
  <c r="I2236" i="14"/>
  <c r="I2240" i="14"/>
  <c r="I2238" i="14"/>
  <c r="G889" i="14"/>
  <c r="G891" i="14"/>
  <c r="G890" i="14"/>
  <c r="G733" i="14"/>
  <c r="G735" i="14" s="1"/>
  <c r="G736" i="14" s="1"/>
  <c r="Z1934" i="21" l="1"/>
  <c r="X1934" i="21"/>
  <c r="W1932" i="21"/>
  <c r="W1931" i="21"/>
  <c r="W1933" i="21"/>
  <c r="U1928" i="21"/>
  <c r="U1930" i="21"/>
  <c r="U1929" i="21"/>
  <c r="R1936" i="21"/>
  <c r="Q1936" i="21"/>
  <c r="M1936" i="21" s="1"/>
  <c r="S1936" i="21"/>
  <c r="T1931" i="21"/>
  <c r="P1931" i="21" s="1"/>
  <c r="O1931" i="21"/>
  <c r="T1934" i="21"/>
  <c r="P1934" i="21" s="1"/>
  <c r="O1934" i="21"/>
  <c r="T1933" i="21"/>
  <c r="P1933" i="21" s="1"/>
  <c r="O1933" i="21"/>
  <c r="N1937" i="21"/>
  <c r="N1939" i="21"/>
  <c r="N1935" i="21"/>
  <c r="G888" i="14"/>
  <c r="G894" i="14"/>
  <c r="G892" i="14"/>
  <c r="I2251" i="14"/>
  <c r="G737" i="14"/>
  <c r="G738" i="14" s="1"/>
  <c r="Z1937" i="21" l="1"/>
  <c r="Z1936" i="21"/>
  <c r="Z1935" i="21"/>
  <c r="U1933" i="21"/>
  <c r="U1932" i="21"/>
  <c r="U1931" i="21"/>
  <c r="R1939" i="21"/>
  <c r="Q1939" i="21"/>
  <c r="M1939" i="21" s="1"/>
  <c r="S1939" i="21"/>
  <c r="R1935" i="21"/>
  <c r="Q1935" i="21"/>
  <c r="M1935" i="21" s="1"/>
  <c r="X1935" i="21" s="1"/>
  <c r="S1935" i="21"/>
  <c r="R1937" i="21"/>
  <c r="Q1937" i="21"/>
  <c r="M1937" i="21" s="1"/>
  <c r="S1937" i="21"/>
  <c r="T1936" i="21"/>
  <c r="P1936" i="21" s="1"/>
  <c r="O1936" i="21"/>
  <c r="N1941" i="21"/>
  <c r="N1938" i="21"/>
  <c r="N1940" i="21"/>
  <c r="I2254" i="14"/>
  <c r="G893" i="14"/>
  <c r="G896" i="14"/>
  <c r="G897" i="14"/>
  <c r="G739" i="14"/>
  <c r="G740" i="14" s="1"/>
  <c r="G741" i="14" s="1"/>
  <c r="Z1940" i="21" l="1"/>
  <c r="Z1938" i="21"/>
  <c r="Z1939" i="21"/>
  <c r="W1937" i="21"/>
  <c r="W1936" i="21"/>
  <c r="W1935" i="21"/>
  <c r="R1938" i="21"/>
  <c r="S1938" i="21"/>
  <c r="Q1938" i="21"/>
  <c r="M1938" i="21" s="1"/>
  <c r="X1938" i="21" s="1"/>
  <c r="R1941" i="21"/>
  <c r="Q1941" i="21"/>
  <c r="M1941" i="21" s="1"/>
  <c r="S1941" i="21"/>
  <c r="T1937" i="21"/>
  <c r="P1937" i="21" s="1"/>
  <c r="O1937" i="21"/>
  <c r="R1940" i="21"/>
  <c r="Q1940" i="21"/>
  <c r="M1940" i="21" s="1"/>
  <c r="S1940" i="21"/>
  <c r="T1935" i="21"/>
  <c r="P1935" i="21" s="1"/>
  <c r="O1935" i="21"/>
  <c r="T1939" i="21"/>
  <c r="P1939" i="21" s="1"/>
  <c r="O1939" i="21"/>
  <c r="N1952" i="21"/>
  <c r="G901" i="14"/>
  <c r="G900" i="14"/>
  <c r="G899" i="14"/>
  <c r="I2253" i="14"/>
  <c r="I2255" i="14"/>
  <c r="I2257" i="14"/>
  <c r="G742" i="14"/>
  <c r="X1941" i="21" l="1"/>
  <c r="Z1941" i="21"/>
  <c r="Z1942" i="21"/>
  <c r="Z1943" i="21"/>
  <c r="Z1944" i="21"/>
  <c r="W1940" i="21"/>
  <c r="W1939" i="21"/>
  <c r="W1938" i="21"/>
  <c r="U1937" i="21"/>
  <c r="U1936" i="21"/>
  <c r="U1935" i="21"/>
  <c r="T1940" i="21"/>
  <c r="P1940" i="21" s="1"/>
  <c r="O1940" i="21"/>
  <c r="R1952" i="21"/>
  <c r="Q1952" i="21"/>
  <c r="M1952" i="21" s="1"/>
  <c r="Z1952" i="21" s="1"/>
  <c r="X1952" i="21" s="1"/>
  <c r="S1952" i="21"/>
  <c r="T1941" i="21"/>
  <c r="P1941" i="21" s="1"/>
  <c r="O1941" i="21"/>
  <c r="T1938" i="21"/>
  <c r="P1938" i="21" s="1"/>
  <c r="O1938" i="21"/>
  <c r="N1954" i="21"/>
  <c r="I2256" i="14"/>
  <c r="I2260" i="14"/>
  <c r="I2261" i="14"/>
  <c r="G898" i="14"/>
  <c r="G904" i="14"/>
  <c r="G902" i="14"/>
  <c r="G744" i="14"/>
  <c r="X1944" i="21" l="1"/>
  <c r="X1942" i="21"/>
  <c r="X1943" i="21"/>
  <c r="U1940" i="21"/>
  <c r="U1939" i="21"/>
  <c r="U1938" i="21"/>
  <c r="R1954" i="21"/>
  <c r="S1954" i="21"/>
  <c r="Q1954" i="21"/>
  <c r="M1954" i="21" s="1"/>
  <c r="T1952" i="21"/>
  <c r="P1952" i="21" s="1"/>
  <c r="O1952" i="21"/>
  <c r="N1957" i="21"/>
  <c r="N1953" i="21"/>
  <c r="N1955" i="21"/>
  <c r="G905" i="14"/>
  <c r="G903" i="14"/>
  <c r="G907" i="14"/>
  <c r="I2262" i="14"/>
  <c r="Z1954" i="21" l="1"/>
  <c r="Z1955" i="21"/>
  <c r="Z1953" i="21"/>
  <c r="R1953" i="21"/>
  <c r="Q1953" i="21"/>
  <c r="M1953" i="21" s="1"/>
  <c r="X1953" i="21" s="1"/>
  <c r="S1953" i="21"/>
  <c r="R1955" i="21"/>
  <c r="Q1955" i="21"/>
  <c r="M1955" i="21" s="1"/>
  <c r="S1955" i="21"/>
  <c r="R1957" i="21"/>
  <c r="S1957" i="21"/>
  <c r="Q1957" i="21"/>
  <c r="M1957" i="21" s="1"/>
  <c r="T1954" i="21"/>
  <c r="P1954" i="21" s="1"/>
  <c r="O1954" i="21"/>
  <c r="N1956" i="21"/>
  <c r="N1958" i="21"/>
  <c r="N1959" i="21"/>
  <c r="G918" i="14"/>
  <c r="G920" i="14"/>
  <c r="G919" i="14"/>
  <c r="I2264" i="14"/>
  <c r="Z1958" i="21" l="1"/>
  <c r="Z1956" i="21"/>
  <c r="Z1957" i="21"/>
  <c r="W1955" i="21"/>
  <c r="W1954" i="21"/>
  <c r="W1953" i="21"/>
  <c r="R1956" i="21"/>
  <c r="S1956" i="21"/>
  <c r="Q1956" i="21"/>
  <c r="M1956" i="21" s="1"/>
  <c r="X1956" i="21" s="1"/>
  <c r="R1958" i="21"/>
  <c r="Q1958" i="21"/>
  <c r="M1958" i="21" s="1"/>
  <c r="S1958" i="21"/>
  <c r="T1957" i="21"/>
  <c r="P1957" i="21" s="1"/>
  <c r="O1957" i="21"/>
  <c r="T1955" i="21"/>
  <c r="P1955" i="21" s="1"/>
  <c r="O1955" i="21"/>
  <c r="T1953" i="21"/>
  <c r="P1953" i="21" s="1"/>
  <c r="O1953" i="21"/>
  <c r="R1959" i="21"/>
  <c r="S1959" i="21"/>
  <c r="Q1959" i="21"/>
  <c r="M1959" i="21" s="1"/>
  <c r="N1960" i="21"/>
  <c r="G923" i="14"/>
  <c r="G921" i="14"/>
  <c r="G915" i="14"/>
  <c r="I2265" i="14"/>
  <c r="I2267" i="14"/>
  <c r="I2263" i="14"/>
  <c r="Z1959" i="21" l="1"/>
  <c r="X1959" i="21"/>
  <c r="W1958" i="21"/>
  <c r="W1957" i="21"/>
  <c r="W1956" i="21"/>
  <c r="U1955" i="21"/>
  <c r="U1954" i="21"/>
  <c r="U1953" i="21"/>
  <c r="R1960" i="21"/>
  <c r="Q1960" i="21"/>
  <c r="M1960" i="21" s="1"/>
  <c r="Z1960" i="21" s="1"/>
  <c r="X1960" i="21" s="1"/>
  <c r="S1960" i="21"/>
  <c r="T1959" i="21"/>
  <c r="P1959" i="21" s="1"/>
  <c r="O1959" i="21"/>
  <c r="T1958" i="21"/>
  <c r="P1958" i="21" s="1"/>
  <c r="O1958" i="21"/>
  <c r="T1956" i="21"/>
  <c r="P1956" i="21" s="1"/>
  <c r="O1956" i="21"/>
  <c r="N1962" i="21"/>
  <c r="G930" i="14"/>
  <c r="G922" i="14"/>
  <c r="G924" i="14"/>
  <c r="I2266" i="14"/>
  <c r="I2269" i="14"/>
  <c r="I2268" i="14"/>
  <c r="U1958" i="21" l="1"/>
  <c r="U1957" i="21"/>
  <c r="U1956" i="21"/>
  <c r="R1962" i="21"/>
  <c r="S1962" i="21"/>
  <c r="Q1962" i="21"/>
  <c r="M1962" i="21" s="1"/>
  <c r="T1960" i="21"/>
  <c r="P1960" i="21" s="1"/>
  <c r="O1960" i="21"/>
  <c r="N1963" i="21"/>
  <c r="N1961" i="21"/>
  <c r="N1965" i="21"/>
  <c r="G931" i="14"/>
  <c r="G933" i="14"/>
  <c r="G927" i="14"/>
  <c r="I2271" i="14"/>
  <c r="Z1963" i="21" l="1"/>
  <c r="Z1961" i="21"/>
  <c r="Z1962" i="21"/>
  <c r="R1965" i="21"/>
  <c r="Q1965" i="21"/>
  <c r="M1965" i="21" s="1"/>
  <c r="S1965" i="21"/>
  <c r="R1963" i="21"/>
  <c r="Q1963" i="21"/>
  <c r="M1963" i="21" s="1"/>
  <c r="S1963" i="21"/>
  <c r="T1962" i="21"/>
  <c r="P1962" i="21" s="1"/>
  <c r="O1962" i="21"/>
  <c r="R1961" i="21"/>
  <c r="S1961" i="21"/>
  <c r="Q1961" i="21"/>
  <c r="M1961" i="21" s="1"/>
  <c r="X1961" i="21" s="1"/>
  <c r="N1967" i="21"/>
  <c r="N1966" i="21"/>
  <c r="N1964" i="21"/>
  <c r="I2275" i="14"/>
  <c r="G936" i="14"/>
  <c r="G934" i="14"/>
  <c r="G932" i="14"/>
  <c r="G753" i="14"/>
  <c r="Z1966" i="21" l="1"/>
  <c r="Z1964" i="21"/>
  <c r="Z1965" i="21"/>
  <c r="W1963" i="21"/>
  <c r="W1962" i="21"/>
  <c r="W1961" i="21"/>
  <c r="R1966" i="21"/>
  <c r="S1966" i="21"/>
  <c r="Q1966" i="21"/>
  <c r="M1966" i="21" s="1"/>
  <c r="R1964" i="21"/>
  <c r="S1964" i="21"/>
  <c r="Q1964" i="21"/>
  <c r="M1964" i="21" s="1"/>
  <c r="X1964" i="21" s="1"/>
  <c r="T1961" i="21"/>
  <c r="P1961" i="21" s="1"/>
  <c r="O1961" i="21"/>
  <c r="T1963" i="21"/>
  <c r="P1963" i="21" s="1"/>
  <c r="O1963" i="21"/>
  <c r="T1965" i="21"/>
  <c r="P1965" i="21" s="1"/>
  <c r="O1965" i="21"/>
  <c r="R1967" i="21"/>
  <c r="S1967" i="21"/>
  <c r="Q1967" i="21"/>
  <c r="M1967" i="21" s="1"/>
  <c r="N1968" i="21"/>
  <c r="I2276" i="14"/>
  <c r="G941" i="14"/>
  <c r="G756" i="14"/>
  <c r="Z1967" i="21" l="1"/>
  <c r="X1967" i="21"/>
  <c r="W1966" i="21"/>
  <c r="W1965" i="21"/>
  <c r="W1964" i="21"/>
  <c r="U1963" i="21"/>
  <c r="U1962" i="21"/>
  <c r="U1961" i="21"/>
  <c r="R1968" i="21"/>
  <c r="S1968" i="21"/>
  <c r="Q1968" i="21"/>
  <c r="M1968" i="21" s="1"/>
  <c r="Z1968" i="21" s="1"/>
  <c r="X1968" i="21" s="1"/>
  <c r="T1967" i="21"/>
  <c r="P1967" i="21" s="1"/>
  <c r="O1967" i="21"/>
  <c r="T1964" i="21"/>
  <c r="P1964" i="21" s="1"/>
  <c r="O1964" i="21"/>
  <c r="T1966" i="21"/>
  <c r="P1966" i="21" s="1"/>
  <c r="O1966" i="21"/>
  <c r="N1969" i="21"/>
  <c r="I2277" i="14"/>
  <c r="G944" i="14"/>
  <c r="G945" i="14"/>
  <c r="G946" i="14"/>
  <c r="U1966" i="21" l="1"/>
  <c r="U1965" i="21"/>
  <c r="U1964" i="21"/>
  <c r="R1969" i="21"/>
  <c r="Q1969" i="21"/>
  <c r="M1969" i="21" s="1"/>
  <c r="Z1969" i="21" s="1"/>
  <c r="X1969" i="21" s="1"/>
  <c r="S1969" i="21"/>
  <c r="T1968" i="21"/>
  <c r="P1968" i="21" s="1"/>
  <c r="O1968" i="21"/>
  <c r="N1971" i="21"/>
  <c r="N1970" i="21"/>
  <c r="G947" i="14"/>
  <c r="G943" i="14"/>
  <c r="G949" i="14"/>
  <c r="R1971" i="21" l="1"/>
  <c r="Q1971" i="21"/>
  <c r="M1971" i="21" s="1"/>
  <c r="S1971" i="21"/>
  <c r="T1969" i="21"/>
  <c r="P1969" i="21" s="1"/>
  <c r="O1969" i="21"/>
  <c r="R1970" i="21"/>
  <c r="Q1970" i="21"/>
  <c r="M1970" i="21" s="1"/>
  <c r="Z1970" i="21" s="1"/>
  <c r="X1970" i="21" s="1"/>
  <c r="S1970" i="21"/>
  <c r="G956" i="14"/>
  <c r="G948" i="14"/>
  <c r="G951" i="14"/>
  <c r="Z1971" i="21" l="1"/>
  <c r="X1971" i="21" s="1"/>
  <c r="Z1972" i="21"/>
  <c r="Z1973" i="21"/>
  <c r="Z1974" i="21"/>
  <c r="T1971" i="21"/>
  <c r="P1971" i="21" s="1"/>
  <c r="O1971" i="21"/>
  <c r="T1970" i="21"/>
  <c r="P1970" i="21" s="1"/>
  <c r="O1970" i="21"/>
  <c r="G960" i="14"/>
  <c r="G955" i="14"/>
  <c r="G957" i="14"/>
  <c r="X1972" i="21" l="1"/>
  <c r="X1974" i="21"/>
  <c r="X1973" i="21"/>
  <c r="G958" i="14"/>
  <c r="G968" i="14"/>
  <c r="G961" i="14"/>
  <c r="G764" i="14"/>
  <c r="G766" i="14" s="1"/>
  <c r="G978" i="14" l="1"/>
  <c r="G767" i="14"/>
  <c r="G983" i="14" l="1"/>
  <c r="G768" i="14"/>
  <c r="G985" i="14" l="1"/>
  <c r="G769" i="14"/>
  <c r="G986" i="14" l="1"/>
  <c r="G988" i="14" s="1"/>
  <c r="G771" i="14"/>
  <c r="G1013" i="14" l="1"/>
  <c r="G1045" i="14"/>
  <c r="G1025" i="14"/>
  <c r="G990" i="14"/>
  <c r="G1035" i="14"/>
  <c r="G1051" i="14"/>
  <c r="G992" i="14"/>
  <c r="G1002" i="14"/>
  <c r="G1022" i="14" l="1"/>
  <c r="G1028" i="14"/>
  <c r="G999" i="14"/>
  <c r="G1005" i="14"/>
  <c r="G1052" i="14"/>
  <c r="G1049" i="14"/>
  <c r="G1041" i="14"/>
  <c r="G989" i="14"/>
  <c r="G995" i="14"/>
  <c r="G1032" i="14"/>
  <c r="G1038" i="14"/>
  <c r="G991" i="14"/>
  <c r="G1017" i="14"/>
  <c r="G1009" i="14"/>
  <c r="G1071" i="14" l="1"/>
  <c r="G1090" i="14"/>
  <c r="G993" i="14"/>
  <c r="G994" i="14" l="1"/>
  <c r="G1099" i="14"/>
  <c r="G1105" i="14" l="1"/>
  <c r="G997" i="14"/>
  <c r="G996" i="14"/>
  <c r="G998" i="14" l="1"/>
  <c r="G1000" i="14"/>
  <c r="G1118" i="14"/>
  <c r="G780" i="14"/>
  <c r="G781" i="14" s="1"/>
  <c r="G1133" i="14" l="1"/>
  <c r="G1111" i="14"/>
  <c r="G1123" i="14"/>
  <c r="G1001" i="14"/>
  <c r="G1003" i="14" l="1"/>
  <c r="G1139" i="14"/>
  <c r="G1138" i="14"/>
  <c r="G1156" i="14"/>
  <c r="G1127" i="14"/>
  <c r="G1173" i="14" l="1"/>
  <c r="G1161" i="14"/>
  <c r="G1150" i="14"/>
  <c r="G1004" i="14"/>
  <c r="G1007" i="14" l="1"/>
  <c r="G1006" i="14"/>
  <c r="G1165" i="14"/>
  <c r="G1181" i="14"/>
  <c r="G1179" i="14"/>
  <c r="G1182" i="14" l="1"/>
  <c r="G1011" i="14"/>
  <c r="G1008" i="14"/>
  <c r="G1012" i="14" l="1"/>
  <c r="G1195" i="14"/>
  <c r="G791" i="14"/>
  <c r="G793" i="14" s="1"/>
  <c r="G1202" i="14" l="1"/>
  <c r="G1015" i="14"/>
  <c r="G794" i="14"/>
  <c r="G1016" i="14" l="1"/>
  <c r="G1196" i="14"/>
  <c r="G1207" i="14"/>
  <c r="G1217" i="14"/>
  <c r="G795" i="14"/>
  <c r="G1222" i="14" l="1"/>
  <c r="G1211" i="14"/>
  <c r="G1223" i="14"/>
  <c r="G1240" i="14"/>
  <c r="G1018" i="14"/>
  <c r="G1019" i="14"/>
  <c r="G796" i="14"/>
  <c r="G1234" i="14" l="1"/>
  <c r="G1257" i="14"/>
  <c r="G1246" i="14"/>
  <c r="G1023" i="14"/>
  <c r="G1020" i="14"/>
  <c r="G798" i="14"/>
  <c r="G1024" i="14" l="1"/>
  <c r="G1250" i="14"/>
  <c r="G1262" i="14"/>
  <c r="G1263" i="14"/>
  <c r="G1269" i="14" l="1"/>
  <c r="G1026" i="14"/>
  <c r="G1027" i="14" l="1"/>
  <c r="G1278" i="14"/>
  <c r="G1290" i="14" l="1"/>
  <c r="G1029" i="14"/>
  <c r="G1030" i="14"/>
  <c r="G1031" i="14" s="1"/>
  <c r="G1033" i="14" l="1"/>
  <c r="G1291" i="14"/>
  <c r="G1295" i="14" l="1"/>
  <c r="G1034" i="14"/>
  <c r="G807" i="14"/>
  <c r="G809" i="14" s="1"/>
  <c r="G1036" i="14" l="1"/>
  <c r="G1303" i="14"/>
  <c r="G1318" i="14" l="1"/>
  <c r="G1296" i="14"/>
  <c r="G1308" i="14"/>
  <c r="G1037" i="14"/>
  <c r="G1039" i="14" l="1"/>
  <c r="G1323" i="14"/>
  <c r="G1324" i="14"/>
  <c r="G1312" i="14"/>
  <c r="G1342" i="14" l="1"/>
  <c r="G1042" i="14"/>
  <c r="G1044" i="14" l="1"/>
  <c r="G1335" i="14"/>
  <c r="G1358" i="14"/>
  <c r="G1347" i="14"/>
  <c r="G1364" i="14" l="1"/>
  <c r="G1351" i="14"/>
  <c r="G1365" i="14"/>
  <c r="G1046" i="14"/>
  <c r="G818" i="14"/>
  <c r="G820" i="14" s="1"/>
  <c r="G1047" i="14" l="1"/>
  <c r="G1367" i="14"/>
  <c r="G821" i="14"/>
  <c r="G1379" i="14" l="1"/>
  <c r="G822" i="14"/>
  <c r="G1386" i="14" l="1"/>
  <c r="G823" i="14"/>
  <c r="G1391" i="14" l="1"/>
  <c r="G1380" i="14"/>
  <c r="G1399" i="14"/>
  <c r="G825" i="14"/>
  <c r="G1404" i="14" l="1"/>
  <c r="G1403" i="14"/>
  <c r="G1395" i="14"/>
  <c r="G829" i="14"/>
  <c r="G1413" i="14" l="1"/>
  <c r="G1417" i="14" l="1"/>
  <c r="G1409" i="14"/>
  <c r="G1425" i="14"/>
  <c r="G1430" i="14" l="1"/>
  <c r="G1421" i="14"/>
  <c r="G1429" i="14"/>
  <c r="G1433" i="14" l="1"/>
  <c r="G1439" i="14" l="1"/>
  <c r="G1445" i="14" l="1"/>
  <c r="G1460" i="14" l="1"/>
  <c r="G1450" i="14"/>
  <c r="G1440" i="14"/>
  <c r="G1465" i="14" l="1"/>
  <c r="G1466" i="14"/>
  <c r="G1454" i="14"/>
  <c r="G1475" i="14" l="1"/>
  <c r="G840" i="14"/>
  <c r="G1487" i="14" l="1"/>
  <c r="G1471" i="14"/>
  <c r="G1479" i="14"/>
  <c r="G1492" i="14" l="1"/>
  <c r="G1483" i="14"/>
  <c r="G1493" i="14"/>
  <c r="G845" i="14"/>
  <c r="G847" i="14" s="1"/>
  <c r="G1501" i="14" l="1"/>
  <c r="G848" i="14"/>
  <c r="G1507" i="14" l="1"/>
  <c r="G1502" i="14"/>
  <c r="G1506" i="14"/>
  <c r="G849" i="14"/>
  <c r="G1508" i="14" l="1"/>
  <c r="G850" i="14"/>
  <c r="G1504" i="14" l="1"/>
  <c r="G1510" i="14"/>
  <c r="G1509" i="14"/>
  <c r="G852" i="14"/>
  <c r="G853" i="14" s="1"/>
  <c r="G854" i="14" s="1"/>
  <c r="G855" i="14" s="1"/>
  <c r="G856" i="14" s="1"/>
  <c r="G1518" i="14" l="1"/>
  <c r="G857" i="14"/>
  <c r="G1521" i="14" l="1"/>
  <c r="G1522" i="14"/>
  <c r="G1520" i="14"/>
  <c r="G858" i="14"/>
  <c r="G1519" i="14" l="1"/>
  <c r="G1524" i="14"/>
  <c r="G1523" i="14"/>
  <c r="G859" i="14"/>
  <c r="G1529" i="14" l="1"/>
  <c r="G860" i="14"/>
  <c r="G1530" i="14" l="1"/>
  <c r="G861" i="14"/>
  <c r="G1535" i="14" l="1"/>
  <c r="G1536" i="14"/>
  <c r="G1534" i="14"/>
  <c r="G862" i="14"/>
  <c r="G1531" i="14" l="1"/>
  <c r="G1537" i="14"/>
  <c r="G1538" i="14"/>
  <c r="G1543" i="14" l="1"/>
  <c r="G1545" i="14" l="1"/>
  <c r="G1547" i="14"/>
  <c r="G1546" i="14"/>
  <c r="G1552" i="14" l="1"/>
  <c r="G1548" i="14"/>
  <c r="G1544" i="14"/>
  <c r="G1557" i="14" l="1"/>
  <c r="G1561" i="14" l="1"/>
  <c r="G1560" i="14"/>
  <c r="G1563" i="14"/>
  <c r="G871" i="14"/>
  <c r="G872" i="14" s="1"/>
  <c r="G1564" i="14" l="1"/>
  <c r="G1565" i="14"/>
  <c r="G1559" i="14"/>
  <c r="G1573" i="14" l="1"/>
  <c r="G1575" i="14" l="1"/>
  <c r="G1577" i="14"/>
  <c r="G1576" i="14"/>
  <c r="G1574" i="14" l="1"/>
  <c r="G1578" i="14"/>
  <c r="G1579" i="14"/>
  <c r="G1586" i="14" l="1"/>
  <c r="G1590" i="14" l="1"/>
  <c r="G1589" i="14"/>
  <c r="G1588" i="14"/>
  <c r="G880" i="14"/>
  <c r="G882" i="14" s="1"/>
  <c r="G1587" i="14" l="1"/>
  <c r="G1592" i="14"/>
  <c r="G1591" i="14"/>
  <c r="G883" i="14"/>
  <c r="G1597" i="14" l="1"/>
  <c r="G884" i="14"/>
  <c r="G1599" i="14" l="1"/>
  <c r="G1601" i="14"/>
  <c r="G1600" i="14"/>
  <c r="G885" i="14"/>
  <c r="G1605" i="14" l="1"/>
  <c r="G1598" i="14"/>
  <c r="G1602" i="14"/>
  <c r="G887" i="14"/>
  <c r="G1606" i="14" l="1"/>
  <c r="G1614" i="14" l="1"/>
  <c r="G1619" i="14" l="1"/>
  <c r="G1617" i="14"/>
  <c r="G1618" i="14"/>
  <c r="G1622" i="14" l="1"/>
  <c r="G1620" i="14"/>
  <c r="G1615" i="14"/>
  <c r="G1624" i="14" l="1"/>
  <c r="G1623" i="14"/>
  <c r="G1621" i="14"/>
  <c r="G895" i="14"/>
  <c r="G1634" i="14" l="1"/>
  <c r="G1636" i="14" l="1"/>
  <c r="G1638" i="14"/>
  <c r="G1637" i="14"/>
  <c r="G1641" i="14" l="1"/>
  <c r="G1639" i="14"/>
  <c r="G1635" i="14"/>
  <c r="G1643" i="14" l="1"/>
  <c r="G1644" i="14"/>
  <c r="G1640" i="14"/>
  <c r="G1650" i="14" l="1"/>
  <c r="G1653" i="14" l="1"/>
  <c r="G1655" i="14"/>
  <c r="G1654" i="14"/>
  <c r="G1658" i="14" l="1"/>
  <c r="G1656" i="14"/>
  <c r="G1651" i="14"/>
  <c r="G906" i="14"/>
  <c r="G908" i="14" s="1"/>
  <c r="G1657" i="14" l="1"/>
  <c r="G1661" i="14"/>
  <c r="G1660" i="14"/>
  <c r="G909" i="14"/>
  <c r="G1670" i="14" l="1"/>
  <c r="G910" i="14"/>
  <c r="G911" i="14" s="1"/>
  <c r="G1674" i="14" l="1"/>
  <c r="G1673" i="14"/>
  <c r="G1672" i="14"/>
  <c r="G912" i="14"/>
  <c r="G913" i="14" s="1"/>
  <c r="G1675" i="14" l="1"/>
  <c r="G1678" i="14"/>
  <c r="G1671" i="14"/>
  <c r="G914" i="14"/>
  <c r="G1680" i="14" l="1"/>
  <c r="G1681" i="14"/>
  <c r="G1676" i="14"/>
  <c r="G916" i="14"/>
  <c r="G917" i="14" s="1"/>
  <c r="G1682" i="14" l="1"/>
  <c r="G1687" i="14"/>
  <c r="G925" i="14" l="1"/>
  <c r="G926" i="14" l="1"/>
  <c r="G928" i="14" l="1"/>
  <c r="G929" i="14" s="1"/>
  <c r="G935" i="14" l="1"/>
  <c r="G937" i="14" s="1"/>
  <c r="G938" i="14" l="1"/>
  <c r="G939" i="14" l="1"/>
  <c r="G940" i="14" l="1"/>
  <c r="G942" i="14" l="1"/>
  <c r="G950" i="14" l="1"/>
  <c r="G952" i="14" l="1"/>
  <c r="G953" i="14" s="1"/>
  <c r="G954" i="14" l="1"/>
  <c r="G959" i="14" l="1"/>
  <c r="G962" i="14" l="1"/>
  <c r="G963" i="14" s="1"/>
  <c r="G964" i="14" s="1"/>
  <c r="G965" i="14" s="1"/>
  <c r="G966" i="14" l="1"/>
  <c r="G967" i="14" l="1"/>
  <c r="G969" i="14" l="1"/>
  <c r="G970" i="14" s="1"/>
  <c r="G971" i="14" s="1"/>
  <c r="G972" i="14" s="1"/>
  <c r="G973" i="14" s="1"/>
  <c r="G974" i="14" l="1"/>
  <c r="G975" i="14" l="1"/>
  <c r="G976" i="14" l="1"/>
  <c r="G977" i="14" l="1"/>
  <c r="G979" i="14" s="1"/>
  <c r="G980" i="14" l="1"/>
  <c r="G981" i="14" l="1"/>
  <c r="G982" i="14" s="1"/>
  <c r="G984" i="14" s="1"/>
  <c r="G987" i="14" s="1"/>
  <c r="G1010" i="14" l="1"/>
  <c r="G1014" i="14" l="1"/>
  <c r="G1021" i="14" l="1"/>
  <c r="G1040" i="14" l="1"/>
  <c r="G1043" i="14" l="1"/>
  <c r="G1048" i="14" l="1"/>
  <c r="G1050" i="14" l="1"/>
  <c r="G1053" i="14" s="1"/>
  <c r="G1054" i="14" l="1"/>
  <c r="G1055" i="14" l="1"/>
  <c r="G1056" i="14" l="1"/>
  <c r="G1057" i="14" l="1"/>
  <c r="G1058" i="14" l="1"/>
  <c r="G1059" i="14" l="1"/>
  <c r="G1060" i="14" l="1"/>
  <c r="G1061" i="14" l="1"/>
  <c r="G1062" i="14" l="1"/>
  <c r="G1063" i="14" l="1"/>
  <c r="G1064" i="14" l="1"/>
  <c r="G1065" i="14" l="1"/>
  <c r="G1066" i="14" l="1"/>
  <c r="G1067" i="14" l="1"/>
  <c r="G1068" i="14" l="1"/>
  <c r="G1069" i="14" l="1"/>
  <c r="G1070" i="14" l="1"/>
  <c r="G1072" i="14" l="1"/>
  <c r="G1073" i="14" l="1"/>
  <c r="G1074" i="14" l="1"/>
  <c r="G1075" i="14" l="1"/>
  <c r="G1076" i="14" l="1"/>
  <c r="G1077" i="14" l="1"/>
  <c r="G1078" i="14" l="1"/>
  <c r="G1079" i="14" l="1"/>
  <c r="G1080" i="14" l="1"/>
  <c r="G1081" i="14" l="1"/>
  <c r="G1082" i="14" l="1"/>
  <c r="G1083" i="14" l="1"/>
  <c r="G1084" i="14" l="1"/>
  <c r="G1085" i="14" l="1"/>
  <c r="G1086" i="14" l="1"/>
  <c r="G1087" i="14" l="1"/>
  <c r="G1088" i="14" l="1"/>
  <c r="G1089" i="14" l="1"/>
  <c r="G1091" i="14" l="1"/>
  <c r="G1092" i="14" l="1"/>
  <c r="G1093" i="14" l="1"/>
  <c r="G1096" i="14" l="1"/>
  <c r="G1094" i="14"/>
  <c r="G1095" i="14"/>
  <c r="G1097" i="14"/>
  <c r="G1098" i="14" l="1"/>
  <c r="G1100" i="14" l="1"/>
  <c r="G1101" i="14" s="1"/>
  <c r="G1102" i="14" l="1"/>
  <c r="G1103" i="14" l="1"/>
  <c r="G1104" i="14" l="1"/>
  <c r="G1106" i="14" l="1"/>
  <c r="G1107" i="14" l="1"/>
  <c r="G1108" i="14" l="1"/>
  <c r="G1109" i="14" l="1"/>
  <c r="G1110" i="14" s="1"/>
  <c r="G1112" i="14" l="1"/>
  <c r="G1113" i="14" l="1"/>
  <c r="G1114" i="14" l="1"/>
  <c r="G1115" i="14" l="1"/>
  <c r="G1116" i="14" s="1"/>
  <c r="G1117" i="14" l="1"/>
  <c r="G1119" i="14" l="1"/>
  <c r="G1120" i="14" l="1"/>
  <c r="G1121" i="14" l="1"/>
  <c r="G1122" i="14" l="1"/>
  <c r="G1124" i="14" l="1"/>
  <c r="G1125" i="14" l="1"/>
  <c r="G1126" i="14" l="1"/>
  <c r="G1128" i="14" l="1"/>
  <c r="G1129" i="14" l="1"/>
  <c r="G1130" i="14" l="1"/>
  <c r="G1131" i="14" l="1"/>
  <c r="G1132" i="14" l="1"/>
  <c r="G1134" i="14" l="1"/>
  <c r="G1135" i="14" l="1"/>
  <c r="G1136" i="14" l="1"/>
  <c r="G1137" i="14" l="1"/>
  <c r="G1140" i="14" l="1"/>
  <c r="G1141" i="14" l="1"/>
  <c r="G1142" i="14" l="1"/>
  <c r="G1143" i="14" l="1"/>
  <c r="G1144" i="14" l="1"/>
  <c r="G1145" i="14" l="1"/>
  <c r="G1146" i="14" l="1"/>
  <c r="G1147" i="14" l="1"/>
  <c r="G1148" i="14" l="1"/>
  <c r="G1149" i="14" l="1"/>
  <c r="G1151" i="14" l="1"/>
  <c r="G1152" i="14" l="1"/>
  <c r="G1153" i="14" l="1"/>
  <c r="G1154" i="14" l="1"/>
  <c r="G1155" i="14" l="1"/>
  <c r="G1157" i="14" l="1"/>
  <c r="G1158" i="14" l="1"/>
  <c r="G1159" i="14" l="1"/>
  <c r="G1160" i="14" l="1"/>
  <c r="G1162" i="14" l="1"/>
  <c r="G1163" i="14" l="1"/>
  <c r="G1164" i="14" l="1"/>
  <c r="G1166" i="14" l="1"/>
  <c r="G1167" i="14" l="1"/>
  <c r="G1168" i="14" l="1"/>
  <c r="G1169" i="14" l="1"/>
  <c r="G1170" i="14" s="1"/>
  <c r="G1171" i="14" s="1"/>
  <c r="G1172" i="14" l="1"/>
  <c r="G1174" i="14" l="1"/>
  <c r="G1175" i="14" l="1"/>
  <c r="G1176" i="14" l="1"/>
  <c r="G1177" i="14" l="1"/>
  <c r="G1178" i="14" l="1"/>
  <c r="G1180" i="14" l="1"/>
  <c r="G1183" i="14" s="1"/>
  <c r="G1184" i="14" l="1"/>
  <c r="G1185" i="14" l="1"/>
  <c r="G1186" i="14" l="1"/>
  <c r="G1187" i="14" l="1"/>
  <c r="G1188" i="14"/>
  <c r="G1189" i="14" l="1"/>
  <c r="G1190" i="14" l="1"/>
  <c r="G1191" i="14" l="1"/>
  <c r="G1192" i="14"/>
  <c r="G1193" i="14" l="1"/>
  <c r="G1194" i="14" l="1"/>
  <c r="G1197" i="14" l="1"/>
  <c r="G1198" i="14" l="1"/>
  <c r="G1199" i="14" l="1"/>
  <c r="G1200" i="14" l="1"/>
  <c r="G1201" i="14" l="1"/>
  <c r="G1203" i="14" l="1"/>
  <c r="G1204" i="14" l="1"/>
  <c r="G1205" i="14" l="1"/>
  <c r="G1206" i="14" l="1"/>
  <c r="G1208" i="14" l="1"/>
  <c r="G1209" i="14" l="1"/>
  <c r="G1210" i="14" l="1"/>
  <c r="G1212" i="14" l="1"/>
  <c r="G1213" i="14" l="1"/>
  <c r="G1214" i="14" l="1"/>
  <c r="G1215" i="14" l="1"/>
  <c r="G1216" i="14" l="1"/>
  <c r="G1218" i="14" l="1"/>
  <c r="G1219" i="14" l="1"/>
  <c r="G1220" i="14" l="1"/>
  <c r="G1221" i="14" l="1"/>
  <c r="G1224" i="14" l="1"/>
  <c r="G1225" i="14" l="1"/>
  <c r="G1226" i="14" l="1"/>
  <c r="G1227" i="14" l="1"/>
  <c r="G1228" i="14" l="1"/>
  <c r="G1229" i="14" l="1"/>
  <c r="G1230" i="14" l="1"/>
  <c r="G1231" i="14" l="1"/>
  <c r="G1232" i="14" l="1"/>
  <c r="G1233" i="14" l="1"/>
  <c r="G1235" i="14" l="1"/>
  <c r="G1236" i="14" l="1"/>
  <c r="G1237" i="14" l="1"/>
  <c r="G1238" i="14" l="1"/>
  <c r="G1239" i="14" l="1"/>
  <c r="G1241" i="14" l="1"/>
  <c r="G1242" i="14" l="1"/>
  <c r="G1243" i="14" l="1"/>
  <c r="G1244" i="14" l="1"/>
  <c r="G1245" i="14" l="1"/>
  <c r="G1247" i="14" l="1"/>
  <c r="G1248" i="14" l="1"/>
  <c r="G1249" i="14" l="1"/>
  <c r="G1251" i="14" l="1"/>
  <c r="G1252" i="14" l="1"/>
  <c r="G1253" i="14" s="1"/>
  <c r="G1254" i="14" l="1"/>
  <c r="G1255" i="14" l="1"/>
  <c r="G1256" i="14" l="1"/>
  <c r="G1258" i="14" l="1"/>
  <c r="G1259" i="14" l="1"/>
  <c r="G1260" i="14" l="1"/>
  <c r="G1261" i="14" l="1"/>
  <c r="G1264" i="14" l="1"/>
  <c r="G1265" i="14" s="1"/>
  <c r="G1266" i="14" l="1"/>
  <c r="G1267" i="14" l="1"/>
  <c r="G1268" i="14" l="1"/>
  <c r="G1270" i="14" s="1"/>
  <c r="G1271" i="14" l="1"/>
  <c r="G1272" i="14" l="1"/>
  <c r="G1273" i="14" l="1"/>
  <c r="G1274" i="14" l="1"/>
  <c r="G1275" i="14" l="1"/>
  <c r="G1276" i="14" l="1"/>
  <c r="G1277" i="14" l="1"/>
  <c r="G1279" i="14" l="1"/>
  <c r="G1280" i="14" s="1"/>
  <c r="G1281" i="14" l="1"/>
  <c r="G1282" i="14" l="1"/>
  <c r="G1283" i="14" l="1"/>
  <c r="G1284" i="14" s="1"/>
  <c r="G1285" i="14" l="1"/>
  <c r="G1286" i="14" l="1"/>
  <c r="G1287" i="14" l="1"/>
  <c r="G1288" i="14" l="1"/>
  <c r="G1289" i="14" l="1"/>
  <c r="G1292" i="14" s="1"/>
  <c r="G1293" i="14" l="1"/>
  <c r="G1294" i="14" l="1"/>
  <c r="G1297" i="14" l="1"/>
  <c r="G1298" i="14" l="1"/>
  <c r="G1299" i="14" l="1"/>
  <c r="G1300" i="14" l="1"/>
  <c r="G1301" i="14" l="1"/>
  <c r="G1302" i="14" s="1"/>
  <c r="G1304" i="14" l="1"/>
  <c r="G1305" i="14" l="1"/>
  <c r="G1306" i="14" l="1"/>
  <c r="G1307" i="14" l="1"/>
  <c r="G1309" i="14" l="1"/>
  <c r="G1310" i="14" l="1"/>
  <c r="G1311" i="14" l="1"/>
  <c r="G1313" i="14" l="1"/>
  <c r="G1314" i="14" l="1"/>
  <c r="G1315" i="14" l="1"/>
  <c r="G1316" i="14" l="1"/>
  <c r="G1317" i="14" l="1"/>
  <c r="G1319" i="14" l="1"/>
  <c r="G1320" i="14" l="1"/>
  <c r="G1321" i="14" l="1"/>
  <c r="G1322" i="14" l="1"/>
  <c r="G1325" i="14" l="1"/>
  <c r="G1326" i="14" l="1"/>
  <c r="G1327" i="14" l="1"/>
  <c r="G1328" i="14" l="1"/>
  <c r="G1329" i="14" l="1"/>
  <c r="G1330" i="14" l="1"/>
  <c r="G1331" i="14" l="1"/>
  <c r="G1332" i="14" l="1"/>
  <c r="G1333" i="14" l="1"/>
  <c r="G1334" i="14" l="1"/>
  <c r="G1336" i="14" l="1"/>
  <c r="G1337" i="14" l="1"/>
  <c r="G1338" i="14" l="1"/>
  <c r="G1339" i="14" s="1"/>
  <c r="G1340" i="14" l="1"/>
  <c r="G1341" i="14" l="1"/>
  <c r="G1343" i="14" l="1"/>
  <c r="G1344" i="14" l="1"/>
  <c r="G1345" i="14" l="1"/>
  <c r="G1346" i="14" l="1"/>
  <c r="G1348" i="14" l="1"/>
  <c r="G1349" i="14" l="1"/>
  <c r="G1350" i="14" l="1"/>
  <c r="G1352" i="14" l="1"/>
  <c r="G1353" i="14" l="1"/>
  <c r="G1354" i="14" l="1"/>
  <c r="G1355" i="14" l="1"/>
  <c r="G1356" i="14" l="1"/>
  <c r="G1357" i="14" l="1"/>
  <c r="G1359" i="14" l="1"/>
  <c r="G1360" i="14" s="1"/>
  <c r="G1361" i="14" l="1"/>
  <c r="G1362" i="14" l="1"/>
  <c r="G1363" i="14" l="1"/>
  <c r="G1366" i="14" l="1"/>
  <c r="G1368" i="14" l="1"/>
  <c r="G1371" i="14" l="1"/>
  <c r="G1369" i="14"/>
  <c r="G1370" i="14" l="1"/>
  <c r="G1372" i="14" s="1"/>
  <c r="G1373" i="14" l="1"/>
  <c r="G1375" i="14" l="1"/>
  <c r="G1374" i="14"/>
  <c r="G1376" i="14" l="1"/>
  <c r="G1377" i="14" l="1"/>
  <c r="G1378" i="14" l="1"/>
  <c r="G1381" i="14" l="1"/>
  <c r="G1382" i="14" s="1"/>
  <c r="G1383" i="14" s="1"/>
  <c r="G1384" i="14" l="1"/>
  <c r="G1385" i="14" l="1"/>
  <c r="G1387" i="14" l="1"/>
  <c r="G1388" i="14" l="1"/>
  <c r="G1389" i="14" l="1"/>
  <c r="G1390" i="14" l="1"/>
  <c r="G1392" i="14" l="1"/>
  <c r="G1393" i="14" l="1"/>
  <c r="G1394" i="14" l="1"/>
  <c r="G1396" i="14" l="1"/>
  <c r="G1397" i="14" l="1"/>
  <c r="G1398" i="14" l="1"/>
  <c r="G1400" i="14" l="1"/>
  <c r="G1401" i="14" l="1"/>
  <c r="G1402" i="14" l="1"/>
  <c r="G1405" i="14" l="1"/>
  <c r="G1406" i="14" l="1"/>
  <c r="G1407" i="14" l="1"/>
  <c r="G1408" i="14" l="1"/>
  <c r="G1410" i="14" l="1"/>
  <c r="G1411" i="14" l="1"/>
  <c r="G1412" i="14" l="1"/>
  <c r="G1414" i="14" l="1"/>
  <c r="G1415" i="14" l="1"/>
  <c r="G1416" i="14" l="1"/>
  <c r="G1418" i="14" l="1"/>
  <c r="G1419" i="14" l="1"/>
  <c r="G1420" i="14" l="1"/>
  <c r="G1422" i="14" l="1"/>
  <c r="G1423" i="14" l="1"/>
  <c r="G1424" i="14" l="1"/>
  <c r="G1426" i="14" l="1"/>
  <c r="G1427" i="14" l="1"/>
  <c r="G1428" i="14" l="1"/>
  <c r="G1431" i="14" l="1"/>
  <c r="G1432" i="14" l="1"/>
  <c r="G1434" i="14" l="1"/>
  <c r="G1435" i="14" l="1"/>
  <c r="G1436" i="14" l="1"/>
  <c r="G1437" i="14" l="1"/>
  <c r="G1438" i="14" s="1"/>
  <c r="G1441" i="14" l="1"/>
  <c r="G1442" i="14" s="1"/>
  <c r="G1443" i="14" l="1"/>
  <c r="G1444" i="14" l="1"/>
  <c r="G1446" i="14" l="1"/>
  <c r="G1447" i="14" l="1"/>
  <c r="G1448" i="14" l="1"/>
  <c r="G1449" i="14" l="1"/>
  <c r="G1451" i="14" l="1"/>
  <c r="G1452" i="14" l="1"/>
  <c r="G1453" i="14" l="1"/>
  <c r="G1455" i="14" l="1"/>
  <c r="G1456" i="14" l="1"/>
  <c r="G1457" i="14"/>
  <c r="G1458" i="14" l="1"/>
  <c r="G1459" i="14" l="1"/>
  <c r="G1461" i="14" l="1"/>
  <c r="G1462" i="14" s="1"/>
  <c r="G1463" i="14" l="1"/>
  <c r="G1464" i="14" l="1"/>
  <c r="G1467" i="14" l="1"/>
  <c r="G1468" i="14" l="1"/>
  <c r="G1469" i="14" l="1"/>
  <c r="G1470" i="14" s="1"/>
  <c r="G1472" i="14" l="1"/>
  <c r="G1473" i="14" l="1"/>
  <c r="G1474" i="14" l="1"/>
  <c r="G1476" i="14" l="1"/>
  <c r="G1477" i="14" l="1"/>
  <c r="G1478" i="14" l="1"/>
  <c r="G1480" i="14" l="1"/>
  <c r="G1481" i="14" l="1"/>
  <c r="G1482" i="14" l="1"/>
  <c r="G1484" i="14" l="1"/>
  <c r="G1485" i="14" l="1"/>
  <c r="G1486" i="14" l="1"/>
  <c r="G1488" i="14" l="1"/>
  <c r="G1489" i="14" l="1"/>
  <c r="G1490" i="14" l="1"/>
  <c r="G1491" i="14" l="1"/>
  <c r="G1494" i="14" l="1"/>
  <c r="G1495" i="14" l="1"/>
  <c r="G1496" i="14" l="1"/>
  <c r="G1497" i="14" l="1"/>
  <c r="G1498" i="14" l="1"/>
  <c r="G1499" i="14" l="1"/>
  <c r="G1500" i="14" l="1"/>
  <c r="G1503" i="14" l="1"/>
  <c r="G1505" i="14" l="1"/>
  <c r="G1511" i="14" l="1"/>
  <c r="G1512" i="14" l="1"/>
  <c r="G1513" i="14" l="1"/>
  <c r="G1514" i="14" l="1"/>
  <c r="G1515" i="14" l="1"/>
  <c r="G1516" i="14" l="1"/>
  <c r="G1517" i="14" l="1"/>
  <c r="G1525" i="14" l="1"/>
  <c r="G1526" i="14" l="1"/>
  <c r="G1527" i="14" l="1"/>
  <c r="G1528" i="14" l="1"/>
  <c r="G1532" i="14" l="1"/>
  <c r="G1533" i="14" s="1"/>
  <c r="G1539" i="14" l="1"/>
  <c r="G1540" i="14" l="1"/>
  <c r="G1541" i="14" l="1"/>
  <c r="G1542" i="14" l="1"/>
  <c r="G1549" i="14" l="1"/>
  <c r="G1550" i="14" l="1"/>
  <c r="G1551" i="14" l="1"/>
  <c r="G1553" i="14" s="1"/>
  <c r="G1554" i="14" l="1"/>
  <c r="G1555" i="14" l="1"/>
  <c r="G1558" i="14"/>
  <c r="G1556" i="14" l="1"/>
  <c r="G1562" i="14"/>
  <c r="G1566" i="14" l="1"/>
  <c r="G1567" i="14" l="1"/>
  <c r="G1568" i="14" l="1"/>
  <c r="G1569" i="14" l="1"/>
  <c r="G1570" i="14" l="1"/>
  <c r="G1571" i="14" l="1"/>
  <c r="G1572" i="14" l="1"/>
  <c r="G1580" i="14" l="1"/>
  <c r="G1581" i="14" s="1"/>
  <c r="G1582" i="14" l="1"/>
  <c r="G1583" i="14" l="1"/>
  <c r="G1584" i="14" s="1"/>
  <c r="G1585" i="14" l="1"/>
  <c r="G1593" i="14" l="1"/>
  <c r="G1594" i="14" l="1"/>
  <c r="G1595" i="14" l="1"/>
  <c r="G1596" i="14" l="1"/>
  <c r="G1603" i="14" l="1"/>
  <c r="G1604" i="14" s="1"/>
  <c r="G1607" i="14" s="1"/>
  <c r="G1608" i="14" l="1"/>
  <c r="G1609" i="14" l="1"/>
  <c r="G1610" i="14" l="1"/>
  <c r="G1611" i="14" l="1"/>
  <c r="G1612" i="14" l="1"/>
  <c r="G1613" i="14" l="1"/>
  <c r="G1616" i="14" l="1"/>
  <c r="G1625" i="14" l="1"/>
  <c r="G1626" i="14" s="1"/>
  <c r="G1627" i="14" l="1"/>
  <c r="G1628" i="14" l="1"/>
  <c r="G1629" i="14" s="1"/>
  <c r="G1630" i="14" l="1"/>
  <c r="G1631" i="14" l="1"/>
  <c r="G1632" i="14" l="1"/>
  <c r="G1633" i="14" l="1"/>
  <c r="G1642" i="14" l="1"/>
  <c r="G1645" i="14" l="1"/>
  <c r="G1646" i="14" l="1"/>
  <c r="G1647" i="14" l="1"/>
  <c r="G1648" i="14" l="1"/>
  <c r="G1649" i="14" l="1"/>
  <c r="G1652" i="14" l="1"/>
  <c r="G1659" i="14" l="1"/>
  <c r="G1662" i="14" l="1"/>
  <c r="G1663" i="14" l="1"/>
  <c r="G1664" i="14" l="1"/>
  <c r="G1665" i="14" l="1"/>
  <c r="G1666" i="14" l="1"/>
  <c r="G1667" i="14" l="1"/>
  <c r="G1668" i="14" s="1"/>
  <c r="G1669" i="14" l="1"/>
  <c r="G1677" i="14" l="1"/>
  <c r="G1679" i="14" l="1"/>
  <c r="G1683" i="14" l="1"/>
  <c r="G1684" i="14" l="1"/>
  <c r="G1685" i="14" l="1"/>
  <c r="G1686" i="14" l="1"/>
  <c r="G1689" i="14" l="1"/>
  <c r="G1688" i="14"/>
  <c r="G1695" i="14" l="1"/>
  <c r="G1692" i="14"/>
  <c r="G1696" i="14"/>
  <c r="G1693" i="14"/>
  <c r="G1690" i="14"/>
  <c r="G1691" i="14" s="1"/>
  <c r="G1694" i="14" s="1"/>
  <c r="G1699" i="14" l="1"/>
  <c r="G1698" i="14"/>
  <c r="G1703" i="14" l="1"/>
  <c r="G1702" i="14"/>
  <c r="G1704" i="14"/>
  <c r="G1701" i="14"/>
  <c r="G1700" i="14"/>
  <c r="G1705" i="14"/>
  <c r="G1706" i="14" l="1"/>
  <c r="G1707" i="14"/>
  <c r="G1709" i="14" l="1"/>
  <c r="G1710" i="14" l="1"/>
  <c r="G1713" i="14"/>
  <c r="G1714" i="14"/>
  <c r="G1718" i="14" l="1"/>
  <c r="G1717" i="14"/>
  <c r="G1716" i="14"/>
  <c r="G1719" i="14"/>
  <c r="G1715" i="14"/>
  <c r="G1720" i="14"/>
  <c r="G1722" i="14" l="1"/>
  <c r="G1721" i="14"/>
  <c r="G1724" i="14" l="1"/>
  <c r="G1725" i="14"/>
  <c r="G1726" i="14" l="1"/>
  <c r="G1727" i="14"/>
  <c r="G1729" i="14" l="1"/>
  <c r="G1728" i="14"/>
  <c r="G1730" i="14" l="1"/>
  <c r="G1731" i="14" l="1"/>
  <c r="G1732" i="14" l="1"/>
  <c r="G1733" i="14" l="1"/>
  <c r="G1746" i="14" l="1"/>
  <c r="G1749" i="14" l="1"/>
  <c r="G1745" i="14"/>
  <c r="G1747" i="14"/>
  <c r="G1748" i="14" l="1"/>
  <c r="G1751" i="14"/>
  <c r="G1752" i="14"/>
  <c r="G1754" i="14" l="1"/>
  <c r="G1758" i="14" l="1"/>
  <c r="G1753" i="14"/>
  <c r="G1756" i="14"/>
  <c r="G1760" i="14" l="1"/>
  <c r="G1762" i="14"/>
  <c r="G1757" i="14"/>
  <c r="G1773" i="14" l="1"/>
  <c r="G1776" i="14" l="1"/>
  <c r="G1777" i="14" l="1"/>
  <c r="G1779" i="14"/>
  <c r="G1775" i="14"/>
  <c r="G1778" i="14" l="1"/>
  <c r="G1782" i="14"/>
  <c r="G1783" i="14"/>
  <c r="G1785" i="14" l="1"/>
  <c r="G1788" i="14" l="1"/>
  <c r="G1786" i="14"/>
  <c r="G1784" i="14"/>
  <c r="G1787" i="14" l="1"/>
  <c r="G1789" i="14"/>
  <c r="G1791" i="14"/>
  <c r="G1794" i="14" l="1"/>
  <c r="G1797" i="14" l="1"/>
  <c r="G1795" i="14"/>
  <c r="G1793" i="14"/>
  <c r="G1796" i="14" l="1"/>
  <c r="G1799" i="14"/>
  <c r="G1800" i="14"/>
  <c r="G1803" i="14" l="1"/>
  <c r="G1804" i="14" l="1"/>
  <c r="G1806" i="14"/>
  <c r="G1802" i="14"/>
  <c r="G1805" i="14" l="1"/>
  <c r="G1809" i="14"/>
  <c r="G1807" i="14"/>
  <c r="G1820" i="14" l="1"/>
  <c r="G1823" i="14" l="1"/>
  <c r="G1822" i="14" l="1"/>
  <c r="G1824" i="14"/>
  <c r="G1826" i="14"/>
  <c r="G1829" i="14" l="1"/>
  <c r="G1825" i="14"/>
  <c r="G1830" i="14"/>
  <c r="G1831" i="14" l="1"/>
  <c r="G1833" i="14" l="1"/>
  <c r="G1832" i="14" l="1"/>
  <c r="G1836" i="14"/>
  <c r="G1834" i="14"/>
  <c r="G1835" i="14" l="1"/>
  <c r="G1837" i="14"/>
  <c r="G1839" i="14"/>
  <c r="G1842" i="14" l="1"/>
  <c r="G1845" i="14" l="1"/>
  <c r="G1841" i="14"/>
  <c r="G1843" i="14"/>
  <c r="G1844" i="14" l="1"/>
  <c r="G1848" i="14"/>
  <c r="G1847" i="14"/>
  <c r="G1851" i="14" l="1"/>
  <c r="G1854" i="14" l="1"/>
  <c r="G1850" i="14"/>
  <c r="G1852" i="14"/>
  <c r="G1853" i="14" l="1"/>
  <c r="G1857" i="14"/>
  <c r="G1855" i="14"/>
  <c r="G1868" i="14" l="1"/>
  <c r="G1871" i="14" l="1"/>
  <c r="G1872" i="14" l="1"/>
  <c r="G1870" i="14"/>
  <c r="G1874" i="14"/>
  <c r="G1876" i="14" l="1"/>
  <c r="G1873" i="14"/>
  <c r="G1877" i="14"/>
  <c r="G1878" i="14"/>
  <c r="G1881" i="14" l="1"/>
  <c r="G1879" i="14" l="1"/>
  <c r="G1882" i="14"/>
  <c r="G1884" i="14"/>
  <c r="G1883" i="14" l="1"/>
  <c r="G1887" i="14"/>
  <c r="G1885" i="14"/>
  <c r="G1890" i="14" l="1"/>
  <c r="G1891" i="14" l="1"/>
  <c r="G1893" i="14"/>
  <c r="G1889" i="14"/>
  <c r="G1895" i="14" l="1"/>
  <c r="G1897" i="14"/>
  <c r="G1892" i="14"/>
  <c r="G1899" i="14" l="1"/>
  <c r="G1900" i="14" l="1"/>
  <c r="G1898" i="14"/>
  <c r="G1902" i="14"/>
  <c r="G1901" i="14" l="1"/>
  <c r="G1903" i="14"/>
  <c r="G1905" i="14"/>
  <c r="G1918" i="14" l="1"/>
  <c r="G1921" i="14" l="1"/>
  <c r="G1924" i="14" l="1"/>
  <c r="G1923" i="14" l="1"/>
  <c r="G1928" i="14"/>
  <c r="G1925" i="14"/>
  <c r="G1929" i="14" l="1"/>
  <c r="G1926" i="14"/>
  <c r="G1930" i="14"/>
  <c r="G1933" i="14" l="1"/>
  <c r="G1932" i="14" l="1"/>
  <c r="G1936" i="14"/>
  <c r="G1934" i="14"/>
  <c r="G1935" i="14" l="1"/>
  <c r="G1937" i="14"/>
  <c r="G1939" i="14"/>
  <c r="G1942" i="14" l="1"/>
  <c r="G1941" i="14" l="1"/>
  <c r="G1943" i="14"/>
  <c r="G1945" i="14"/>
  <c r="G1944" i="14" l="1"/>
  <c r="G1950" i="14"/>
  <c r="G1948" i="14"/>
  <c r="G1949" i="14" l="1"/>
  <c r="G1951" i="14"/>
  <c r="G1953" i="14"/>
  <c r="G1956" i="14" l="1"/>
  <c r="G1954" i="14"/>
  <c r="G1952" i="14"/>
  <c r="G1967" i="14" l="1"/>
  <c r="G1970" i="14" l="1"/>
  <c r="G1973" i="14" l="1"/>
  <c r="G1969" i="14"/>
  <c r="G1971" i="14"/>
  <c r="G1977" i="14" l="1"/>
  <c r="G1976" i="14"/>
  <c r="G1972" i="14"/>
  <c r="G1979" i="14" l="1"/>
  <c r="G1978" i="14" l="1"/>
  <c r="G1982" i="14"/>
  <c r="G1980" i="14"/>
  <c r="G1981" i="14" l="1"/>
  <c r="G1984" i="14"/>
  <c r="G1983" i="14"/>
  <c r="G1988" i="14" l="1"/>
  <c r="G1989" i="14" l="1"/>
  <c r="G1987" i="14"/>
  <c r="G1991" i="14"/>
  <c r="G1995" i="14" l="1"/>
  <c r="G1994" i="14"/>
  <c r="G1990" i="14"/>
  <c r="G1997" i="14" l="1"/>
  <c r="G1996" i="14" l="1"/>
  <c r="G2000" i="14"/>
  <c r="G1998" i="14"/>
  <c r="G2003" i="14" l="1"/>
  <c r="G1999" i="14"/>
  <c r="G2001" i="14"/>
  <c r="G2014" i="14" l="1"/>
  <c r="G2017" i="14" l="1"/>
  <c r="G2018" i="14" l="1"/>
  <c r="G2016" i="14"/>
  <c r="G2020" i="14"/>
  <c r="G2019" i="14" l="1"/>
  <c r="G2024" i="14"/>
  <c r="G2023" i="14"/>
  <c r="G2026" i="14" l="1"/>
  <c r="G2025" i="14" l="1"/>
  <c r="G2029" i="14"/>
  <c r="G2027" i="14"/>
  <c r="G2028" i="14" l="1"/>
  <c r="G2032" i="14"/>
  <c r="G2030" i="14"/>
  <c r="G2035" i="14" l="1"/>
  <c r="G2034" i="14" l="1"/>
  <c r="G2036" i="14"/>
  <c r="G2038" i="14"/>
  <c r="G2040" i="14" l="1"/>
  <c r="G2043" i="14"/>
  <c r="G2037" i="14"/>
  <c r="G2044" i="14" l="1"/>
  <c r="G2046" i="14"/>
  <c r="G2042" i="14"/>
  <c r="G2045" i="14" l="1"/>
  <c r="G2047" i="14"/>
  <c r="G2049" i="14"/>
  <c r="G2060" i="14" l="1"/>
  <c r="G2063" i="14" l="1"/>
  <c r="G2062" i="14" l="1"/>
  <c r="G2064" i="14"/>
  <c r="G2066" i="14"/>
  <c r="G2068" i="14" l="1"/>
  <c r="G2065" i="14"/>
  <c r="G2070" i="14"/>
  <c r="G2072" i="14" l="1"/>
  <c r="G2071" i="14" l="1"/>
  <c r="G2075" i="14"/>
  <c r="G2073" i="14"/>
  <c r="G2074" i="14" l="1"/>
  <c r="G2076" i="14"/>
  <c r="G2078" i="14"/>
  <c r="G2081" i="14" l="1"/>
  <c r="G2082" i="14" l="1"/>
  <c r="G2084" i="14"/>
  <c r="G2080" i="14"/>
  <c r="G2087" i="14" l="1"/>
  <c r="G2083" i="14"/>
  <c r="G2089" i="14"/>
  <c r="G2092" i="14" l="1"/>
  <c r="G2088" i="14"/>
  <c r="G2090" i="14"/>
  <c r="G2095" i="14" l="1"/>
  <c r="G2091" i="14"/>
  <c r="G2093" i="14"/>
  <c r="G2108" i="14" l="1"/>
  <c r="G2113" i="14" l="1"/>
  <c r="G2114" i="14" l="1"/>
  <c r="G2110" i="14"/>
  <c r="G2116" i="14"/>
  <c r="G2115" i="14" l="1"/>
  <c r="G2119" i="14"/>
  <c r="G2120" i="14"/>
  <c r="G2121" i="14" l="1"/>
  <c r="G2123" i="14" l="1"/>
  <c r="G2126" i="14" l="1"/>
  <c r="G2124" i="14"/>
  <c r="G2122" i="14"/>
  <c r="G2128" i="14" l="1"/>
  <c r="G2127" i="14"/>
  <c r="G2125" i="14"/>
  <c r="G2132" i="14" l="1"/>
  <c r="G2131" i="14" l="1"/>
  <c r="G2133" i="14"/>
  <c r="G2135" i="14"/>
  <c r="G2136" i="14" l="1"/>
  <c r="G2134" i="14"/>
  <c r="G2140" i="14"/>
  <c r="G2139" i="14" l="1"/>
  <c r="G2141" i="14"/>
  <c r="G2143" i="14"/>
  <c r="G2142" i="14" l="1"/>
  <c r="G2146" i="14"/>
  <c r="G2144" i="14"/>
  <c r="G2157" i="14" l="1"/>
  <c r="G2160" i="14" l="1"/>
  <c r="G2161" i="14" l="1"/>
  <c r="G2159" i="14"/>
  <c r="G2163" i="14"/>
  <c r="G2164" i="14" l="1"/>
  <c r="G2162" i="14"/>
  <c r="G2165" i="14"/>
  <c r="G2169" i="14" l="1"/>
  <c r="G2166" i="14" l="1"/>
  <c r="G2170" i="14"/>
  <c r="G2172" i="14"/>
  <c r="G2175" i="14" l="1"/>
  <c r="G2171" i="14"/>
  <c r="G2173" i="14"/>
  <c r="G2178" i="14" l="1"/>
  <c r="G2177" i="14" l="1"/>
  <c r="G2179" i="14"/>
  <c r="G2181" i="14"/>
  <c r="G2182" i="14" l="1"/>
  <c r="G2183" i="14"/>
  <c r="G2180" i="14"/>
  <c r="G2187" i="14" l="1"/>
  <c r="G2188" i="14" l="1"/>
  <c r="G2185" i="14"/>
  <c r="G2190" i="14"/>
  <c r="G2192" i="14" l="1"/>
  <c r="G2191" i="14"/>
  <c r="G2189" i="14"/>
  <c r="G2204" i="14" l="1"/>
  <c r="G2207" i="14" l="1"/>
  <c r="G2206" i="14" l="1"/>
  <c r="G2210" i="14"/>
  <c r="G2208" i="14"/>
  <c r="G2209" i="14" l="1"/>
  <c r="G2213" i="14"/>
  <c r="G2214" i="14"/>
  <c r="G2216" i="14" l="1"/>
  <c r="G2217" i="14" l="1"/>
  <c r="G2219" i="14"/>
  <c r="G2215" i="14"/>
  <c r="G2220" i="14" l="1"/>
  <c r="G2218" i="14"/>
  <c r="G2221" i="14"/>
  <c r="G2225" i="14" l="1"/>
  <c r="G2224" i="14"/>
  <c r="G2226" i="14"/>
  <c r="G2228" i="14"/>
  <c r="G2231" i="14" l="1"/>
  <c r="G2232" i="14"/>
  <c r="G2227" i="14"/>
  <c r="G2234" i="14" l="1"/>
  <c r="G2233" i="14" l="1"/>
  <c r="G2235" i="14"/>
  <c r="G2237" i="14"/>
  <c r="G2238" i="14" l="1"/>
  <c r="G2236" i="14"/>
  <c r="G2240" i="14"/>
  <c r="G2239" i="14"/>
  <c r="G2251" i="14" l="1"/>
  <c r="G2254" i="14" l="1"/>
  <c r="G2255" i="14" l="1"/>
  <c r="G2253" i="14"/>
  <c r="G2257" i="14"/>
  <c r="G2261" i="14" l="1"/>
  <c r="G2256" i="14"/>
  <c r="G2260" i="14"/>
  <c r="G2262" i="14" l="1"/>
  <c r="G2264" i="14" l="1"/>
  <c r="G2267" i="14" l="1"/>
  <c r="G2265" i="14"/>
  <c r="G2263" i="14"/>
  <c r="G2266" i="14" l="1"/>
  <c r="G2269" i="14"/>
  <c r="G2268" i="14"/>
  <c r="G2271" i="14" l="1"/>
  <c r="G2275" i="14" l="1"/>
  <c r="G2276" i="14" l="1"/>
  <c r="G2277" i="14" l="1"/>
</calcChain>
</file>

<file path=xl/sharedStrings.xml><?xml version="1.0" encoding="utf-8"?>
<sst xmlns="http://schemas.openxmlformats.org/spreadsheetml/2006/main" count="33169" uniqueCount="3893">
  <si>
    <t>Point Name</t>
  </si>
  <si>
    <t>s [m]</t>
  </si>
  <si>
    <t>pd_a1_mu</t>
  </si>
  <si>
    <t>pd_a1_md</t>
  </si>
  <si>
    <t>pf_a1_mu</t>
  </si>
  <si>
    <t>pf_a1_md</t>
  </si>
  <si>
    <t>px_a1_m</t>
  </si>
  <si>
    <t>py_a1_m</t>
  </si>
  <si>
    <t>pd_a2_1u</t>
  </si>
  <si>
    <t>pd_a2_1d</t>
  </si>
  <si>
    <t>pf_a2_1u</t>
  </si>
  <si>
    <t>pf_a2_1d</t>
  </si>
  <si>
    <t>qd_a2_3u</t>
  </si>
  <si>
    <t>qf_a2_3</t>
  </si>
  <si>
    <t>qd_a2_3d</t>
  </si>
  <si>
    <t>qd_a2_4u</t>
  </si>
  <si>
    <t>qf_a2_4</t>
  </si>
  <si>
    <t>qd_a2_4d</t>
  </si>
  <si>
    <t>qd_a3_2u</t>
  </si>
  <si>
    <t>qf_a3_2</t>
  </si>
  <si>
    <t>qd_a3_2d</t>
  </si>
  <si>
    <t>qd_a3_4u</t>
  </si>
  <si>
    <t>qf_a3_4</t>
  </si>
  <si>
    <t>qd_a3_4d</t>
  </si>
  <si>
    <t>qd_a4_2u</t>
  </si>
  <si>
    <t>qf_a4_2</t>
  </si>
  <si>
    <t>qd_a4_2d</t>
  </si>
  <si>
    <t>qd_a4_4u</t>
  </si>
  <si>
    <t>qf_a4_4</t>
  </si>
  <si>
    <t>qd_a4_4d</t>
  </si>
  <si>
    <t>px_a4_4u</t>
  </si>
  <si>
    <t>px_a4_4d</t>
  </si>
  <si>
    <t>py_a4_4u</t>
  </si>
  <si>
    <t>py_a4_4d</t>
  </si>
  <si>
    <t>qd_b1_4u</t>
  </si>
  <si>
    <t>qf_b1_4</t>
  </si>
  <si>
    <t>qd_b1_4d</t>
  </si>
  <si>
    <t>qd_b2_4u</t>
  </si>
  <si>
    <t>qf_b2_4</t>
  </si>
  <si>
    <t>qd_b2_4d</t>
  </si>
  <si>
    <t>qd_b3_4u</t>
  </si>
  <si>
    <t>qf_b3_4</t>
  </si>
  <si>
    <t>qd_b3_4d</t>
  </si>
  <si>
    <t>qd_b4_4u</t>
  </si>
  <si>
    <t>qf_b4_4</t>
  </si>
  <si>
    <t>qd_b4_4d</t>
  </si>
  <si>
    <t>qd_b5_4u</t>
  </si>
  <si>
    <t>qf_b5_4</t>
  </si>
  <si>
    <t>qd_b5_4d</t>
  </si>
  <si>
    <t>qd_b6_4u</t>
  </si>
  <si>
    <t>qf_b6_4</t>
  </si>
  <si>
    <t>qd_b6_4d</t>
  </si>
  <si>
    <t>qd_b7_4u</t>
  </si>
  <si>
    <t>qf_b7_4</t>
  </si>
  <si>
    <t>qd_b7_4d</t>
  </si>
  <si>
    <t>px_r0_01u</t>
  </si>
  <si>
    <t>px_r0_01d</t>
  </si>
  <si>
    <t>py_r0_01u</t>
  </si>
  <si>
    <t>py_r0_01d</t>
  </si>
  <si>
    <t>qd_r0_01u</t>
  </si>
  <si>
    <t>qd_r0_01d</t>
  </si>
  <si>
    <t>px_r0_02u</t>
  </si>
  <si>
    <t>px_r0_02d</t>
  </si>
  <si>
    <t>py_r0_02u</t>
  </si>
  <si>
    <t>py_r0_02d</t>
  </si>
  <si>
    <t>qf_r0_02u</t>
  </si>
  <si>
    <t>qf_r0_02d</t>
  </si>
  <si>
    <t>qd_r0_03u</t>
  </si>
  <si>
    <t>qd_r0_03d</t>
  </si>
  <si>
    <t>bm_r0_1u</t>
  </si>
  <si>
    <t>bm_r0_1c</t>
  </si>
  <si>
    <t>bm_r0_2c</t>
  </si>
  <si>
    <t>bm_r0_2d</t>
  </si>
  <si>
    <t>sf_r0_21</t>
  </si>
  <si>
    <t>qd_r0_22u</t>
  </si>
  <si>
    <t>qd_r0_22d</t>
  </si>
  <si>
    <t>qf_r0_23u</t>
  </si>
  <si>
    <t>qf_r0_23d</t>
  </si>
  <si>
    <t>bm_r0_3u</t>
  </si>
  <si>
    <t>bm_r0_3c</t>
  </si>
  <si>
    <t>bm_r0_3d</t>
  </si>
  <si>
    <t>sd_r0_31</t>
  </si>
  <si>
    <t>qf_r0_32u</t>
  </si>
  <si>
    <t>qf_r0_32d</t>
  </si>
  <si>
    <t>sd_r0_33</t>
  </si>
  <si>
    <t>bm_r0_4u</t>
  </si>
  <si>
    <t>bm_r0_4c</t>
  </si>
  <si>
    <t>bm_r0_4d</t>
  </si>
  <si>
    <t>qf_r0_41u</t>
  </si>
  <si>
    <t>qf_r0_41d</t>
  </si>
  <si>
    <t>qd_r0_42u</t>
  </si>
  <si>
    <t>qd_r0_42d</t>
  </si>
  <si>
    <t>sf_r0_43</t>
  </si>
  <si>
    <t>bm_r0_5u</t>
  </si>
  <si>
    <t>bm_r0_5c</t>
  </si>
  <si>
    <t>bm_r0_5d</t>
  </si>
  <si>
    <t>qf_r0_51u</t>
  </si>
  <si>
    <t>qf_r0_51d</t>
  </si>
  <si>
    <t>sf_r0_52</t>
  </si>
  <si>
    <t>bm_r0_6u</t>
  </si>
  <si>
    <t>bm_r0_6c</t>
  </si>
  <si>
    <t>bm_r0_6d</t>
  </si>
  <si>
    <t>px_r0_61u</t>
  </si>
  <si>
    <t>px_r0_61d</t>
  </si>
  <si>
    <t>py_r0_61u</t>
  </si>
  <si>
    <t>py_r0_61d</t>
  </si>
  <si>
    <t>qd_r0_61u</t>
  </si>
  <si>
    <t>qd_r0_61d</t>
  </si>
  <si>
    <t>qf_r0_62u</t>
  </si>
  <si>
    <t>qf_r0_62d</t>
  </si>
  <si>
    <t>qd_r0_63u</t>
  </si>
  <si>
    <t>qd_r0_63d</t>
  </si>
  <si>
    <t>px_r0_63u</t>
  </si>
  <si>
    <t>px_r0_63d</t>
  </si>
  <si>
    <t>py_r0_63u</t>
  </si>
  <si>
    <t>py_r0_63d</t>
  </si>
  <si>
    <t>qd_c1_4</t>
  </si>
  <si>
    <t>qf_c1_4</t>
  </si>
  <si>
    <t>qd_c2_4</t>
  </si>
  <si>
    <t>qf_c2_4</t>
  </si>
  <si>
    <t>qd_c3_4</t>
  </si>
  <si>
    <t>qf_c3_4</t>
  </si>
  <si>
    <t>qd_c4_4</t>
  </si>
  <si>
    <t>qf_c4_4</t>
  </si>
  <si>
    <t>qd_c5_4</t>
  </si>
  <si>
    <t>qf_c5_4</t>
  </si>
  <si>
    <t>qd_c6_4</t>
  </si>
  <si>
    <t>qf_c6_4</t>
  </si>
  <si>
    <t>qd_c7_4</t>
  </si>
  <si>
    <t>qf_c7_4</t>
  </si>
  <si>
    <t>px_c7_4u</t>
  </si>
  <si>
    <t>px_c7_4d</t>
  </si>
  <si>
    <t>py_c7_4u</t>
  </si>
  <si>
    <t>py_c7_4d</t>
  </si>
  <si>
    <t>qd_c8_4</t>
  </si>
  <si>
    <t>qf_c8_4</t>
  </si>
  <si>
    <t>qd_11_4</t>
  </si>
  <si>
    <t>qf_11_4</t>
  </si>
  <si>
    <t>qd_12_4</t>
  </si>
  <si>
    <t>qf_12_4</t>
  </si>
  <si>
    <t>pd_13_5u</t>
  </si>
  <si>
    <t>pd_13_5d</t>
  </si>
  <si>
    <t>pf_13_5u</t>
  </si>
  <si>
    <t>pf_13_5d</t>
  </si>
  <si>
    <t>qf_16_41u</t>
  </si>
  <si>
    <t>qf_16_41d</t>
  </si>
  <si>
    <t>qd_16_42u</t>
  </si>
  <si>
    <t>qd_16_42d</t>
  </si>
  <si>
    <t>qf_16_43u</t>
  </si>
  <si>
    <t>qf_16_43d</t>
  </si>
  <si>
    <t>qd_16_44u</t>
  </si>
  <si>
    <t>qd_16_44d</t>
  </si>
  <si>
    <t>bm_16_c1u</t>
  </si>
  <si>
    <t>bm_16_c1d</t>
  </si>
  <si>
    <t>bm_16_c2u</t>
  </si>
  <si>
    <t>bm_16_c2d</t>
  </si>
  <si>
    <t>bm_16_c3u</t>
  </si>
  <si>
    <t>bm_16_c3d</t>
  </si>
  <si>
    <t>bm_16_c4u</t>
  </si>
  <si>
    <t>bm_16_c4d</t>
  </si>
  <si>
    <t>qd_16_51u</t>
  </si>
  <si>
    <t>qd_16_51d</t>
  </si>
  <si>
    <t>qf_16_52u</t>
  </si>
  <si>
    <t>qf_16_52d</t>
  </si>
  <si>
    <t>qd_16_53u</t>
  </si>
  <si>
    <t>qd_16_53d</t>
  </si>
  <si>
    <t>qf_16_54u</t>
  </si>
  <si>
    <t>qf_16_54d</t>
  </si>
  <si>
    <t>qd_16_55u</t>
  </si>
  <si>
    <t>qd_16_55d</t>
  </si>
  <si>
    <t>px_16_5u</t>
  </si>
  <si>
    <t>px_16_5d</t>
  </si>
  <si>
    <t>qf_16_56u</t>
  </si>
  <si>
    <t>qf_16_56d</t>
  </si>
  <si>
    <t>py_16_5u</t>
  </si>
  <si>
    <t>py_16_5d</t>
  </si>
  <si>
    <t>qd_16_57u</t>
  </si>
  <si>
    <t>qd_16_57d</t>
  </si>
  <si>
    <t>ac_17_1u</t>
  </si>
  <si>
    <t>qf_17_11u</t>
  </si>
  <si>
    <t>qf_17_11d</t>
  </si>
  <si>
    <t>qd_17_12u</t>
  </si>
  <si>
    <t>qd_17_12d</t>
  </si>
  <si>
    <t>qf_17_13u</t>
  </si>
  <si>
    <t>qf_17_13d</t>
  </si>
  <si>
    <t>ac_17_1d</t>
  </si>
  <si>
    <t>qd_17_14u</t>
  </si>
  <si>
    <t>qd_17_14d</t>
  </si>
  <si>
    <t>ac_17_2u</t>
  </si>
  <si>
    <t>qf_17_21u</t>
  </si>
  <si>
    <t>qf_17_21d</t>
  </si>
  <si>
    <t>qd_17_22u</t>
  </si>
  <si>
    <t>qd_17_22d</t>
  </si>
  <si>
    <t>qf_17_23u</t>
  </si>
  <si>
    <t>qf_17_23d</t>
  </si>
  <si>
    <t>ac_17_2d</t>
  </si>
  <si>
    <t>qd_17_24u</t>
  </si>
  <si>
    <t>qd_17_24d</t>
  </si>
  <si>
    <t>px_17_2</t>
  </si>
  <si>
    <t>py_17_2</t>
  </si>
  <si>
    <t>qf_17_25u</t>
  </si>
  <si>
    <t>qf_17_25d</t>
  </si>
  <si>
    <t>ac_17_3u</t>
  </si>
  <si>
    <t>qd_17_31u</t>
  </si>
  <si>
    <t>qd_17_31d</t>
  </si>
  <si>
    <t>qf_17_32u</t>
  </si>
  <si>
    <t>qf_17_32d</t>
  </si>
  <si>
    <t>qd_17_33u</t>
  </si>
  <si>
    <t>qd_17_33d</t>
  </si>
  <si>
    <t>qf_17_34u</t>
  </si>
  <si>
    <t>qf_17_34d</t>
  </si>
  <si>
    <t>ac_17_4u</t>
  </si>
  <si>
    <t>qd_17_41u</t>
  </si>
  <si>
    <t>qd_17_41d</t>
  </si>
  <si>
    <t>qf_17_42u</t>
  </si>
  <si>
    <t>qf_17_42d</t>
  </si>
  <si>
    <t>qd_17_43u</t>
  </si>
  <si>
    <t>qd_17_43d</t>
  </si>
  <si>
    <t>qf_17_44u</t>
  </si>
  <si>
    <t>qf_17_44d</t>
  </si>
  <si>
    <t>qd_17_45u</t>
  </si>
  <si>
    <t>qd_17_45d</t>
  </si>
  <si>
    <t>qf_17_46u</t>
  </si>
  <si>
    <t>qf_17_46d</t>
  </si>
  <si>
    <t>qd_18_11u</t>
  </si>
  <si>
    <t>qd_18_11d</t>
  </si>
  <si>
    <t>qf_18_12u</t>
  </si>
  <si>
    <t>qf_18_12d</t>
  </si>
  <si>
    <t>qd_18_13u</t>
  </si>
  <si>
    <t>qd_18_13d</t>
  </si>
  <si>
    <t>qf_18_14u</t>
  </si>
  <si>
    <t>qf_18_14d</t>
  </si>
  <si>
    <t>qd_18_21u</t>
  </si>
  <si>
    <t>qd_18_21d</t>
  </si>
  <si>
    <t>qf_18_22u</t>
  </si>
  <si>
    <t>qf_18_22d</t>
  </si>
  <si>
    <t>qd_18_23u</t>
  </si>
  <si>
    <t>qd_18_23d</t>
  </si>
  <si>
    <t>qf_18_24u</t>
  </si>
  <si>
    <t>qf_18_24d</t>
  </si>
  <si>
    <t>px_18_2</t>
  </si>
  <si>
    <t>py_18_2</t>
  </si>
  <si>
    <t>qd_18_25u</t>
  </si>
  <si>
    <t>qd_18_25d</t>
  </si>
  <si>
    <t>qf_18_31u</t>
  </si>
  <si>
    <t>qf_18_31d</t>
  </si>
  <si>
    <t>qd_18_32u</t>
  </si>
  <si>
    <t>qd_18_32d</t>
  </si>
  <si>
    <t>qf_18_33u</t>
  </si>
  <si>
    <t>qf_18_33d</t>
  </si>
  <si>
    <t>qd_18_34u</t>
  </si>
  <si>
    <t>qd_18_34d</t>
  </si>
  <si>
    <t>qf_18_41u</t>
  </si>
  <si>
    <t>qf_18_41d</t>
  </si>
  <si>
    <t>qd_18_42u</t>
  </si>
  <si>
    <t>qd_18_42d</t>
  </si>
  <si>
    <t>qf_18_43u</t>
  </si>
  <si>
    <t>qf_18_43d</t>
  </si>
  <si>
    <t>qd_18_44u</t>
  </si>
  <si>
    <t>qd_18_44d</t>
  </si>
  <si>
    <t>qf_18_45u</t>
  </si>
  <si>
    <t>qf_18_45d</t>
  </si>
  <si>
    <t>qd_18_46u</t>
  </si>
  <si>
    <t>qd_18_46d</t>
  </si>
  <si>
    <t>qf_18_47u</t>
  </si>
  <si>
    <t>qf_18_47d</t>
  </si>
  <si>
    <t>qd_18_48u</t>
  </si>
  <si>
    <t>qd_18_48d</t>
  </si>
  <si>
    <t>qd_21_11u</t>
  </si>
  <si>
    <t>qd_21_11d</t>
  </si>
  <si>
    <t>qf_21_12u</t>
  </si>
  <si>
    <t>qf_21_12d</t>
  </si>
  <si>
    <t>qd_21_13u</t>
  </si>
  <si>
    <t>qd_21_13d</t>
  </si>
  <si>
    <t>qf_21_14u</t>
  </si>
  <si>
    <t>qf_21_14d</t>
  </si>
  <si>
    <t>qd_21_21u</t>
  </si>
  <si>
    <t>qd_21_21d</t>
  </si>
  <si>
    <t>qf_21_22u</t>
  </si>
  <si>
    <t>qf_21_22d</t>
  </si>
  <si>
    <t>qd_21_23u</t>
  </si>
  <si>
    <t>qd_21_23d</t>
  </si>
  <si>
    <t>qf_21_24u</t>
  </si>
  <si>
    <t>qf_21_24d</t>
  </si>
  <si>
    <t>px_21_2</t>
  </si>
  <si>
    <t>py_21_2</t>
  </si>
  <si>
    <t>qd_21_25u</t>
  </si>
  <si>
    <t>qd_21_25d</t>
  </si>
  <si>
    <t>qf_21_31u</t>
  </si>
  <si>
    <t>qf_21_31d</t>
  </si>
  <si>
    <t>qd_21_32u</t>
  </si>
  <si>
    <t>qd_21_32d</t>
  </si>
  <si>
    <t>qf_21_33u</t>
  </si>
  <si>
    <t>qf_21_33d</t>
  </si>
  <si>
    <t>qd_21_34u</t>
  </si>
  <si>
    <t>qd_21_34d</t>
  </si>
  <si>
    <t>qf_21_41u</t>
  </si>
  <si>
    <t>qf_21_41d</t>
  </si>
  <si>
    <t>qd_21_42u</t>
  </si>
  <si>
    <t>qd_21_42d</t>
  </si>
  <si>
    <t>qf_21_43u</t>
  </si>
  <si>
    <t>qf_21_43d</t>
  </si>
  <si>
    <t>qd_21_44u</t>
  </si>
  <si>
    <t>qd_21_44d</t>
  </si>
  <si>
    <t>qf_21_45u</t>
  </si>
  <si>
    <t>qf_21_45d</t>
  </si>
  <si>
    <t>qd_21_46u</t>
  </si>
  <si>
    <t>qd_21_46d</t>
  </si>
  <si>
    <t>qf_22_11u</t>
  </si>
  <si>
    <t>qf_22_11d</t>
  </si>
  <si>
    <t>qd_22_12u</t>
  </si>
  <si>
    <t>qd_22_12d</t>
  </si>
  <si>
    <t>qf_22_13u</t>
  </si>
  <si>
    <t>qf_22_13d</t>
  </si>
  <si>
    <t>qd_22_21u</t>
  </si>
  <si>
    <t>qd_22_21d</t>
  </si>
  <si>
    <t>qf_22_22u</t>
  </si>
  <si>
    <t>qf_22_22d</t>
  </si>
  <si>
    <t>qd_22_23u</t>
  </si>
  <si>
    <t>qd_22_23d</t>
  </si>
  <si>
    <t>qf_22_31u</t>
  </si>
  <si>
    <t>qf_22_31d</t>
  </si>
  <si>
    <t>qd_22_32u</t>
  </si>
  <si>
    <t>qd_22_32d</t>
  </si>
  <si>
    <t>qf_22_33u</t>
  </si>
  <si>
    <t>qf_22_33d</t>
  </si>
  <si>
    <t>qd_22_41u</t>
  </si>
  <si>
    <t>qd_22_41d</t>
  </si>
  <si>
    <t>qf_22_42u</t>
  </si>
  <si>
    <t>qf_22_42d</t>
  </si>
  <si>
    <t>px_22_4</t>
  </si>
  <si>
    <t>qd_22_43u</t>
  </si>
  <si>
    <t>qd_22_43d</t>
  </si>
  <si>
    <t>py_22_4</t>
  </si>
  <si>
    <t>qf_23_11u</t>
  </si>
  <si>
    <t>qf_23_11d</t>
  </si>
  <si>
    <t>qd_23_12u</t>
  </si>
  <si>
    <t>qd_23_12d</t>
  </si>
  <si>
    <t>qf_23_13u</t>
  </si>
  <si>
    <t>qf_23_13d</t>
  </si>
  <si>
    <t>qd_23_21u</t>
  </si>
  <si>
    <t>qd_23_21d</t>
  </si>
  <si>
    <t>qf_23_22u</t>
  </si>
  <si>
    <t>qf_23_22d</t>
  </si>
  <si>
    <t>qd_23_23u</t>
  </si>
  <si>
    <t>qd_23_23d</t>
  </si>
  <si>
    <t>qf_23_31u</t>
  </si>
  <si>
    <t>qf_23_31d</t>
  </si>
  <si>
    <t>qd_23_32u</t>
  </si>
  <si>
    <t>qd_23_32d</t>
  </si>
  <si>
    <t>qf_23_33u</t>
  </si>
  <si>
    <t>qf_23_33d</t>
  </si>
  <si>
    <t>qd_23_41u</t>
  </si>
  <si>
    <t>qd_23_41d</t>
  </si>
  <si>
    <t>qf_23_42u</t>
  </si>
  <si>
    <t>qf_23_42d</t>
  </si>
  <si>
    <t>qd_23_43</t>
  </si>
  <si>
    <t>px_23_4u</t>
  </si>
  <si>
    <t>px_23_4d</t>
  </si>
  <si>
    <t>qf_23_45</t>
  </si>
  <si>
    <t>qd_24_1</t>
  </si>
  <si>
    <t>py_24_1u</t>
  </si>
  <si>
    <t>py_24_1d</t>
  </si>
  <si>
    <t>qf_24_1</t>
  </si>
  <si>
    <t>qd_24_2</t>
  </si>
  <si>
    <t>qf_24_2</t>
  </si>
  <si>
    <t>qd_24_3</t>
  </si>
  <si>
    <t>qf_24_3</t>
  </si>
  <si>
    <t>qd_24_4</t>
  </si>
  <si>
    <t>qf_24_4</t>
  </si>
  <si>
    <t>qd_26_1</t>
  </si>
  <si>
    <t>px_26_1u</t>
  </si>
  <si>
    <t>px_26_1d</t>
  </si>
  <si>
    <t>qf_26_1</t>
  </si>
  <si>
    <t>qd_26_2</t>
  </si>
  <si>
    <t>qf_26_2</t>
  </si>
  <si>
    <t>qd_26_3</t>
  </si>
  <si>
    <t>qf_26_3</t>
  </si>
  <si>
    <t>qd_26_4</t>
  </si>
  <si>
    <t>py_26_4u</t>
  </si>
  <si>
    <t>py_26_4d</t>
  </si>
  <si>
    <t>qf_26_4</t>
  </si>
  <si>
    <t>px_27_2u</t>
  </si>
  <si>
    <t>px_27_2d</t>
  </si>
  <si>
    <t>qf_27_2</t>
  </si>
  <si>
    <t>qd_27_4</t>
  </si>
  <si>
    <t>qd_28_2</t>
  </si>
  <si>
    <t>py_28_2u</t>
  </si>
  <si>
    <t>py_28_2d</t>
  </si>
  <si>
    <t>qf_28_2</t>
  </si>
  <si>
    <t>qd_28_4</t>
  </si>
  <si>
    <t>qf_28_4</t>
  </si>
  <si>
    <t>bm_dc_1u</t>
  </si>
  <si>
    <t>bm_dc_1d</t>
  </si>
  <si>
    <t>bm_dc_2u</t>
  </si>
  <si>
    <t>bm_dc_2ce</t>
  </si>
  <si>
    <t>bm_dc_2cw</t>
  </si>
  <si>
    <t>bm_dc_2d</t>
  </si>
  <si>
    <t>bm_dc_3u</t>
  </si>
  <si>
    <t>bm_dc_3cw</t>
  </si>
  <si>
    <t>bm_dc_3ce</t>
  </si>
  <si>
    <t>bm_dc_3d</t>
  </si>
  <si>
    <t>bm_dc_4u</t>
  </si>
  <si>
    <t>bm_dc_4d</t>
  </si>
  <si>
    <t>pf_dc_4u</t>
  </si>
  <si>
    <t>pf_dc_4d</t>
  </si>
  <si>
    <t>px_dc_4</t>
  </si>
  <si>
    <t>py_dc_4</t>
  </si>
  <si>
    <t>pd_dc_4u</t>
  </si>
  <si>
    <t>pd_dc_4d</t>
  </si>
  <si>
    <t>pf_32_4u</t>
  </si>
  <si>
    <t>pf_32_4d</t>
  </si>
  <si>
    <t>px_32_4</t>
  </si>
  <si>
    <t>py_32_4</t>
  </si>
  <si>
    <t>pd_32_4u</t>
  </si>
  <si>
    <t>pd_32_4d</t>
  </si>
  <si>
    <t>pf_34_4u</t>
  </si>
  <si>
    <t>pf_34_4d</t>
  </si>
  <si>
    <t>px_34_4</t>
  </si>
  <si>
    <t>py_34_4</t>
  </si>
  <si>
    <t>pd_34_4u</t>
  </si>
  <si>
    <t>pd_34_4d</t>
  </si>
  <si>
    <t>pf_36_4u</t>
  </si>
  <si>
    <t>pf_36_4d</t>
  </si>
  <si>
    <t>px_36_4</t>
  </si>
  <si>
    <t>py_36_4</t>
  </si>
  <si>
    <t>pd_36_4u</t>
  </si>
  <si>
    <t>pd_36_4d</t>
  </si>
  <si>
    <t>pf_38_4u</t>
  </si>
  <si>
    <t>pf_38_4d</t>
  </si>
  <si>
    <t>px_38_4</t>
  </si>
  <si>
    <t>pd_38_4u</t>
  </si>
  <si>
    <t>pd_38_4d</t>
  </si>
  <si>
    <t>pf_42_4u</t>
  </si>
  <si>
    <t>pf_42_4d</t>
  </si>
  <si>
    <t>px_42_4</t>
  </si>
  <si>
    <t>py_42_4</t>
  </si>
  <si>
    <t>pd_42_4u</t>
  </si>
  <si>
    <t>pd_42_4d</t>
  </si>
  <si>
    <t>pf_44_4u</t>
  </si>
  <si>
    <t>pf_44_4d</t>
  </si>
  <si>
    <t>px_44_4</t>
  </si>
  <si>
    <t>py_44_4</t>
  </si>
  <si>
    <t>pd_44_4u</t>
  </si>
  <si>
    <t>pd_44_4d</t>
  </si>
  <si>
    <t>pf_46_4u</t>
  </si>
  <si>
    <t>pf_46_4d</t>
  </si>
  <si>
    <t>px_46_4</t>
  </si>
  <si>
    <t>py_46_4</t>
  </si>
  <si>
    <t>pd_46_4u</t>
  </si>
  <si>
    <t>pd_46_4d</t>
  </si>
  <si>
    <t>pf_48_4u</t>
  </si>
  <si>
    <t>pf_48_4d</t>
  </si>
  <si>
    <t>px_48_4</t>
  </si>
  <si>
    <t>py_48_4</t>
  </si>
  <si>
    <t>pd_48_4u</t>
  </si>
  <si>
    <t>pd_48_4d</t>
  </si>
  <si>
    <t>pf_52_4u</t>
  </si>
  <si>
    <t>pf_52_4d</t>
  </si>
  <si>
    <t>px_52_4</t>
  </si>
  <si>
    <t>py_52_4</t>
  </si>
  <si>
    <t>pd_52_4u</t>
  </si>
  <si>
    <t>pd_52_4d</t>
  </si>
  <si>
    <t>pf_54_4u</t>
  </si>
  <si>
    <t>pf_54_4d</t>
  </si>
  <si>
    <t>px_54_4</t>
  </si>
  <si>
    <t>py_54_4</t>
  </si>
  <si>
    <t>pd_54_4u</t>
  </si>
  <si>
    <t>pd_54_4d</t>
  </si>
  <si>
    <t>pf_56_4u</t>
  </si>
  <si>
    <t>pf_56_4d</t>
  </si>
  <si>
    <t>px_56_4</t>
  </si>
  <si>
    <t>py_56_4</t>
  </si>
  <si>
    <t>pd_56_4u</t>
  </si>
  <si>
    <t>pd_56_4d</t>
  </si>
  <si>
    <t>pf_58_4u</t>
  </si>
  <si>
    <t>pf_58_4d</t>
  </si>
  <si>
    <t>px_58_4</t>
  </si>
  <si>
    <t>py_58_4</t>
  </si>
  <si>
    <t>pd_58_4u</t>
  </si>
  <si>
    <t>pd_58_4d</t>
  </si>
  <si>
    <t>x [mm]</t>
  </si>
  <si>
    <t>y [mm]</t>
  </si>
  <si>
    <t>Δx [mm]</t>
  </si>
  <si>
    <t>Δy [mm]</t>
  </si>
  <si>
    <t>z [mm]</t>
  </si>
  <si>
    <t>Point name</t>
  </si>
  <si>
    <t>qf_at_02</t>
  </si>
  <si>
    <t>qd_at_03</t>
  </si>
  <si>
    <t>lt_a1_1_we</t>
  </si>
  <si>
    <t>qd_at_11</t>
  </si>
  <si>
    <t>qf_at_12</t>
  </si>
  <si>
    <t>qd_at_13</t>
  </si>
  <si>
    <t>qd_a1_11</t>
  </si>
  <si>
    <t>qf_a1_12</t>
  </si>
  <si>
    <t>lt_a1_2_ww</t>
  </si>
  <si>
    <t>qd_a1_13</t>
  </si>
  <si>
    <t>qd_at_21</t>
  </si>
  <si>
    <t>qf_at_22</t>
  </si>
  <si>
    <t>qd_at_23</t>
  </si>
  <si>
    <t>lt_a1_2_we</t>
  </si>
  <si>
    <t>px_at_22</t>
  </si>
  <si>
    <t>py_at_22</t>
  </si>
  <si>
    <t>pb_at_j1mu</t>
  </si>
  <si>
    <t>pb_at_j1du</t>
  </si>
  <si>
    <t>pb_at_j1dd</t>
  </si>
  <si>
    <t>pb_at_j1mm</t>
  </si>
  <si>
    <t>pb_at_j1uu</t>
  </si>
  <si>
    <t>pb_at_j1ud</t>
  </si>
  <si>
    <t>pb_at_j1md</t>
  </si>
  <si>
    <t>qd_at_j2u</t>
  </si>
  <si>
    <t>qd_at_j2d</t>
  </si>
  <si>
    <t>qf_at_j3u</t>
  </si>
  <si>
    <t>qf_at_j3d</t>
  </si>
  <si>
    <t>qd_at_j4u</t>
  </si>
  <si>
    <t>qd_at_j4d</t>
  </si>
  <si>
    <t>pb_at_j5dd</t>
  </si>
  <si>
    <t>pb_at_j5du</t>
  </si>
  <si>
    <t>pb_at_j5md</t>
  </si>
  <si>
    <t>pb_at_j5mm</t>
  </si>
  <si>
    <t>pb_at_j5mu</t>
  </si>
  <si>
    <t>pb_at_j5ud</t>
  </si>
  <si>
    <t>lt_a2_14_wmn</t>
  </si>
  <si>
    <t>pd_a1_mc</t>
  </si>
  <si>
    <t>pf_a1_mc</t>
  </si>
  <si>
    <t>pd_a1d</t>
  </si>
  <si>
    <t>pd_a2u</t>
  </si>
  <si>
    <t>lt_a2_0_ww</t>
  </si>
  <si>
    <t>lt_a2_0_we</t>
  </si>
  <si>
    <t>lt_a2_14_wwn</t>
  </si>
  <si>
    <t>lt_a2_1_we</t>
  </si>
  <si>
    <t>pd_a2_1c</t>
  </si>
  <si>
    <t>pf_a2_1c</t>
  </si>
  <si>
    <t>qd_a2_3uc</t>
  </si>
  <si>
    <t>qf_a2_3c</t>
  </si>
  <si>
    <t>qd_a2_3dc</t>
  </si>
  <si>
    <t>qd_a2_4uc</t>
  </si>
  <si>
    <t>qf_a2_4c</t>
  </si>
  <si>
    <t>qd_a2_4dc</t>
  </si>
  <si>
    <t>qd_a3_2uc</t>
  </si>
  <si>
    <t>qf_a3_2c</t>
  </si>
  <si>
    <t>qd_a3_2dc</t>
  </si>
  <si>
    <t>qd_a3_4uc</t>
  </si>
  <si>
    <t>qf_a3_4c</t>
  </si>
  <si>
    <t>qd_a3_4dc</t>
  </si>
  <si>
    <t>qd_a4_2uc</t>
  </si>
  <si>
    <t>qf_a4_2c</t>
  </si>
  <si>
    <t>qd_a4_2dc</t>
  </si>
  <si>
    <t>qd_a4_4uc</t>
  </si>
  <si>
    <t>qf_a4_4c</t>
  </si>
  <si>
    <t>qd_a4_4dc</t>
  </si>
  <si>
    <t>px_a4_4c</t>
  </si>
  <si>
    <t>py_a4_4c</t>
  </si>
  <si>
    <t>qd_b1_4uc</t>
  </si>
  <si>
    <t>qf_b1_4c</t>
  </si>
  <si>
    <t>qd_b1_4dc</t>
  </si>
  <si>
    <t>qd_b2_4uc</t>
  </si>
  <si>
    <t>qf_b2_4c</t>
  </si>
  <si>
    <t>qd_b2_4dc</t>
  </si>
  <si>
    <t>qd_b3_4uc</t>
  </si>
  <si>
    <t>qf_b3_4c</t>
  </si>
  <si>
    <t>qd_b3_4dc</t>
  </si>
  <si>
    <t>qd_b4_4uc</t>
  </si>
  <si>
    <t>qf_b4_4c</t>
  </si>
  <si>
    <t>qd_b4_4dc</t>
  </si>
  <si>
    <t>qd_b5_4uc</t>
  </si>
  <si>
    <t>qf_b5_4c</t>
  </si>
  <si>
    <t>qd_b5_4dc</t>
  </si>
  <si>
    <t>qd_b6_4uc</t>
  </si>
  <si>
    <t>qf_b6_4c</t>
  </si>
  <si>
    <t>qd_b6_4dc</t>
  </si>
  <si>
    <t>qd_b7_4uc</t>
  </si>
  <si>
    <t>qf_b7_4c</t>
  </si>
  <si>
    <t>qd_b7_4dc</t>
  </si>
  <si>
    <t>px_r0_01c</t>
  </si>
  <si>
    <t>py_r0_01c</t>
  </si>
  <si>
    <t>qd_r0_01c</t>
  </si>
  <si>
    <t>px_r0_02c</t>
  </si>
  <si>
    <t>py_r0_02c</t>
  </si>
  <si>
    <t>qf_r0_02c</t>
  </si>
  <si>
    <t>qd_r0_03c</t>
  </si>
  <si>
    <t>bm_r0_1d</t>
  </si>
  <si>
    <t>sf_r0_13</t>
  </si>
  <si>
    <t>qf_r0_14u</t>
  </si>
  <si>
    <t>qf_r0_14c</t>
  </si>
  <si>
    <t>qf_r0_14d</t>
  </si>
  <si>
    <t>bm_r0_2u</t>
  </si>
  <si>
    <t>qd_r0_22c</t>
  </si>
  <si>
    <t>qf_r0_23c</t>
  </si>
  <si>
    <t>qf_r0_32c</t>
  </si>
  <si>
    <t>qf_r0_41c</t>
  </si>
  <si>
    <t>qd_r0_42c</t>
  </si>
  <si>
    <t>qf_r0_51c</t>
  </si>
  <si>
    <t>px_r0_61c</t>
  </si>
  <si>
    <t>py_r0_61c</t>
  </si>
  <si>
    <t>qd_r0_61c</t>
  </si>
  <si>
    <t>qf_r0_62c</t>
  </si>
  <si>
    <t>qd_r0_63c</t>
  </si>
  <si>
    <t>px_r0_63c</t>
  </si>
  <si>
    <t>py_r0_63c</t>
  </si>
  <si>
    <t>qd_c1_4c</t>
  </si>
  <si>
    <t>qf_c1_4c</t>
  </si>
  <si>
    <t>qd_c2_4c</t>
  </si>
  <si>
    <t>qf_c2_4c</t>
  </si>
  <si>
    <t>qd_c3_4c</t>
  </si>
  <si>
    <t>qf_c3_4c</t>
  </si>
  <si>
    <t>qd_c4_4c</t>
  </si>
  <si>
    <t>qf_c4_4c</t>
  </si>
  <si>
    <t>qd_c5_4c</t>
  </si>
  <si>
    <t>qf_c5_4c</t>
  </si>
  <si>
    <t>qd_c6_4c</t>
  </si>
  <si>
    <t>qf_c6_4c</t>
  </si>
  <si>
    <t>qd_c7_4c</t>
  </si>
  <si>
    <t>qf_c7_4c</t>
  </si>
  <si>
    <t>px_c7_4c</t>
  </si>
  <si>
    <t>py_c7_4c</t>
  </si>
  <si>
    <t>qd_c8_4c</t>
  </si>
  <si>
    <t>qf_c8_4c</t>
  </si>
  <si>
    <t>qd_11_4c</t>
  </si>
  <si>
    <t>qf_11_4c</t>
  </si>
  <si>
    <t>py_12_2</t>
  </si>
  <si>
    <t>qd_12_4c</t>
  </si>
  <si>
    <t>qf_12_4c</t>
  </si>
  <si>
    <t>px_13_2</t>
  </si>
  <si>
    <t>pd_13_5c</t>
  </si>
  <si>
    <t>pf_13_5c</t>
  </si>
  <si>
    <t>qf_16_41c</t>
  </si>
  <si>
    <t>qd_16_42c</t>
  </si>
  <si>
    <t>qf_16_43c</t>
  </si>
  <si>
    <t>qd_16_44c</t>
  </si>
  <si>
    <t>qd_16_51c</t>
  </si>
  <si>
    <t>qf_16_52c</t>
  </si>
  <si>
    <t>qd_16_53c</t>
  </si>
  <si>
    <t>qf_16_54c</t>
  </si>
  <si>
    <t>qd_16_55c</t>
  </si>
  <si>
    <t>qf_16_56c</t>
  </si>
  <si>
    <t>py_16_5c</t>
  </si>
  <si>
    <t>qd_16_57c</t>
  </si>
  <si>
    <t>qf_17_11c</t>
  </si>
  <si>
    <t>qd_17_12c</t>
  </si>
  <si>
    <t>qf_17_13c</t>
  </si>
  <si>
    <t>qd_17_14c</t>
  </si>
  <si>
    <t>qf_17_21c</t>
  </si>
  <si>
    <t>qd_17_22c</t>
  </si>
  <si>
    <t>qf_17_23c</t>
  </si>
  <si>
    <t>qd_17_24c</t>
  </si>
  <si>
    <t>qf_17_25c</t>
  </si>
  <si>
    <t>qd_17_31c</t>
  </si>
  <si>
    <t>qf_17_32c</t>
  </si>
  <si>
    <t>qd_17_33c</t>
  </si>
  <si>
    <t>qf_17_34c</t>
  </si>
  <si>
    <t>qd_17_41c</t>
  </si>
  <si>
    <t>qf_17_42c</t>
  </si>
  <si>
    <t>qd_17_43c</t>
  </si>
  <si>
    <t>qf_17_44c</t>
  </si>
  <si>
    <t>qd_17_45c</t>
  </si>
  <si>
    <t>qf_17_46c</t>
  </si>
  <si>
    <t>qd_18_11c</t>
  </si>
  <si>
    <t>qf_18_12c</t>
  </si>
  <si>
    <t>qd_18_13c</t>
  </si>
  <si>
    <t>qf_18_14c</t>
  </si>
  <si>
    <t>qd_18_21c</t>
  </si>
  <si>
    <t>qf_18_22c</t>
  </si>
  <si>
    <t>qd_18_23c</t>
  </si>
  <si>
    <t>qf_18_24c</t>
  </si>
  <si>
    <t>qd_18_25c</t>
  </si>
  <si>
    <t>qf_18_31c</t>
  </si>
  <si>
    <t>qd_18_32c</t>
  </si>
  <si>
    <t>qf_18_33c</t>
  </si>
  <si>
    <t>qd_18_34c</t>
  </si>
  <si>
    <t>qf_18_41c</t>
  </si>
  <si>
    <t>qd_18_42c</t>
  </si>
  <si>
    <t>qf_18_43c</t>
  </si>
  <si>
    <t>qd_18_44c</t>
  </si>
  <si>
    <t>qf_18_45c</t>
  </si>
  <si>
    <t>qd_18_46c</t>
  </si>
  <si>
    <t>qf_18_47c</t>
  </si>
  <si>
    <t>qd_18_48c</t>
  </si>
  <si>
    <t>qf_18_49u</t>
  </si>
  <si>
    <t>qf_18_49c</t>
  </si>
  <si>
    <t>qf_18_49d</t>
  </si>
  <si>
    <t>qd_21_11c</t>
  </si>
  <si>
    <t>qf_21_12c</t>
  </si>
  <si>
    <t>qd_21_13c</t>
  </si>
  <si>
    <t>qf_21_14c</t>
  </si>
  <si>
    <t>qd_21_21c</t>
  </si>
  <si>
    <t>qf_21_22c</t>
  </si>
  <si>
    <t>qd_21_23c</t>
  </si>
  <si>
    <t>qf_21_24c</t>
  </si>
  <si>
    <t>qd_21_25c</t>
  </si>
  <si>
    <t>qf_21_31c</t>
  </si>
  <si>
    <t>qd_21_32c</t>
  </si>
  <si>
    <t>qf_21_33c</t>
  </si>
  <si>
    <t>qd_21_34c</t>
  </si>
  <si>
    <t>qf_21_41c</t>
  </si>
  <si>
    <t>qd_21_42c</t>
  </si>
  <si>
    <t>qf_21_43c</t>
  </si>
  <si>
    <t>qd_21_44c</t>
  </si>
  <si>
    <t>qf_21_45c</t>
  </si>
  <si>
    <t>qd_21_46c</t>
  </si>
  <si>
    <t>qf_22_11c</t>
  </si>
  <si>
    <t>qd_22_12c</t>
  </si>
  <si>
    <t>qf_22_13c</t>
  </si>
  <si>
    <t>qd_22_21c</t>
  </si>
  <si>
    <t>qf_22_22c</t>
  </si>
  <si>
    <t>qd_22_23c</t>
  </si>
  <si>
    <t>qf_22_31c</t>
  </si>
  <si>
    <t>qd_22_32c</t>
  </si>
  <si>
    <t>qf_22_33c</t>
  </si>
  <si>
    <t>qd_22_41c</t>
  </si>
  <si>
    <t>qf_22_42c</t>
  </si>
  <si>
    <t>qd_22_43c</t>
  </si>
  <si>
    <t>qf_23_11c</t>
  </si>
  <si>
    <t>qd_23_12c</t>
  </si>
  <si>
    <t>qf_23_13c</t>
  </si>
  <si>
    <t>qd_23_21c</t>
  </si>
  <si>
    <t>qf_23_22c</t>
  </si>
  <si>
    <t>qd_23_23c</t>
  </si>
  <si>
    <t>qf_23_31c</t>
  </si>
  <si>
    <t>qd_23_32c</t>
  </si>
  <si>
    <t>qf_23_33c</t>
  </si>
  <si>
    <t>qd_23_41c</t>
  </si>
  <si>
    <t>qf_23_42c</t>
  </si>
  <si>
    <t>px_23_4c</t>
  </si>
  <si>
    <t>qd_24_1c</t>
  </si>
  <si>
    <t>qf_24_1c</t>
  </si>
  <si>
    <t>py_24_1c</t>
  </si>
  <si>
    <t>qd_24_2c</t>
  </si>
  <si>
    <t>qf_24_2c</t>
  </si>
  <si>
    <t>qd_24_3c</t>
  </si>
  <si>
    <t>qf_24_3c</t>
  </si>
  <si>
    <t>qd_24_4c</t>
  </si>
  <si>
    <t>qf_24_4c</t>
  </si>
  <si>
    <t>qd_26_1c</t>
  </si>
  <si>
    <t>qf_26_1c</t>
  </si>
  <si>
    <t>px_26_1c</t>
  </si>
  <si>
    <t>qd_26_2c</t>
  </si>
  <si>
    <t>qf_26_2c</t>
  </si>
  <si>
    <t>qd_26_3c</t>
  </si>
  <si>
    <t>qf_26_3c</t>
  </si>
  <si>
    <t>qd_26_4c</t>
  </si>
  <si>
    <t>qf_26_4c</t>
  </si>
  <si>
    <t>py_26_4c</t>
  </si>
  <si>
    <t>qd_27_2</t>
  </si>
  <si>
    <t>qd_27_2c</t>
  </si>
  <si>
    <t>qf_27_2c</t>
  </si>
  <si>
    <t>px_27_2c</t>
  </si>
  <si>
    <t>qd_27_4c</t>
  </si>
  <si>
    <t>qf_27_4c</t>
  </si>
  <si>
    <t>qf_27_4</t>
  </si>
  <si>
    <t>qd_28_2c</t>
  </si>
  <si>
    <t>py_28_2c</t>
  </si>
  <si>
    <t>qf_28_2c</t>
  </si>
  <si>
    <t>qd_28_4c</t>
  </si>
  <si>
    <t>qf_28_4c</t>
  </si>
  <si>
    <t>bc1e.1u</t>
  </si>
  <si>
    <t>bc1e.1d</t>
  </si>
  <si>
    <t>bc2e.1u</t>
  </si>
  <si>
    <t>bc2e.1ce</t>
  </si>
  <si>
    <t>bc2e.1cw</t>
  </si>
  <si>
    <t>bc2e.1d</t>
  </si>
  <si>
    <t>bc2e.2u</t>
  </si>
  <si>
    <t>bc2e.2ce</t>
  </si>
  <si>
    <t>bc2e.2cw</t>
  </si>
  <si>
    <t>bc2e.2d</t>
  </si>
  <si>
    <t>bc1e.2u</t>
  </si>
  <si>
    <t>bc1e.2d</t>
  </si>
  <si>
    <t>pf_dc_4c</t>
  </si>
  <si>
    <t>pd_dc_4c</t>
  </si>
  <si>
    <t>pf_32_4c</t>
  </si>
  <si>
    <t>pd_32_4c</t>
  </si>
  <si>
    <t>pf_34_4c</t>
  </si>
  <si>
    <t>pd_34_4c</t>
  </si>
  <si>
    <t>pf_36_4c</t>
  </si>
  <si>
    <t>pd_36_4c</t>
  </si>
  <si>
    <t>pf_38_4c</t>
  </si>
  <si>
    <t>py_38_4</t>
  </si>
  <si>
    <t>pd_38_4c</t>
  </si>
  <si>
    <t>pf_42_4c</t>
  </si>
  <si>
    <t>pd_42_4c</t>
  </si>
  <si>
    <t>pf_44_4c</t>
  </si>
  <si>
    <t>pd_44_4c</t>
  </si>
  <si>
    <t>pf_46_4c</t>
  </si>
  <si>
    <t>pd_46_4c</t>
  </si>
  <si>
    <t>pf_48_4c</t>
  </si>
  <si>
    <t>pd_48_4c</t>
  </si>
  <si>
    <t>pf_52_4c</t>
  </si>
  <si>
    <t>pd_52_4c</t>
  </si>
  <si>
    <t>pf_54_4c</t>
  </si>
  <si>
    <t>pd_54_4c</t>
  </si>
  <si>
    <t>pf_56_4c</t>
  </si>
  <si>
    <t>pd_56_4c</t>
  </si>
  <si>
    <t>pf_58_4c</t>
  </si>
  <si>
    <t>pd_58_4c</t>
  </si>
  <si>
    <t>bm_61_1u</t>
  </si>
  <si>
    <t>bm_61_1c</t>
  </si>
  <si>
    <t>bm_61_1d</t>
  </si>
  <si>
    <t>AT/A1/AS</t>
  </si>
  <si>
    <t>AT</t>
  </si>
  <si>
    <t>A1</t>
  </si>
  <si>
    <t>AS</t>
  </si>
  <si>
    <t>A1/AS</t>
  </si>
  <si>
    <t>Beam source</t>
  </si>
  <si>
    <t>f</t>
  </si>
  <si>
    <t>a</t>
  </si>
  <si>
    <t>m</t>
  </si>
  <si>
    <t>s</t>
  </si>
  <si>
    <t>lt_11_2_ww</t>
  </si>
  <si>
    <t>lt_12_0_we</t>
  </si>
  <si>
    <t>lt_12_0_ww</t>
  </si>
  <si>
    <t>lt_12_1_we</t>
  </si>
  <si>
    <t>lt_12_1_ww</t>
  </si>
  <si>
    <t>lt_12_3_we</t>
  </si>
  <si>
    <t>lt_12_3_ww</t>
  </si>
  <si>
    <t>lt_13_2_we</t>
  </si>
  <si>
    <t>lt_13_2_ww</t>
  </si>
  <si>
    <t>lt_13_4_ww</t>
  </si>
  <si>
    <t>lt_13_5_we</t>
  </si>
  <si>
    <t>lt_14_1_ws</t>
  </si>
  <si>
    <t>lt_14_1_ww</t>
  </si>
  <si>
    <t>lt_14_1_wwh</t>
  </si>
  <si>
    <t>lt_14_3_we</t>
  </si>
  <si>
    <t>lt_14_4_we</t>
  </si>
  <si>
    <t>lt_15_3_we</t>
  </si>
  <si>
    <t>lt_16_2_we</t>
  </si>
  <si>
    <t>lt_16_3_wwh</t>
  </si>
  <si>
    <t>lt_16_4_wwh</t>
  </si>
  <si>
    <t>lt_16_5_wwh</t>
  </si>
  <si>
    <t>lt_17_2_ww</t>
  </si>
  <si>
    <t>lt_17_3_we</t>
  </si>
  <si>
    <t>lt_17_4_wwh</t>
  </si>
  <si>
    <t>lt_17_c3_we</t>
  </si>
  <si>
    <t>lt_17_c4_we</t>
  </si>
  <si>
    <t>lt_18_4_wwh</t>
  </si>
  <si>
    <t>lt_18_5_wwh</t>
  </si>
  <si>
    <t>lt_21_0_we</t>
  </si>
  <si>
    <t>lt_21_1_ww</t>
  </si>
  <si>
    <t>lt_21_3_ww</t>
  </si>
  <si>
    <t>lt_21_4_we</t>
  </si>
  <si>
    <t>lt_21_4_ww</t>
  </si>
  <si>
    <t>lt_21_4_wwh</t>
  </si>
  <si>
    <t>lt_22_2_we</t>
  </si>
  <si>
    <t>lt_22_2_wwh</t>
  </si>
  <si>
    <t>lt_23_2_we</t>
  </si>
  <si>
    <t>lt_23_2_ww</t>
  </si>
  <si>
    <t>lt_23_2_wwh</t>
  </si>
  <si>
    <t>lt_24_1_wwh</t>
  </si>
  <si>
    <t>lt_24_3_we</t>
  </si>
  <si>
    <t>lt_24_3_ww</t>
  </si>
  <si>
    <t>lt_26_1_we</t>
  </si>
  <si>
    <t>lt_26_2_we</t>
  </si>
  <si>
    <t>lt_26_2_ww</t>
  </si>
  <si>
    <t>lt_26_4_we</t>
  </si>
  <si>
    <t>lt_27_2_we</t>
  </si>
  <si>
    <t>lt_27_2_ww</t>
  </si>
  <si>
    <t>lt_27_4_we</t>
  </si>
  <si>
    <t>lt_28_2_we</t>
  </si>
  <si>
    <t>lt_28_2_ww</t>
  </si>
  <si>
    <t>lt_28_3_ww</t>
  </si>
  <si>
    <t>lt_28_4_we</t>
  </si>
  <si>
    <t>lt_28_4_ww</t>
  </si>
  <si>
    <t>lt_30_0_we</t>
  </si>
  <si>
    <t>lt_30_0_wn</t>
  </si>
  <si>
    <t>lt_30_0_ww</t>
  </si>
  <si>
    <t>lt_30_1_we</t>
  </si>
  <si>
    <t>lt_30_1_wn</t>
  </si>
  <si>
    <t>lt_32_2_ww</t>
  </si>
  <si>
    <t>lt_32_3_we</t>
  </si>
  <si>
    <t>lt_32_4_ww</t>
  </si>
  <si>
    <t>lt_33_2_we</t>
  </si>
  <si>
    <t>lt_33_2_ww</t>
  </si>
  <si>
    <t>lt_34_2_we</t>
  </si>
  <si>
    <t>lt_34_2_ww</t>
  </si>
  <si>
    <t>lt_35_2_we</t>
  </si>
  <si>
    <t>lt_35_2_ww</t>
  </si>
  <si>
    <t>lt_36_2_we</t>
  </si>
  <si>
    <t>lt_36_2_ww</t>
  </si>
  <si>
    <t>lt_37_2_ww</t>
  </si>
  <si>
    <t>lt_37_3_we</t>
  </si>
  <si>
    <t>lt_38_2_we</t>
  </si>
  <si>
    <t>lt_38_2_ww</t>
  </si>
  <si>
    <t>lt_38_4_we</t>
  </si>
  <si>
    <t>lt_38_4_ww</t>
  </si>
  <si>
    <t>lt_41_0_we</t>
  </si>
  <si>
    <t>lt_41_0_ww</t>
  </si>
  <si>
    <t>lt_41_2_we</t>
  </si>
  <si>
    <t>lt_41_2_ww</t>
  </si>
  <si>
    <t>lt_42_2_we</t>
  </si>
  <si>
    <t>lt_42_2_ww</t>
  </si>
  <si>
    <t>lt_43_2_we</t>
  </si>
  <si>
    <t>lt_43_2_ww</t>
  </si>
  <si>
    <t>lt_44a_4_we</t>
  </si>
  <si>
    <t>lt_44a_4_ww</t>
  </si>
  <si>
    <t>lt_45_2_we</t>
  </si>
  <si>
    <t>lt_45_2_ww</t>
  </si>
  <si>
    <t>lt_46_2_we</t>
  </si>
  <si>
    <t>lt_46_2_ww</t>
  </si>
  <si>
    <t>lt_47_2_we</t>
  </si>
  <si>
    <t>lt_47_2_ww</t>
  </si>
  <si>
    <t>lt_48_2_we</t>
  </si>
  <si>
    <t>lt_48_2_ww</t>
  </si>
  <si>
    <t>lt_48_4_we</t>
  </si>
  <si>
    <t>lt_48_4_ww</t>
  </si>
  <si>
    <t>lt_51_1_we</t>
  </si>
  <si>
    <t>lt_51_1_ww</t>
  </si>
  <si>
    <t>lt_51_2_we</t>
  </si>
  <si>
    <t>lt_51_2_ww</t>
  </si>
  <si>
    <t>lt_52_2_we</t>
  </si>
  <si>
    <t>lt_52_2_ww</t>
  </si>
  <si>
    <t>lt_53_3_we</t>
  </si>
  <si>
    <t>lt_53_3_ww</t>
  </si>
  <si>
    <t>lt_54_3_we</t>
  </si>
  <si>
    <t>lt_54_3_ww</t>
  </si>
  <si>
    <t>lt_55_2_we</t>
  </si>
  <si>
    <t>lt_55_2_ww</t>
  </si>
  <si>
    <t>lt_56_2_we</t>
  </si>
  <si>
    <t>lt_56_2_ww</t>
  </si>
  <si>
    <t>lt_57_2_we</t>
  </si>
  <si>
    <t>lt_57_2_ww</t>
  </si>
  <si>
    <t>lt_58_2_we</t>
  </si>
  <si>
    <t>lt_58_2_ww</t>
  </si>
  <si>
    <t>lt_58_3_we</t>
  </si>
  <si>
    <t>lt_58_4_we</t>
  </si>
  <si>
    <t>lt_58_4_ww</t>
  </si>
  <si>
    <t>lt_61_2_ww</t>
  </si>
  <si>
    <t>lt_61_3_we</t>
  </si>
  <si>
    <t>lt_61_3_ww</t>
  </si>
  <si>
    <t>lt_61_6_we</t>
  </si>
  <si>
    <t>lt_61_8_ww</t>
  </si>
  <si>
    <t>lt_61_a2_we</t>
  </si>
  <si>
    <t>lt_61_e_we</t>
  </si>
  <si>
    <t>lt_61_e_ww</t>
  </si>
  <si>
    <t>lt_a2_14_wen</t>
  </si>
  <si>
    <t>lt_a2_14_wenh</t>
  </si>
  <si>
    <t>lt_a2_14_wes</t>
  </si>
  <si>
    <t>lt_a2_14_wms</t>
  </si>
  <si>
    <t>lt_a2_14_wws</t>
  </si>
  <si>
    <t>lt_a2_2_ww</t>
  </si>
  <si>
    <t>lt_a2_3_we</t>
  </si>
  <si>
    <t>lt_a3_1_ww</t>
  </si>
  <si>
    <t>lt_a3_2_ww</t>
  </si>
  <si>
    <t>lt_a3_3_we</t>
  </si>
  <si>
    <t>lt_a4_2_ww</t>
  </si>
  <si>
    <t>lt_a4_3_we</t>
  </si>
  <si>
    <t>lt_b1_2_we</t>
  </si>
  <si>
    <t>lt_b1_2_ww</t>
  </si>
  <si>
    <t>lt_b2_3_we</t>
  </si>
  <si>
    <t>lt_b2_3_ww</t>
  </si>
  <si>
    <t>lt_b3_2_we</t>
  </si>
  <si>
    <t>lt_b3_3_ww</t>
  </si>
  <si>
    <t>lt_b4_3_ww</t>
  </si>
  <si>
    <t>lt_b4_4_we</t>
  </si>
  <si>
    <t>lt_b5_2_we</t>
  </si>
  <si>
    <t>lt_b5_2_ww</t>
  </si>
  <si>
    <t>lt_b5_3_we</t>
  </si>
  <si>
    <t>lt_b5_3_ww</t>
  </si>
  <si>
    <t>lt_b5_4_we</t>
  </si>
  <si>
    <t>lt_b6_2_we</t>
  </si>
  <si>
    <t>lt_b6_3_ww</t>
  </si>
  <si>
    <t>lt_b7_3_we</t>
  </si>
  <si>
    <t>lt_b7_3_ww</t>
  </si>
  <si>
    <t>lt_b8_2_ww</t>
  </si>
  <si>
    <t>lt_b8_3_we</t>
  </si>
  <si>
    <t>lt_c1_2_we</t>
  </si>
  <si>
    <t>lt_c1_2_ww</t>
  </si>
  <si>
    <t>lt_c2_2_we</t>
  </si>
  <si>
    <t>lt_c2_2_ww</t>
  </si>
  <si>
    <t>lt_c3_2_ww</t>
  </si>
  <si>
    <t>lt_c3_3_we</t>
  </si>
  <si>
    <t>lt_c3_4_we</t>
  </si>
  <si>
    <t>lt_c3_4_ww</t>
  </si>
  <si>
    <t>lt_c4_0_we</t>
  </si>
  <si>
    <t>lt_c4_0_ww</t>
  </si>
  <si>
    <t>lt_c4_2_ww</t>
  </si>
  <si>
    <t>lt_c4_3_we</t>
  </si>
  <si>
    <t>lt_c5_2_we</t>
  </si>
  <si>
    <t>lt_c5_2_ww</t>
  </si>
  <si>
    <t>lt_c6_2_we</t>
  </si>
  <si>
    <t>lt_c6_2_ww</t>
  </si>
  <si>
    <t>lt_c7_1_we</t>
  </si>
  <si>
    <t>lt_c7_4_we</t>
  </si>
  <si>
    <t>lt_c7_4_wn</t>
  </si>
  <si>
    <t>lt_c8_0_we</t>
  </si>
  <si>
    <t>lt_c8_0_ws</t>
  </si>
  <si>
    <t>lt_c8_0_ww</t>
  </si>
  <si>
    <t>lt_c8_2_we</t>
  </si>
  <si>
    <t>lt_c8_2_ww</t>
  </si>
  <si>
    <t>lt_r0_2_wn</t>
  </si>
  <si>
    <t>lt_r0_2_ws</t>
  </si>
  <si>
    <t>lt_r0_3_ws</t>
  </si>
  <si>
    <t>lt_r0_4_ws</t>
  </si>
  <si>
    <t>lt_r0_5_wn</t>
  </si>
  <si>
    <t>lt_r0_6_we</t>
  </si>
  <si>
    <t>lt_r0_6_ws</t>
  </si>
  <si>
    <t>lt_r0_63_we</t>
  </si>
  <si>
    <t>lt_r0_63_ww</t>
  </si>
  <si>
    <t>lt_r0_d_we</t>
  </si>
  <si>
    <t>lt_r0_d_ww</t>
  </si>
  <si>
    <t>pd_11d</t>
  </si>
  <si>
    <t>pd_11u</t>
  </si>
  <si>
    <t>pd_12d</t>
  </si>
  <si>
    <t>pd_12u</t>
  </si>
  <si>
    <t>pd_132d</t>
  </si>
  <si>
    <t>pd_132u</t>
  </si>
  <si>
    <t>pd_13d</t>
  </si>
  <si>
    <t>pd_13u</t>
  </si>
  <si>
    <t>pd_161d</t>
  </si>
  <si>
    <t>pd_161u</t>
  </si>
  <si>
    <t>pd_162d</t>
  </si>
  <si>
    <t>pd_162u</t>
  </si>
  <si>
    <t>pd_171d</t>
  </si>
  <si>
    <t>pd_171u</t>
  </si>
  <si>
    <t>pd_1811u</t>
  </si>
  <si>
    <t>pd_1814d</t>
  </si>
  <si>
    <t>pd_21d</t>
  </si>
  <si>
    <t>pd_21u</t>
  </si>
  <si>
    <t>pd_22d</t>
  </si>
  <si>
    <t>pd_22u</t>
  </si>
  <si>
    <t>pd_23d</t>
  </si>
  <si>
    <t>pd_23u</t>
  </si>
  <si>
    <t>pd_24d</t>
  </si>
  <si>
    <t>pd_24u</t>
  </si>
  <si>
    <t>pd_26d</t>
  </si>
  <si>
    <t>pd_26u</t>
  </si>
  <si>
    <t>pd_27d</t>
  </si>
  <si>
    <t>pd_27u</t>
  </si>
  <si>
    <t>pd_28d</t>
  </si>
  <si>
    <t>pd_28u</t>
  </si>
  <si>
    <t>pd_32d</t>
  </si>
  <si>
    <t>pd_32u</t>
  </si>
  <si>
    <t>pd_33d</t>
  </si>
  <si>
    <t>pd_33u</t>
  </si>
  <si>
    <t>pd_34d</t>
  </si>
  <si>
    <t>pd_34u</t>
  </si>
  <si>
    <t>pd_35d</t>
  </si>
  <si>
    <t>pd_35u</t>
  </si>
  <si>
    <t>pd_36d</t>
  </si>
  <si>
    <t>pd_36u</t>
  </si>
  <si>
    <t>pd_37d</t>
  </si>
  <si>
    <t>pd_37u</t>
  </si>
  <si>
    <t>pd_38d</t>
  </si>
  <si>
    <t>pd_38u</t>
  </si>
  <si>
    <t>pd_41d</t>
  </si>
  <si>
    <t>pd_41u</t>
  </si>
  <si>
    <t>pd_42d</t>
  </si>
  <si>
    <t>pd_42u</t>
  </si>
  <si>
    <t>pd_43d</t>
  </si>
  <si>
    <t>pd_43u</t>
  </si>
  <si>
    <t>pd_44d</t>
  </si>
  <si>
    <t>pd_44u</t>
  </si>
  <si>
    <t>pd_45d</t>
  </si>
  <si>
    <t>pd_45u</t>
  </si>
  <si>
    <t>pd_46d</t>
  </si>
  <si>
    <t>pd_46u</t>
  </si>
  <si>
    <t>pd_47d</t>
  </si>
  <si>
    <t>pd_47u</t>
  </si>
  <si>
    <t>pd_48d</t>
  </si>
  <si>
    <t>pd_48u</t>
  </si>
  <si>
    <t>pd_51d</t>
  </si>
  <si>
    <t>pd_51u</t>
  </si>
  <si>
    <t>pd_52d</t>
  </si>
  <si>
    <t>pd_52u</t>
  </si>
  <si>
    <t>pd_53d</t>
  </si>
  <si>
    <t>pd_53u</t>
  </si>
  <si>
    <t>pd_54d</t>
  </si>
  <si>
    <t>pd_54u</t>
  </si>
  <si>
    <t>pd_55d</t>
  </si>
  <si>
    <t>pd_55u</t>
  </si>
  <si>
    <t>pd_56d</t>
  </si>
  <si>
    <t>pd_56u</t>
  </si>
  <si>
    <t>pd_57d</t>
  </si>
  <si>
    <t>pd_57u</t>
  </si>
  <si>
    <t>pd_584d</t>
  </si>
  <si>
    <t>pd_a2d</t>
  </si>
  <si>
    <t>pd_a3d</t>
  </si>
  <si>
    <t>pd_a3u</t>
  </si>
  <si>
    <t>pd_a4d</t>
  </si>
  <si>
    <t>pd_a4u</t>
  </si>
  <si>
    <t>pd_b1d</t>
  </si>
  <si>
    <t>pd_b1u</t>
  </si>
  <si>
    <t>pd_b2d</t>
  </si>
  <si>
    <t>pd_b2u</t>
  </si>
  <si>
    <t>pd_b3d</t>
  </si>
  <si>
    <t>pd_b3u</t>
  </si>
  <si>
    <t>pd_b4d</t>
  </si>
  <si>
    <t>pd_b4u</t>
  </si>
  <si>
    <t>pd_b5d</t>
  </si>
  <si>
    <t>pd_b5u</t>
  </si>
  <si>
    <t>pd_b6d</t>
  </si>
  <si>
    <t>pd_b6u</t>
  </si>
  <si>
    <t>pd_b7d</t>
  </si>
  <si>
    <t>pd_b7u</t>
  </si>
  <si>
    <t>pd_b8d</t>
  </si>
  <si>
    <t>pd_b8u</t>
  </si>
  <si>
    <t>pd_c1d</t>
  </si>
  <si>
    <t>pd_c1u</t>
  </si>
  <si>
    <t>pd_c2d</t>
  </si>
  <si>
    <t>pd_c2u</t>
  </si>
  <si>
    <t>pd_c3d</t>
  </si>
  <si>
    <t>pd_c3u</t>
  </si>
  <si>
    <t>pd_c4d</t>
  </si>
  <si>
    <t>pd_c4u</t>
  </si>
  <si>
    <t>pd_c5d</t>
  </si>
  <si>
    <t>pd_c5u</t>
  </si>
  <si>
    <t>pd_c6d</t>
  </si>
  <si>
    <t>pd_c6u</t>
  </si>
  <si>
    <t>pd_c7d</t>
  </si>
  <si>
    <t>pd_c7u</t>
  </si>
  <si>
    <t>pd_c8d</t>
  </si>
  <si>
    <t>pd_c8u</t>
  </si>
  <si>
    <t>pd_r063d</t>
  </si>
  <si>
    <t>pd_r063u</t>
  </si>
  <si>
    <t>pd_r0d</t>
  </si>
  <si>
    <t>pd_ref28ua</t>
  </si>
  <si>
    <t>README</t>
  </si>
  <si>
    <t>qd_a1_g1c</t>
  </si>
  <si>
    <t>qf_a1_g2c</t>
  </si>
  <si>
    <t>bx_at_0c</t>
  </si>
  <si>
    <t>by_at_0c</t>
  </si>
  <si>
    <t>ac_at_1</t>
  </si>
  <si>
    <t>ac_at_2</t>
  </si>
  <si>
    <t>ac_a1_1</t>
  </si>
  <si>
    <t>qd_a1_01c</t>
  </si>
  <si>
    <t>qf_a1_02c</t>
  </si>
  <si>
    <t>sx_as_1c</t>
  </si>
  <si>
    <t>sy_as_1c</t>
  </si>
  <si>
    <t>qf_as_1c</t>
  </si>
  <si>
    <t>qd_as_1c</t>
  </si>
  <si>
    <t>sx_as_2c</t>
  </si>
  <si>
    <t>sy_as_2c</t>
  </si>
  <si>
    <t>bm_as_1c</t>
  </si>
  <si>
    <t>qf_as_2c</t>
  </si>
  <si>
    <t>qd_as_2c</t>
  </si>
  <si>
    <t>qd_as_3c</t>
  </si>
  <si>
    <t>qf_as_3c</t>
  </si>
  <si>
    <t>bm_a1_0c</t>
  </si>
  <si>
    <t>bx_a1_gc</t>
  </si>
  <si>
    <t>by_a1_gc</t>
  </si>
  <si>
    <t>qd_at_21c</t>
  </si>
  <si>
    <t>qf_at_22c</t>
  </si>
  <si>
    <t>qd_at_23c</t>
  </si>
  <si>
    <t>qd_at_11c</t>
  </si>
  <si>
    <t>qf_at_12c</t>
  </si>
  <si>
    <t>qd_at_13c</t>
  </si>
  <si>
    <t>qf_at_02c</t>
  </si>
  <si>
    <t>qd_at_03c</t>
  </si>
  <si>
    <t>qd_at_01c</t>
  </si>
  <si>
    <t>bm_a1_c1c</t>
  </si>
  <si>
    <t>bm_a1_c2c</t>
  </si>
  <si>
    <t>bm_a1_c3c</t>
  </si>
  <si>
    <t>bm_a1_c4c</t>
  </si>
  <si>
    <t>by_a1_c4c</t>
  </si>
  <si>
    <t>d</t>
  </si>
  <si>
    <t>qd_23_43c</t>
  </si>
  <si>
    <t>qf_23_45c</t>
  </si>
  <si>
    <t>regend :</t>
  </si>
  <si>
    <t>z : 175 (qd_a1_11 の BL からリフレクタ台座) + 25 (HUBBS ネスト + 1.5" リフレクタ) = 200 --&gt; -70</t>
  </si>
  <si>
    <t>z0 [mm]</t>
  </si>
  <si>
    <t>f : fiducial points</t>
  </si>
  <si>
    <t>a : acceleration tubes</t>
  </si>
  <si>
    <t>m : magnets</t>
  </si>
  <si>
    <t>s : surveyed</t>
  </si>
  <si>
    <t>d/s</t>
  </si>
  <si>
    <t>z0 の基準 : A1/AS のビームレベルを 0 mm, 値はリフレクタ中心．</t>
  </si>
  <si>
    <t>ac_at_1c</t>
  </si>
  <si>
    <t>ac_a1_1c</t>
  </si>
  <si>
    <t>ac_a2_1c</t>
  </si>
  <si>
    <t>ac_a3_1c</t>
  </si>
  <si>
    <t>ac_a4_1c</t>
  </si>
  <si>
    <t>ac_b1_1c</t>
  </si>
  <si>
    <t>ac_b2_1c</t>
  </si>
  <si>
    <t>ac_b3_1c</t>
  </si>
  <si>
    <t>ac_b4_1c</t>
  </si>
  <si>
    <t>ac_b5_1c</t>
  </si>
  <si>
    <t>ac_b6_1c</t>
  </si>
  <si>
    <t>ac_b7_1c</t>
  </si>
  <si>
    <t>ac_b8_1c</t>
  </si>
  <si>
    <t>ac_c1_1c</t>
  </si>
  <si>
    <t>ac_c2_1c</t>
  </si>
  <si>
    <t>ac_c3_1c</t>
  </si>
  <si>
    <t>ac_c4_1c</t>
  </si>
  <si>
    <t>ac_c5_1c</t>
  </si>
  <si>
    <t>ac_c6_1c</t>
  </si>
  <si>
    <t>ac_c7_1c</t>
  </si>
  <si>
    <t>ac_c8_1c</t>
  </si>
  <si>
    <t>ac_11_1c</t>
  </si>
  <si>
    <t>ac_12_1c</t>
  </si>
  <si>
    <t>ac_13_1c</t>
  </si>
  <si>
    <t>ac_15_1c</t>
  </si>
  <si>
    <t>ac_16_1c</t>
  </si>
  <si>
    <t>ac_17_1c</t>
  </si>
  <si>
    <t>ac_18_1c</t>
  </si>
  <si>
    <t>ac_21_1c</t>
  </si>
  <si>
    <t>ac_22_1c</t>
  </si>
  <si>
    <t>ac_23_1c</t>
  </si>
  <si>
    <t>ac_24_1c</t>
  </si>
  <si>
    <t>ac_26_1c</t>
  </si>
  <si>
    <t>ac_27_1c</t>
  </si>
  <si>
    <t>ac_28_1c</t>
  </si>
  <si>
    <t>ac_32_1c</t>
  </si>
  <si>
    <t>ac_33_1c</t>
  </si>
  <si>
    <t>ac_34_1c</t>
  </si>
  <si>
    <t>ac_35_1c</t>
  </si>
  <si>
    <t>ac_36_1c</t>
  </si>
  <si>
    <t>ac_37_1c</t>
  </si>
  <si>
    <t>ac_38_1c</t>
  </si>
  <si>
    <t>ac_41_1c</t>
  </si>
  <si>
    <t>ac_42_1c</t>
  </si>
  <si>
    <t>ac_43_1c</t>
  </si>
  <si>
    <t>ac_44_1c</t>
  </si>
  <si>
    <t>ac_45_1c</t>
  </si>
  <si>
    <t>ac_46_1c</t>
  </si>
  <si>
    <t>ac_47_1c</t>
  </si>
  <si>
    <t>ac_48_1c</t>
  </si>
  <si>
    <t>ac_51_1c</t>
  </si>
  <si>
    <t>ac_52_1c</t>
  </si>
  <si>
    <t>ac_53_1c</t>
  </si>
  <si>
    <t>ac_54_1c</t>
  </si>
  <si>
    <t>ac_55_1c</t>
  </si>
  <si>
    <t>ac_56_1c</t>
  </si>
  <si>
    <t>ac_57_1c</t>
  </si>
  <si>
    <t>ac_at_2c</t>
  </si>
  <si>
    <t>ac_a2_2c</t>
  </si>
  <si>
    <t>ac_a3_2c</t>
  </si>
  <si>
    <t>ac_a4_2c</t>
  </si>
  <si>
    <t>ac_b1_2c</t>
  </si>
  <si>
    <t>ac_b2_2c</t>
  </si>
  <si>
    <t>ac_b3_2c</t>
  </si>
  <si>
    <t>ac_b4_2c</t>
  </si>
  <si>
    <t>ac_b5_2c</t>
  </si>
  <si>
    <t>ac_b6_2c</t>
  </si>
  <si>
    <t>ac_b7_2c</t>
  </si>
  <si>
    <t>ac_b8_2c</t>
  </si>
  <si>
    <t>ac_c1_2c</t>
  </si>
  <si>
    <t>ac_c2_2c</t>
  </si>
  <si>
    <t>ac_c3_2c</t>
  </si>
  <si>
    <t>ac_c4_2c</t>
  </si>
  <si>
    <t>ac_c5_2c</t>
  </si>
  <si>
    <t>ac_c6_2c</t>
  </si>
  <si>
    <t>ac_c7_2c</t>
  </si>
  <si>
    <t>ac_c8_2c</t>
  </si>
  <si>
    <t>ac_11_2c</t>
  </si>
  <si>
    <t>ac_12_2c</t>
  </si>
  <si>
    <t>ac_13_2c</t>
  </si>
  <si>
    <t>ac_15_2c</t>
  </si>
  <si>
    <t>ac_16_2c</t>
  </si>
  <si>
    <t>ac_17_2c</t>
  </si>
  <si>
    <t>ac_18_2c</t>
  </si>
  <si>
    <t>ac_21_2c</t>
  </si>
  <si>
    <t>ac_22_2c</t>
  </si>
  <si>
    <t>ac_23_2c</t>
  </si>
  <si>
    <t>ac_24_2c</t>
  </si>
  <si>
    <t>ac_26_2c</t>
  </si>
  <si>
    <t>ac_27_2c</t>
  </si>
  <si>
    <t>ac_28_2c</t>
  </si>
  <si>
    <t>ac_32_2c</t>
  </si>
  <si>
    <t>ac_33_2c</t>
  </si>
  <si>
    <t>ac_34_2c</t>
  </si>
  <si>
    <t>ac_35_2c</t>
  </si>
  <si>
    <t>ac_36_2c</t>
  </si>
  <si>
    <t>ac_37_2c</t>
  </si>
  <si>
    <t>ac_38_2c</t>
  </si>
  <si>
    <t>ac_41_2c</t>
  </si>
  <si>
    <t>ac_42_2c</t>
  </si>
  <si>
    <t>ac_43_2c</t>
  </si>
  <si>
    <t>ac_44_2c</t>
  </si>
  <si>
    <t>ac_45_2c</t>
  </si>
  <si>
    <t>ac_46_2c</t>
  </si>
  <si>
    <t>ac_47_2c</t>
  </si>
  <si>
    <t>ac_48_2c</t>
  </si>
  <si>
    <t>ac_51_2c</t>
  </si>
  <si>
    <t>ac_52_2c</t>
  </si>
  <si>
    <t>ac_53_2c</t>
  </si>
  <si>
    <t>ac_54_2c</t>
  </si>
  <si>
    <t>ac_55_2c</t>
  </si>
  <si>
    <t>ac_56_2c</t>
  </si>
  <si>
    <t>ac_57_2c</t>
  </si>
  <si>
    <t>ac_a2_3c</t>
  </si>
  <si>
    <t>ac_a3_3c</t>
  </si>
  <si>
    <t>ac_a4_3c</t>
  </si>
  <si>
    <t>ac_b1_3c</t>
  </si>
  <si>
    <t>ac_b2_3c</t>
  </si>
  <si>
    <t>ac_b3_3c</t>
  </si>
  <si>
    <t>ac_b4_3c</t>
  </si>
  <si>
    <t>ac_b5_3c</t>
  </si>
  <si>
    <t>ac_b6_3c</t>
  </si>
  <si>
    <t>ac_b7_3c</t>
  </si>
  <si>
    <t>ac_b8_3c</t>
  </si>
  <si>
    <t>ac_c1_3c</t>
  </si>
  <si>
    <t>ac_c2_3c</t>
  </si>
  <si>
    <t>ac_c3_3c</t>
  </si>
  <si>
    <t>ac_c4_3c</t>
  </si>
  <si>
    <t>ac_c5_3c</t>
  </si>
  <si>
    <t>ac_c6_3c</t>
  </si>
  <si>
    <t>ac_c7_3c</t>
  </si>
  <si>
    <t>ac_c8_3c</t>
  </si>
  <si>
    <t>ac_11_3c</t>
  </si>
  <si>
    <t>ac_12_3c</t>
  </si>
  <si>
    <t>ac_13_3c</t>
  </si>
  <si>
    <t>ac_16_3c</t>
  </si>
  <si>
    <t>ac_17_3c</t>
  </si>
  <si>
    <t>ac_18_3c</t>
  </si>
  <si>
    <t>ac_21_3c</t>
  </si>
  <si>
    <t>ac_22_3c</t>
  </si>
  <si>
    <t>ac_23_3c</t>
  </si>
  <si>
    <t>ac_24_3c</t>
  </si>
  <si>
    <t>ac_26_3c</t>
  </si>
  <si>
    <t>ac_27_3c</t>
  </si>
  <si>
    <t>ac_28_3c</t>
  </si>
  <si>
    <t>ac_32_3c</t>
  </si>
  <si>
    <t>ac_33_3c</t>
  </si>
  <si>
    <t>ac_34_3c</t>
  </si>
  <si>
    <t>ac_35_3c</t>
  </si>
  <si>
    <t>ac_36_3c</t>
  </si>
  <si>
    <t>ac_37_3c</t>
  </si>
  <si>
    <t>ac_38_3c</t>
  </si>
  <si>
    <t>ac_41_3c</t>
  </si>
  <si>
    <t>ac_42_3c</t>
  </si>
  <si>
    <t>ac_43_3c</t>
  </si>
  <si>
    <t>ac_44_3c</t>
  </si>
  <si>
    <t>ac_45_3c</t>
  </si>
  <si>
    <t>ac_46_3c</t>
  </si>
  <si>
    <t>ac_47_3c</t>
  </si>
  <si>
    <t>ac_48_3c</t>
  </si>
  <si>
    <t>ac_51_3c</t>
  </si>
  <si>
    <t>ac_52_3c</t>
  </si>
  <si>
    <t>ac_53_3c</t>
  </si>
  <si>
    <t>ac_54_3c</t>
  </si>
  <si>
    <t>ac_55_3c</t>
  </si>
  <si>
    <t>ac_56_3c</t>
  </si>
  <si>
    <t>ac_57_3c</t>
  </si>
  <si>
    <t>ac_a2_4c</t>
  </si>
  <si>
    <t>ac_a3_4c</t>
  </si>
  <si>
    <t>ac_a4_4c</t>
  </si>
  <si>
    <t>ac_b1_4c</t>
  </si>
  <si>
    <t>ac_b2_4c</t>
  </si>
  <si>
    <t>ac_b3_4c</t>
  </si>
  <si>
    <t>ac_b4_4c</t>
  </si>
  <si>
    <t>ac_b5_4c</t>
  </si>
  <si>
    <t>ac_b6_4c</t>
  </si>
  <si>
    <t>ac_b7_4c</t>
  </si>
  <si>
    <t>ac_b8_4c</t>
  </si>
  <si>
    <t>ac_c1_4c</t>
  </si>
  <si>
    <t>ac_c2_4c</t>
  </si>
  <si>
    <t>ac_c3_4c</t>
  </si>
  <si>
    <t>ac_c4_4c</t>
  </si>
  <si>
    <t>ac_c5_4c</t>
  </si>
  <si>
    <t>ac_c6_4c</t>
  </si>
  <si>
    <t>ac_c7_4c</t>
  </si>
  <si>
    <t>ac_c8_4c</t>
  </si>
  <si>
    <t>ac_11_4c</t>
  </si>
  <si>
    <t>ac_12_4c</t>
  </si>
  <si>
    <t>ac_13_4c</t>
  </si>
  <si>
    <t>ac_16_4c</t>
  </si>
  <si>
    <t>ac_17_4c</t>
  </si>
  <si>
    <t>ac_18_4c</t>
  </si>
  <si>
    <t>ac_21_4c</t>
  </si>
  <si>
    <t>ac_22_4c</t>
  </si>
  <si>
    <t>ac_23_4c</t>
  </si>
  <si>
    <t>ac_24_4c</t>
  </si>
  <si>
    <t>ac_26_4c</t>
  </si>
  <si>
    <t>ac_27_4c</t>
  </si>
  <si>
    <t>ac_28_4c</t>
  </si>
  <si>
    <t>ac_32_4c</t>
  </si>
  <si>
    <t>ac_33_4c</t>
  </si>
  <si>
    <t>ac_34_4c</t>
  </si>
  <si>
    <t>ac_35_4c</t>
  </si>
  <si>
    <t>ac_36_4c</t>
  </si>
  <si>
    <t>ac_37_4c</t>
  </si>
  <si>
    <t>ac_38_4c</t>
  </si>
  <si>
    <t>ac_41_4c</t>
  </si>
  <si>
    <t>ac_42_4c</t>
  </si>
  <si>
    <t>ac_43_4c</t>
  </si>
  <si>
    <t>ac_44_4c</t>
  </si>
  <si>
    <t>ac_45_4c</t>
  </si>
  <si>
    <t>ac_46_4c</t>
  </si>
  <si>
    <t>ac_47_4c</t>
  </si>
  <si>
    <t>ac_48_4c</t>
  </si>
  <si>
    <t>ac_51_4c</t>
  </si>
  <si>
    <t>ac_52_4c</t>
  </si>
  <si>
    <t>ac_53_4c</t>
  </si>
  <si>
    <t>ac_54_4c</t>
  </si>
  <si>
    <t>ac_55_4c</t>
  </si>
  <si>
    <t>ac_56_4c</t>
  </si>
  <si>
    <t>ac_57_4c</t>
  </si>
  <si>
    <t>pb_at_j5uu</t>
  </si>
  <si>
    <t>pb_at_j1c</t>
  </si>
  <si>
    <t>pb_at_j5c</t>
  </si>
  <si>
    <t>py_12_2c</t>
  </si>
  <si>
    <t>px_13_2c</t>
  </si>
  <si>
    <t>bc1e.1c</t>
  </si>
  <si>
    <t>bm_dc_1c</t>
  </si>
  <si>
    <t>bc2e.1c</t>
  </si>
  <si>
    <t>bm_dc_2c</t>
  </si>
  <si>
    <t>bc2e.2c</t>
  </si>
  <si>
    <t>bm_dc_3c</t>
  </si>
  <si>
    <t>bc1e.2c</t>
  </si>
  <si>
    <t>bm_dc_4c</t>
  </si>
  <si>
    <t>ac_at_1u</t>
  </si>
  <si>
    <t>ac_at_1d</t>
  </si>
  <si>
    <t>ac_a1_1u</t>
  </si>
  <si>
    <t>ac_at_2u</t>
  </si>
  <si>
    <t>ac_a1_1d</t>
  </si>
  <si>
    <t>ac_at_2d</t>
  </si>
  <si>
    <t>ac_a2_1u</t>
  </si>
  <si>
    <t>ac_a2_1d</t>
  </si>
  <si>
    <t>ac_a2_2u</t>
  </si>
  <si>
    <t>ac_a2_2d</t>
  </si>
  <si>
    <t>ac_a2_3u</t>
  </si>
  <si>
    <t>ac_a2_3d</t>
  </si>
  <si>
    <t>ac_a2_4u</t>
  </si>
  <si>
    <t>ac_a2_4d</t>
  </si>
  <si>
    <t>ac_a3_1u</t>
  </si>
  <si>
    <t>ac_a3_1d</t>
  </si>
  <si>
    <t>ac_a3_2u</t>
  </si>
  <si>
    <t>ac_a3_2d</t>
  </si>
  <si>
    <t>ac_a3_3u</t>
  </si>
  <si>
    <t>ac_a3_3d</t>
  </si>
  <si>
    <t>ac_a3_4u</t>
  </si>
  <si>
    <t>ac_a3_4d</t>
  </si>
  <si>
    <t>ac_a4_1u</t>
  </si>
  <si>
    <t>ac_a4_1d</t>
  </si>
  <si>
    <t>ac_a4_2u</t>
  </si>
  <si>
    <t>ac_a4_2d</t>
  </si>
  <si>
    <t>ac_a4_3u</t>
  </si>
  <si>
    <t>ac_a4_3d</t>
  </si>
  <si>
    <t>ac_b1_1u</t>
  </si>
  <si>
    <t>ac_b1_1d</t>
  </si>
  <si>
    <t>ac_b1_2u</t>
  </si>
  <si>
    <t>ac_b1_2d</t>
  </si>
  <si>
    <t>ac_b1_3u</t>
  </si>
  <si>
    <t>ac_b1_3d</t>
  </si>
  <si>
    <t>ac_b1_4u</t>
  </si>
  <si>
    <t>ac_b1_4d</t>
  </si>
  <si>
    <t>ac_b2_1u</t>
  </si>
  <si>
    <t>ac_b2_1d</t>
  </si>
  <si>
    <t>ac_b2_2u</t>
  </si>
  <si>
    <t>ac_b2_2d</t>
  </si>
  <si>
    <t>ac_b2_3u</t>
  </si>
  <si>
    <t>ac_b2_3d</t>
  </si>
  <si>
    <t>ac_b2_4u</t>
  </si>
  <si>
    <t>ac_b2_4d</t>
  </si>
  <si>
    <t>ac_b3_1u</t>
  </si>
  <si>
    <t>ac_b3_1d</t>
  </si>
  <si>
    <t>ac_b3_2u</t>
  </si>
  <si>
    <t>ac_b3_2d</t>
  </si>
  <si>
    <t>ac_b3_3u</t>
  </si>
  <si>
    <t>ac_b3_3d</t>
  </si>
  <si>
    <t>ac_b3_4u</t>
  </si>
  <si>
    <t>ac_b3_4d</t>
  </si>
  <si>
    <t>ac_b4_1u</t>
  </si>
  <si>
    <t>ac_b4_1d</t>
  </si>
  <si>
    <t>ac_b4_2u</t>
  </si>
  <si>
    <t>ac_b4_2d</t>
  </si>
  <si>
    <t>ac_b4_3u</t>
  </si>
  <si>
    <t>ac_b4_3d</t>
  </si>
  <si>
    <t>ac_b4_4u</t>
  </si>
  <si>
    <t>ac_b4_4d</t>
  </si>
  <si>
    <t>ac_b5_1u</t>
  </si>
  <si>
    <t>ac_b5_1d</t>
  </si>
  <si>
    <t>ac_b5_2u</t>
  </si>
  <si>
    <t>ac_b5_2d</t>
  </si>
  <si>
    <t>ac_b5_3u</t>
  </si>
  <si>
    <t>ac_b5_3d</t>
  </si>
  <si>
    <t>ac_b5_4u</t>
  </si>
  <si>
    <t>ac_b5_4d</t>
  </si>
  <si>
    <t>ac_b6_1u</t>
  </si>
  <si>
    <t>ac_b6_1d</t>
  </si>
  <si>
    <t>ac_b6_2u</t>
  </si>
  <si>
    <t>ac_b6_2d</t>
  </si>
  <si>
    <t>ac_b6_3u</t>
  </si>
  <si>
    <t>ac_b6_3d</t>
  </si>
  <si>
    <t>ac_b6_4u</t>
  </si>
  <si>
    <t>ac_b6_4d</t>
  </si>
  <si>
    <t>ac_b7_1u</t>
  </si>
  <si>
    <t>ac_b7_1d</t>
  </si>
  <si>
    <t>ac_b7_2u</t>
  </si>
  <si>
    <t>ac_b7_2d</t>
  </si>
  <si>
    <t>ac_b7_3u</t>
  </si>
  <si>
    <t>ac_b7_3d</t>
  </si>
  <si>
    <t>ac_b7_4u</t>
  </si>
  <si>
    <t>ac_b7_4d</t>
  </si>
  <si>
    <t>ac_b8_1u</t>
  </si>
  <si>
    <t>ac_b8_1d</t>
  </si>
  <si>
    <t>ac_b8_2u</t>
  </si>
  <si>
    <t>ac_b8_2d</t>
  </si>
  <si>
    <t>ac_b8_3u</t>
  </si>
  <si>
    <t>ac_b8_3d</t>
  </si>
  <si>
    <t>ac_b8_4u</t>
  </si>
  <si>
    <t>ac_b8_4d</t>
  </si>
  <si>
    <t>ac_c1_1u</t>
  </si>
  <si>
    <t>ac_c1_1d</t>
  </si>
  <si>
    <t>ac_c1_2u</t>
  </si>
  <si>
    <t>ac_c1_2d</t>
  </si>
  <si>
    <t>ac_c1_3u</t>
  </si>
  <si>
    <t>ac_c1_3d</t>
  </si>
  <si>
    <t>ac_c1_4u</t>
  </si>
  <si>
    <t>ac_c1_4d</t>
  </si>
  <si>
    <t>ac_c2_1u</t>
  </si>
  <si>
    <t>ac_c2_1d</t>
  </si>
  <si>
    <t>ac_c2_2u</t>
  </si>
  <si>
    <t>ac_c2_2d</t>
  </si>
  <si>
    <t>ac_c2_3u</t>
  </si>
  <si>
    <t>ac_c2_3d</t>
  </si>
  <si>
    <t>ac_c2_4u</t>
  </si>
  <si>
    <t>ac_c2_4d</t>
  </si>
  <si>
    <t>ac_c3_1u</t>
  </si>
  <si>
    <t>ac_c3_1d</t>
  </si>
  <si>
    <t>ac_c3_2u</t>
  </si>
  <si>
    <t>ac_c3_2d</t>
  </si>
  <si>
    <t>ac_c3_3u</t>
  </si>
  <si>
    <t>ac_c3_3d</t>
  </si>
  <si>
    <t>ac_c3_4u</t>
  </si>
  <si>
    <t>ac_c3_4d</t>
  </si>
  <si>
    <t>ac_c4_1u</t>
  </si>
  <si>
    <t>ac_c4_1d</t>
  </si>
  <si>
    <t>ac_c4_2u</t>
  </si>
  <si>
    <t>ac_c4_2d</t>
  </si>
  <si>
    <t>ac_c4_3u</t>
  </si>
  <si>
    <t>ac_c4_3d</t>
  </si>
  <si>
    <t>ac_c4_4u</t>
  </si>
  <si>
    <t>ac_c4_4d</t>
  </si>
  <si>
    <t>ac_c5_1u</t>
  </si>
  <si>
    <t>ac_c5_1d</t>
  </si>
  <si>
    <t>ac_c5_2u</t>
  </si>
  <si>
    <t>ac_c5_2d</t>
  </si>
  <si>
    <t>ac_c5_3u</t>
  </si>
  <si>
    <t>ac_c5_3d</t>
  </si>
  <si>
    <t>ac_c5_4u</t>
  </si>
  <si>
    <t>ac_c5_4d</t>
  </si>
  <si>
    <t>ac_c6_1u</t>
  </si>
  <si>
    <t>ac_c6_1d</t>
  </si>
  <si>
    <t>ac_c6_2u</t>
  </si>
  <si>
    <t>ac_c6_2d</t>
  </si>
  <si>
    <t>ac_c6_3u</t>
  </si>
  <si>
    <t>ac_c6_3d</t>
  </si>
  <si>
    <t>ac_c6_4u</t>
  </si>
  <si>
    <t>ac_c6_4d</t>
  </si>
  <si>
    <t>ac_c7_1u</t>
  </si>
  <si>
    <t>ac_c7_1d</t>
  </si>
  <si>
    <t>ac_c7_2u</t>
  </si>
  <si>
    <t>ac_c7_2d</t>
  </si>
  <si>
    <t>ac_c7_3u</t>
  </si>
  <si>
    <t>ac_c7_3d</t>
  </si>
  <si>
    <t>ac_c7_4u</t>
  </si>
  <si>
    <t>ac_c7_4d</t>
  </si>
  <si>
    <t>ac_c8_1u</t>
  </si>
  <si>
    <t>ac_c8_1d</t>
  </si>
  <si>
    <t>ac_c8_2u</t>
  </si>
  <si>
    <t>ac_c8_2d</t>
  </si>
  <si>
    <t>ac_c8_3u</t>
  </si>
  <si>
    <t>ac_c8_3d</t>
  </si>
  <si>
    <t>ac_c8_4u</t>
  </si>
  <si>
    <t>ac_c8_4d</t>
  </si>
  <si>
    <t>ac_11_1u</t>
  </si>
  <si>
    <t>ac_11_1d</t>
  </si>
  <si>
    <t>ac_11_2u</t>
  </si>
  <si>
    <t>ac_11_2d</t>
  </si>
  <si>
    <t>ac_11_3u</t>
  </si>
  <si>
    <t>ac_11_3d</t>
  </si>
  <si>
    <t>ac_11_4u</t>
  </si>
  <si>
    <t>ac_11_4d</t>
  </si>
  <si>
    <t>ac_12_1u</t>
  </si>
  <si>
    <t>ac_12_1d</t>
  </si>
  <si>
    <t>ac_12_2u</t>
  </si>
  <si>
    <t>ac_12_2d</t>
  </si>
  <si>
    <t>ac_12_3u</t>
  </si>
  <si>
    <t>ac_12_3d</t>
  </si>
  <si>
    <t>ac_12_4u</t>
  </si>
  <si>
    <t>ac_12_4d</t>
  </si>
  <si>
    <t>ac_13_1u</t>
  </si>
  <si>
    <t>ac_13_1d</t>
  </si>
  <si>
    <t>ac_13_2u</t>
  </si>
  <si>
    <t>ac_13_2d</t>
  </si>
  <si>
    <t>ac_13_3u</t>
  </si>
  <si>
    <t>ac_13_3d</t>
  </si>
  <si>
    <t>ac_13_4u</t>
  </si>
  <si>
    <t>ac_13_4d</t>
  </si>
  <si>
    <t>ac_15_1u</t>
  </si>
  <si>
    <t>ac_15_1d</t>
  </si>
  <si>
    <t>ac_15_2u</t>
  </si>
  <si>
    <t>ac_15_2d</t>
  </si>
  <si>
    <t>ac_16_2u</t>
  </si>
  <si>
    <t>ac_16_2d</t>
  </si>
  <si>
    <t>ac_16_3u</t>
  </si>
  <si>
    <t>ac_16_3d</t>
  </si>
  <si>
    <t>ac_16_4u</t>
  </si>
  <si>
    <t>ac_16_4d</t>
  </si>
  <si>
    <t>ac_17_3d</t>
  </si>
  <si>
    <t>ac_17_4d</t>
  </si>
  <si>
    <t>ac_18_1u</t>
  </si>
  <si>
    <t>ac_18_1d</t>
  </si>
  <si>
    <t>ac_18_2u</t>
  </si>
  <si>
    <t>ac_18_2d</t>
  </si>
  <si>
    <t>ac_18_3u</t>
  </si>
  <si>
    <t>ac_18_3d</t>
  </si>
  <si>
    <t>ac_18_4u</t>
  </si>
  <si>
    <t>ac_18_4d</t>
  </si>
  <si>
    <t>ac_21_1u</t>
  </si>
  <si>
    <t>ac_21_1d</t>
  </si>
  <si>
    <t>ac_21_2u</t>
  </si>
  <si>
    <t>ac_21_2d</t>
  </si>
  <si>
    <t>ac_21_3u</t>
  </si>
  <si>
    <t>ac_21_3d</t>
  </si>
  <si>
    <t>ac_21_4u</t>
  </si>
  <si>
    <t>ac_21_4d</t>
  </si>
  <si>
    <t>ac_22_1u</t>
  </si>
  <si>
    <t>ac_22_1d</t>
  </si>
  <si>
    <t>ac_22_2u</t>
  </si>
  <si>
    <t>ac_22_2d</t>
  </si>
  <si>
    <t>ac_22_3u</t>
  </si>
  <si>
    <t>ac_22_3d</t>
  </si>
  <si>
    <t>ac_22_4u</t>
  </si>
  <si>
    <t>ac_22_4d</t>
  </si>
  <si>
    <t>ac_23_1u</t>
  </si>
  <si>
    <t>ac_23_1d</t>
  </si>
  <si>
    <t>ac_23_2u</t>
  </si>
  <si>
    <t>ac_23_2d</t>
  </si>
  <si>
    <t>ac_23_3u</t>
  </si>
  <si>
    <t>ac_23_3d</t>
  </si>
  <si>
    <t>ac_23_4u</t>
  </si>
  <si>
    <t>ac_23_4d</t>
  </si>
  <si>
    <t>ac_24_1u</t>
  </si>
  <si>
    <t>ac_24_1d</t>
  </si>
  <si>
    <t>ac_24_2u</t>
  </si>
  <si>
    <t>ac_24_2d</t>
  </si>
  <si>
    <t>ac_24_3u</t>
  </si>
  <si>
    <t>ac_24_3d</t>
  </si>
  <si>
    <t>ac_24_4u</t>
  </si>
  <si>
    <t>ac_24_4d</t>
  </si>
  <si>
    <t>ac_26_1u</t>
  </si>
  <si>
    <t>ac_26_1d</t>
  </si>
  <si>
    <t>ac_26_2u</t>
  </si>
  <si>
    <t>ac_26_2d</t>
  </si>
  <si>
    <t>ac_26_3u</t>
  </si>
  <si>
    <t>ac_26_3d</t>
  </si>
  <si>
    <t>ac_26_4u</t>
  </si>
  <si>
    <t>ac_26_4d</t>
  </si>
  <si>
    <t>ac_27_1u</t>
  </si>
  <si>
    <t>ac_27_1d</t>
  </si>
  <si>
    <t>ac_27_2u</t>
  </si>
  <si>
    <t>ac_27_2d</t>
  </si>
  <si>
    <t>ac_27_3u</t>
  </si>
  <si>
    <t>ac_27_3d</t>
  </si>
  <si>
    <t>ac_27_4u</t>
  </si>
  <si>
    <t>ac_27_4d</t>
  </si>
  <si>
    <t>ac_28_1u</t>
  </si>
  <si>
    <t>ac_28_1d</t>
  </si>
  <si>
    <t>ac_28_2u</t>
  </si>
  <si>
    <t>ac_28_2d</t>
  </si>
  <si>
    <t>ac_28_3u</t>
  </si>
  <si>
    <t>ac_28_3d</t>
  </si>
  <si>
    <t>ac_28_4u</t>
  </si>
  <si>
    <t>ac_28_4d</t>
  </si>
  <si>
    <t>ac_32_1u</t>
  </si>
  <si>
    <t>ac_32_1d</t>
  </si>
  <si>
    <t>ac_32_2u</t>
  </si>
  <si>
    <t>ac_32_2d</t>
  </si>
  <si>
    <t>ac_32_3u</t>
  </si>
  <si>
    <t>ac_32_3d</t>
  </si>
  <si>
    <t>ac_32_4u</t>
  </si>
  <si>
    <t>ac_32_4d</t>
  </si>
  <si>
    <t>ac_33_1u</t>
  </si>
  <si>
    <t>ac_33_1d</t>
  </si>
  <si>
    <t>ac_33_2u</t>
  </si>
  <si>
    <t>ac_33_2d</t>
  </si>
  <si>
    <t>ac_33_3u</t>
  </si>
  <si>
    <t>ac_33_3d</t>
  </si>
  <si>
    <t>ac_33_4u</t>
  </si>
  <si>
    <t>ac_33_4d</t>
  </si>
  <si>
    <t>ac_34_1u</t>
  </si>
  <si>
    <t>ac_34_1d</t>
  </si>
  <si>
    <t>ac_34_2u</t>
  </si>
  <si>
    <t>ac_34_2d</t>
  </si>
  <si>
    <t>ac_34_3u</t>
  </si>
  <si>
    <t>ac_34_3d</t>
  </si>
  <si>
    <t>ac_34_4u</t>
  </si>
  <si>
    <t>ac_34_4d</t>
  </si>
  <si>
    <t>ac_35_1u</t>
  </si>
  <si>
    <t>ac_35_1d</t>
  </si>
  <si>
    <t>ac_35_2u</t>
  </si>
  <si>
    <t>ac_35_2d</t>
  </si>
  <si>
    <t>ac_35_3u</t>
  </si>
  <si>
    <t>ac_35_3d</t>
  </si>
  <si>
    <t>ac_35_4u</t>
  </si>
  <si>
    <t>ac_35_4d</t>
  </si>
  <si>
    <t>ac_36_1u</t>
  </si>
  <si>
    <t>ac_36_1d</t>
  </si>
  <si>
    <t>ac_36_2u</t>
  </si>
  <si>
    <t>ac_36_2d</t>
  </si>
  <si>
    <t>ac_36_3u</t>
  </si>
  <si>
    <t>ac_36_3d</t>
  </si>
  <si>
    <t>ac_36_4u</t>
  </si>
  <si>
    <t>ac_36_4d</t>
  </si>
  <si>
    <t>ac_37_1u</t>
  </si>
  <si>
    <t>ac_37_1d</t>
  </si>
  <si>
    <t>ac_37_2u</t>
  </si>
  <si>
    <t>ac_37_2d</t>
  </si>
  <si>
    <t>ac_37_3u</t>
  </si>
  <si>
    <t>ac_37_3d</t>
  </si>
  <si>
    <t>ac_37_4u</t>
  </si>
  <si>
    <t>ac_37_4d</t>
  </si>
  <si>
    <t>ac_38_1u</t>
  </si>
  <si>
    <t>ac_38_1d</t>
  </si>
  <si>
    <t>ac_38_2u</t>
  </si>
  <si>
    <t>ac_38_2d</t>
  </si>
  <si>
    <t>ac_38_3u</t>
  </si>
  <si>
    <t>ac_38_3d</t>
  </si>
  <si>
    <t>ac_38_4u</t>
  </si>
  <si>
    <t>ac_38_4d</t>
  </si>
  <si>
    <t>ac_41_1u</t>
  </si>
  <si>
    <t>ac_41_1d</t>
  </si>
  <si>
    <t>ac_41_2u</t>
  </si>
  <si>
    <t>ac_41_2d</t>
  </si>
  <si>
    <t>ac_41_3u</t>
  </si>
  <si>
    <t>ac_41_3d</t>
  </si>
  <si>
    <t>ac_41_4u</t>
  </si>
  <si>
    <t>ac_41_4d</t>
  </si>
  <si>
    <t>ac_42_1u</t>
  </si>
  <si>
    <t>ac_42_1d</t>
  </si>
  <si>
    <t>ac_42_2u</t>
  </si>
  <si>
    <t>ac_42_2d</t>
  </si>
  <si>
    <t>ac_42_3u</t>
  </si>
  <si>
    <t>ac_42_3d</t>
  </si>
  <si>
    <t>ac_42_4u</t>
  </si>
  <si>
    <t>ac_42_4d</t>
  </si>
  <si>
    <t>ac_43_1u</t>
  </si>
  <si>
    <t>ac_43_1d</t>
  </si>
  <si>
    <t>ac_43_2u</t>
  </si>
  <si>
    <t>ac_43_2d</t>
  </si>
  <si>
    <t>ac_43_3u</t>
  </si>
  <si>
    <t>ac_43_3d</t>
  </si>
  <si>
    <t>ac_43_4u</t>
  </si>
  <si>
    <t>ac_43_4d</t>
  </si>
  <si>
    <t>ac_44_1u</t>
  </si>
  <si>
    <t>ac_44_1d</t>
  </si>
  <si>
    <t>ac_44_2u</t>
  </si>
  <si>
    <t>ac_44_2d</t>
  </si>
  <si>
    <t>ac_44_3u</t>
  </si>
  <si>
    <t>ac_44_3d</t>
  </si>
  <si>
    <t>ac_44_4u</t>
  </si>
  <si>
    <t>ac_44_4d</t>
  </si>
  <si>
    <t>ac_45_1u</t>
  </si>
  <si>
    <t>ac_45_1d</t>
  </si>
  <si>
    <t>ac_45_2u</t>
  </si>
  <si>
    <t>ac_45_2d</t>
  </si>
  <si>
    <t>ac_45_3u</t>
  </si>
  <si>
    <t>ac_45_3d</t>
  </si>
  <si>
    <t>ac_45_4u</t>
  </si>
  <si>
    <t>ac_45_4d</t>
  </si>
  <si>
    <t>ac_46_1u</t>
  </si>
  <si>
    <t>ac_46_1d</t>
  </si>
  <si>
    <t>ac_46_2u</t>
  </si>
  <si>
    <t>ac_46_2d</t>
  </si>
  <si>
    <t>ac_46_3u</t>
  </si>
  <si>
    <t>ac_46_3d</t>
  </si>
  <si>
    <t>ac_46_4u</t>
  </si>
  <si>
    <t>ac_46_4d</t>
  </si>
  <si>
    <t>ac_47_1u</t>
  </si>
  <si>
    <t>ac_47_1d</t>
  </si>
  <si>
    <t>ac_47_2u</t>
  </si>
  <si>
    <t>ac_47_2d</t>
  </si>
  <si>
    <t>ac_47_3u</t>
  </si>
  <si>
    <t>ac_47_3d</t>
  </si>
  <si>
    <t>ac_47_4u</t>
  </si>
  <si>
    <t>ac_47_4d</t>
  </si>
  <si>
    <t>ac_48_1u</t>
  </si>
  <si>
    <t>ac_48_1d</t>
  </si>
  <si>
    <t>ac_48_2u</t>
  </si>
  <si>
    <t>ac_48_2d</t>
  </si>
  <si>
    <t>ac_48_3u</t>
  </si>
  <si>
    <t>ac_48_3d</t>
  </si>
  <si>
    <t>ac_48_4u</t>
  </si>
  <si>
    <t>ac_48_4d</t>
  </si>
  <si>
    <t>ac_51_1u</t>
  </si>
  <si>
    <t>ac_51_1d</t>
  </si>
  <si>
    <t>ac_51_2u</t>
  </si>
  <si>
    <t>ac_51_2d</t>
  </si>
  <si>
    <t>ac_51_3u</t>
  </si>
  <si>
    <t>ac_51_3d</t>
  </si>
  <si>
    <t>ac_51_4u</t>
  </si>
  <si>
    <t>ac_51_4d</t>
  </si>
  <si>
    <t>ac_52_1u</t>
  </si>
  <si>
    <t>ac_52_1d</t>
  </si>
  <si>
    <t>ac_52_2u</t>
  </si>
  <si>
    <t>ac_52_2d</t>
  </si>
  <si>
    <t>ac_52_3u</t>
  </si>
  <si>
    <t>ac_52_3d</t>
  </si>
  <si>
    <t>ac_52_4u</t>
  </si>
  <si>
    <t>ac_52_4d</t>
  </si>
  <si>
    <t>ac_53_1u</t>
  </si>
  <si>
    <t>ac_53_1d</t>
  </si>
  <si>
    <t>ac_53_2u</t>
  </si>
  <si>
    <t>ac_53_2d</t>
  </si>
  <si>
    <t>ac_53_3u</t>
  </si>
  <si>
    <t>ac_53_3d</t>
  </si>
  <si>
    <t>ac_53_4u</t>
  </si>
  <si>
    <t>ac_53_4d</t>
  </si>
  <si>
    <t>ac_54_1u</t>
  </si>
  <si>
    <t>ac_54_1d</t>
  </si>
  <si>
    <t>ac_54_2u</t>
  </si>
  <si>
    <t>ac_54_2d</t>
  </si>
  <si>
    <t>ac_54_3u</t>
  </si>
  <si>
    <t>ac_54_3d</t>
  </si>
  <si>
    <t>ac_54_4u</t>
  </si>
  <si>
    <t>ac_54_4d</t>
  </si>
  <si>
    <t>ac_55_1u</t>
  </si>
  <si>
    <t>ac_55_1d</t>
  </si>
  <si>
    <t>ac_55_2u</t>
  </si>
  <si>
    <t>ac_55_2d</t>
  </si>
  <si>
    <t>ac_55_3u</t>
  </si>
  <si>
    <t>ac_55_3d</t>
  </si>
  <si>
    <t>ac_55_4u</t>
  </si>
  <si>
    <t>ac_55_4d</t>
  </si>
  <si>
    <t>ac_56_1u</t>
  </si>
  <si>
    <t>ac_56_1d</t>
  </si>
  <si>
    <t>ac_56_2u</t>
  </si>
  <si>
    <t>ac_56_2d</t>
  </si>
  <si>
    <t>ac_56_3u</t>
  </si>
  <si>
    <t>ac_56_3d</t>
  </si>
  <si>
    <t>ac_56_4u</t>
  </si>
  <si>
    <t>ac_56_4d</t>
  </si>
  <si>
    <t>ac_57_1u</t>
  </si>
  <si>
    <t>ac_57_1d</t>
  </si>
  <si>
    <t>ac_57_2u</t>
  </si>
  <si>
    <t>ac_57_2d</t>
  </si>
  <si>
    <t>ac_57_3u</t>
  </si>
  <si>
    <t>ac_57_3d</t>
  </si>
  <si>
    <t>ac_57_4u</t>
  </si>
  <si>
    <t>ac_57_4d</t>
  </si>
  <si>
    <t>ac_a4_4u</t>
  </si>
  <si>
    <t>ac_a4_4d</t>
  </si>
  <si>
    <t>ac_16_1u</t>
  </si>
  <si>
    <t>ac_16_1d</t>
  </si>
  <si>
    <t>py_18_4</t>
  </si>
  <si>
    <t>px_18_4</t>
  </si>
  <si>
    <t>a16_12g</t>
  </si>
  <si>
    <t>a16_14g</t>
  </si>
  <si>
    <t>a16_15g</t>
  </si>
  <si>
    <t>a16_21g</t>
  </si>
  <si>
    <t>a16_22g</t>
  </si>
  <si>
    <t>a16_24g</t>
  </si>
  <si>
    <t>a16_25g</t>
  </si>
  <si>
    <t>a16_31g</t>
  </si>
  <si>
    <t>a16_32g</t>
  </si>
  <si>
    <t>a16_34g</t>
  </si>
  <si>
    <t>a16_35g</t>
  </si>
  <si>
    <t>a16_41g</t>
  </si>
  <si>
    <t>a16_42g</t>
  </si>
  <si>
    <t>bm_61_a1d</t>
  </si>
  <si>
    <t>bm_61_a1u</t>
  </si>
  <si>
    <t>qd_at_01</t>
  </si>
  <si>
    <t>sl_16_15d</t>
  </si>
  <si>
    <t>sl_16_25d</t>
  </si>
  <si>
    <t>sl_16_35d</t>
  </si>
  <si>
    <t>Ux [mm]</t>
  </si>
  <si>
    <t>Uy [mm]</t>
  </si>
  <si>
    <t>Uz [mm]</t>
  </si>
  <si>
    <t>xd [mm]</t>
  </si>
  <si>
    <t>yd [mm]</t>
  </si>
  <si>
    <t>zd [mm]</t>
  </si>
  <si>
    <t>xs [mm]</t>
  </si>
  <si>
    <t>ys [mm]</t>
  </si>
  <si>
    <t>zs [mm]</t>
  </si>
  <si>
    <t>Δz [mm]</t>
  </si>
  <si>
    <t>x' [rad]</t>
  </si>
  <si>
    <t>y' [rad]</t>
  </si>
  <si>
    <t>z' [rad]</t>
  </si>
  <si>
    <t>qd_a1_11c</t>
  </si>
  <si>
    <t>qf_a1_12c</t>
  </si>
  <si>
    <t>qd_a1_13c</t>
  </si>
  <si>
    <t>qd_a1_01</t>
  </si>
  <si>
    <t>qf_a1_02</t>
  </si>
  <si>
    <t>qd_at_j2c</t>
  </si>
  <si>
    <t>qf_at_j3c</t>
  </si>
  <si>
    <t>qd_at_j4c</t>
  </si>
  <si>
    <t>bm_16_c1c</t>
  </si>
  <si>
    <t>bm_16_c2c</t>
  </si>
  <si>
    <t>bm_16_c3c</t>
  </si>
  <si>
    <t>bm_16_c4c</t>
  </si>
  <si>
    <t>px_17_2c</t>
  </si>
  <si>
    <t>py_17_2c</t>
  </si>
  <si>
    <t>px_18_2c</t>
  </si>
  <si>
    <t>py_18_2c</t>
  </si>
  <si>
    <t>py_18_4c</t>
  </si>
  <si>
    <t>px_18_4c</t>
  </si>
  <si>
    <t>px_21_2c</t>
  </si>
  <si>
    <t>py_21_2c</t>
  </si>
  <si>
    <t>px_22_4c</t>
  </si>
  <si>
    <t>px_dc_4c</t>
  </si>
  <si>
    <t>py_dc_4c</t>
  </si>
  <si>
    <t>px_32_4c</t>
  </si>
  <si>
    <t>py_32_4c</t>
  </si>
  <si>
    <t>py_34_4c</t>
  </si>
  <si>
    <t>px_34_4c</t>
  </si>
  <si>
    <t>px_36_4c</t>
  </si>
  <si>
    <t>py_36_4c</t>
  </si>
  <si>
    <t>px_38_4c</t>
  </si>
  <si>
    <t>py_38_4c</t>
  </si>
  <si>
    <t>px_42_4c</t>
  </si>
  <si>
    <t>py_42_4c</t>
  </si>
  <si>
    <t>px_46_4c</t>
  </si>
  <si>
    <t>py_46_4c</t>
  </si>
  <si>
    <t>px_48_4c</t>
  </si>
  <si>
    <t>py_48_4c</t>
  </si>
  <si>
    <t>px_52_4c</t>
  </si>
  <si>
    <t>py_52_4c</t>
  </si>
  <si>
    <t>px_54_4c</t>
  </si>
  <si>
    <t>py_54_4c</t>
  </si>
  <si>
    <t>px_56_4c</t>
  </si>
  <si>
    <t>py_56_4c</t>
  </si>
  <si>
    <t>px_58_4c</t>
  </si>
  <si>
    <t>py_58_4c</t>
  </si>
  <si>
    <t>px_44_4c</t>
  </si>
  <si>
    <t>py_44_4c</t>
  </si>
  <si>
    <t>c0</t>
  </si>
  <si>
    <t>c1</t>
  </si>
  <si>
    <t>c2</t>
  </si>
  <si>
    <t>c3</t>
  </si>
  <si>
    <t>c4</t>
  </si>
  <si>
    <t>y [m]</t>
  </si>
  <si>
    <t>z' [mm]</t>
  </si>
  <si>
    <t>z" [mm]</t>
  </si>
  <si>
    <t>3rd</t>
  </si>
  <si>
    <t>PD 傾き [rad]</t>
  </si>
  <si>
    <t>LT 傾き [rad]</t>
  </si>
  <si>
    <t>Δz' [mm]</t>
  </si>
  <si>
    <t>d : diagnostics</t>
  </si>
  <si>
    <t>sp_at_0</t>
  </si>
  <si>
    <t>sc_at_0</t>
  </si>
  <si>
    <t>sc_at_1</t>
  </si>
  <si>
    <t>sp_at_2</t>
  </si>
  <si>
    <t>sc_at_2</t>
  </si>
  <si>
    <t>sp_at_22</t>
  </si>
  <si>
    <t>sp_at_j2</t>
  </si>
  <si>
    <t>sp_at_j4</t>
  </si>
  <si>
    <t>sc_at_j4</t>
  </si>
  <si>
    <t>sp_a1_m</t>
  </si>
  <si>
    <t>sp_as_2</t>
  </si>
  <si>
    <t>sp_as_1</t>
  </si>
  <si>
    <t>sc_as_0</t>
  </si>
  <si>
    <t>sc_as_1</t>
  </si>
  <si>
    <t>sp_as_3</t>
  </si>
  <si>
    <t>sp_a1_g</t>
  </si>
  <si>
    <t>sc_a1_g</t>
  </si>
  <si>
    <t>sc_as_2</t>
  </si>
  <si>
    <t>sp_a1_0</t>
  </si>
  <si>
    <t>sc_a1_0</t>
  </si>
  <si>
    <t>sp_a1_1</t>
  </si>
  <si>
    <t>sc_a1_1</t>
  </si>
  <si>
    <t>sc_a1_c2_0</t>
  </si>
  <si>
    <t>sc_a1_c2_65</t>
  </si>
  <si>
    <t>sp_at_1</t>
  </si>
  <si>
    <t>sc_a1_ms</t>
  </si>
  <si>
    <t>sc_a1_m</t>
  </si>
  <si>
    <t>ws_a1_m</t>
  </si>
  <si>
    <t>sp_a2_1</t>
  </si>
  <si>
    <t>sc_a2_1</t>
  </si>
  <si>
    <t>sc_a2_2</t>
  </si>
  <si>
    <t>sp_a2_3</t>
  </si>
  <si>
    <t>sc_a2_3</t>
  </si>
  <si>
    <t>sp_a2_4</t>
  </si>
  <si>
    <t>sc_a2_4</t>
  </si>
  <si>
    <t>sp_a3_2</t>
  </si>
  <si>
    <t>sc_a3_2</t>
  </si>
  <si>
    <t>sp_a3_4</t>
  </si>
  <si>
    <t>sc_a3_4</t>
  </si>
  <si>
    <t>sp_a4_2</t>
  </si>
  <si>
    <t>sc_a4_2</t>
  </si>
  <si>
    <t>sp_a4_4</t>
  </si>
  <si>
    <t>sc_a4_4</t>
  </si>
  <si>
    <t>st_a4_4</t>
  </si>
  <si>
    <t>sc_a4_42</t>
  </si>
  <si>
    <t>sc_b1_2</t>
  </si>
  <si>
    <t>sp_b1_4</t>
  </si>
  <si>
    <t>sc_b2_2</t>
  </si>
  <si>
    <t>sp_b2_4</t>
  </si>
  <si>
    <t>sc_b3_2</t>
  </si>
  <si>
    <t>sp_b3_4</t>
  </si>
  <si>
    <t>sc_b4_2</t>
  </si>
  <si>
    <t>sp_b4_4</t>
  </si>
  <si>
    <t>sc_b5_2</t>
  </si>
  <si>
    <t>sp_b5_4</t>
  </si>
  <si>
    <t>sp_b6_4</t>
  </si>
  <si>
    <t>sc_b7_2</t>
  </si>
  <si>
    <t>sp_b7_4</t>
  </si>
  <si>
    <t>sc_b8_2</t>
  </si>
  <si>
    <t>ws_r0_01</t>
  </si>
  <si>
    <t>sp_r0_01</t>
  </si>
  <si>
    <t>sc_r0_01</t>
  </si>
  <si>
    <t>cl_r0_01</t>
  </si>
  <si>
    <t>sp_r0_02</t>
  </si>
  <si>
    <t>sc_r0_03</t>
  </si>
  <si>
    <t>sc_r0_14</t>
  </si>
  <si>
    <t>sp_r0_22</t>
  </si>
  <si>
    <t>sp_r0_14</t>
  </si>
  <si>
    <t>sc_r0_22</t>
  </si>
  <si>
    <t>sc_r0_31</t>
  </si>
  <si>
    <t>sp_r0_32</t>
  </si>
  <si>
    <t>s8_r0_32</t>
  </si>
  <si>
    <t>sc_r0_41</t>
  </si>
  <si>
    <t>sp_r0_42</t>
  </si>
  <si>
    <t>ws_r0_51</t>
  </si>
  <si>
    <t>sp_r0_51</t>
  </si>
  <si>
    <t>sc_r0_51</t>
  </si>
  <si>
    <t>sc_r0_61</t>
  </si>
  <si>
    <t>sp_r0_62</t>
  </si>
  <si>
    <t>sc_r0_63</t>
  </si>
  <si>
    <t>sp_r0_63</t>
  </si>
  <si>
    <t>ws_r0_63</t>
  </si>
  <si>
    <t>ws_c1_2</t>
  </si>
  <si>
    <t>sc_c1_2</t>
  </si>
  <si>
    <t>ws_c1_4</t>
  </si>
  <si>
    <t>sc_c2_2</t>
  </si>
  <si>
    <t>ws_c2_2</t>
  </si>
  <si>
    <t>sp_c2_4</t>
  </si>
  <si>
    <t>sc_c3_2</t>
  </si>
  <si>
    <t>sp_c3_4</t>
  </si>
  <si>
    <t>sc_c4_2</t>
  </si>
  <si>
    <t>sp_c4_4</t>
  </si>
  <si>
    <t>sc_c5_2</t>
  </si>
  <si>
    <t>sp_c5_4</t>
  </si>
  <si>
    <t>sc_c6_2</t>
  </si>
  <si>
    <t>sp_c6_4</t>
  </si>
  <si>
    <t>sc_c7_2</t>
  </si>
  <si>
    <t>sp_c7_4</t>
  </si>
  <si>
    <t>sc_c8_2</t>
  </si>
  <si>
    <t>sp_c8_4</t>
  </si>
  <si>
    <t>sc_11_2</t>
  </si>
  <si>
    <t>sp_11_4</t>
  </si>
  <si>
    <t>sp_12_4</t>
  </si>
  <si>
    <t>sp_13_5</t>
  </si>
  <si>
    <t>px_13_52c</t>
  </si>
  <si>
    <t>sc_13_4sp</t>
  </si>
  <si>
    <t>py_13_5c</t>
  </si>
  <si>
    <t>sp_15_t</t>
  </si>
  <si>
    <t>sc_15_t</t>
  </si>
  <si>
    <t>sl_15_11c</t>
  </si>
  <si>
    <t>sl_15_12c</t>
  </si>
  <si>
    <t>sl_15_13c</t>
  </si>
  <si>
    <t>sl_15_14c</t>
  </si>
  <si>
    <t>sp_15_15</t>
  </si>
  <si>
    <t>sl_15_15c</t>
  </si>
  <si>
    <t>sl_15_21c</t>
  </si>
  <si>
    <t>sl_15_22c</t>
  </si>
  <si>
    <t>sl_15_23c</t>
  </si>
  <si>
    <t>sl_15_24c</t>
  </si>
  <si>
    <t>sp_15_25</t>
  </si>
  <si>
    <t>sl_16_11c</t>
  </si>
  <si>
    <t>sl_16_12c</t>
  </si>
  <si>
    <t>sl_16_13c</t>
  </si>
  <si>
    <t>sl_16_14c</t>
  </si>
  <si>
    <t>sp_16_15</t>
  </si>
  <si>
    <t>sl_16_15c</t>
  </si>
  <si>
    <t>sl_16_21c</t>
  </si>
  <si>
    <t>sl_16_22c</t>
  </si>
  <si>
    <t>sl_16_23c</t>
  </si>
  <si>
    <t>sl_16_24c</t>
  </si>
  <si>
    <t>sp_16_25</t>
  </si>
  <si>
    <t>sl_16_25c</t>
  </si>
  <si>
    <t>sl_16_31c</t>
  </si>
  <si>
    <t>sl_16_32c</t>
  </si>
  <si>
    <t>sl_16_33c</t>
  </si>
  <si>
    <t>sl_16_34c</t>
  </si>
  <si>
    <t>sl_16_35c</t>
  </si>
  <si>
    <t>sl_16_41c</t>
  </si>
  <si>
    <t>sl_16_42c</t>
  </si>
  <si>
    <t>sl_16_43c</t>
  </si>
  <si>
    <t>sl_16_44c</t>
  </si>
  <si>
    <t>sl_15_25c</t>
  </si>
  <si>
    <t>sc_16_4</t>
  </si>
  <si>
    <t>sc_16_5</t>
  </si>
  <si>
    <t>co_16_56</t>
  </si>
  <si>
    <t>sp_16_5</t>
  </si>
  <si>
    <t>sp_17_2</t>
  </si>
  <si>
    <t>sc_17_4</t>
  </si>
  <si>
    <t>sp_17_44</t>
  </si>
  <si>
    <t>sp_18_2</t>
  </si>
  <si>
    <t>co_18_44</t>
  </si>
  <si>
    <t>co_18_46</t>
  </si>
  <si>
    <t>co_18_48</t>
  </si>
  <si>
    <t>sp_18_49</t>
  </si>
  <si>
    <t>sc_18_4</t>
  </si>
  <si>
    <t>px_17_4c</t>
  </si>
  <si>
    <t>py_17_4c</t>
  </si>
  <si>
    <t>sp_21_2</t>
  </si>
  <si>
    <t>sc_21_4</t>
  </si>
  <si>
    <t>sp_21_4</t>
  </si>
  <si>
    <t>ws_22_4</t>
  </si>
  <si>
    <t>sp_22_4</t>
  </si>
  <si>
    <t>bx_23_12</t>
  </si>
  <si>
    <t>by_23_13</t>
  </si>
  <si>
    <t>sp_23_2</t>
  </si>
  <si>
    <t>sp_23_4</t>
  </si>
  <si>
    <t>sx_24_1</t>
  </si>
  <si>
    <t>sy_24_1</t>
  </si>
  <si>
    <t>sp_24_1</t>
  </si>
  <si>
    <t>cl_24_2</t>
  </si>
  <si>
    <t>sc_24_2</t>
  </si>
  <si>
    <t>sx_24_2</t>
  </si>
  <si>
    <t>sy_24_2</t>
  </si>
  <si>
    <t>sp_24_3</t>
  </si>
  <si>
    <t>sx_24_3</t>
  </si>
  <si>
    <t>sy_24_3</t>
  </si>
  <si>
    <t>px_24_4</t>
  </si>
  <si>
    <t>py_24_4</t>
  </si>
  <si>
    <t>sp_24_4</t>
  </si>
  <si>
    <t>sc_24_3</t>
  </si>
  <si>
    <t>sx_24_4</t>
  </si>
  <si>
    <t>sy_24_4</t>
  </si>
  <si>
    <t>sc_24_4</t>
  </si>
  <si>
    <t>sx_26_1</t>
  </si>
  <si>
    <t>sy_26_1</t>
  </si>
  <si>
    <t>sp_26_1</t>
  </si>
  <si>
    <t>ws_26_1</t>
  </si>
  <si>
    <t>sx_26_2</t>
  </si>
  <si>
    <t>sy_26_2</t>
  </si>
  <si>
    <t>sp_26_2</t>
  </si>
  <si>
    <t>sc_26_2</t>
  </si>
  <si>
    <t>sx_26_3</t>
  </si>
  <si>
    <t>sy_26_3</t>
  </si>
  <si>
    <t>sp_26_3</t>
  </si>
  <si>
    <t>sc_26_3</t>
  </si>
  <si>
    <t>sx_26_4</t>
  </si>
  <si>
    <t>sy_26_4</t>
  </si>
  <si>
    <t>sp_26_4</t>
  </si>
  <si>
    <t>sc_26_4</t>
  </si>
  <si>
    <t>sx_27_1</t>
  </si>
  <si>
    <t>sy_27_1</t>
  </si>
  <si>
    <t>sp_27_2</t>
  </si>
  <si>
    <t>ws_27_2</t>
  </si>
  <si>
    <t>sx_27_3</t>
  </si>
  <si>
    <t>sy_27_3</t>
  </si>
  <si>
    <t>sp_27_4</t>
  </si>
  <si>
    <t>sc_27_4</t>
  </si>
  <si>
    <t>sx_28_1</t>
  </si>
  <si>
    <t>sy_28_1</t>
  </si>
  <si>
    <t>sp_28_2</t>
  </si>
  <si>
    <t>sc_28_2</t>
  </si>
  <si>
    <t>sx_28_3</t>
  </si>
  <si>
    <t>sy_28_3</t>
  </si>
  <si>
    <t>sp_28_4</t>
  </si>
  <si>
    <t>sc_28_4</t>
  </si>
  <si>
    <t>sp_dc_2</t>
  </si>
  <si>
    <t>sc_dc_2</t>
  </si>
  <si>
    <t>sp_22_2</t>
  </si>
  <si>
    <t>py_22_4c</t>
  </si>
  <si>
    <t>sc_23_4</t>
  </si>
  <si>
    <t>ws_24_1</t>
  </si>
  <si>
    <t>sp_24_2</t>
  </si>
  <si>
    <t>sp_dc_4</t>
  </si>
  <si>
    <t>sc_dc_4</t>
  </si>
  <si>
    <t>co_dc_4</t>
  </si>
  <si>
    <t>sc_32_2</t>
  </si>
  <si>
    <t>sp_32_4</t>
  </si>
  <si>
    <t>sc_33_2</t>
  </si>
  <si>
    <t>sc_34_2</t>
  </si>
  <si>
    <t>sp_34_4</t>
  </si>
  <si>
    <t>sc_35_2</t>
  </si>
  <si>
    <t>ws_35_2</t>
  </si>
  <si>
    <t>ws_36_2</t>
  </si>
  <si>
    <t>sp_36_4</t>
  </si>
  <si>
    <t>sc_37_2</t>
  </si>
  <si>
    <t>ws_37_2</t>
  </si>
  <si>
    <t>ws_38_2</t>
  </si>
  <si>
    <t>sp_38_4</t>
  </si>
  <si>
    <t>st_38_4</t>
  </si>
  <si>
    <t>sc_41_2</t>
  </si>
  <si>
    <t>sp_42_4</t>
  </si>
  <si>
    <t>sc_43_2</t>
  </si>
  <si>
    <t>sc_44_2</t>
  </si>
  <si>
    <t>sp_44_4</t>
  </si>
  <si>
    <t>sc_45_2</t>
  </si>
  <si>
    <t>sp_46_4</t>
  </si>
  <si>
    <t>sc_47_2</t>
  </si>
  <si>
    <t>sp_48_4</t>
  </si>
  <si>
    <t>ws_51_2</t>
  </si>
  <si>
    <t>sc_51_2</t>
  </si>
  <si>
    <t>sp_52_4</t>
  </si>
  <si>
    <t>sc_53_2</t>
  </si>
  <si>
    <t>ws_54_2</t>
  </si>
  <si>
    <t>sp_54_4</t>
  </si>
  <si>
    <t>sc_55_2</t>
  </si>
  <si>
    <t>ws_56_2</t>
  </si>
  <si>
    <t>sp_56_4</t>
  </si>
  <si>
    <t>ws_57_2</t>
  </si>
  <si>
    <t>sc_57_2</t>
  </si>
  <si>
    <t>sp_58_0</t>
  </si>
  <si>
    <t>sc_58_4</t>
  </si>
  <si>
    <t>sp_58_4</t>
  </si>
  <si>
    <t>sx_at_1</t>
  </si>
  <si>
    <t>sy_at_1</t>
  </si>
  <si>
    <t>sx_at_2</t>
  </si>
  <si>
    <t>sy_at_2</t>
  </si>
  <si>
    <t>sx_a1_1</t>
  </si>
  <si>
    <t>sy_a1_1</t>
  </si>
  <si>
    <t>sx_a2_1</t>
  </si>
  <si>
    <t>sy_a2_1</t>
  </si>
  <si>
    <t>sx_a2_2</t>
  </si>
  <si>
    <t>sy_a2_2</t>
  </si>
  <si>
    <t>sx_a2_3</t>
  </si>
  <si>
    <t>sy_a2_3</t>
  </si>
  <si>
    <t>sx_a2_4</t>
  </si>
  <si>
    <t>sy_a2_4</t>
  </si>
  <si>
    <t>sx_a3_1</t>
  </si>
  <si>
    <t>sy_a3_1</t>
  </si>
  <si>
    <t>sx_a3_2</t>
  </si>
  <si>
    <t>sy_a3_2</t>
  </si>
  <si>
    <t>sx_a3_3</t>
  </si>
  <si>
    <t>sy_a3_3</t>
  </si>
  <si>
    <t>sx_a3_4</t>
  </si>
  <si>
    <t>sy_a3_4</t>
  </si>
  <si>
    <t>sx_a4_1</t>
  </si>
  <si>
    <t>sy_a4_1</t>
  </si>
  <si>
    <t>sx_a4_2</t>
  </si>
  <si>
    <t>sy_a4_2</t>
  </si>
  <si>
    <t>sx_a4_3</t>
  </si>
  <si>
    <t>sy_a4_3</t>
  </si>
  <si>
    <t>sx_a4_4</t>
  </si>
  <si>
    <t>sy_a4_4</t>
  </si>
  <si>
    <t>sx_b1_1</t>
  </si>
  <si>
    <t>sy_b1_1</t>
  </si>
  <si>
    <t>sx_b1_3</t>
  </si>
  <si>
    <t>sy_b1_3</t>
  </si>
  <si>
    <t>sx_b2_1</t>
  </si>
  <si>
    <t>sy_b2_1</t>
  </si>
  <si>
    <t>sx_b2_3</t>
  </si>
  <si>
    <t>sy_b2_3</t>
  </si>
  <si>
    <t>sx_b3_1</t>
  </si>
  <si>
    <t>sy_b3_1</t>
  </si>
  <si>
    <t>sx_b3_3</t>
  </si>
  <si>
    <t>sy_b3_3</t>
  </si>
  <si>
    <t>sx_b4_1</t>
  </si>
  <si>
    <t>sy_b4_1</t>
  </si>
  <si>
    <t>sx_b4_3</t>
  </si>
  <si>
    <t>sy_b4_3</t>
  </si>
  <si>
    <t>sx_b5_1</t>
  </si>
  <si>
    <t>sy_b5_1</t>
  </si>
  <si>
    <t>sx_b5_3</t>
  </si>
  <si>
    <t>sy_b5_3</t>
  </si>
  <si>
    <t>sx_b6_1</t>
  </si>
  <si>
    <t>sy_b6_1</t>
  </si>
  <si>
    <t>sx_b6_3</t>
  </si>
  <si>
    <t>sy_b6_3</t>
  </si>
  <si>
    <t>sx_b7_1</t>
  </si>
  <si>
    <t>sy_b7_1</t>
  </si>
  <si>
    <t>sx_b7_3</t>
  </si>
  <si>
    <t>sy_b7_3</t>
  </si>
  <si>
    <t>sx_b8_1</t>
  </si>
  <si>
    <t>sy_b8_1</t>
  </si>
  <si>
    <t>sx_b8_3</t>
  </si>
  <si>
    <t>sy_b8_3</t>
  </si>
  <si>
    <t>sx_c1_1</t>
  </si>
  <si>
    <t>sy_c1_1</t>
  </si>
  <si>
    <t>sx_c1_3</t>
  </si>
  <si>
    <t>sy_c1_3</t>
  </si>
  <si>
    <t>sx_c2_1</t>
  </si>
  <si>
    <t>sy_c2_1</t>
  </si>
  <si>
    <t>sx_c2_3</t>
  </si>
  <si>
    <t>sy_c2_3</t>
  </si>
  <si>
    <t>sx_c3_1</t>
  </si>
  <si>
    <t>sy_c3_1</t>
  </si>
  <si>
    <t>sx_c3_3</t>
  </si>
  <si>
    <t>sy_c3_3</t>
  </si>
  <si>
    <t>sx_c4_1</t>
  </si>
  <si>
    <t>sy_c4_1</t>
  </si>
  <si>
    <t>sx_c4_3</t>
  </si>
  <si>
    <t>sy_c4_3</t>
  </si>
  <si>
    <t>sx_c5_3</t>
  </si>
  <si>
    <t>sy_c5_3</t>
  </si>
  <si>
    <t>sx_c6_1</t>
  </si>
  <si>
    <t>sy_c6_1</t>
  </si>
  <si>
    <t>sx_c6_3</t>
  </si>
  <si>
    <t>sy_c6_3</t>
  </si>
  <si>
    <t>sx_c7_1</t>
  </si>
  <si>
    <t>sy_c7_1</t>
  </si>
  <si>
    <t>sx_c8_1</t>
  </si>
  <si>
    <t>sy_c8_1</t>
  </si>
  <si>
    <t>sx_11_1</t>
  </si>
  <si>
    <t>sy_11_1</t>
  </si>
  <si>
    <t>sx_11_3</t>
  </si>
  <si>
    <t>sy_11_3</t>
  </si>
  <si>
    <t>sx_12_1</t>
  </si>
  <si>
    <t>sy_12_1</t>
  </si>
  <si>
    <t>sx_15_15</t>
  </si>
  <si>
    <t>sx_15_25</t>
  </si>
  <si>
    <t>sy_16_15</t>
  </si>
  <si>
    <t>gv_33_0</t>
  </si>
  <si>
    <t>v</t>
  </si>
  <si>
    <t>gv_33_4</t>
  </si>
  <si>
    <t>gv_35_0</t>
  </si>
  <si>
    <t>gv_35_4</t>
  </si>
  <si>
    <t>gv_37_1</t>
  </si>
  <si>
    <t>gv_37_4</t>
  </si>
  <si>
    <t>gv_41_0</t>
  </si>
  <si>
    <t>gv_41_4</t>
  </si>
  <si>
    <t>gv_43_0</t>
  </si>
  <si>
    <t>gv_43_4</t>
  </si>
  <si>
    <t>gv_45_0</t>
  </si>
  <si>
    <t>gv_45_4</t>
  </si>
  <si>
    <t>gv_47_0</t>
  </si>
  <si>
    <t>gv_47_4</t>
  </si>
  <si>
    <t>gv_51_0</t>
  </si>
  <si>
    <t>gv_51_4</t>
  </si>
  <si>
    <t>gv_53_0</t>
  </si>
  <si>
    <t>gv_53_4</t>
  </si>
  <si>
    <t>gv_55_0</t>
  </si>
  <si>
    <t>gv_57_0</t>
  </si>
  <si>
    <t>gv_57_4</t>
  </si>
  <si>
    <t>gv_58_4</t>
  </si>
  <si>
    <t>gv_r0_6</t>
  </si>
  <si>
    <t>sc_r0_6a</t>
  </si>
  <si>
    <t>gv_c1_0</t>
  </si>
  <si>
    <t>gv_c2_0</t>
  </si>
  <si>
    <t>gv_c3_0</t>
  </si>
  <si>
    <t>gv_c4_0</t>
  </si>
  <si>
    <t>gv_c5_0</t>
  </si>
  <si>
    <t>gv_c6_0</t>
  </si>
  <si>
    <t>gv_c7_0</t>
  </si>
  <si>
    <t>gv_c8_0</t>
  </si>
  <si>
    <t>gv_11_0</t>
  </si>
  <si>
    <t>gv_13_0</t>
  </si>
  <si>
    <t>gv_15_t</t>
  </si>
  <si>
    <t>gv_a2_0</t>
  </si>
  <si>
    <t>gv_a3_0</t>
  </si>
  <si>
    <t>gv_a4_0</t>
  </si>
  <si>
    <t>gv_a4_4</t>
  </si>
  <si>
    <t>gv_b1_0</t>
  </si>
  <si>
    <t>gv_b2_0</t>
  </si>
  <si>
    <t>gv_b3_0</t>
  </si>
  <si>
    <t>gv_b4_0</t>
  </si>
  <si>
    <t>gv_b5_0</t>
  </si>
  <si>
    <t>gv_b6_0</t>
  </si>
  <si>
    <t>gv_b7_0</t>
  </si>
  <si>
    <t>gv_b8_0</t>
  </si>
  <si>
    <t>gv_b8_4</t>
  </si>
  <si>
    <t>gv_16_4</t>
  </si>
  <si>
    <t>gv_18_0</t>
  </si>
  <si>
    <t>gv_18_4</t>
  </si>
  <si>
    <t>gv_22_0</t>
  </si>
  <si>
    <t>gv_23_0</t>
  </si>
  <si>
    <t>gv_24_0</t>
  </si>
  <si>
    <t>gv_26_4</t>
  </si>
  <si>
    <t>gv_dc_4</t>
  </si>
  <si>
    <t>1st ~ 2nd</t>
  </si>
  <si>
    <t>偏向電磁石入口 ～ 1st</t>
  </si>
  <si>
    <t>2nd ~ 3rd</t>
  </si>
  <si>
    <t>3rd ~ 偏向電磁石出口</t>
  </si>
  <si>
    <t>Element name</t>
  </si>
  <si>
    <t>sx_as_1</t>
  </si>
  <si>
    <t>sy_as_1</t>
  </si>
  <si>
    <t>qf_as_1</t>
  </si>
  <si>
    <t>qd_as_1</t>
  </si>
  <si>
    <t>sx_as_2</t>
  </si>
  <si>
    <t>sy_as_2</t>
  </si>
  <si>
    <t>bm_as_1</t>
  </si>
  <si>
    <t>qf_as_2</t>
  </si>
  <si>
    <t>qd_as_2</t>
  </si>
  <si>
    <t>bx_at_0</t>
  </si>
  <si>
    <t>by_at_0</t>
  </si>
  <si>
    <t>qd_a1_g1</t>
  </si>
  <si>
    <t>qd_as_3</t>
  </si>
  <si>
    <t>qf_a1_g2</t>
  </si>
  <si>
    <t>qf_as_3</t>
  </si>
  <si>
    <t>bx_a1_g</t>
  </si>
  <si>
    <t>by_a1_g</t>
  </si>
  <si>
    <t>bm_a1_0</t>
  </si>
  <si>
    <t>bm_a1_c1</t>
  </si>
  <si>
    <t>bm_a1_c2</t>
  </si>
  <si>
    <t>bm_a1_c3</t>
  </si>
  <si>
    <t>bm_a1_c4</t>
  </si>
  <si>
    <t>by_a1_c4</t>
  </si>
  <si>
    <t>pb_at_j1</t>
  </si>
  <si>
    <t>qd_at_j2</t>
  </si>
  <si>
    <t>qf_at_j3</t>
  </si>
  <si>
    <t>qd_at_j4</t>
  </si>
  <si>
    <t>pb_at_j5</t>
  </si>
  <si>
    <t>pd_a1_m</t>
  </si>
  <si>
    <t>pf_a1_m</t>
  </si>
  <si>
    <t>ac_a2_1</t>
  </si>
  <si>
    <t>pd_a2_1</t>
  </si>
  <si>
    <t>pf_a2_1</t>
  </si>
  <si>
    <t>ac_a2_2</t>
  </si>
  <si>
    <t>ac_a2_3</t>
  </si>
  <si>
    <t>qd_a2_3</t>
  </si>
  <si>
    <t>ac_a2_4</t>
  </si>
  <si>
    <t>ac_a3_1</t>
  </si>
  <si>
    <t>ac_a3_2</t>
  </si>
  <si>
    <t>qd_a2_4</t>
  </si>
  <si>
    <t>qd_a3_2</t>
  </si>
  <si>
    <t>ac_a3_3</t>
  </si>
  <si>
    <t>ac_a3_4</t>
  </si>
  <si>
    <t>ac_a4_1</t>
  </si>
  <si>
    <t>ac_a4_2</t>
  </si>
  <si>
    <t>qd_a4_2</t>
  </si>
  <si>
    <t>ac_a4_3</t>
  </si>
  <si>
    <t>ac_a4_4</t>
  </si>
  <si>
    <t>qd_a4_4</t>
  </si>
  <si>
    <t>px_a4_4</t>
  </si>
  <si>
    <t>py_a4_4</t>
  </si>
  <si>
    <t>ac_b1_1</t>
  </si>
  <si>
    <t>ac_b1_2</t>
  </si>
  <si>
    <t>ac_b1_3</t>
  </si>
  <si>
    <t>ac_b1_4</t>
  </si>
  <si>
    <t>qd_b1_4</t>
  </si>
  <si>
    <t>ac_b2_1</t>
  </si>
  <si>
    <t>ac_b2_2</t>
  </si>
  <si>
    <t>ac_b2_3</t>
  </si>
  <si>
    <t>ac_b2_4</t>
  </si>
  <si>
    <t>qd_b2_4</t>
  </si>
  <si>
    <t>ac_b3_1</t>
  </si>
  <si>
    <t>ac_b3_2</t>
  </si>
  <si>
    <t>ac_b3_3</t>
  </si>
  <si>
    <t>ac_b3_4</t>
  </si>
  <si>
    <t>qd_b3_4</t>
  </si>
  <si>
    <t>ac_b4_1</t>
  </si>
  <si>
    <t>ac_b4_2</t>
  </si>
  <si>
    <t>ac_b4_3</t>
  </si>
  <si>
    <t>ac_b4_4</t>
  </si>
  <si>
    <t>qd_b4_4</t>
  </si>
  <si>
    <t>ac_b5_1</t>
  </si>
  <si>
    <t>ac_b5_2</t>
  </si>
  <si>
    <t>ac_b5_3</t>
  </si>
  <si>
    <t>ac_b5_4</t>
  </si>
  <si>
    <t>qd_b5_4</t>
  </si>
  <si>
    <t>ac_b6_1</t>
  </si>
  <si>
    <t>ac_b6_2</t>
  </si>
  <si>
    <t>ac_b6_3</t>
  </si>
  <si>
    <t>ac_b6_4</t>
  </si>
  <si>
    <t>qd_b6_4</t>
  </si>
  <si>
    <t>ac_b7_1</t>
  </si>
  <si>
    <t>ac_b7_2</t>
  </si>
  <si>
    <t>ac_b7_3</t>
  </si>
  <si>
    <t>ac_b7_4</t>
  </si>
  <si>
    <t>qd_b7_4</t>
  </si>
  <si>
    <t>ac_b8_1</t>
  </si>
  <si>
    <t>ac_b8_2</t>
  </si>
  <si>
    <t>ac_b8_3</t>
  </si>
  <si>
    <t>ac_b8_4</t>
  </si>
  <si>
    <t>px_r0_01</t>
  </si>
  <si>
    <t>py_r0_01</t>
  </si>
  <si>
    <t>qd_r0_01</t>
  </si>
  <si>
    <t>px_r0_02</t>
  </si>
  <si>
    <t>py_r0_02</t>
  </si>
  <si>
    <t>qf_r0_02</t>
  </si>
  <si>
    <t>qd_r0_03</t>
  </si>
  <si>
    <t>bm_r0_1</t>
  </si>
  <si>
    <t>qf_r0_14</t>
  </si>
  <si>
    <t>bm_r0_2</t>
  </si>
  <si>
    <t>qd_r0_22</t>
  </si>
  <si>
    <t>qf_r0_23</t>
  </si>
  <si>
    <t>bm_r0_3</t>
  </si>
  <si>
    <t>qf_r0_32</t>
  </si>
  <si>
    <t>bm_r0_4</t>
  </si>
  <si>
    <t>qf_r0_41</t>
  </si>
  <si>
    <t>qd_r0_42</t>
  </si>
  <si>
    <t>bm_r0_5</t>
  </si>
  <si>
    <t>qf_r0_51</t>
  </si>
  <si>
    <t>bm_r0_6</t>
  </si>
  <si>
    <t>px_r0_61</t>
  </si>
  <si>
    <t>py_r0_61</t>
  </si>
  <si>
    <t>qd_r0_61</t>
  </si>
  <si>
    <t>qf_r0_62</t>
  </si>
  <si>
    <t>qd_r0_63</t>
  </si>
  <si>
    <t>px_r0_63</t>
  </si>
  <si>
    <t>py_r0_63</t>
  </si>
  <si>
    <t>ac_c1_1</t>
  </si>
  <si>
    <t>ac_c1_2</t>
  </si>
  <si>
    <t>ac_c1_3</t>
  </si>
  <si>
    <t>ac_c1_4</t>
  </si>
  <si>
    <t>ac_c2_1</t>
  </si>
  <si>
    <t>ac_c2_2</t>
  </si>
  <si>
    <t>ac_c2_3</t>
  </si>
  <si>
    <t>ac_c2_4</t>
  </si>
  <si>
    <t>ac_c3_1</t>
  </si>
  <si>
    <t>ac_c3_2</t>
  </si>
  <si>
    <t>ac_c3_3</t>
  </si>
  <si>
    <t>ac_c3_4</t>
  </si>
  <si>
    <t>ac_c4_1</t>
  </si>
  <si>
    <t>ac_c4_2</t>
  </si>
  <si>
    <t>ac_c4_3</t>
  </si>
  <si>
    <t>ac_c4_4</t>
  </si>
  <si>
    <t>ac_c5_1</t>
  </si>
  <si>
    <t>ac_c5_2</t>
  </si>
  <si>
    <t>ac_c5_3</t>
  </si>
  <si>
    <t>ac_c5_4</t>
  </si>
  <si>
    <t>ac_c6_1</t>
  </si>
  <si>
    <t>ac_c6_2</t>
  </si>
  <si>
    <t>ac_c6_3</t>
  </si>
  <si>
    <t>ac_c6_4</t>
  </si>
  <si>
    <t>ac_c7_1</t>
  </si>
  <si>
    <t>ac_c7_2</t>
  </si>
  <si>
    <t>ac_c7_3</t>
  </si>
  <si>
    <t>ac_c7_4</t>
  </si>
  <si>
    <t>px_c7_4</t>
  </si>
  <si>
    <t>py_c7_4</t>
  </si>
  <si>
    <t>ac_c8_1</t>
  </si>
  <si>
    <t>ac_c8_2</t>
  </si>
  <si>
    <t>ac_c8_3</t>
  </si>
  <si>
    <t>ac_c8_4</t>
  </si>
  <si>
    <t>ac_11_1</t>
  </si>
  <si>
    <t>ac_11_2</t>
  </si>
  <si>
    <t>ac_11_3</t>
  </si>
  <si>
    <t>ac_11_4</t>
  </si>
  <si>
    <t>ac_12_1</t>
  </si>
  <si>
    <t>ac_12_2</t>
  </si>
  <si>
    <t>ac_12_3</t>
  </si>
  <si>
    <t>ac_12_4</t>
  </si>
  <si>
    <t>ac_13_1</t>
  </si>
  <si>
    <t>ac_13_2</t>
  </si>
  <si>
    <t>ac_13_3</t>
  </si>
  <si>
    <t>ac_13_4</t>
  </si>
  <si>
    <t>pd_13_5</t>
  </si>
  <si>
    <t>pf_13_5</t>
  </si>
  <si>
    <t>px_13_52</t>
  </si>
  <si>
    <t>py_13_5</t>
  </si>
  <si>
    <t>ac_15_1</t>
  </si>
  <si>
    <t>ac_15_2</t>
  </si>
  <si>
    <t>sl_15_11</t>
  </si>
  <si>
    <t>sl_15_12</t>
  </si>
  <si>
    <t>sl_15_13</t>
  </si>
  <si>
    <t>sl_15_14</t>
  </si>
  <si>
    <t>sl_15_15</t>
  </si>
  <si>
    <t>sl_15_21</t>
  </si>
  <si>
    <t>sl_15_22</t>
  </si>
  <si>
    <t>sl_15_23</t>
  </si>
  <si>
    <t>sl_15_24</t>
  </si>
  <si>
    <t>sl_15_25</t>
  </si>
  <si>
    <t>ac_16_1</t>
  </si>
  <si>
    <t>sl_16_11</t>
  </si>
  <si>
    <t>sl_16_12</t>
  </si>
  <si>
    <t>sl_16_13</t>
  </si>
  <si>
    <t>sl_16_14</t>
  </si>
  <si>
    <t>sl_16_15</t>
  </si>
  <si>
    <t>ac_16_2</t>
  </si>
  <si>
    <t>sl_16_21</t>
  </si>
  <si>
    <t>sl_16_22</t>
  </si>
  <si>
    <t>sl_16_23</t>
  </si>
  <si>
    <t>sl_16_24</t>
  </si>
  <si>
    <t>sl_16_25</t>
  </si>
  <si>
    <t>ac_16_3</t>
  </si>
  <si>
    <t>sl_16_31</t>
  </si>
  <si>
    <t>sl_16_32</t>
  </si>
  <si>
    <t>sl_16_33</t>
  </si>
  <si>
    <t>sl_16_34</t>
  </si>
  <si>
    <t>sl_16_35</t>
  </si>
  <si>
    <t>ac_16_4</t>
  </si>
  <si>
    <t>sl_16_41</t>
  </si>
  <si>
    <t>sl_16_42</t>
  </si>
  <si>
    <t>sl_16_43</t>
  </si>
  <si>
    <t>sl_16_44</t>
  </si>
  <si>
    <t>qf_16_41</t>
  </si>
  <si>
    <t>qd_16_42</t>
  </si>
  <si>
    <t>qf_16_43</t>
  </si>
  <si>
    <t>qd_16_44</t>
  </si>
  <si>
    <t>bm_16_c1</t>
  </si>
  <si>
    <t>bm_16_c2</t>
  </si>
  <si>
    <t>bm_16_c3</t>
  </si>
  <si>
    <t>bm_16_c4</t>
  </si>
  <si>
    <t>qd_16_51</t>
  </si>
  <si>
    <t>qf_16_52</t>
  </si>
  <si>
    <t>qd_16_53</t>
  </si>
  <si>
    <t>qf_16_54</t>
  </si>
  <si>
    <t>qd_16_55</t>
  </si>
  <si>
    <t>qf_16_56</t>
  </si>
  <si>
    <t>py_16_5</t>
  </si>
  <si>
    <t>qd_16_57</t>
  </si>
  <si>
    <t>ac_17_1</t>
  </si>
  <si>
    <t>qf_17_11</t>
  </si>
  <si>
    <t>qd_17_12</t>
  </si>
  <si>
    <t>qf_17_13</t>
  </si>
  <si>
    <t>qd_17_14</t>
  </si>
  <si>
    <t>ac_17_2</t>
  </si>
  <si>
    <t>qf_17_21</t>
  </si>
  <si>
    <t>qd_17_22</t>
  </si>
  <si>
    <t>qf_17_23</t>
  </si>
  <si>
    <t>qd_17_24</t>
  </si>
  <si>
    <t>qf_17_25</t>
  </si>
  <si>
    <t>ac_17_3</t>
  </si>
  <si>
    <t>qd_17_31</t>
  </si>
  <si>
    <t>qf_17_32</t>
  </si>
  <si>
    <t>qd_17_33</t>
  </si>
  <si>
    <t>qf_17_34</t>
  </si>
  <si>
    <t>ac_17_4</t>
  </si>
  <si>
    <t>qd_17_41</t>
  </si>
  <si>
    <t>qf_17_42</t>
  </si>
  <si>
    <t>qd_17_43</t>
  </si>
  <si>
    <t>qf_17_44</t>
  </si>
  <si>
    <t>px_17_4</t>
  </si>
  <si>
    <t>qd_17_45</t>
  </si>
  <si>
    <t>py_17_4</t>
  </si>
  <si>
    <t>qf_17_46</t>
  </si>
  <si>
    <t>ac_18_1</t>
  </si>
  <si>
    <t>qd_18_11</t>
  </si>
  <si>
    <t>qf_18_12</t>
  </si>
  <si>
    <t>qd_18_13</t>
  </si>
  <si>
    <t>qf_18_14</t>
  </si>
  <si>
    <t>ac_18_2</t>
  </si>
  <si>
    <t>qd_18_21</t>
  </si>
  <si>
    <t>qf_18_22</t>
  </si>
  <si>
    <t>qd_18_23</t>
  </si>
  <si>
    <t>qf_18_24</t>
  </si>
  <si>
    <t>qd_18_25</t>
  </si>
  <si>
    <t>ac_18_3</t>
  </si>
  <si>
    <t>qf_18_31</t>
  </si>
  <si>
    <t>qd_18_32</t>
  </si>
  <si>
    <t>qf_18_33</t>
  </si>
  <si>
    <t>qd_18_34</t>
  </si>
  <si>
    <t>ac_18_4</t>
  </si>
  <si>
    <t>qf_18_41</t>
  </si>
  <si>
    <t>qd_18_42</t>
  </si>
  <si>
    <t>qf_18_43</t>
  </si>
  <si>
    <t>qd_18_44</t>
  </si>
  <si>
    <t>qf_18_45</t>
  </si>
  <si>
    <t>qd_18_46</t>
  </si>
  <si>
    <t>qf_18_47</t>
  </si>
  <si>
    <t>qd_18_48</t>
  </si>
  <si>
    <t>qf_18_49</t>
  </si>
  <si>
    <t>ac_21_1</t>
  </si>
  <si>
    <t>qd_21_11</t>
  </si>
  <si>
    <t>qf_21_12</t>
  </si>
  <si>
    <t>qd_21_13</t>
  </si>
  <si>
    <t>qf_21_14</t>
  </si>
  <si>
    <t>ac_21_2</t>
  </si>
  <si>
    <t>qd_21_21</t>
  </si>
  <si>
    <t>qf_21_22</t>
  </si>
  <si>
    <t>qd_21_23</t>
  </si>
  <si>
    <t>qf_21_24</t>
  </si>
  <si>
    <t>qd_21_25</t>
  </si>
  <si>
    <t>ac_21_3</t>
  </si>
  <si>
    <t>qf_21_31</t>
  </si>
  <si>
    <t>qd_21_32</t>
  </si>
  <si>
    <t>qf_21_33</t>
  </si>
  <si>
    <t>qd_21_34</t>
  </si>
  <si>
    <t>ac_21_4</t>
  </si>
  <si>
    <t>qf_21_41</t>
  </si>
  <si>
    <t>qd_21_42</t>
  </si>
  <si>
    <t>qf_21_43</t>
  </si>
  <si>
    <t>qd_21_44</t>
  </si>
  <si>
    <t>qf_21_45</t>
  </si>
  <si>
    <t>qd_21_46</t>
  </si>
  <si>
    <t>ac_22_1</t>
  </si>
  <si>
    <t>qf_22_11</t>
  </si>
  <si>
    <t>qd_22_12</t>
  </si>
  <si>
    <t>qf_22_13</t>
  </si>
  <si>
    <t>ac_22_2</t>
  </si>
  <si>
    <t>qd_22_21</t>
  </si>
  <si>
    <t>qf_22_22</t>
  </si>
  <si>
    <t>qd_22_23</t>
  </si>
  <si>
    <t>ac_22_3</t>
  </si>
  <si>
    <t>qf_22_31</t>
  </si>
  <si>
    <t>qd_22_32</t>
  </si>
  <si>
    <t>qf_22_33</t>
  </si>
  <si>
    <t>ac_22_4</t>
  </si>
  <si>
    <t>qd_22_41</t>
  </si>
  <si>
    <t>qf_22_42</t>
  </si>
  <si>
    <t>qd_22_43</t>
  </si>
  <si>
    <t>ac_23_1</t>
  </si>
  <si>
    <t>qf_23_11</t>
  </si>
  <si>
    <t>qd_23_12</t>
  </si>
  <si>
    <t>qf_23_13</t>
  </si>
  <si>
    <t>ac_23_2</t>
  </si>
  <si>
    <t>qd_23_21</t>
  </si>
  <si>
    <t>qf_23_22</t>
  </si>
  <si>
    <t>qd_23_23</t>
  </si>
  <si>
    <t>ac_23_3</t>
  </si>
  <si>
    <t>qf_23_31</t>
  </si>
  <si>
    <t>qd_23_32</t>
  </si>
  <si>
    <t>qf_23_33</t>
  </si>
  <si>
    <t>ac_23_4</t>
  </si>
  <si>
    <t>qd_23_41</t>
  </si>
  <si>
    <t>qf_23_42</t>
  </si>
  <si>
    <t>px_23_4</t>
  </si>
  <si>
    <t>ac_24_1</t>
  </si>
  <si>
    <t>py_24_1</t>
  </si>
  <si>
    <t>ac_24_2</t>
  </si>
  <si>
    <t>ac_24_3</t>
  </si>
  <si>
    <t>ac_24_4</t>
  </si>
  <si>
    <t>ac_26_1</t>
  </si>
  <si>
    <t>px_26_1</t>
  </si>
  <si>
    <t>ac_26_2</t>
  </si>
  <si>
    <t>ac_26_3</t>
  </si>
  <si>
    <t>ac_26_4</t>
  </si>
  <si>
    <t>py_26_4</t>
  </si>
  <si>
    <t>ac_27_1</t>
  </si>
  <si>
    <t>ac_27_2</t>
  </si>
  <si>
    <t>px_27_2</t>
  </si>
  <si>
    <t>ac_27_3</t>
  </si>
  <si>
    <t>ac_27_4</t>
  </si>
  <si>
    <t>ac_28_1</t>
  </si>
  <si>
    <t>ac_28_2</t>
  </si>
  <si>
    <t>py_28_2</t>
  </si>
  <si>
    <t>ac_28_3</t>
  </si>
  <si>
    <t>ac_28_4</t>
  </si>
  <si>
    <t>bc1e.1</t>
  </si>
  <si>
    <t>bm_dc_1</t>
  </si>
  <si>
    <t>bc2e.1</t>
  </si>
  <si>
    <t>bm_dc_2</t>
  </si>
  <si>
    <t>bc2e.2</t>
  </si>
  <si>
    <t>bm_dc_3</t>
  </si>
  <si>
    <t>bc1e.2</t>
  </si>
  <si>
    <t>bm_dc_4</t>
  </si>
  <si>
    <t>pf_dc_4</t>
  </si>
  <si>
    <t>pd_dc_4</t>
  </si>
  <si>
    <t>ac_32_1</t>
  </si>
  <si>
    <t>ac_32_2</t>
  </si>
  <si>
    <t>ac_32_3</t>
  </si>
  <si>
    <t>ac_32_4</t>
  </si>
  <si>
    <t>pf_32_4</t>
  </si>
  <si>
    <t>pd_32_4</t>
  </si>
  <si>
    <t>ac_33_1</t>
  </si>
  <si>
    <t>ac_33_2</t>
  </si>
  <si>
    <t>ac_33_3</t>
  </si>
  <si>
    <t>ac_33_4</t>
  </si>
  <si>
    <t>ac_34_1</t>
  </si>
  <si>
    <t>ac_34_2</t>
  </si>
  <si>
    <t>ac_34_3</t>
  </si>
  <si>
    <t>ac_34_4</t>
  </si>
  <si>
    <t>pf_34_4</t>
  </si>
  <si>
    <t>pd_34_4</t>
  </si>
  <si>
    <t>ac_35_1</t>
  </si>
  <si>
    <t>ac_35_2</t>
  </si>
  <si>
    <t>ac_35_3</t>
  </si>
  <si>
    <t>ac_35_4</t>
  </si>
  <si>
    <t>ac_36_1</t>
  </si>
  <si>
    <t>ac_36_2</t>
  </si>
  <si>
    <t>ac_36_3</t>
  </si>
  <si>
    <t>ac_36_4</t>
  </si>
  <si>
    <t>pf_36_4</t>
  </si>
  <si>
    <t>pd_36_4</t>
  </si>
  <si>
    <t>ac_37_1</t>
  </si>
  <si>
    <t>ac_37_2</t>
  </si>
  <si>
    <t>ac_37_3</t>
  </si>
  <si>
    <t>ac_37_4</t>
  </si>
  <si>
    <t>ac_38_1</t>
  </si>
  <si>
    <t>ac_38_2</t>
  </si>
  <si>
    <t>ac_38_3</t>
  </si>
  <si>
    <t>ac_38_4</t>
  </si>
  <si>
    <t>pf_38_4</t>
  </si>
  <si>
    <t>pd_38_4</t>
  </si>
  <si>
    <t>ac_41_1</t>
  </si>
  <si>
    <t>ac_41_2</t>
  </si>
  <si>
    <t>ac_41_3</t>
  </si>
  <si>
    <t>ac_41_4</t>
  </si>
  <si>
    <t>ac_42_1</t>
  </si>
  <si>
    <t>ac_42_2</t>
  </si>
  <si>
    <t>ac_42_3</t>
  </si>
  <si>
    <t>ac_42_4</t>
  </si>
  <si>
    <t>pf_42_4</t>
  </si>
  <si>
    <t>pd_42_4</t>
  </si>
  <si>
    <t>ac_43_1</t>
  </si>
  <si>
    <t>ac_43_2</t>
  </si>
  <si>
    <t>ac_43_3</t>
  </si>
  <si>
    <t>ac_43_4</t>
  </si>
  <si>
    <t>ac_44_1</t>
  </si>
  <si>
    <t>ac_44_2</t>
  </si>
  <si>
    <t>ac_44_3</t>
  </si>
  <si>
    <t>ac_44_4</t>
  </si>
  <si>
    <t>pf_44_4</t>
  </si>
  <si>
    <t>pd_44_4</t>
  </si>
  <si>
    <t>ac_45_1</t>
  </si>
  <si>
    <t>ac_45_2</t>
  </si>
  <si>
    <t>ac_45_3</t>
  </si>
  <si>
    <t>ac_45_4</t>
  </si>
  <si>
    <t>ac_46_1</t>
  </si>
  <si>
    <t>ac_46_2</t>
  </si>
  <si>
    <t>ac_46_3</t>
  </si>
  <si>
    <t>ac_46_4</t>
  </si>
  <si>
    <t>pf_46_4</t>
  </si>
  <si>
    <t>pd_46_4</t>
  </si>
  <si>
    <t>ac_47_1</t>
  </si>
  <si>
    <t>ac_47_2</t>
  </si>
  <si>
    <t>ac_47_3</t>
  </si>
  <si>
    <t>ac_47_4</t>
  </si>
  <si>
    <t>ac_48_1</t>
  </si>
  <si>
    <t>ac_48_2</t>
  </si>
  <si>
    <t>ac_48_3</t>
  </si>
  <si>
    <t>ac_48_4</t>
  </si>
  <si>
    <t>pf_48_4</t>
  </si>
  <si>
    <t>pd_48_4</t>
  </si>
  <si>
    <t>ac_51_1</t>
  </si>
  <si>
    <t>ac_51_2</t>
  </si>
  <si>
    <t>ac_51_3</t>
  </si>
  <si>
    <t>ac_51_4</t>
  </si>
  <si>
    <t>ac_52_1</t>
  </si>
  <si>
    <t>ac_52_2</t>
  </si>
  <si>
    <t>ac_52_3</t>
  </si>
  <si>
    <t>ac_52_4</t>
  </si>
  <si>
    <t>pf_52_4</t>
  </si>
  <si>
    <t>pd_52_4</t>
  </si>
  <si>
    <t>ac_53_1</t>
  </si>
  <si>
    <t>ac_53_2</t>
  </si>
  <si>
    <t>ac_53_3</t>
  </si>
  <si>
    <t>ac_53_4</t>
  </si>
  <si>
    <t>ac_54_1</t>
  </si>
  <si>
    <t>ac_54_2</t>
  </si>
  <si>
    <t>ac_54_3</t>
  </si>
  <si>
    <t>ac_54_4</t>
  </si>
  <si>
    <t>pf_54_4</t>
  </si>
  <si>
    <t>pd_54_4</t>
  </si>
  <si>
    <t>ac_55_1</t>
  </si>
  <si>
    <t>ac_55_2</t>
  </si>
  <si>
    <t>ac_55_3</t>
  </si>
  <si>
    <t>ac_55_4</t>
  </si>
  <si>
    <t>ac_56_1</t>
  </si>
  <si>
    <t>ac_56_2</t>
  </si>
  <si>
    <t>ac_56_3</t>
  </si>
  <si>
    <t>ac_56_4</t>
  </si>
  <si>
    <t>pf_56_4</t>
  </si>
  <si>
    <t>pd_56_4</t>
  </si>
  <si>
    <t>ac_57_1</t>
  </si>
  <si>
    <t>ac_57_2</t>
  </si>
  <si>
    <t>ac_57_3</t>
  </si>
  <si>
    <t>ac_57_4</t>
  </si>
  <si>
    <t>pf_58_4</t>
  </si>
  <si>
    <t>pd_58_4</t>
  </si>
  <si>
    <t>bm_61_1</t>
  </si>
  <si>
    <t>電磁石名称</t>
  </si>
  <si>
    <t>電源名称</t>
  </si>
  <si>
    <t>情報更新日</t>
  </si>
  <si>
    <t>情報更新者</t>
  </si>
  <si>
    <t>電磁石形式</t>
  </si>
  <si>
    <t>所属ビームライン名</t>
  </si>
  <si>
    <t>ビームライン座標値</t>
  </si>
  <si>
    <t>製造者</t>
  </si>
  <si>
    <t>製造年月</t>
  </si>
  <si>
    <t>設置年月</t>
  </si>
  <si>
    <t>型番/製造番号</t>
  </si>
  <si>
    <t>ボア直径/磁極間距離 [mm]</t>
  </si>
  <si>
    <t>磁極長 [mm]</t>
  </si>
  <si>
    <t>最大電流 [A]</t>
  </si>
  <si>
    <t>ヨーク部外径 [mm]</t>
  </si>
  <si>
    <t>最大電圧 [V]</t>
  </si>
  <si>
    <t>コイル巻数 [turn/coil]</t>
  </si>
  <si>
    <t>コイル導線径 [mm]</t>
  </si>
  <si>
    <t>コイル導線断面積 [mm^2]</t>
  </si>
  <si>
    <t>インダクタンス [mH]</t>
  </si>
  <si>
    <t>コイル抵抗値 [Ohm/Magnet]</t>
  </si>
  <si>
    <t>磁場特性 (最大)</t>
  </si>
  <si>
    <t>冷却方式</t>
  </si>
  <si>
    <t>冷却水量 [L/min]</t>
  </si>
  <si>
    <t>重量 [kg]</t>
  </si>
  <si>
    <t>Component ID</t>
  </si>
  <si>
    <t>物品管理番号</t>
  </si>
  <si>
    <t>Remarks</t>
  </si>
  <si>
    <t>予備1</t>
  </si>
  <si>
    <t>予備2</t>
  </si>
  <si>
    <t>予備3</t>
  </si>
  <si>
    <t>予備4</t>
  </si>
  <si>
    <t>予備5</t>
  </si>
  <si>
    <t>励磁特性データ代表名</t>
  </si>
  <si>
    <t>ヒステリシスループの向き</t>
  </si>
  <si>
    <t>磁場有効長</t>
  </si>
  <si>
    <t>電流の区間数</t>
  </si>
  <si>
    <t>区間最小電流</t>
  </si>
  <si>
    <t>区間最大電流</t>
  </si>
  <si>
    <t>多項式係数BL0</t>
  </si>
  <si>
    <t>BL1</t>
  </si>
  <si>
    <t>BL2</t>
  </si>
  <si>
    <t>BL3</t>
  </si>
  <si>
    <t>BL4</t>
  </si>
  <si>
    <t>BL5</t>
  </si>
  <si>
    <t>BL6</t>
  </si>
  <si>
    <t>BL7</t>
  </si>
  <si>
    <t>BL8</t>
  </si>
  <si>
    <t>BL9</t>
  </si>
  <si>
    <t>ML_AT_G0</t>
  </si>
  <si>
    <t>2021/09/10</t>
  </si>
  <si>
    <t>紙谷</t>
  </si>
  <si>
    <t>マグネティックレンズ</t>
  </si>
  <si>
    <t>SX_AT_G0</t>
  </si>
  <si>
    <t>空芯ステアリングコイル</t>
  </si>
  <si>
    <t>2015.05</t>
  </si>
  <si>
    <t>air</t>
  </si>
  <si>
    <t>ターン数は概算値</t>
  </si>
  <si>
    <t>SY_AT_G0</t>
  </si>
  <si>
    <t>ML_AT_G1</t>
  </si>
  <si>
    <t>SX_AT_G1</t>
  </si>
  <si>
    <t>SY_AT_G1</t>
  </si>
  <si>
    <t>SL_AT_G1</t>
  </si>
  <si>
    <t>ヘルムホルツコイル</t>
  </si>
  <si>
    <t>TOKIN</t>
  </si>
  <si>
    <t>SL_AT_G2</t>
  </si>
  <si>
    <t>SL_AT_G3</t>
  </si>
  <si>
    <t>SL_AT_G3/4</t>
  </si>
  <si>
    <t>SL_AT_G4</t>
  </si>
  <si>
    <t>SX_AT_G4</t>
  </si>
  <si>
    <t>SY_AT_G4</t>
  </si>
  <si>
    <t>SL_AT_G5</t>
  </si>
  <si>
    <t>SL_AT_G5/6</t>
  </si>
  <si>
    <t>SL_AT_G6</t>
  </si>
  <si>
    <t>SL_AT_S1</t>
  </si>
  <si>
    <t>SL_AT_S1/2</t>
  </si>
  <si>
    <t>SL_AT_S2</t>
  </si>
  <si>
    <t>SL_AT_S3</t>
  </si>
  <si>
    <t>SL_AT_S3/4</t>
  </si>
  <si>
    <t>SL_AT_S4</t>
  </si>
  <si>
    <t>SL_AT_S5</t>
  </si>
  <si>
    <t>SL_AT_S5/6</t>
  </si>
  <si>
    <t>SL_AT_S6</t>
  </si>
  <si>
    <t>SX_AT_S6</t>
  </si>
  <si>
    <t>SY_AT_S6</t>
  </si>
  <si>
    <t>SL_AT_S7</t>
  </si>
  <si>
    <t>SL_AT_S7/8</t>
  </si>
  <si>
    <t>SL_AT_S8</t>
  </si>
  <si>
    <t>SL_AT_S9</t>
  </si>
  <si>
    <t>SL_AT_SA</t>
  </si>
  <si>
    <t>SL_AT_P</t>
  </si>
  <si>
    <t>SL_AT_B1</t>
  </si>
  <si>
    <t>SL_AT_B2</t>
  </si>
  <si>
    <t>SL_AT_B2/3</t>
  </si>
  <si>
    <t>SL_AT_B3</t>
  </si>
  <si>
    <t>SL_AT_B4</t>
  </si>
  <si>
    <t>SL_AT_B4/5</t>
  </si>
  <si>
    <t>SL_AT_B5</t>
  </si>
  <si>
    <t>SX_AT_B4</t>
  </si>
  <si>
    <t>横山/紙谷</t>
  </si>
  <si>
    <t>ステアリング電磁石</t>
  </si>
  <si>
    <t>main-linac</t>
  </si>
  <si>
    <t>Tokin</t>
  </si>
  <si>
    <t>?</t>
  </si>
  <si>
    <t>SY_AT_B4</t>
  </si>
  <si>
    <t>SL_AT_B6</t>
  </si>
  <si>
    <t>SL_AT_B6/7</t>
  </si>
  <si>
    <t>SL_AT_B7</t>
  </si>
  <si>
    <t>SL_AT_B8</t>
  </si>
  <si>
    <t>QD_AT_01</t>
  </si>
  <si>
    <t>四極電磁石</t>
  </si>
  <si>
    <t>Toyama</t>
  </si>
  <si>
    <t>QF_AT_02</t>
  </si>
  <si>
    <t>QD_AT_03</t>
  </si>
  <si>
    <t>BX_AT_0</t>
  </si>
  <si>
    <t>Tokin+Tekuno</t>
  </si>
  <si>
    <t>BY_AT_0</t>
  </si>
  <si>
    <t>SX_AT_1</t>
  </si>
  <si>
    <t>Techno</t>
  </si>
  <si>
    <t>1*5</t>
  </si>
  <si>
    <t>SY_AT_1</t>
  </si>
  <si>
    <t>QD_AT_11</t>
  </si>
  <si>
    <t>QF_AT_12</t>
  </si>
  <si>
    <t>QD_AT_13</t>
  </si>
  <si>
    <t>SX_AT_21</t>
  </si>
  <si>
    <t>SY_AT_21</t>
  </si>
  <si>
    <t>QD_AT_21</t>
  </si>
  <si>
    <t>26.4*2</t>
  </si>
  <si>
    <t>QF_AT_22</t>
  </si>
  <si>
    <t>QD_AT_23</t>
  </si>
  <si>
    <t>PX_AT_22</t>
  </si>
  <si>
    <t>Tecno</t>
  </si>
  <si>
    <t>PX_A1_M</t>
  </si>
  <si>
    <t>PY_AT_22</t>
  </si>
  <si>
    <t>PB_AT_J1</t>
  </si>
  <si>
    <t>takano</t>
  </si>
  <si>
    <t>7*7-4d</t>
  </si>
  <si>
    <t>direct</t>
  </si>
  <si>
    <t>PB_AT_J5</t>
  </si>
  <si>
    <t>QD_AT_J2</t>
  </si>
  <si>
    <t>tecno</t>
  </si>
  <si>
    <t>6*6-3.6d</t>
  </si>
  <si>
    <t>QF_AT_J3</t>
  </si>
  <si>
    <t>QD_AT_J4</t>
  </si>
  <si>
    <t>QD_A1_G1</t>
  </si>
  <si>
    <t>QF_A1_G2</t>
  </si>
  <si>
    <t>BX_A1_G</t>
  </si>
  <si>
    <t>BY_A1_G</t>
  </si>
  <si>
    <t>QD_A1_01</t>
  </si>
  <si>
    <t>QF_A1_02</t>
  </si>
  <si>
    <t>SX_A1_1</t>
  </si>
  <si>
    <t>SY_A1_1</t>
  </si>
  <si>
    <t>QD_A1_11</t>
  </si>
  <si>
    <t>QF_A1_12</t>
  </si>
  <si>
    <t>QD_A1_13</t>
  </si>
  <si>
    <t>BM_A1_C1</t>
  </si>
  <si>
    <t>Tecno@coil</t>
  </si>
  <si>
    <t>2*5PEW</t>
  </si>
  <si>
    <t>indirect</t>
  </si>
  <si>
    <t>BM_A1_C2</t>
  </si>
  <si>
    <t>BM_A1_C3</t>
  </si>
  <si>
    <t>BM_A1_C4</t>
  </si>
  <si>
    <t>BY_A1_C4</t>
  </si>
  <si>
    <t>Takano</t>
  </si>
  <si>
    <t>BM_AS_1</t>
  </si>
  <si>
    <t>夏井/紙谷</t>
  </si>
  <si>
    <t>偏向電磁石</t>
  </si>
  <si>
    <t>AS-line</t>
  </si>
  <si>
    <t>日本電磁工業</t>
  </si>
  <si>
    <t>2.0 x 4.0</t>
  </si>
  <si>
    <t>BM_A1_0</t>
  </si>
  <si>
    <t>SX_AS_1</t>
  </si>
  <si>
    <t>ステアリングコイル</t>
  </si>
  <si>
    <t>φ2.1</t>
  </si>
  <si>
    <t>SY_AS_1</t>
  </si>
  <si>
    <t>SX_AS_2</t>
  </si>
  <si>
    <t>SY_AS_2</t>
  </si>
  <si>
    <t>QD_AS_1</t>
  </si>
  <si>
    <t>φ2.0</t>
  </si>
  <si>
    <t>QF_AS_1</t>
  </si>
  <si>
    <t>QD_AS_2</t>
  </si>
  <si>
    <t>QF_AS_2</t>
  </si>
  <si>
    <t>QD_AS_3</t>
  </si>
  <si>
    <t>QF_AS_3</t>
  </si>
  <si>
    <t>PY_A1_M</t>
  </si>
  <si>
    <t>PD_A1_M</t>
  </si>
  <si>
    <t>2*9PEW4ﾊﾟﾗ</t>
  </si>
  <si>
    <t>PF_A1_M</t>
  </si>
  <si>
    <t>SX_A2_1</t>
  </si>
  <si>
    <t>SY_A2_1</t>
  </si>
  <si>
    <t>PD_A2_1</t>
  </si>
  <si>
    <t>PF_A2_1</t>
  </si>
  <si>
    <t>SX_A2_2</t>
  </si>
  <si>
    <t>SY_A2_2</t>
  </si>
  <si>
    <t>SX_A2_3</t>
  </si>
  <si>
    <t>SY_A2_3</t>
  </si>
  <si>
    <t>QD_A2_3</t>
  </si>
  <si>
    <t>QD_A2_1</t>
  </si>
  <si>
    <t>QF_A2_3</t>
  </si>
  <si>
    <t>QF_A2_1</t>
  </si>
  <si>
    <t>SX_A2_4</t>
  </si>
  <si>
    <t>SY_A2_4</t>
  </si>
  <si>
    <t>QD_A2_4</t>
  </si>
  <si>
    <t>2*5</t>
  </si>
  <si>
    <t>QF_A2_4</t>
  </si>
  <si>
    <t>SX_A3_1</t>
  </si>
  <si>
    <t>SY_A3_1</t>
  </si>
  <si>
    <t>SX_A3_2</t>
  </si>
  <si>
    <t>SY_A3_2</t>
  </si>
  <si>
    <t>QD_A3_2</t>
  </si>
  <si>
    <t>QF_A3_2</t>
  </si>
  <si>
    <t>SX_A3_3</t>
  </si>
  <si>
    <t>SY_A3_3</t>
  </si>
  <si>
    <t>SX_A3_4</t>
  </si>
  <si>
    <t>SY_A3_4</t>
  </si>
  <si>
    <t>QD_A3_4</t>
  </si>
  <si>
    <t>QF_A3_4</t>
  </si>
  <si>
    <t>SX_A4_1</t>
  </si>
  <si>
    <t>SY_A4_1</t>
  </si>
  <si>
    <t>SX_A4_2</t>
  </si>
  <si>
    <t>SY_A4_2</t>
  </si>
  <si>
    <t>QD_A4_2</t>
  </si>
  <si>
    <t>QF_A4_2</t>
  </si>
  <si>
    <t>SX_A4_3</t>
  </si>
  <si>
    <t>SY_A4_3</t>
  </si>
  <si>
    <t>SX_A4_4</t>
  </si>
  <si>
    <t>SY_A4_4</t>
  </si>
  <si>
    <t>QD_A4_4</t>
  </si>
  <si>
    <t>QF_A4_4</t>
  </si>
  <si>
    <t>PX_A4_4</t>
  </si>
  <si>
    <t>1*4</t>
  </si>
  <si>
    <t>PY_A4_4</t>
  </si>
  <si>
    <t>QD_B1_4</t>
  </si>
  <si>
    <t>IDX</t>
  </si>
  <si>
    <t>QF_B1_4</t>
  </si>
  <si>
    <t>QD_B2_4</t>
  </si>
  <si>
    <t>QF_B2_4</t>
  </si>
  <si>
    <t>QD_B3_4</t>
  </si>
  <si>
    <t>QF_B3_4</t>
  </si>
  <si>
    <t>QD_B4_4</t>
  </si>
  <si>
    <t>QF_B4_4</t>
  </si>
  <si>
    <t>SX_B1_1</t>
  </si>
  <si>
    <t>SY_B1_1</t>
  </si>
  <si>
    <t>SX_B1_3</t>
  </si>
  <si>
    <t>SY_B1_3</t>
  </si>
  <si>
    <t>SX_B2_1</t>
  </si>
  <si>
    <t>SY_B2_1</t>
  </si>
  <si>
    <t>SX_B2_3</t>
  </si>
  <si>
    <t>SY_B2_3</t>
  </si>
  <si>
    <t>SX_B3_1</t>
  </si>
  <si>
    <t>SY_B3_1</t>
  </si>
  <si>
    <t>SX_B3_3</t>
  </si>
  <si>
    <t>SY_B3_3</t>
  </si>
  <si>
    <t>SX_B4_1</t>
  </si>
  <si>
    <t>SY_B4_1</t>
  </si>
  <si>
    <t>SX_B4_3</t>
  </si>
  <si>
    <t>SY_B4_3</t>
  </si>
  <si>
    <t>QD_B5_4</t>
  </si>
  <si>
    <t>QF_B5_4</t>
  </si>
  <si>
    <t>QD_B6_4</t>
  </si>
  <si>
    <t>QF_B6_4</t>
  </si>
  <si>
    <t>QD_B7_4</t>
  </si>
  <si>
    <t>QF_B7_4</t>
  </si>
  <si>
    <t>SX_B5_1</t>
  </si>
  <si>
    <t>SY_B5_1</t>
  </si>
  <si>
    <t>SX_B5_3</t>
  </si>
  <si>
    <t>SY_B5_3</t>
  </si>
  <si>
    <t>SX_B6_1</t>
  </si>
  <si>
    <t>SY_B6_1</t>
  </si>
  <si>
    <t>SX_B6_3</t>
  </si>
  <si>
    <t>SY_B6_3</t>
  </si>
  <si>
    <t>SX_B7_1</t>
  </si>
  <si>
    <t>SY_B7_1</t>
  </si>
  <si>
    <t>SX_B7_3</t>
  </si>
  <si>
    <t>SY_B7_3</t>
  </si>
  <si>
    <t>SX_B8_1</t>
  </si>
  <si>
    <t>SY_B8_1</t>
  </si>
  <si>
    <t>SX_B8_3</t>
  </si>
  <si>
    <t>SY_B8_3</t>
  </si>
  <si>
    <t>QD_R0_01</t>
  </si>
  <si>
    <t>4.5*9.5</t>
  </si>
  <si>
    <t>QF_R0_02</t>
  </si>
  <si>
    <t>QD_R0_03</t>
  </si>
  <si>
    <t>QF_R0_14</t>
  </si>
  <si>
    <t>QD_R0_22</t>
  </si>
  <si>
    <t>QF_R0_23</t>
  </si>
  <si>
    <t>QF_R0_32</t>
  </si>
  <si>
    <t>6*6-d4</t>
  </si>
  <si>
    <t>QD_R0_61</t>
  </si>
  <si>
    <t>QF_R0_62</t>
  </si>
  <si>
    <t>QD_R0_63</t>
  </si>
  <si>
    <t>SF_R0_13</t>
  </si>
  <si>
    <t>飯田/紙谷</t>
  </si>
  <si>
    <t>六極電磁石</t>
  </si>
  <si>
    <t>ALL</t>
  </si>
  <si>
    <t>三菱電機</t>
  </si>
  <si>
    <t>AK52484A</t>
  </si>
  <si>
    <t>4.0ｘ5.0/4.3ｘ5.3</t>
  </si>
  <si>
    <t>サーモスイッチ：80℃</t>
  </si>
  <si>
    <t>SF_R0_21</t>
  </si>
  <si>
    <t>SD_R0_31</t>
  </si>
  <si>
    <t>BM_R0_1</t>
  </si>
  <si>
    <t>BM_R0_1/6</t>
  </si>
  <si>
    <t>AK51493C</t>
  </si>
  <si>
    <t>11ｘ11-φ6</t>
  </si>
  <si>
    <t>water</t>
  </si>
  <si>
    <t>圧力損失：2.0 [kg/cm^2]</t>
  </si>
  <si>
    <t>BM_R0_6</t>
  </si>
  <si>
    <t>BM_R0_2</t>
  </si>
  <si>
    <t>BM_R0_2/3/4/5</t>
  </si>
  <si>
    <t>AK51494C</t>
  </si>
  <si>
    <t>BM_R0_3</t>
  </si>
  <si>
    <t>BM_R0_4</t>
  </si>
  <si>
    <t>BM_R0_5</t>
  </si>
  <si>
    <t>PX_R0_01</t>
  </si>
  <si>
    <t>PY_R0_01</t>
  </si>
  <si>
    <t>PX_R0_02</t>
  </si>
  <si>
    <t>PY_R0_02</t>
  </si>
  <si>
    <t>BY_R0_23</t>
  </si>
  <si>
    <t>BY_R0_01</t>
  </si>
  <si>
    <t>BY_R0_41</t>
  </si>
  <si>
    <t>PX_R0_61</t>
  </si>
  <si>
    <t>PY_R0_61</t>
  </si>
  <si>
    <t>PX_R0_63</t>
  </si>
  <si>
    <t>PY_R0_63</t>
  </si>
  <si>
    <t>BS_R0_1</t>
  </si>
  <si>
    <t>バックレグ</t>
  </si>
  <si>
    <t>1.2ｘ3.0/1.5ｘ3.3</t>
  </si>
  <si>
    <t>BS_R0_2</t>
  </si>
  <si>
    <t>BS_R0_3</t>
  </si>
  <si>
    <t>BS_R0_4</t>
  </si>
  <si>
    <t>BS_R0_5</t>
  </si>
  <si>
    <t>BS_R0_6</t>
  </si>
  <si>
    <t>QF_R0_41</t>
  </si>
  <si>
    <t>QD_R0_42</t>
  </si>
  <si>
    <t>QF_R0_51</t>
  </si>
  <si>
    <t>SD_R0_33</t>
  </si>
  <si>
    <t>SF_R0_43</t>
  </si>
  <si>
    <t>SF_R0_52</t>
  </si>
  <si>
    <t>QD_C1_4</t>
  </si>
  <si>
    <t>3*3.5</t>
  </si>
  <si>
    <t xml:space="preserve">QD_C1_4 </t>
  </si>
  <si>
    <t>QF_C1_4</t>
  </si>
  <si>
    <t>QD_C2_4</t>
  </si>
  <si>
    <t>QF_C2_4</t>
  </si>
  <si>
    <t>QD_C3_4</t>
  </si>
  <si>
    <t>QF_C3_4</t>
  </si>
  <si>
    <t>QD_C4_4</t>
  </si>
  <si>
    <t>QF_C4_4</t>
  </si>
  <si>
    <t>SX_C1_1</t>
  </si>
  <si>
    <t>SY_C1_1</t>
  </si>
  <si>
    <t>SX_C1_3</t>
  </si>
  <si>
    <t>SY_C1_3</t>
  </si>
  <si>
    <t>SX_C2_1</t>
  </si>
  <si>
    <t>SY_C2_1</t>
  </si>
  <si>
    <t>SX_C2_3</t>
  </si>
  <si>
    <t>SY_C2_3</t>
  </si>
  <si>
    <t>SX_C3_1</t>
  </si>
  <si>
    <t>SY_C3_1</t>
  </si>
  <si>
    <t>SX_C3_3</t>
  </si>
  <si>
    <t>SY_C3_3</t>
  </si>
  <si>
    <t>SX_C4_1</t>
  </si>
  <si>
    <t>SY_C4_1</t>
  </si>
  <si>
    <t>SX_C4_3</t>
  </si>
  <si>
    <t>SY_C4_3</t>
  </si>
  <si>
    <t>QD_C5_4</t>
  </si>
  <si>
    <t>QF_C5_4</t>
  </si>
  <si>
    <t>QD_C6_4</t>
  </si>
  <si>
    <t>QF_C6_4</t>
  </si>
  <si>
    <t>QD_C7_4</t>
  </si>
  <si>
    <t>QF_C7_4</t>
  </si>
  <si>
    <t>PX_C7_4</t>
  </si>
  <si>
    <t>PY_C7_4</t>
  </si>
  <si>
    <t>QD_C8_4</t>
  </si>
  <si>
    <t>QF_C8_4</t>
  </si>
  <si>
    <t>BX_C5_1</t>
  </si>
  <si>
    <t>BY_C5_1</t>
  </si>
  <si>
    <t>SX_C5_3</t>
  </si>
  <si>
    <t>SY_C5_3</t>
  </si>
  <si>
    <t>SX_C6_1</t>
  </si>
  <si>
    <t>SY_C6_1</t>
  </si>
  <si>
    <t>SX_C6_3</t>
  </si>
  <si>
    <t>SY_C6_3</t>
  </si>
  <si>
    <t>SX_C7_1</t>
  </si>
  <si>
    <t>SY_C7_1</t>
  </si>
  <si>
    <t>BX_C7_4</t>
  </si>
  <si>
    <t>BY_C7_4</t>
  </si>
  <si>
    <t>SX_C8_1</t>
  </si>
  <si>
    <t>SY_C8_1</t>
  </si>
  <si>
    <t>QD_11_4</t>
  </si>
  <si>
    <t>QF_11_4</t>
  </si>
  <si>
    <t>QD_12_4</t>
  </si>
  <si>
    <t>QF_12_4</t>
  </si>
  <si>
    <t>PF_13_5</t>
  </si>
  <si>
    <t>2*14-2P</t>
  </si>
  <si>
    <t>PM_32_4</t>
  </si>
  <si>
    <t>PD_13_5</t>
  </si>
  <si>
    <t>SL_15_T</t>
  </si>
  <si>
    <t>ブリッジコイル</t>
  </si>
  <si>
    <t>テクノ電気</t>
  </si>
  <si>
    <t>SL_15_11</t>
  </si>
  <si>
    <t>ソレノイド</t>
  </si>
  <si>
    <t>90941－05</t>
  </si>
  <si>
    <t>SL_15_12</t>
  </si>
  <si>
    <t>90941－06</t>
  </si>
  <si>
    <t>SL_15_13</t>
  </si>
  <si>
    <t>90941－07</t>
  </si>
  <si>
    <t>SL_15_14</t>
  </si>
  <si>
    <t>90941－08</t>
  </si>
  <si>
    <t>SL_15_15</t>
  </si>
  <si>
    <t>90941－09</t>
  </si>
  <si>
    <t>SL_15_21</t>
  </si>
  <si>
    <t>90941－10</t>
  </si>
  <si>
    <t>SL_15_22</t>
  </si>
  <si>
    <t>90941－11</t>
  </si>
  <si>
    <t>SL_15_23</t>
  </si>
  <si>
    <t>90941－01</t>
  </si>
  <si>
    <t>SL_15_24</t>
  </si>
  <si>
    <t>90941－02</t>
  </si>
  <si>
    <t>SL_15_25</t>
  </si>
  <si>
    <t>90941－03</t>
  </si>
  <si>
    <t>SL_16_11</t>
  </si>
  <si>
    <t>2930－10</t>
  </si>
  <si>
    <t>SL_16_12</t>
  </si>
  <si>
    <t>2930－01</t>
  </si>
  <si>
    <t>SL_16_13</t>
  </si>
  <si>
    <t>2930－02</t>
  </si>
  <si>
    <t>SL_16_14</t>
  </si>
  <si>
    <t>2930－11</t>
  </si>
  <si>
    <t>SL_16_15</t>
  </si>
  <si>
    <t>90940－01</t>
  </si>
  <si>
    <t>SL_16_21</t>
  </si>
  <si>
    <t>2930－12</t>
  </si>
  <si>
    <t>SL_16_22</t>
  </si>
  <si>
    <t>2930－03</t>
  </si>
  <si>
    <t>SL_16_23</t>
  </si>
  <si>
    <t>2930－04</t>
  </si>
  <si>
    <t>SL_16_24</t>
  </si>
  <si>
    <t>2930－13</t>
  </si>
  <si>
    <t>SL_16_25</t>
  </si>
  <si>
    <t>90940－02</t>
  </si>
  <si>
    <t>SL_16_31</t>
  </si>
  <si>
    <t>2930－14</t>
  </si>
  <si>
    <t>SL_16_32</t>
  </si>
  <si>
    <t>2930－06</t>
  </si>
  <si>
    <t>SL_16_33</t>
  </si>
  <si>
    <t>2930－07</t>
  </si>
  <si>
    <t>SL_16_34</t>
  </si>
  <si>
    <t>2930－15</t>
  </si>
  <si>
    <t>SL_16_35</t>
  </si>
  <si>
    <t>90940－03</t>
  </si>
  <si>
    <t>SL_16_41</t>
  </si>
  <si>
    <t>2930－18</t>
  </si>
  <si>
    <t>SL_16_42</t>
  </si>
  <si>
    <t>2930－08</t>
  </si>
  <si>
    <t>SL_16_43</t>
  </si>
  <si>
    <t>2930－05</t>
  </si>
  <si>
    <t>SL_16_44</t>
  </si>
  <si>
    <t>2930－16</t>
  </si>
  <si>
    <t>SX_11_1</t>
  </si>
  <si>
    <t>SY_11_1</t>
  </si>
  <si>
    <t>SX_11_3</t>
  </si>
  <si>
    <t>SY_11_3</t>
  </si>
  <si>
    <t>SX_12_1</t>
  </si>
  <si>
    <t>SY_12_1</t>
  </si>
  <si>
    <t>PY_12_2</t>
  </si>
  <si>
    <t>PX_13_2</t>
  </si>
  <si>
    <t>SX_12_3</t>
  </si>
  <si>
    <t>SY_12_3</t>
  </si>
  <si>
    <t>BX_13_1</t>
  </si>
  <si>
    <t>BY_13_1</t>
  </si>
  <si>
    <t>PX_13_5</t>
  </si>
  <si>
    <t>PY_13_5</t>
  </si>
  <si>
    <t>PX_17_4</t>
  </si>
  <si>
    <t>PX_13_52</t>
  </si>
  <si>
    <t>SX_15_15</t>
  </si>
  <si>
    <t>ST_15_2</t>
  </si>
  <si>
    <t>SX_15_25</t>
  </si>
  <si>
    <t>SY_16_15</t>
  </si>
  <si>
    <t>SX_16_25</t>
  </si>
  <si>
    <t>PX_16_5</t>
  </si>
  <si>
    <t>PY_16_5</t>
  </si>
  <si>
    <t>QF_16_41</t>
  </si>
  <si>
    <t>DC四極電磁石</t>
  </si>
  <si>
    <t>Hitachi</t>
  </si>
  <si>
    <t>79F297-34</t>
  </si>
  <si>
    <t>6.4*6.4-d4</t>
  </si>
  <si>
    <t>QD_16_42</t>
  </si>
  <si>
    <t>79F297-35</t>
  </si>
  <si>
    <t>QF_16_43</t>
  </si>
  <si>
    <t>79F297-36</t>
  </si>
  <si>
    <t>QD_16_44</t>
  </si>
  <si>
    <t>79F297-37</t>
  </si>
  <si>
    <t>BM_16_C1</t>
  </si>
  <si>
    <t>BM_16_C1/C4</t>
  </si>
  <si>
    <t>2*9</t>
  </si>
  <si>
    <t>BM_16_C4</t>
  </si>
  <si>
    <t>BM_16_C2</t>
  </si>
  <si>
    <t>BM_16_C2/C3</t>
  </si>
  <si>
    <t>BM_16_C3</t>
  </si>
  <si>
    <t>QD_16_51</t>
  </si>
  <si>
    <t>79F297-38</t>
  </si>
  <si>
    <t>QF_16_52</t>
  </si>
  <si>
    <t>79F297-39</t>
  </si>
  <si>
    <t>QD_16_53</t>
  </si>
  <si>
    <t>79F297-40</t>
  </si>
  <si>
    <t>QF_16_54</t>
  </si>
  <si>
    <t>79F297-41</t>
  </si>
  <si>
    <t>QD_16_55</t>
  </si>
  <si>
    <t>79F297-42</t>
  </si>
  <si>
    <t>QF_16_56</t>
  </si>
  <si>
    <t>79F297-43</t>
  </si>
  <si>
    <t>QD_16_57</t>
  </si>
  <si>
    <t>79F297-44</t>
  </si>
  <si>
    <t>QF_17_11</t>
  </si>
  <si>
    <t>79F296-01</t>
  </si>
  <si>
    <t>QD_17_12</t>
  </si>
  <si>
    <t>79F296-02</t>
  </si>
  <si>
    <t>QF_17_13</t>
  </si>
  <si>
    <t>79F296-03</t>
  </si>
  <si>
    <t>QD_17_14</t>
  </si>
  <si>
    <t>79F297-01</t>
  </si>
  <si>
    <t>QF_17_21</t>
  </si>
  <si>
    <t>79F296-04</t>
  </si>
  <si>
    <t>QD_17_22</t>
  </si>
  <si>
    <t>79F296-05</t>
  </si>
  <si>
    <t>QF_17_23</t>
  </si>
  <si>
    <t>79F296-06</t>
  </si>
  <si>
    <t>QD_17_24</t>
  </si>
  <si>
    <t>79F297-02</t>
  </si>
  <si>
    <t>QF_17_25</t>
  </si>
  <si>
    <t>79F297-03</t>
  </si>
  <si>
    <t>QD_17_31</t>
  </si>
  <si>
    <t>79F296-07</t>
  </si>
  <si>
    <t>QF_17_32</t>
  </si>
  <si>
    <t>79F296-08</t>
  </si>
  <si>
    <t>QD_17_33</t>
  </si>
  <si>
    <t>79F296-09</t>
  </si>
  <si>
    <t>QF_17_34</t>
  </si>
  <si>
    <t>79F297-04</t>
  </si>
  <si>
    <t>QD_17_41</t>
  </si>
  <si>
    <t>79F296-10</t>
  </si>
  <si>
    <t>QF_17_42</t>
  </si>
  <si>
    <t>79F296-11</t>
  </si>
  <si>
    <t>QD_17_43</t>
  </si>
  <si>
    <t>79F296-12</t>
  </si>
  <si>
    <t>QF_17_44</t>
  </si>
  <si>
    <t>79F297-05</t>
  </si>
  <si>
    <t>QD_17_45</t>
  </si>
  <si>
    <t>79F297-06</t>
  </si>
  <si>
    <t>QF_17_46</t>
  </si>
  <si>
    <t>79F297-07</t>
  </si>
  <si>
    <t>QD_18_11</t>
  </si>
  <si>
    <t>79F296-13</t>
  </si>
  <si>
    <t>QF_18_12</t>
  </si>
  <si>
    <t>79F296-14</t>
  </si>
  <si>
    <t>QD_18_13</t>
  </si>
  <si>
    <t>79F296-15</t>
  </si>
  <si>
    <t>QF_18_14</t>
  </si>
  <si>
    <t>79F297-08</t>
  </si>
  <si>
    <t>QD_18_21</t>
  </si>
  <si>
    <t>79F296-16</t>
  </si>
  <si>
    <t>QF_18_22</t>
  </si>
  <si>
    <t>79F296-17</t>
  </si>
  <si>
    <t>QD_18_23</t>
  </si>
  <si>
    <t>79F296-18</t>
  </si>
  <si>
    <t>QF_18_24</t>
  </si>
  <si>
    <t>79F297-09</t>
  </si>
  <si>
    <t>QD_18_25</t>
  </si>
  <si>
    <t>79F297-10</t>
  </si>
  <si>
    <t>QF_18_31</t>
  </si>
  <si>
    <t>79F296-19</t>
  </si>
  <si>
    <t>QD_18_32</t>
  </si>
  <si>
    <t>79F296-20</t>
  </si>
  <si>
    <t>QF_18_33</t>
  </si>
  <si>
    <t>79F296-21</t>
  </si>
  <si>
    <t>QD_18_34</t>
  </si>
  <si>
    <t>79F297-11</t>
  </si>
  <si>
    <t>QF_18_41</t>
  </si>
  <si>
    <t>79F296-22</t>
  </si>
  <si>
    <t>QD_18_42</t>
  </si>
  <si>
    <t>79F296-23</t>
  </si>
  <si>
    <t>QF_18_43</t>
  </si>
  <si>
    <t>79F296-24</t>
  </si>
  <si>
    <t>QD_18_44</t>
  </si>
  <si>
    <t>79F297-12</t>
  </si>
  <si>
    <t>QF_18_45</t>
  </si>
  <si>
    <t>79F297-13</t>
  </si>
  <si>
    <t>QD_18_46</t>
  </si>
  <si>
    <t>79F297-14</t>
  </si>
  <si>
    <t>QF_18_47</t>
  </si>
  <si>
    <t>79F297-15</t>
  </si>
  <si>
    <t>QD_18_48</t>
  </si>
  <si>
    <t>79F297-16</t>
  </si>
  <si>
    <t>QF_18_49</t>
  </si>
  <si>
    <t>79F297-17</t>
  </si>
  <si>
    <t>PX_17_2</t>
  </si>
  <si>
    <t>PY_17_2</t>
  </si>
  <si>
    <t>PY_17_4</t>
  </si>
  <si>
    <t>PX_18_2</t>
  </si>
  <si>
    <t>PY_18_2</t>
  </si>
  <si>
    <t>PX_18_4</t>
  </si>
  <si>
    <t>PY_18_4</t>
  </si>
  <si>
    <t>PX_21_2</t>
  </si>
  <si>
    <t>PY_21_2</t>
  </si>
  <si>
    <t>PX_21_4</t>
  </si>
  <si>
    <t>PY_21_4</t>
  </si>
  <si>
    <t>PX_22_4</t>
  </si>
  <si>
    <t>PY_22_4</t>
  </si>
  <si>
    <t>PX_24_4</t>
  </si>
  <si>
    <t>PY_24_4</t>
  </si>
  <si>
    <t>QD_21_11</t>
  </si>
  <si>
    <t>79F296-27</t>
  </si>
  <si>
    <t>QF_21_12</t>
  </si>
  <si>
    <t>79F296-28</t>
  </si>
  <si>
    <t>QD_21_13</t>
  </si>
  <si>
    <t>79F296-29</t>
  </si>
  <si>
    <t>QF_21_14</t>
  </si>
  <si>
    <t>79F297-18</t>
  </si>
  <si>
    <t>QD_21_21</t>
  </si>
  <si>
    <t>79F296-30</t>
  </si>
  <si>
    <t>QF_21_22</t>
  </si>
  <si>
    <t>79F296-31</t>
  </si>
  <si>
    <t>QD_21_23</t>
  </si>
  <si>
    <t>79F296-32</t>
  </si>
  <si>
    <t>QF_21_24</t>
  </si>
  <si>
    <t>79F297-19</t>
  </si>
  <si>
    <t>QD_21_25</t>
  </si>
  <si>
    <t>79F297-20</t>
  </si>
  <si>
    <t>QF_21_31</t>
  </si>
  <si>
    <t>79F296-33</t>
  </si>
  <si>
    <t>QD_21_32</t>
  </si>
  <si>
    <t>79F296-34</t>
  </si>
  <si>
    <t>QF_21_33</t>
  </si>
  <si>
    <t>79F296-35</t>
  </si>
  <si>
    <t>QD_21_34</t>
  </si>
  <si>
    <t>79F297-21</t>
  </si>
  <si>
    <t>QF_21_41</t>
  </si>
  <si>
    <t>79F296-36</t>
  </si>
  <si>
    <t>QD_21_42</t>
  </si>
  <si>
    <t>79F296-37</t>
  </si>
  <si>
    <t>QF_21_43</t>
  </si>
  <si>
    <t>79F296-38</t>
  </si>
  <si>
    <t>QD_21_44</t>
  </si>
  <si>
    <t>79F297-22</t>
  </si>
  <si>
    <t>QF_21_45</t>
  </si>
  <si>
    <t>79F297-23</t>
  </si>
  <si>
    <t>QD_21_46</t>
  </si>
  <si>
    <t>79F297-24</t>
  </si>
  <si>
    <t>QF_22_11</t>
  </si>
  <si>
    <t>79F296-39</t>
  </si>
  <si>
    <t>QD_22_12</t>
  </si>
  <si>
    <t>79F296-40</t>
  </si>
  <si>
    <t>QF_22_13</t>
  </si>
  <si>
    <t>79F297-25</t>
  </si>
  <si>
    <t>QD_22_21</t>
  </si>
  <si>
    <t>79F296-41</t>
  </si>
  <si>
    <t>QF_22_22</t>
  </si>
  <si>
    <t>79F296-42</t>
  </si>
  <si>
    <t>QD_22_23</t>
  </si>
  <si>
    <t>79F297-26</t>
  </si>
  <si>
    <t>QF_22_31</t>
  </si>
  <si>
    <t>79F296-43</t>
  </si>
  <si>
    <t>QD_22_32</t>
  </si>
  <si>
    <t>79F296-44</t>
  </si>
  <si>
    <t>QF_22_33</t>
  </si>
  <si>
    <t>79F297-27</t>
  </si>
  <si>
    <t>QD_22_41</t>
  </si>
  <si>
    <t>79F296-45</t>
  </si>
  <si>
    <t>QF_22_42</t>
  </si>
  <si>
    <t>79F296-46</t>
  </si>
  <si>
    <t>QD_22_43</t>
  </si>
  <si>
    <t>79F297-28</t>
  </si>
  <si>
    <t>QF_23_11</t>
  </si>
  <si>
    <t>79F296-47</t>
  </si>
  <si>
    <t>QD_23_12</t>
  </si>
  <si>
    <t>79F296-48</t>
  </si>
  <si>
    <t>QF_23_13</t>
  </si>
  <si>
    <t>79F297-29</t>
  </si>
  <si>
    <t>QD_23_21</t>
  </si>
  <si>
    <t>79F296-49</t>
  </si>
  <si>
    <t>QF_23_22</t>
  </si>
  <si>
    <t>79F296-50</t>
  </si>
  <si>
    <t>QD_23_23</t>
  </si>
  <si>
    <t>79F297-30</t>
  </si>
  <si>
    <t>QF_23_31</t>
  </si>
  <si>
    <t>79F296-51</t>
  </si>
  <si>
    <t>QD_23_32</t>
  </si>
  <si>
    <t>79F296-52</t>
  </si>
  <si>
    <t>QF_23_33</t>
  </si>
  <si>
    <t>79F297-31</t>
  </si>
  <si>
    <t>QD_23_41</t>
  </si>
  <si>
    <t>79F296-53</t>
  </si>
  <si>
    <t>QF_23_42</t>
  </si>
  <si>
    <t>79F296-54</t>
  </si>
  <si>
    <t>QD_23_43</t>
  </si>
  <si>
    <t>PX_23_4</t>
  </si>
  <si>
    <t>QF_23_45</t>
  </si>
  <si>
    <t>QD_24_1</t>
  </si>
  <si>
    <t xml:space="preserve">QD_24_1 </t>
  </si>
  <si>
    <t>PY_24_1</t>
  </si>
  <si>
    <t>QF_24_1</t>
  </si>
  <si>
    <t>QD_24_2</t>
  </si>
  <si>
    <t>QF_24_2</t>
  </si>
  <si>
    <t>QD_24_3</t>
  </si>
  <si>
    <t>QF_24_3</t>
  </si>
  <si>
    <t>QD_24_4</t>
  </si>
  <si>
    <t>QF_24_4</t>
  </si>
  <si>
    <t>QD_26_1</t>
  </si>
  <si>
    <t>PX_26_1</t>
  </si>
  <si>
    <t>QF_26_1</t>
  </si>
  <si>
    <t>QD_26_2</t>
  </si>
  <si>
    <t>QF_26_2</t>
  </si>
  <si>
    <t>QD_26_3</t>
  </si>
  <si>
    <t>QF_26_3</t>
  </si>
  <si>
    <t>QD_26_4</t>
  </si>
  <si>
    <t>PY_26_4</t>
  </si>
  <si>
    <t>QF_26_4</t>
  </si>
  <si>
    <t>QD_27_2</t>
  </si>
  <si>
    <t>PX_27_2</t>
  </si>
  <si>
    <t>QF_27_2</t>
  </si>
  <si>
    <t>QD_27_4</t>
  </si>
  <si>
    <t>QF_27_4</t>
  </si>
  <si>
    <t>QD_28_2</t>
  </si>
  <si>
    <t>PY_28_2</t>
  </si>
  <si>
    <t>QF_28_2</t>
  </si>
  <si>
    <t>QD_28_4</t>
  </si>
  <si>
    <t>QF_28_4</t>
  </si>
  <si>
    <t>BX_23_12</t>
  </si>
  <si>
    <t>BY_23_13</t>
  </si>
  <si>
    <t>SX_24_1</t>
  </si>
  <si>
    <t>SY_24_1</t>
  </si>
  <si>
    <t>SX_24_2</t>
  </si>
  <si>
    <t>SY_24_2</t>
  </si>
  <si>
    <t>SX_24_3</t>
  </si>
  <si>
    <t>SY_24_3</t>
  </si>
  <si>
    <t>SX_24_4</t>
  </si>
  <si>
    <t>SY_24_4</t>
  </si>
  <si>
    <t>SX_26_1</t>
  </si>
  <si>
    <t>SY_26_1</t>
  </si>
  <si>
    <t>SX_26_2</t>
  </si>
  <si>
    <t>SY_26_2</t>
  </si>
  <si>
    <t>SX_26_3</t>
  </si>
  <si>
    <t>SY_26_3</t>
  </si>
  <si>
    <t>SX_26_4</t>
  </si>
  <si>
    <t>SY_26_4</t>
  </si>
  <si>
    <t>SX_27_1</t>
  </si>
  <si>
    <t>SY_27_1</t>
  </si>
  <si>
    <t>SX_27_3</t>
  </si>
  <si>
    <t>SY_27_3</t>
  </si>
  <si>
    <t>SX_28_1</t>
  </si>
  <si>
    <t>SY_28_1</t>
  </si>
  <si>
    <t>SX_28_3</t>
  </si>
  <si>
    <t>SY_28_3</t>
  </si>
  <si>
    <t>PF_DC_4</t>
  </si>
  <si>
    <t>PD_DC_4</t>
  </si>
  <si>
    <t>PX_DC_4</t>
  </si>
  <si>
    <t>PX_32_4</t>
  </si>
  <si>
    <t>PY_DC_4</t>
  </si>
  <si>
    <t>PF_32_4</t>
  </si>
  <si>
    <t>PD_32_4</t>
  </si>
  <si>
    <t>PF_34_4</t>
  </si>
  <si>
    <t>PD_34_4</t>
  </si>
  <si>
    <t>PF_36_4</t>
  </si>
  <si>
    <t>PD_36_4</t>
  </si>
  <si>
    <t>PF_38_4</t>
  </si>
  <si>
    <t>PD_38_4</t>
  </si>
  <si>
    <t>PY_32_4</t>
  </si>
  <si>
    <t>PX_34_4</t>
  </si>
  <si>
    <t>PY_34_4</t>
  </si>
  <si>
    <t>PX_36_4</t>
  </si>
  <si>
    <t>PY_36_4</t>
  </si>
  <si>
    <t>PX_38_4</t>
  </si>
  <si>
    <t>PY_38_4</t>
  </si>
  <si>
    <t>PF_42_4</t>
  </si>
  <si>
    <t>PD_42_4</t>
  </si>
  <si>
    <t>PF_44_4</t>
  </si>
  <si>
    <t>PD_44_4</t>
  </si>
  <si>
    <t>PF_46_4</t>
  </si>
  <si>
    <t>PD_46_4</t>
  </si>
  <si>
    <t>PF_48_4</t>
  </si>
  <si>
    <t>PD_48_4</t>
  </si>
  <si>
    <t>PX_42_4</t>
  </si>
  <si>
    <t>PY_42_4</t>
  </si>
  <si>
    <t>PX_44_4</t>
  </si>
  <si>
    <t>PY_44_4</t>
  </si>
  <si>
    <t>PX_46_4</t>
  </si>
  <si>
    <t>PY_46_4</t>
  </si>
  <si>
    <t>PX_48_4</t>
  </si>
  <si>
    <t>PY_48_4</t>
  </si>
  <si>
    <t>PF_52_4</t>
  </si>
  <si>
    <t>PD_52_4</t>
  </si>
  <si>
    <t>PF_54_4</t>
  </si>
  <si>
    <t>PD_54_4</t>
  </si>
  <si>
    <t>PF_56_4</t>
  </si>
  <si>
    <t>PD_56_4</t>
  </si>
  <si>
    <t>PF_58_4</t>
  </si>
  <si>
    <t>PD_58_4</t>
  </si>
  <si>
    <t>PX_52_4</t>
  </si>
  <si>
    <t>PY_52_4</t>
  </si>
  <si>
    <t>PX_54_4</t>
  </si>
  <si>
    <t>PY_54_4</t>
  </si>
  <si>
    <t>PX_56_4</t>
  </si>
  <si>
    <t>PY_56_4</t>
  </si>
  <si>
    <t>PX_58_4</t>
  </si>
  <si>
    <t>PY_58_4</t>
  </si>
  <si>
    <t>BX_61_6</t>
  </si>
  <si>
    <t>BY_61_6</t>
  </si>
  <si>
    <t>BY_61_8</t>
  </si>
  <si>
    <t>BY_61_A1</t>
  </si>
  <si>
    <t>ステアリングマグネット</t>
  </si>
  <si>
    <t>3044-02</t>
  </si>
  <si>
    <t>本来は水冷だが空冷で電流を制限して使用、有効長はCST計算値、励磁特性はTOKIN測定値</t>
  </si>
  <si>
    <t>BY_61_A2</t>
  </si>
  <si>
    <t>不明</t>
  </si>
  <si>
    <t>BX_61_H1</t>
  </si>
  <si>
    <t>ターン数、ワイヤー断面積は概算値</t>
  </si>
  <si>
    <t>BM_61_1</t>
  </si>
  <si>
    <t>BM_61_1/6</t>
  </si>
  <si>
    <t>BM_61_6</t>
  </si>
  <si>
    <t>BM_61_2</t>
  </si>
  <si>
    <t>BM_61_2/5</t>
  </si>
  <si>
    <t>BM_61_5</t>
  </si>
  <si>
    <t>BM_61_3</t>
  </si>
  <si>
    <t>BM_61_3/4</t>
  </si>
  <si>
    <t>BM_61_4</t>
  </si>
  <si>
    <t>BM_61_A1</t>
  </si>
  <si>
    <t>BM_61_A2</t>
  </si>
  <si>
    <t>BM_61_A2/3</t>
  </si>
  <si>
    <t>BM_61_A3</t>
  </si>
  <si>
    <t>QF_61_3</t>
  </si>
  <si>
    <t>QM_102_04</t>
  </si>
  <si>
    <t>QD_61_6</t>
  </si>
  <si>
    <t>9.5*4.5</t>
  </si>
  <si>
    <t>QF_61_6</t>
  </si>
  <si>
    <t>QF_61_8</t>
  </si>
  <si>
    <t>QD_61_8</t>
  </si>
  <si>
    <t>QD_61_A1</t>
  </si>
  <si>
    <t>3043-01</t>
  </si>
  <si>
    <t>有効長は概算値</t>
  </si>
  <si>
    <t>QF_61_A1</t>
  </si>
  <si>
    <t>BS_61_1</t>
  </si>
  <si>
    <t>BS_61_2</t>
  </si>
  <si>
    <t>BS_61_3</t>
  </si>
  <si>
    <t>BS_61_4</t>
  </si>
  <si>
    <t>BS_61_5</t>
  </si>
  <si>
    <t>BS_61_6</t>
  </si>
  <si>
    <t>BS_61_A1</t>
  </si>
  <si>
    <t>BS_61_A2</t>
  </si>
  <si>
    <t>BS_61_A3</t>
  </si>
  <si>
    <t>BM_61_F1</t>
  </si>
  <si>
    <t>PF-BT</t>
  </si>
  <si>
    <t>3.4 ｘ 3.4</t>
  </si>
  <si>
    <t>direct?</t>
  </si>
  <si>
    <t>旧名称：BP</t>
  </si>
  <si>
    <t>BM_61_F4</t>
  </si>
  <si>
    <t>旧名称：BH0</t>
  </si>
  <si>
    <t>QF_61_F1</t>
  </si>
  <si>
    <t>旧名称：QPF1</t>
  </si>
  <si>
    <t>QD_61_F2</t>
  </si>
  <si>
    <t>旧名称：QPD1</t>
  </si>
  <si>
    <t>QF_61_F3</t>
  </si>
  <si>
    <t>旧名称：QPF2</t>
  </si>
  <si>
    <t>QD_61_F5</t>
  </si>
  <si>
    <t>旧名称：QPD2</t>
  </si>
  <si>
    <t>BY_58_F1</t>
  </si>
  <si>
    <t>旧名称：VP01</t>
  </si>
  <si>
    <t>BX_58_F1</t>
  </si>
  <si>
    <t>旧名称：HP01</t>
  </si>
  <si>
    <t>BY_61_F1</t>
  </si>
  <si>
    <t>旧名称：VP02</t>
  </si>
  <si>
    <t>BX_61_F3</t>
  </si>
  <si>
    <t>旧名称：HP02</t>
  </si>
  <si>
    <t>BY_61_F5</t>
  </si>
  <si>
    <t>?他のSTと同型機？</t>
  </si>
  <si>
    <t>BS_61_F1</t>
  </si>
  <si>
    <t>補助コイル</t>
  </si>
  <si>
    <t>BS_61_F4</t>
  </si>
  <si>
    <t>qd_a3_4</t>
  </si>
  <si>
    <t>bx_c5_1</t>
  </si>
  <si>
    <t>by_c5_1</t>
  </si>
  <si>
    <t>bx_c7_4</t>
  </si>
  <si>
    <t>by_c7_4</t>
  </si>
  <si>
    <t>bx_13_1</t>
  </si>
  <si>
    <t>by_13_1</t>
  </si>
  <si>
    <t>Length [mm]</t>
  </si>
  <si>
    <t>Bore dia/DA [mm]</t>
  </si>
  <si>
    <t>st_16_c2</t>
  </si>
  <si>
    <t>備考</t>
  </si>
  <si>
    <t>代表値</t>
  </si>
  <si>
    <t>co_r0_14</t>
  </si>
  <si>
    <t>最大値，最小値 = 1</t>
  </si>
  <si>
    <t>px_13_5c</t>
  </si>
  <si>
    <t>px_13_5</t>
  </si>
  <si>
    <t>d : designed or calculated</t>
  </si>
  <si>
    <t>edge nest survey</t>
  </si>
  <si>
    <t>a : active flag</t>
  </si>
  <si>
    <t>sp_at_j3</t>
  </si>
  <si>
    <t>sp_c1_4</t>
  </si>
  <si>
    <t>zs' [mm]</t>
  </si>
  <si>
    <t>ac_* の水準 (z0) はビームレベル．</t>
  </si>
  <si>
    <t>Length : 電磁石・ソレノイドの場合は磁極長，ビームストッパ・コリメータの場合はビーム進行方向長さ．</t>
  </si>
  <si>
    <t>20230219 Okayasu</t>
  </si>
  <si>
    <t>1. readme</t>
  </si>
  <si>
    <t>2. magnet_list</t>
  </si>
  <si>
    <t>3. 設計座標</t>
  </si>
  <si>
    <t>4. 測地線補正</t>
  </si>
  <si>
    <t>5. survey_data</t>
  </si>
  <si>
    <t>6. lattice_file</t>
  </si>
  <si>
    <t>このシート．</t>
  </si>
  <si>
    <t>紙谷さん，横山さんがまとめられた Linac_Magnet_Parameters_20210910.xlsx のハードコピー．</t>
  </si>
  <si>
    <t>磁極長，ボア径を参照．</t>
  </si>
  <si>
    <t>制御 Gr 管理の redmine 上 (http://redmine-linac.kek.jp/attachments/1872) で随時更新．</t>
  </si>
  <si>
    <t>* このファイルの構成</t>
  </si>
  <si>
    <t>* 略字の説明</t>
  </si>
  <si>
    <t>電磁石 :</t>
  </si>
  <si>
    <t>qf, qd : DC 四極電磁石．f : focus, d : defocus</t>
  </si>
  <si>
    <t>bm, bx, by : DC 偏向電磁石</t>
  </si>
  <si>
    <t>sx, sy, sl : DC ソレノイド電磁石</t>
  </si>
  <si>
    <t>pd, pf : パルス四極電磁石</t>
  </si>
  <si>
    <t>pb, px, py : パルス偏向電磁石</t>
  </si>
  <si>
    <t>診断系 :</t>
  </si>
  <si>
    <t>sc : スクリーンモニタ</t>
  </si>
  <si>
    <t>sp : BPM</t>
  </si>
  <si>
    <t>ws : wire scanner</t>
  </si>
  <si>
    <t>cl : 電荷制限モニタ</t>
  </si>
  <si>
    <t>真空機器 :</t>
  </si>
  <si>
    <t>co : コリメータ</t>
  </si>
  <si>
    <t>gv : gate valve</t>
  </si>
  <si>
    <t>st_16_c2 : 16 ユニットに設置されたビームストッパ</t>
  </si>
  <si>
    <t>st_a4_4, st_38_4 : タイミングモニタ</t>
  </si>
  <si>
    <t>加速管 :</t>
  </si>
  <si>
    <t>ac : 加速管</t>
  </si>
  <si>
    <t>電磁石，加速管，診断系，真空機器の設計座標テーブル．</t>
  </si>
  <si>
    <t>電磁石，モニュメント (壁・PD アーム) のみ 2021 年の測量座標を設計座標と定義．</t>
  </si>
  <si>
    <t>(※ 当初は 3D model の電磁石座標を設計座標にしようと試みたが，</t>
  </si>
  <si>
    <t>電磁石の欠落やそもそも座標が現実から乖離している点が多数散見された為，</t>
  </si>
  <si>
    <t>測量座標を基準とすることにした．)</t>
  </si>
  <si>
    <t>加速管・診断系・真空機器の座標に関しては，pb_at_j5 を基準に柿原氏が整備した 2D CAD 記載の機器と電磁石との相対距離から定義した．</t>
  </si>
  <si>
    <t>従って，J-arc の中央からビーム進行方向は -y 方向になることに注意．</t>
  </si>
  <si>
    <t>座標系の定義は px_a1_m を原点とし，qd_b7_4 とで右図のように y 軸を定義．鉛直上向きが +z．</t>
  </si>
  <si>
    <t>各列の説明 :</t>
  </si>
  <si>
    <t>A 列 : Beam source : RF 電子銃 A1/AS．AS は 90° 曲がったラインに相当．AT は熱電子銃．</t>
  </si>
  <si>
    <t>B 列 : a/f/m/d/v : a 加速管，f 壁点・PD アームの基準点 (fiducial points)，m 電磁石・ソレノイド，d 診断系，v 真空機器</t>
  </si>
  <si>
    <t>C 列 : d/s : d CAD から拾った座標 or 計算で得た座標，s 測量で得た座標</t>
  </si>
  <si>
    <t>D 列 : フィルタで a を選択し lattice file へ受け渡す．因みに lattice file へ受け渡すリストは機器の中心座標．加速管のみ上流と下流の座標も渡す．</t>
  </si>
  <si>
    <t>F 列 : 機器名称．</t>
  </si>
  <si>
    <t>E 列 : point name : 測量点名称．機器名称の末尾に u (上流), d (下流), c (中心), e (東側), w (西側) 等の suffix を付す．</t>
  </si>
  <si>
    <t>G 列 : s [m] path length．</t>
  </si>
  <si>
    <t>H 列 : x [mm]</t>
  </si>
  <si>
    <t>I 列  : y [mm]</t>
  </si>
  <si>
    <t>J 列 : z [mm]　測量時のリフレクタ中心の水準．</t>
  </si>
  <si>
    <t>K 列 : z0 [mm] z から機器の設計中心水準に焼き直した値．</t>
  </si>
  <si>
    <t>L 列 : Length [mm] 電磁石の場合は Linac_Magnet_Parameters_20210910.xlsx から拾った磁極長長さ．真空機器の場合はコリメータ・ビームストッパの長さ．</t>
  </si>
  <si>
    <t>M 列 : Bore dia/DA [mm] 電磁石の場合は Linac_Magnet_parameters_20210910.xlsx から拾ったボア直径．</t>
  </si>
  <si>
    <t>真空機器の場合はチェンバーまで拾うと数が膨大になるため，コリメータ・ビームストッパのみ (可動) 代表値を入れた．</t>
  </si>
  <si>
    <t>N 列 : 空欄</t>
  </si>
  <si>
    <t>O 列 : 備考．</t>
  </si>
  <si>
    <t>測地線曲線の三次関数の係数算出．</t>
  </si>
  <si>
    <t>3 ~ 24 行は A セクター先頭から B セクター終端までの PD センサーの座標．N$3 ~ Q$3 までの係数を参照．</t>
  </si>
  <si>
    <t>26 ~ 105 行は C セクター先頭から 5 セクター終端までの PD センサーの座標．N$26 ~ Q$26 までの係数を参照．</t>
  </si>
  <si>
    <t>多項式の係数参照先は "lattice_file" シートの R 列．</t>
  </si>
  <si>
    <t>測量データの SA (Spatial Analayzer) 出力．</t>
  </si>
  <si>
    <t xml:space="preserve">内訳は point name, x, y, z, Ux, Uy, Uz．単位は全て mm．Ux ~ Uz は網計算後の各測量点の誤差． </t>
  </si>
  <si>
    <t>A ~ G 列は "設計座標" シートと共通．</t>
  </si>
  <si>
    <t>H, I, J 列 : x, y, z の設計座標 (designed coordinates)． 識別用に suffix "d" を付した．</t>
  </si>
  <si>
    <t>K, L, M, N 列 : x, y, z の測量座標 (srveyed coordinates)．識別用に suffix "s" を付した．</t>
  </si>
  <si>
    <t>尚，M 列の zs はリフレクタ中心の水準で，光学計算では利用度が少ないと判断し，フォントをグレーにした．</t>
  </si>
  <si>
    <t>N 列の zs' は機器中心水準に測地線補正を勘案したもの．光学計算で活用されたし．</t>
  </si>
  <si>
    <t>O, P, Q, R 列 : 測量座標と設計座標の差分．水準に関しては機器中心である R 列の値を参照すべし．</t>
  </si>
  <si>
    <t>尚，測量していない電磁石以外の座標については，最初に Δx, Δz を隣接する電磁石から線形補間で算出し，x, z を求めた．</t>
  </si>
  <si>
    <t>ys に関しては設計座標と同値．</t>
  </si>
  <si>
    <t>S, T, U 列 : 右上図で定義した機器の傾き誤差．</t>
  </si>
  <si>
    <t>但し A1/AS の機器に関しては測量を実施していないため，全ての傾き誤差を 0 とした．</t>
  </si>
  <si>
    <t>V 列 : Length [mm] 電磁石の場合は Linac_Magnet_Parameters_20210910.xlsx から拾った磁極長長さ．真空機器の場合はコリメータ・ビームストッパの長さ．</t>
  </si>
  <si>
    <t>W 列 : Bore dia/DA [mm] 電磁石の場合は Linac_Magnet_parameters_20210910.xlsx から拾ったボア直径．</t>
  </si>
  <si>
    <t>X 列 : 空欄</t>
  </si>
  <si>
    <t>Y 列 : 備考．</t>
  </si>
  <si>
    <t>* 使い方</t>
  </si>
  <si>
    <t>"lattice_file" シートの D 列で a だけを抽出し，M 列と Q 列は参照せずにご利用ください．</t>
  </si>
  <si>
    <t>gv_28_4</t>
  </si>
  <si>
    <t>* 更新履歴</t>
  </si>
  <si>
    <t>"lattice_file" シート 1466 行目の gv_26_4 → gv_28_4 に修正．</t>
  </si>
  <si>
    <t>20230220 Okayasu 修正</t>
  </si>
  <si>
    <t>gv_55_4</t>
  </si>
  <si>
    <t>"lattice_file" シート 1910 行目の gv_53_4 → gv_55_4 に修正．</t>
  </si>
  <si>
    <t>"lattice_file" シート 564, 565, 566 行目の 参照先修正．</t>
  </si>
  <si>
    <t>20230221 Okayasu 修正</t>
  </si>
  <si>
    <t>sd_r0_31, qf_r0_32, sd_r0_33 の設計座標の x に線形補間座標が入力されていたため，測量座標に置き換え．</t>
  </si>
  <si>
    <t>SY2 の計 4 台の偏向電磁石 : bm_dc_1, 2, 3, 4 の設計座標 (x) を修正．</t>
  </si>
  <si>
    <t>20230220 : injector_lattice_file_2021_rev3.xlsx</t>
  </si>
  <si>
    <t>20230221 : injector_lattice_file_2021_rev5.xlsx</t>
  </si>
  <si>
    <t>ファイル名を injector_lattice_(修正日)_revise#.xlsx の命名規則に変更．</t>
  </si>
  <si>
    <t>A</t>
  </si>
  <si>
    <t>B</t>
  </si>
  <si>
    <t>J</t>
  </si>
  <si>
    <t>C</t>
  </si>
  <si>
    <t>SY2</t>
  </si>
  <si>
    <t>"lattice_file" シート名を "lattice" に変更．</t>
  </si>
  <si>
    <t>"lattice" シートの項目名の半角スペースを _ に変更．</t>
  </si>
  <si>
    <t>beam_source</t>
  </si>
  <si>
    <t>segment_name</t>
  </si>
  <si>
    <t>point_name</t>
  </si>
  <si>
    <t>element_name</t>
  </si>
  <si>
    <t>element_type</t>
  </si>
  <si>
    <t>element_length [mm]</t>
  </si>
  <si>
    <t>"lattice" シートの beam_source 列の後に segment_name 列を追加．</t>
  </si>
  <si>
    <t>"lattice" シートの Length 列を element_length 列に変更．</t>
  </si>
  <si>
    <t>center-to-center_length [mm]</t>
  </si>
  <si>
    <t>effective_length [m]</t>
  </si>
  <si>
    <t>bore_dia [mm]</t>
  </si>
  <si>
    <t>aperture [mm]</t>
  </si>
  <si>
    <t>"lattice" シートの Bore dia./aperture 列を bore_dia [mm] 列と aperture [mm] 列に分離．SY2 の電磁石のボア径はデータがない模様．</t>
  </si>
  <si>
    <t>drift [mm]</t>
  </si>
  <si>
    <t>arc length = 392.7005</t>
  </si>
  <si>
    <t>g</t>
  </si>
  <si>
    <t>gr_as</t>
  </si>
  <si>
    <t>gv_a1_rg</t>
  </si>
  <si>
    <t>solenoid_coil</t>
  </si>
  <si>
    <t>gr_a1</t>
  </si>
  <si>
    <t>v : vacuum components</t>
  </si>
  <si>
    <t>g : gun</t>
  </si>
  <si>
    <t>arc length = 392.6996</t>
  </si>
  <si>
    <t>qf_as_3c 中心より</t>
  </si>
  <si>
    <t>784.065/382.7431</t>
  </si>
  <si>
    <t>A1 (bx/by_a1_gc より) / AS (bm_a1_0c より)</t>
  </si>
  <si>
    <t>472.0236/1027.9538</t>
  </si>
  <si>
    <t>sc_b6_2</t>
  </si>
  <si>
    <t>"lattice_file" シート z' 列の後ろに drift 列追加．</t>
  </si>
  <si>
    <t>"設計座標" シート 453 行目，"lattice" シート 404 行目の sc_b5_2 → sc_b6_2 に修正．</t>
  </si>
  <si>
    <t>by_r0_41</t>
  </si>
  <si>
    <t>210/2+25</t>
  </si>
  <si>
    <t>"設計座標" シート 592 行目，"lattice" シート 527 行目に by_r0_41 追加．</t>
  </si>
  <si>
    <t>SY2 情報待ち</t>
  </si>
  <si>
    <t>inst_type</t>
  </si>
  <si>
    <t>"設計座標" 及び "lattice" の a/v/d/f/m を inst_type に変更．</t>
  </si>
  <si>
    <t>s : solenoid</t>
  </si>
  <si>
    <t>sa : solenoid on acceleration tube</t>
  </si>
  <si>
    <t>sa</t>
  </si>
  <si>
    <t>ss : solenoid in solenoid</t>
  </si>
  <si>
    <t>ss</t>
  </si>
  <si>
    <t>sx_at_21</t>
  </si>
  <si>
    <t>sy_at_21</t>
  </si>
  <si>
    <t>n/a</t>
  </si>
  <si>
    <t>sc_at_j3</t>
  </si>
  <si>
    <t>AT (qd_at_j4c より) / A1 (by_a1_c4 より)</t>
  </si>
  <si>
    <t>311.0236/</t>
  </si>
  <si>
    <t>759.065/186.3933</t>
  </si>
  <si>
    <t>fy_r0_02</t>
  </si>
  <si>
    <t>target</t>
  </si>
  <si>
    <t>drift : sl_15_14 終端 ~ sl_15_15 始端</t>
  </si>
  <si>
    <t>drift : sl_15_15 終端 ~ sl_15_21 始端</t>
  </si>
  <si>
    <t>drift : sl_15_24 終端 ~ sl_15_25 始端</t>
  </si>
  <si>
    <t>drift : sl_15_25 終端 ~ sl_16_11 始端</t>
  </si>
  <si>
    <t>drift : sl_16_14 終端 ~ sl_16_15 始端</t>
  </si>
  <si>
    <t>drift : sl_16_15 終端 ~ sl_16_21 始端</t>
  </si>
  <si>
    <t>drift : sl_16_24 終端 ~ sl_16_25 始端</t>
  </si>
  <si>
    <t>drift : sl_16_25 終端 ~ sl_16_31 始端</t>
  </si>
  <si>
    <t>sx_16_25</t>
  </si>
  <si>
    <t>drift : sl_16_34 終端 ~ sl_16_35 始端</t>
  </si>
  <si>
    <t>drift : sl_16_35 終端 ~ sl_16_41 始端</t>
  </si>
  <si>
    <t>drift : sl_16_44 終端 ~ gv_16_4</t>
  </si>
  <si>
    <t>px_16_5c</t>
  </si>
  <si>
    <t>px_16_5</t>
  </si>
  <si>
    <t>sp_17_4 のフィードスルーが qf_17_44 磁極長内部</t>
  </si>
  <si>
    <t>sp_16_5 のフィードスルーが qd_16_57 磁極長内部</t>
  </si>
  <si>
    <t>sp_21_2 のフィードスルーが qf_21_24 磁極長内部</t>
  </si>
  <si>
    <t>sp_21_4 のフィードスルーが qf_21_44 磁極長内部</t>
  </si>
  <si>
    <t>px_21_4</t>
  </si>
  <si>
    <t>py_21_4</t>
  </si>
  <si>
    <t>sp_28_4 のフィードスルーが qd_28_4 磁極長内部</t>
  </si>
  <si>
    <t>"lattice" シートの element_name 列の後に element_type 列を追加．当該パラメータは Mag/Vac Gr では参照しないことから，内容は由元氏に一任．</t>
  </si>
  <si>
    <t>従来ファイル名を injector_lattice_file_(survey_data_year)_(revice_id) としていたが，由元氏の依頼により命名ルールを変更．</t>
  </si>
  <si>
    <t>fy_r0_02，SY2 の 4 台の磁場特性 (ボア径・有効磁場長) については，紙谷氏回答待ち．</t>
  </si>
  <si>
    <t>20230303 Okayasu 修正</t>
  </si>
  <si>
    <t>20230303 : injector_lattice_20230303.xlsx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</si>
</sst>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E+00"/>
    <numFmt numFmtId="165" formatCode="0.0000_ "/>
    <numFmt numFmtId="166" formatCode="0.000000_ "/>
    <numFmt numFmtId="167" formatCode="0.00000000E+00"/>
  </numFmts>
  <fonts count="14">
    <font>
      <sz val="11"/>
      <color theme="1"/>
      <name val="Meiryo UI"/>
      <family val="2"/>
    </font>
    <font>
      <sz val="11"/>
      <color rgb="FFFF0000"/>
      <name val="Meiryo UI"/>
      <family val="2"/>
    </font>
    <font>
      <sz val="11"/>
      <name val="Meiryo UI"/>
      <family val="2"/>
    </font>
    <font>
      <sz val="11"/>
      <color rgb="FF00B050"/>
      <name val="Meiryo UI"/>
      <family val="2"/>
    </font>
    <font>
      <sz val="11"/>
      <color theme="1"/>
      <name val="Calibri"/>
      <family val="2"/>
      <scheme val="minor"/>
    </font>
    <font>
      <sz val="11"/>
      <color rgb="FF00B050"/>
      <name val="Meiryo UI"/>
      <family val="3"/>
      <charset val="128"/>
    </font>
    <font>
      <sz val="11"/>
      <color rgb="FF0070C0"/>
      <name val="Meiryo UI"/>
      <family val="2"/>
    </font>
    <font>
      <sz val="11"/>
      <color rgb="FF0070C0"/>
      <name val="Meiryo UI"/>
      <family val="3"/>
      <charset val="128"/>
    </font>
    <font>
      <sz val="11"/>
      <color theme="5"/>
      <name val="Meiryo UI"/>
      <family val="2"/>
    </font>
    <font>
      <sz val="12"/>
      <color theme="1"/>
      <name val="Calibri"/>
      <family val="2"/>
      <charset val="128"/>
      <scheme val="minor"/>
    </font>
    <font>
      <sz val="14"/>
      <color theme="1"/>
      <name val="ＭＳ ゴシック"/>
      <family val="2"/>
      <charset val="128"/>
    </font>
    <font>
      <sz val="14"/>
      <name val="ＭＳ ゴシック"/>
      <family val="2"/>
      <charset val="128"/>
    </font>
    <font>
      <sz val="11"/>
      <color theme="0" tint="-0.249977111117893"/>
      <name val="Meiryo UI"/>
      <family val="2"/>
    </font>
    <font>
      <sz val="11"/>
      <color rgb="FF333333"/>
      <name val="Meiryo UI"/>
      <family val="3"/>
      <charset val="128"/>
    </font>
  </fonts>
  <fills count="2">
    <fill>
      <patternFill patternType="none"/>
    </fill>
    <fill>
      <patternFill patternType="gray125"/>
    </fill>
  </fills>
  <borders count="1">
    <border>
      <left/>
      <right/>
      <top/>
      <bottom/>
      <diagonal/>
    </border>
  </borders>
  <cellStyleXfs count="3">
    <xf numFmtId="0" fontId="0" fillId="0" borderId="0"/>
    <xf numFmtId="0" fontId="4" fillId="0" borderId="0"/>
    <xf numFmtId="0" fontId="9" fillId="0" borderId="0">
      <alignment vertical="center"/>
    </xf>
  </cellStyleXfs>
  <cellXfs count="25">
    <xf numFmtId="0" fontId="0" fillId="0" borderId="0" xfId="0"/>
    <xf numFmtId="0" fontId="2" fillId="0" borderId="0" xfId="0" applyFont="1"/>
    <xf numFmtId="0" fontId="1" fillId="0" borderId="0" xfId="0" applyFont="1"/>
    <xf numFmtId="0" fontId="3" fillId="0" borderId="0" xfId="0" applyFont="1"/>
    <xf numFmtId="0" fontId="4" fillId="0" borderId="0" xfId="1"/>
    <xf numFmtId="164" fontId="4" fillId="0" borderId="0" xfId="1" applyNumberFormat="1"/>
    <xf numFmtId="11" fontId="4" fillId="0" borderId="0" xfId="1" applyNumberFormat="1"/>
    <xf numFmtId="0" fontId="5" fillId="0" borderId="0" xfId="0" applyFont="1"/>
    <xf numFmtId="0" fontId="6" fillId="0" borderId="0" xfId="0" applyFont="1"/>
    <xf numFmtId="0" fontId="7" fillId="0" borderId="0" xfId="0" applyFont="1"/>
    <xf numFmtId="0" fontId="8" fillId="0" borderId="0" xfId="0" applyFont="1"/>
    <xf numFmtId="0" fontId="10" fillId="0" borderId="0" xfId="2" applyFont="1">
      <alignment vertical="center"/>
    </xf>
    <xf numFmtId="165" fontId="10" fillId="0" borderId="0" xfId="2" applyNumberFormat="1" applyFont="1">
      <alignment vertical="center"/>
    </xf>
    <xf numFmtId="166" fontId="10" fillId="0" borderId="0" xfId="2" applyNumberFormat="1" applyFont="1">
      <alignment vertical="center"/>
    </xf>
    <xf numFmtId="0" fontId="11" fillId="0" borderId="0" xfId="2" applyFont="1" applyAlignment="1"/>
    <xf numFmtId="165" fontId="11" fillId="0" borderId="0" xfId="2" applyNumberFormat="1" applyFont="1" applyAlignment="1"/>
    <xf numFmtId="166" fontId="11" fillId="0" borderId="0" xfId="2" applyNumberFormat="1" applyFont="1" applyAlignment="1"/>
    <xf numFmtId="167" fontId="11" fillId="0" borderId="0" xfId="2" applyNumberFormat="1" applyFont="1">
      <alignment vertical="center"/>
    </xf>
    <xf numFmtId="0" fontId="11" fillId="0" borderId="0" xfId="2" applyFont="1">
      <alignment vertical="center"/>
    </xf>
    <xf numFmtId="167" fontId="11" fillId="0" borderId="0" xfId="2" applyNumberFormat="1" applyFont="1" applyAlignment="1"/>
    <xf numFmtId="165" fontId="11" fillId="0" borderId="0" xfId="2" applyNumberFormat="1" applyFont="1">
      <alignment vertical="center"/>
    </xf>
    <xf numFmtId="166" fontId="11" fillId="0" borderId="0" xfId="2" applyNumberFormat="1" applyFont="1">
      <alignment vertical="center"/>
    </xf>
    <xf numFmtId="167" fontId="10" fillId="0" borderId="0" xfId="2" applyNumberFormat="1" applyFont="1">
      <alignment vertical="center"/>
    </xf>
    <xf numFmtId="0" fontId="12" fillId="0" borderId="0" xfId="0" applyFont="1"/>
    <xf numFmtId="0" fontId="13" fillId="0" borderId="0" xfId="0" applyFont="1"/>
  </cellXfs>
  <cellStyles count="3">
    <cellStyle name="Normal" xfId="0" builtinId="0"/>
    <cellStyle name="標準 2" xfId="1" xr:uid="{E88A9607-44CE-4EF8-87CD-E1208522F559}"/>
    <cellStyle name="標準 3" xfId="2" xr:uid="{0F83E477-85F4-455C-93A4-BBE35935D5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dz</c:v>
          </c:tx>
          <c:spPr>
            <a:ln w="12700" cap="rnd">
              <a:solidFill>
                <a:schemeClr val="accent1"/>
              </a:solidFill>
              <a:round/>
            </a:ln>
            <a:effectLst/>
          </c:spPr>
          <c:marker>
            <c:symbol val="circle"/>
            <c:size val="2"/>
            <c:spPr>
              <a:solidFill>
                <a:schemeClr val="accent1"/>
              </a:solidFill>
              <a:ln w="9525">
                <a:solidFill>
                  <a:schemeClr val="accent1"/>
                </a:solidFill>
              </a:ln>
              <a:effectLst/>
            </c:spPr>
          </c:marker>
          <c:trendline>
            <c:name>fit w/ polynomial (dz)</c:name>
            <c:spPr>
              <a:ln w="19050" cap="rnd">
                <a:solidFill>
                  <a:schemeClr val="accent1"/>
                </a:solidFill>
                <a:prstDash val="sysDot"/>
              </a:ln>
              <a:effectLst/>
            </c:spPr>
            <c:trendlineType val="poly"/>
            <c:order val="3"/>
            <c:dispRSqr val="1"/>
            <c:dispEq val="1"/>
            <c:trendlineLbl>
              <c:layout>
                <c:manualLayout>
                  <c:x val="-2.4960694444444459E-2"/>
                  <c:y val="-4.0066666666665803E-3"/>
                </c:manualLayout>
              </c:layout>
              <c:numFmt formatCode="0.0000E+00" sourceLinked="0"/>
              <c:spPr>
                <a:noFill/>
                <a:ln>
                  <a:noFill/>
                </a:ln>
                <a:effectLst/>
              </c:spPr>
              <c:txPr>
                <a:bodyPr rot="0" spcFirstLastPara="1" vertOverflow="ellipsis" vert="horz" wrap="square" anchor="ctr" anchorCtr="1"/>
                <a:lstStyle/>
                <a:p>
                  <a:pPr>
                    <a:defRPr lang="ja-JP" sz="12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trendlineLbl>
          </c:trendline>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測地線補正!$I$3:$I$24</c:f>
              <c:numCache>
                <c:formatCode>General</c:formatCode>
                <c:ptCount val="22"/>
                <c:pt idx="0">
                  <c:v>0.13295088459700877</c:v>
                </c:pt>
                <c:pt idx="1">
                  <c:v>-0.17501870328716707</c:v>
                </c:pt>
                <c:pt idx="2">
                  <c:v>-1.0606531027782187</c:v>
                </c:pt>
                <c:pt idx="3">
                  <c:v>-1.0465962313741155</c:v>
                </c:pt>
                <c:pt idx="4">
                  <c:v>-2.0507837158825142</c:v>
                </c:pt>
                <c:pt idx="5">
                  <c:v>-1.9579471900893002</c:v>
                </c:pt>
                <c:pt idx="6">
                  <c:v>-2.4145427668050865</c:v>
                </c:pt>
                <c:pt idx="7">
                  <c:v>-2.4990097035925731</c:v>
                </c:pt>
                <c:pt idx="8">
                  <c:v>-3.2362742741428439</c:v>
                </c:pt>
                <c:pt idx="9">
                  <c:v>-4.0672598670119493</c:v>
                </c:pt>
                <c:pt idx="10">
                  <c:v>-4.0196427168552979</c:v>
                </c:pt>
                <c:pt idx="11">
                  <c:v>-4.966623627554692</c:v>
                </c:pt>
                <c:pt idx="12">
                  <c:v>-4.8428216866046263</c:v>
                </c:pt>
                <c:pt idx="13">
                  <c:v>-5.4876107424305038</c:v>
                </c:pt>
                <c:pt idx="14">
                  <c:v>-5.6526628167479176</c:v>
                </c:pt>
                <c:pt idx="15">
                  <c:v>-6.3313515704506278</c:v>
                </c:pt>
                <c:pt idx="16">
                  <c:v>-5.2923877543632178</c:v>
                </c:pt>
                <c:pt idx="17">
                  <c:v>-7.0924929168381219</c:v>
                </c:pt>
                <c:pt idx="18">
                  <c:v>-7.1654764280964658</c:v>
                </c:pt>
                <c:pt idx="19">
                  <c:v>-7.9889161437673319</c:v>
                </c:pt>
                <c:pt idx="20">
                  <c:v>-8.0553124025926159</c:v>
                </c:pt>
                <c:pt idx="21">
                  <c:v>-9.0275742404816288</c:v>
                </c:pt>
              </c:numCache>
            </c:numRef>
          </c:yVal>
          <c:smooth val="0"/>
          <c:extLst>
            <c:ext xmlns:c16="http://schemas.microsoft.com/office/drawing/2014/chart" uri="{C3380CC4-5D6E-409C-BE32-E72D297353CC}">
              <c16:uniqueId val="{00000001-2126-4A9A-B939-1071DE8EC953}"/>
            </c:ext>
          </c:extLst>
        </c:ser>
        <c:ser>
          <c:idx val="1"/>
          <c:order val="1"/>
          <c:tx>
            <c:v>PD_level</c:v>
          </c:tx>
          <c:spPr>
            <a:ln w="12700" cap="rnd">
              <a:solidFill>
                <a:schemeClr val="accent2"/>
              </a:solidFill>
              <a:round/>
            </a:ln>
            <a:effectLst/>
          </c:spPr>
          <c:marker>
            <c:symbol val="circle"/>
            <c:size val="2"/>
            <c:spPr>
              <a:solidFill>
                <a:schemeClr val="accent2"/>
              </a:solidFill>
              <a:ln w="9525">
                <a:solidFill>
                  <a:schemeClr val="accent2"/>
                </a:solidFill>
              </a:ln>
              <a:effectLst/>
            </c:spPr>
          </c:marker>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測地線補正!$E$3:$E$24</c:f>
              <c:numCache>
                <c:formatCode>General</c:formatCode>
                <c:ptCount val="22"/>
                <c:pt idx="0">
                  <c:v>0.13295088459700877</c:v>
                </c:pt>
                <c:pt idx="1">
                  <c:v>0.15382666671290024</c:v>
                </c:pt>
                <c:pt idx="2">
                  <c:v>0.13760007722183296</c:v>
                </c:pt>
                <c:pt idx="3">
                  <c:v>-7.5108751374051111E-2</c:v>
                </c:pt>
                <c:pt idx="4">
                  <c:v>-0.33716253588249578</c:v>
                </c:pt>
                <c:pt idx="5">
                  <c:v>-0.18536829008920164</c:v>
                </c:pt>
                <c:pt idx="6">
                  <c:v>-0.12772409680508398</c:v>
                </c:pt>
                <c:pt idx="7">
                  <c:v>-9.3785813592571113E-2</c:v>
                </c:pt>
                <c:pt idx="8">
                  <c:v>-7.0593314142812211E-2</c:v>
                </c:pt>
                <c:pt idx="9">
                  <c:v>-0.10241058701188258</c:v>
                </c:pt>
                <c:pt idx="10">
                  <c:v>-6.3009916855218839E-2</c:v>
                </c:pt>
                <c:pt idx="11">
                  <c:v>2.5925552445390666E-2</c:v>
                </c:pt>
                <c:pt idx="12">
                  <c:v>0.25589642339542351</c:v>
                </c:pt>
                <c:pt idx="13">
                  <c:v>-3.7863372430435631E-2</c:v>
                </c:pt>
                <c:pt idx="14">
                  <c:v>-0.28805061674790683</c:v>
                </c:pt>
                <c:pt idx="15">
                  <c:v>2.3226149549437629E-2</c:v>
                </c:pt>
                <c:pt idx="16">
                  <c:v>1.0124014556368628</c:v>
                </c:pt>
                <c:pt idx="17">
                  <c:v>-0.21656326683801938</c:v>
                </c:pt>
                <c:pt idx="18">
                  <c:v>-0.31228075809636124</c:v>
                </c:pt>
                <c:pt idx="19">
                  <c:v>-0.18667081376732717</c:v>
                </c:pt>
                <c:pt idx="20">
                  <c:v>-0.17013773259253354</c:v>
                </c:pt>
                <c:pt idx="21">
                  <c:v>-8.2878650481590793E-2</c:v>
                </c:pt>
              </c:numCache>
            </c:numRef>
          </c:yVal>
          <c:smooth val="0"/>
          <c:extLst>
            <c:ext xmlns:c16="http://schemas.microsoft.com/office/drawing/2014/chart" uri="{C3380CC4-5D6E-409C-BE32-E72D297353CC}">
              <c16:uniqueId val="{00000002-2126-4A9A-B939-1071DE8EC953}"/>
            </c:ext>
          </c:extLst>
        </c:ser>
        <c:dLbls>
          <c:showLegendKey val="0"/>
          <c:showVal val="0"/>
          <c:showCatName val="0"/>
          <c:showSerName val="0"/>
          <c:showPercent val="0"/>
          <c:showBubbleSize val="0"/>
        </c:dLbls>
        <c:axId val="1818549328"/>
        <c:axId val="1818549744"/>
      </c:scatterChart>
      <c:valAx>
        <c:axId val="18185493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y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818549744"/>
        <c:crossesAt val="-10"/>
        <c:crossBetween val="midCat"/>
      </c:valAx>
      <c:valAx>
        <c:axId val="18185497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z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81854932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LT_level (corrected)</c:v>
          </c:tx>
          <c:spPr>
            <a:ln w="12700" cap="rnd">
              <a:solidFill>
                <a:schemeClr val="accent1"/>
              </a:solidFill>
              <a:round/>
            </a:ln>
            <a:effectLst/>
          </c:spPr>
          <c:marker>
            <c:symbol val="circle"/>
            <c:size val="2"/>
            <c:spPr>
              <a:solidFill>
                <a:schemeClr val="accent1"/>
              </a:solidFill>
              <a:ln w="9525">
                <a:solidFill>
                  <a:schemeClr val="accent1"/>
                </a:solidFill>
              </a:ln>
              <a:effectLst/>
            </c:spPr>
          </c:marker>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測地線補正!$H$3:$H$24</c:f>
              <c:numCache>
                <c:formatCode>General</c:formatCode>
                <c:ptCount val="22"/>
                <c:pt idx="0">
                  <c:v>0.13295088459700877</c:v>
                </c:pt>
                <c:pt idx="1">
                  <c:v>0.43144727358883683</c:v>
                </c:pt>
                <c:pt idx="2">
                  <c:v>0.42699657547496561</c:v>
                </c:pt>
                <c:pt idx="3">
                  <c:v>0.10061650769669189</c:v>
                </c:pt>
                <c:pt idx="4">
                  <c:v>7.2302454807068761E-2</c:v>
                </c:pt>
                <c:pt idx="5">
                  <c:v>3.9811868372836928E-2</c:v>
                </c:pt>
                <c:pt idx="6">
                  <c:v>-0.21644637043287762</c:v>
                </c:pt>
                <c:pt idx="7">
                  <c:v>-0.40591200967995278</c:v>
                </c:pt>
                <c:pt idx="8">
                  <c:v>-0.42582687224296512</c:v>
                </c:pt>
                <c:pt idx="9">
                  <c:v>-0.32827431382331274</c:v>
                </c:pt>
                <c:pt idx="10">
                  <c:v>-0.43005690850743139</c:v>
                </c:pt>
                <c:pt idx="11">
                  <c:v>-9.5711818980238519E-2</c:v>
                </c:pt>
                <c:pt idx="12">
                  <c:v>-7.5856459150316344E-2</c:v>
                </c:pt>
                <c:pt idx="13">
                  <c:v>-0.42639121594090124</c:v>
                </c:pt>
                <c:pt idx="14">
                  <c:v>-0.5981028136978207</c:v>
                </c:pt>
                <c:pt idx="15">
                  <c:v>-0.3097251641136477</c:v>
                </c:pt>
                <c:pt idx="16">
                  <c:v>-0.4456119577298232</c:v>
                </c:pt>
                <c:pt idx="17">
                  <c:v>-0.57602635362440535</c:v>
                </c:pt>
                <c:pt idx="18">
                  <c:v>-0.68495374278735277</c:v>
                </c:pt>
                <c:pt idx="19">
                  <c:v>-0.43750576790078455</c:v>
                </c:pt>
                <c:pt idx="20">
                  <c:v>-0.44075272113476816</c:v>
                </c:pt>
                <c:pt idx="21">
                  <c:v>-8.2878650481590793E-2</c:v>
                </c:pt>
              </c:numCache>
            </c:numRef>
          </c:yVal>
          <c:smooth val="0"/>
          <c:extLst>
            <c:ext xmlns:c16="http://schemas.microsoft.com/office/drawing/2014/chart" uri="{C3380CC4-5D6E-409C-BE32-E72D297353CC}">
              <c16:uniqueId val="{00000000-05E7-4D92-A7F6-DAFC656D28C2}"/>
            </c:ext>
          </c:extLst>
        </c:ser>
        <c:ser>
          <c:idx val="1"/>
          <c:order val="1"/>
          <c:tx>
            <c:v>PD_level</c:v>
          </c:tx>
          <c:spPr>
            <a:ln w="12700" cap="rnd">
              <a:solidFill>
                <a:schemeClr val="accent2"/>
              </a:solidFill>
              <a:round/>
            </a:ln>
            <a:effectLst/>
          </c:spPr>
          <c:marker>
            <c:symbol val="circle"/>
            <c:size val="2"/>
            <c:spPr>
              <a:solidFill>
                <a:schemeClr val="accent2"/>
              </a:solidFill>
              <a:ln w="9525">
                <a:solidFill>
                  <a:schemeClr val="accent2"/>
                </a:solidFill>
              </a:ln>
              <a:effectLst/>
            </c:spPr>
          </c:marker>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測地線補正!$E$3:$E$24</c:f>
              <c:numCache>
                <c:formatCode>General</c:formatCode>
                <c:ptCount val="22"/>
                <c:pt idx="0">
                  <c:v>0.13295088459700877</c:v>
                </c:pt>
                <c:pt idx="1">
                  <c:v>0.15382666671290024</c:v>
                </c:pt>
                <c:pt idx="2">
                  <c:v>0.13760007722183296</c:v>
                </c:pt>
                <c:pt idx="3">
                  <c:v>-7.5108751374051111E-2</c:v>
                </c:pt>
                <c:pt idx="4">
                  <c:v>-0.33716253588249578</c:v>
                </c:pt>
                <c:pt idx="5">
                  <c:v>-0.18536829008920164</c:v>
                </c:pt>
                <c:pt idx="6">
                  <c:v>-0.12772409680508398</c:v>
                </c:pt>
                <c:pt idx="7">
                  <c:v>-9.3785813592571113E-2</c:v>
                </c:pt>
                <c:pt idx="8">
                  <c:v>-7.0593314142812211E-2</c:v>
                </c:pt>
                <c:pt idx="9">
                  <c:v>-0.10241058701188258</c:v>
                </c:pt>
                <c:pt idx="10">
                  <c:v>-6.3009916855218839E-2</c:v>
                </c:pt>
                <c:pt idx="11">
                  <c:v>2.5925552445390666E-2</c:v>
                </c:pt>
                <c:pt idx="12">
                  <c:v>0.25589642339542351</c:v>
                </c:pt>
                <c:pt idx="13">
                  <c:v>-3.7863372430435631E-2</c:v>
                </c:pt>
                <c:pt idx="14">
                  <c:v>-0.28805061674790683</c:v>
                </c:pt>
                <c:pt idx="15">
                  <c:v>2.3226149549437629E-2</c:v>
                </c:pt>
                <c:pt idx="16">
                  <c:v>1.0124014556368628</c:v>
                </c:pt>
                <c:pt idx="17">
                  <c:v>-0.21656326683801938</c:v>
                </c:pt>
                <c:pt idx="18">
                  <c:v>-0.31228075809636124</c:v>
                </c:pt>
                <c:pt idx="19">
                  <c:v>-0.18667081376732717</c:v>
                </c:pt>
                <c:pt idx="20">
                  <c:v>-0.17013773259253354</c:v>
                </c:pt>
                <c:pt idx="21">
                  <c:v>-8.2878650481590793E-2</c:v>
                </c:pt>
              </c:numCache>
            </c:numRef>
          </c:yVal>
          <c:smooth val="0"/>
          <c:extLst>
            <c:ext xmlns:c16="http://schemas.microsoft.com/office/drawing/2014/chart" uri="{C3380CC4-5D6E-409C-BE32-E72D297353CC}">
              <c16:uniqueId val="{00000001-05E7-4D92-A7F6-DAFC656D28C2}"/>
            </c:ext>
          </c:extLst>
        </c:ser>
        <c:ser>
          <c:idx val="2"/>
          <c:order val="2"/>
          <c:tx>
            <c:v>LT_level</c:v>
          </c:tx>
          <c:spPr>
            <a:ln w="12700" cap="rnd">
              <a:solidFill>
                <a:schemeClr val="tx1"/>
              </a:solidFill>
              <a:round/>
            </a:ln>
            <a:effectLst/>
          </c:spPr>
          <c:marker>
            <c:symbol val="circle"/>
            <c:size val="2"/>
            <c:spPr>
              <a:solidFill>
                <a:schemeClr val="tx1"/>
              </a:solidFill>
              <a:ln w="9525">
                <a:solidFill>
                  <a:schemeClr val="tx1"/>
                </a:solidFill>
              </a:ln>
              <a:effectLst/>
            </c:spPr>
          </c:marker>
          <c:xVal>
            <c:numRef>
              <c:f>測地線補正!$C$3:$C$24</c:f>
              <c:numCache>
                <c:formatCode>General</c:formatCode>
                <c:ptCount val="22"/>
                <c:pt idx="0">
                  <c:v>0.69341314523000008</c:v>
                </c:pt>
                <c:pt idx="1">
                  <c:v>1.0631861980799999</c:v>
                </c:pt>
                <c:pt idx="2">
                  <c:v>11.710309019649999</c:v>
                </c:pt>
                <c:pt idx="3">
                  <c:v>12.92401398296</c:v>
                </c:pt>
                <c:pt idx="4">
                  <c:v>22.311176522950003</c:v>
                </c:pt>
                <c:pt idx="5">
                  <c:v>23.42538590741</c:v>
                </c:pt>
                <c:pt idx="6">
                  <c:v>32.813160767250004</c:v>
                </c:pt>
                <c:pt idx="7">
                  <c:v>36.564270152980001</c:v>
                </c:pt>
                <c:pt idx="8">
                  <c:v>46.072349247429997</c:v>
                </c:pt>
                <c:pt idx="9">
                  <c:v>54.620860382510003</c:v>
                </c:pt>
                <c:pt idx="10">
                  <c:v>55.760873217229999</c:v>
                </c:pt>
                <c:pt idx="11">
                  <c:v>64.308842514770006</c:v>
                </c:pt>
                <c:pt idx="12">
                  <c:v>65.360490091849996</c:v>
                </c:pt>
                <c:pt idx="13">
                  <c:v>73.908370766589996</c:v>
                </c:pt>
                <c:pt idx="14">
                  <c:v>74.963221009760005</c:v>
                </c:pt>
                <c:pt idx="15">
                  <c:v>83.511392317909994</c:v>
                </c:pt>
                <c:pt idx="16">
                  <c:v>84.560416836040005</c:v>
                </c:pt>
                <c:pt idx="17">
                  <c:v>93.108185650419998</c:v>
                </c:pt>
                <c:pt idx="18">
                  <c:v>94.158369181560005</c:v>
                </c:pt>
                <c:pt idx="19">
                  <c:v>102.70670880847</c:v>
                </c:pt>
                <c:pt idx="20">
                  <c:v>103.75668379852999</c:v>
                </c:pt>
                <c:pt idx="21">
                  <c:v>112.30557370804999</c:v>
                </c:pt>
              </c:numCache>
            </c:numRef>
          </c:xVal>
          <c:yVal>
            <c:numRef>
              <c:f>測地線補正!$F$3:$F$24</c:f>
              <c:numCache>
                <c:formatCode>General</c:formatCode>
                <c:ptCount val="22"/>
                <c:pt idx="0">
                  <c:v>0</c:v>
                </c:pt>
                <c:pt idx="1">
                  <c:v>0.32884537000006731</c:v>
                </c:pt>
                <c:pt idx="2">
                  <c:v>1.1982531800000515</c:v>
                </c:pt>
                <c:pt idx="3">
                  <c:v>0.97148748000006435</c:v>
                </c:pt>
                <c:pt idx="4">
                  <c:v>1.7136211800000183</c:v>
                </c:pt>
                <c:pt idx="5">
                  <c:v>1.7725789000000987</c:v>
                </c:pt>
                <c:pt idx="6">
                  <c:v>2.2868186700000024</c:v>
                </c:pt>
                <c:pt idx="7">
                  <c:v>2.405223890000002</c:v>
                </c:pt>
                <c:pt idx="8">
                  <c:v>3.1656809600000315</c:v>
                </c:pt>
                <c:pt idx="9">
                  <c:v>3.9648492800000668</c:v>
                </c:pt>
                <c:pt idx="10">
                  <c:v>3.9566328000000794</c:v>
                </c:pt>
                <c:pt idx="11">
                  <c:v>4.9925491800000827</c:v>
                </c:pt>
                <c:pt idx="12">
                  <c:v>5.0987181100000498</c:v>
                </c:pt>
                <c:pt idx="13">
                  <c:v>5.4497473700000683</c:v>
                </c:pt>
                <c:pt idx="14">
                  <c:v>5.3646122000000105</c:v>
                </c:pt>
                <c:pt idx="15">
                  <c:v>6.3545777200000657</c:v>
                </c:pt>
                <c:pt idx="16">
                  <c:v>6.3047892100000809</c:v>
                </c:pt>
                <c:pt idx="17">
                  <c:v>6.8759296500001028</c:v>
                </c:pt>
                <c:pt idx="18">
                  <c:v>6.8531956700001047</c:v>
                </c:pt>
                <c:pt idx="19">
                  <c:v>7.8022453300000052</c:v>
                </c:pt>
                <c:pt idx="20">
                  <c:v>7.8851746700000831</c:v>
                </c:pt>
                <c:pt idx="21">
                  <c:v>8.9446955900000376</c:v>
                </c:pt>
              </c:numCache>
            </c:numRef>
          </c:yVal>
          <c:smooth val="0"/>
          <c:extLst>
            <c:ext xmlns:c16="http://schemas.microsoft.com/office/drawing/2014/chart" uri="{C3380CC4-5D6E-409C-BE32-E72D297353CC}">
              <c16:uniqueId val="{00000002-05E7-4D92-A7F6-DAFC656D28C2}"/>
            </c:ext>
          </c:extLst>
        </c:ser>
        <c:dLbls>
          <c:showLegendKey val="0"/>
          <c:showVal val="0"/>
          <c:showCatName val="0"/>
          <c:showSerName val="0"/>
          <c:showPercent val="0"/>
          <c:showBubbleSize val="0"/>
        </c:dLbls>
        <c:axId val="1789810848"/>
        <c:axId val="1814132800"/>
      </c:scatterChart>
      <c:valAx>
        <c:axId val="17898108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y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814132800"/>
        <c:crossesAt val="-2"/>
        <c:crossBetween val="midCat"/>
      </c:valAx>
      <c:valAx>
        <c:axId val="18141328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z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78981084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dz</c:v>
          </c:tx>
          <c:spPr>
            <a:ln w="12700" cap="rnd">
              <a:solidFill>
                <a:schemeClr val="accent1"/>
              </a:solidFill>
              <a:round/>
            </a:ln>
            <a:effectLst/>
          </c:spPr>
          <c:marker>
            <c:symbol val="circle"/>
            <c:size val="2"/>
            <c:spPr>
              <a:solidFill>
                <a:schemeClr val="accent1"/>
              </a:solidFill>
              <a:ln w="9525">
                <a:solidFill>
                  <a:schemeClr val="accent1"/>
                </a:solidFill>
              </a:ln>
              <a:effectLst/>
            </c:spPr>
          </c:marker>
          <c:trendline>
            <c:name>fit w/ polynpmial (dz)</c:name>
            <c:spPr>
              <a:ln w="12700" cap="rnd">
                <a:solidFill>
                  <a:schemeClr val="bg1">
                    <a:lumMod val="50000"/>
                  </a:schemeClr>
                </a:solidFill>
                <a:prstDash val="sysDot"/>
              </a:ln>
              <a:effectLst/>
            </c:spPr>
            <c:trendlineType val="poly"/>
            <c:order val="3"/>
            <c:dispRSqr val="1"/>
            <c:dispEq val="1"/>
            <c:trendlineLbl>
              <c:layout>
                <c:manualLayout>
                  <c:x val="7.1142222222222218E-2"/>
                  <c:y val="-0.15808495036985301"/>
                </c:manualLayout>
              </c:layout>
              <c:numFmt formatCode="0.0000E+00" sourceLinked="0"/>
              <c:spPr>
                <a:noFill/>
                <a:ln>
                  <a:noFill/>
                </a:ln>
                <a:effectLst/>
              </c:spPr>
              <c:txPr>
                <a:bodyPr rot="0" spcFirstLastPara="1" vertOverflow="ellipsis" vert="horz" wrap="square" anchor="ctr" anchorCtr="1"/>
                <a:lstStyle/>
                <a:p>
                  <a:pPr>
                    <a:defRPr lang="ja-JP" sz="12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trendlineLbl>
          </c:trendline>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測地線補正!$I$26:$I$105</c:f>
              <c:numCache>
                <c:formatCode>General</c:formatCode>
                <c:ptCount val="80"/>
                <c:pt idx="0">
                  <c:v>-8.6136120712047344</c:v>
                </c:pt>
                <c:pt idx="1">
                  <c:v>-8.6084471865055292</c:v>
                </c:pt>
                <c:pt idx="2">
                  <c:v>-8.2881876333099402</c:v>
                </c:pt>
                <c:pt idx="3">
                  <c:v>-7.449274346580296</c:v>
                </c:pt>
                <c:pt idx="4">
                  <c:v>-8.1398077850821409</c:v>
                </c:pt>
                <c:pt idx="5">
                  <c:v>-7.1155917000304498</c:v>
                </c:pt>
                <c:pt idx="6">
                  <c:v>-7.2668119415374894</c:v>
                </c:pt>
                <c:pt idx="7">
                  <c:v>-6.0635150484892186</c:v>
                </c:pt>
                <c:pt idx="8">
                  <c:v>-5.5001294920866988</c:v>
                </c:pt>
                <c:pt idx="9">
                  <c:v>-5.6130403425177615</c:v>
                </c:pt>
                <c:pt idx="10">
                  <c:v>-5.278457945438686</c:v>
                </c:pt>
                <c:pt idx="11">
                  <c:v>-5.1539825922230484</c:v>
                </c:pt>
                <c:pt idx="12">
                  <c:v>-4.1491843424764046</c:v>
                </c:pt>
                <c:pt idx="13">
                  <c:v>-4.1607863026923795</c:v>
                </c:pt>
                <c:pt idx="14">
                  <c:v>-3.4228223877949668</c:v>
                </c:pt>
                <c:pt idx="15">
                  <c:v>-3.1863407938142667</c:v>
                </c:pt>
                <c:pt idx="16">
                  <c:v>-2.8260472637992624</c:v>
                </c:pt>
                <c:pt idx="17">
                  <c:v>-2.7823604872788499</c:v>
                </c:pt>
                <c:pt idx="18">
                  <c:v>-1.5394025816297332</c:v>
                </c:pt>
                <c:pt idx="19">
                  <c:v>-1.6186771723975431</c:v>
                </c:pt>
                <c:pt idx="20">
                  <c:v>-1.8477085283421844</c:v>
                </c:pt>
                <c:pt idx="21">
                  <c:v>-1.7166825026034283</c:v>
                </c:pt>
                <c:pt idx="22">
                  <c:v>-0.93391033829532377</c:v>
                </c:pt>
                <c:pt idx="23">
                  <c:v>9.4522602267982592E-2</c:v>
                </c:pt>
                <c:pt idx="24">
                  <c:v>-0.35076117764001891</c:v>
                </c:pt>
                <c:pt idx="25">
                  <c:v>-0.24832660393482225</c:v>
                </c:pt>
                <c:pt idx="26">
                  <c:v>-0.318743897425734</c:v>
                </c:pt>
                <c:pt idx="27">
                  <c:v>0.19045297283683255</c:v>
                </c:pt>
                <c:pt idx="28">
                  <c:v>0.26419232645727447</c:v>
                </c:pt>
                <c:pt idx="29">
                  <c:v>1.1473138487999623</c:v>
                </c:pt>
                <c:pt idx="30">
                  <c:v>1.1462268374639653</c:v>
                </c:pt>
                <c:pt idx="31">
                  <c:v>1.1466894638434568</c:v>
                </c:pt>
                <c:pt idx="32">
                  <c:v>1.4197538641585323</c:v>
                </c:pt>
                <c:pt idx="33">
                  <c:v>1.5229621674790532</c:v>
                </c:pt>
                <c:pt idx="34">
                  <c:v>1.3822651109621134</c:v>
                </c:pt>
                <c:pt idx="35">
                  <c:v>1.315395435472053</c:v>
                </c:pt>
                <c:pt idx="36">
                  <c:v>1.7849339803105755</c:v>
                </c:pt>
                <c:pt idx="37">
                  <c:v>1.7933975370808821</c:v>
                </c:pt>
                <c:pt idx="38">
                  <c:v>1.9518623386541709</c:v>
                </c:pt>
                <c:pt idx="39">
                  <c:v>2.2678405261399739</c:v>
                </c:pt>
                <c:pt idx="40">
                  <c:v>2.2817176126149743</c:v>
                </c:pt>
                <c:pt idx="41">
                  <c:v>2.4796239012886558</c:v>
                </c:pt>
                <c:pt idx="42">
                  <c:v>2.666863054447373</c:v>
                </c:pt>
                <c:pt idx="43">
                  <c:v>2.4628898190076263</c:v>
                </c:pt>
                <c:pt idx="44">
                  <c:v>2.406449553245944</c:v>
                </c:pt>
                <c:pt idx="45">
                  <c:v>2.8769738812826273</c:v>
                </c:pt>
                <c:pt idx="46">
                  <c:v>2.8709164934855425</c:v>
                </c:pt>
                <c:pt idx="47">
                  <c:v>3.0676001151845398</c:v>
                </c:pt>
                <c:pt idx="48">
                  <c:v>3.0970179803560529</c:v>
                </c:pt>
                <c:pt idx="49">
                  <c:v>2.8612961729819322</c:v>
                </c:pt>
                <c:pt idx="50">
                  <c:v>2.6684678425877228</c:v>
                </c:pt>
                <c:pt idx="51">
                  <c:v>2.8312296281846092</c:v>
                </c:pt>
                <c:pt idx="52">
                  <c:v>2.8698427011075966</c:v>
                </c:pt>
                <c:pt idx="53">
                  <c:v>2.4452226261464007</c:v>
                </c:pt>
                <c:pt idx="54">
                  <c:v>2.7263827098700637</c:v>
                </c:pt>
                <c:pt idx="55">
                  <c:v>2.1975113838647689</c:v>
                </c:pt>
                <c:pt idx="56">
                  <c:v>2.2871149313768675</c:v>
                </c:pt>
                <c:pt idx="57">
                  <c:v>2.501604374786301</c:v>
                </c:pt>
                <c:pt idx="58">
                  <c:v>2.472732765102621</c:v>
                </c:pt>
                <c:pt idx="59">
                  <c:v>2.4322701556379238</c:v>
                </c:pt>
                <c:pt idx="60">
                  <c:v>2.3432114650344338</c:v>
                </c:pt>
                <c:pt idx="61">
                  <c:v>2.9104124861019507</c:v>
                </c:pt>
                <c:pt idx="62">
                  <c:v>2.3293959810480862</c:v>
                </c:pt>
                <c:pt idx="63">
                  <c:v>1.9837542823337777</c:v>
                </c:pt>
                <c:pt idx="64">
                  <c:v>2.2752183933502299</c:v>
                </c:pt>
                <c:pt idx="65">
                  <c:v>2.1424513027680616</c:v>
                </c:pt>
                <c:pt idx="66">
                  <c:v>2.1853340385178623</c:v>
                </c:pt>
                <c:pt idx="67">
                  <c:v>1.5144839958964624</c:v>
                </c:pt>
                <c:pt idx="68">
                  <c:v>1.8466436951376799</c:v>
                </c:pt>
                <c:pt idx="69">
                  <c:v>1.7676361351180527</c:v>
                </c:pt>
                <c:pt idx="70">
                  <c:v>1.5846403514840079</c:v>
                </c:pt>
                <c:pt idx="71">
                  <c:v>1.5508873214339109</c:v>
                </c:pt>
                <c:pt idx="72">
                  <c:v>1.4318943048086779</c:v>
                </c:pt>
                <c:pt idx="73">
                  <c:v>1.6647732887082374</c:v>
                </c:pt>
                <c:pt idx="74">
                  <c:v>1.6831337179271326</c:v>
                </c:pt>
                <c:pt idx="75">
                  <c:v>1.5689231497949383</c:v>
                </c:pt>
                <c:pt idx="76">
                  <c:v>1.4136331811534462</c:v>
                </c:pt>
                <c:pt idx="77">
                  <c:v>1.2068437881815322</c:v>
                </c:pt>
                <c:pt idx="78">
                  <c:v>1.2726146155878031</c:v>
                </c:pt>
                <c:pt idx="79">
                  <c:v>1.3503026641191664</c:v>
                </c:pt>
              </c:numCache>
            </c:numRef>
          </c:yVal>
          <c:smooth val="0"/>
          <c:extLst>
            <c:ext xmlns:c16="http://schemas.microsoft.com/office/drawing/2014/chart" uri="{C3380CC4-5D6E-409C-BE32-E72D297353CC}">
              <c16:uniqueId val="{00000001-BF67-4414-A5DF-C0CA176A3D72}"/>
            </c:ext>
          </c:extLst>
        </c:ser>
        <c:ser>
          <c:idx val="1"/>
          <c:order val="1"/>
          <c:tx>
            <c:v>PD_level</c:v>
          </c:tx>
          <c:spPr>
            <a:ln w="12700" cap="rnd">
              <a:solidFill>
                <a:schemeClr val="accent2"/>
              </a:solidFill>
              <a:round/>
            </a:ln>
            <a:effectLst/>
          </c:spPr>
          <c:marker>
            <c:symbol val="circle"/>
            <c:size val="2"/>
            <c:spPr>
              <a:solidFill>
                <a:schemeClr val="accent2"/>
              </a:solidFill>
              <a:ln w="9525">
                <a:solidFill>
                  <a:schemeClr val="accent2"/>
                </a:solidFill>
              </a:ln>
              <a:effectLst/>
            </c:spPr>
          </c:marker>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測地線補正!$D$26:$D$105</c:f>
              <c:numCache>
                <c:formatCode>General</c:formatCode>
                <c:ptCount val="80"/>
                <c:pt idx="0">
                  <c:v>-2.7450181204649204E-2</c:v>
                </c:pt>
                <c:pt idx="1">
                  <c:v>-0.13252759650542584</c:v>
                </c:pt>
                <c:pt idx="2">
                  <c:v>-0.30836283330986647</c:v>
                </c:pt>
                <c:pt idx="3">
                  <c:v>-0.29240464658028009</c:v>
                </c:pt>
                <c:pt idx="4">
                  <c:v>-0.33990306508205581</c:v>
                </c:pt>
                <c:pt idx="5">
                  <c:v>-0.33030504003033889</c:v>
                </c:pt>
                <c:pt idx="6">
                  <c:v>-0.57464007153745078</c:v>
                </c:pt>
                <c:pt idx="7">
                  <c:v>-0.42151246848916585</c:v>
                </c:pt>
                <c:pt idx="8">
                  <c:v>-0.55073983208663346</c:v>
                </c:pt>
                <c:pt idx="9">
                  <c:v>-0.61277711251767453</c:v>
                </c:pt>
                <c:pt idx="10">
                  <c:v>-0.732062095438619</c:v>
                </c:pt>
                <c:pt idx="11">
                  <c:v>-0.73649151222294396</c:v>
                </c:pt>
                <c:pt idx="12">
                  <c:v>-0.83140313247638342</c:v>
                </c:pt>
                <c:pt idx="13">
                  <c:v>-0.81204505269227667</c:v>
                </c:pt>
                <c:pt idx="14">
                  <c:v>-0.67198668779492787</c:v>
                </c:pt>
                <c:pt idx="15">
                  <c:v>-1.0751789438142363</c:v>
                </c:pt>
                <c:pt idx="16">
                  <c:v>-0.92856152379916956</c:v>
                </c:pt>
                <c:pt idx="17">
                  <c:v>-0.79085051727881173</c:v>
                </c:pt>
                <c:pt idx="18">
                  <c:v>-0.76166601162973135</c:v>
                </c:pt>
                <c:pt idx="19">
                  <c:v>-0.72309443239753413</c:v>
                </c:pt>
                <c:pt idx="20">
                  <c:v>-0.64861521834210412</c:v>
                </c:pt>
                <c:pt idx="21">
                  <c:v>-0.64000384260334398</c:v>
                </c:pt>
                <c:pt idx="22">
                  <c:v>-0.49258423829524084</c:v>
                </c:pt>
                <c:pt idx="23">
                  <c:v>9.2928152268012099E-2</c:v>
                </c:pt>
                <c:pt idx="24">
                  <c:v>-0.49490180763994329</c:v>
                </c:pt>
                <c:pt idx="25">
                  <c:v>-0.40121954393472375</c:v>
                </c:pt>
                <c:pt idx="26">
                  <c:v>-0.39730444742564047</c:v>
                </c:pt>
                <c:pt idx="27">
                  <c:v>-0.33957742716315437</c:v>
                </c:pt>
                <c:pt idx="28">
                  <c:v>-0.38911332354271849</c:v>
                </c:pt>
                <c:pt idx="29">
                  <c:v>-0.34311649120002652</c:v>
                </c:pt>
                <c:pt idx="30">
                  <c:v>-0.35785923253600604</c:v>
                </c:pt>
                <c:pt idx="31">
                  <c:v>-0.26178464615647229</c:v>
                </c:pt>
                <c:pt idx="32">
                  <c:v>-0.36830493584139828</c:v>
                </c:pt>
                <c:pt idx="33">
                  <c:v>-0.24660073252092946</c:v>
                </c:pt>
                <c:pt idx="34">
                  <c:v>-0.15019874903777999</c:v>
                </c:pt>
                <c:pt idx="35">
                  <c:v>-0.16765862452791924</c:v>
                </c:pt>
                <c:pt idx="36">
                  <c:v>-0.15268265968941191</c:v>
                </c:pt>
                <c:pt idx="37">
                  <c:v>-0.16484765291907474</c:v>
                </c:pt>
                <c:pt idx="38">
                  <c:v>-0.32958746134573391</c:v>
                </c:pt>
                <c:pt idx="39">
                  <c:v>-0.31991417385991749</c:v>
                </c:pt>
                <c:pt idx="40">
                  <c:v>-0.32675633738498733</c:v>
                </c:pt>
                <c:pt idx="41">
                  <c:v>-0.54947683871133413</c:v>
                </c:pt>
                <c:pt idx="42">
                  <c:v>-0.10567525555258578</c:v>
                </c:pt>
                <c:pt idx="43">
                  <c:v>-0.10941851099231546</c:v>
                </c:pt>
                <c:pt idx="44">
                  <c:v>-2.2477516754041953E-2</c:v>
                </c:pt>
                <c:pt idx="45">
                  <c:v>-6.5459208717267819E-2</c:v>
                </c:pt>
                <c:pt idx="46">
                  <c:v>-0.11993385651441724</c:v>
                </c:pt>
                <c:pt idx="47">
                  <c:v>-7.4186534815432234E-2</c:v>
                </c:pt>
                <c:pt idx="48">
                  <c:v>-8.2358719643867873E-2</c:v>
                </c:pt>
                <c:pt idx="49">
                  <c:v>3.888235298198079E-2</c:v>
                </c:pt>
                <c:pt idx="50">
                  <c:v>-2.439588741227635E-2</c:v>
                </c:pt>
                <c:pt idx="51">
                  <c:v>1.9551638184701771E-2</c:v>
                </c:pt>
                <c:pt idx="52">
                  <c:v>-2.5227988922902856E-3</c:v>
                </c:pt>
                <c:pt idx="53">
                  <c:v>-0.38075783385358164</c:v>
                </c:pt>
                <c:pt idx="54">
                  <c:v>2.4219289870143958E-2</c:v>
                </c:pt>
                <c:pt idx="55">
                  <c:v>0.14810174386486102</c:v>
                </c:pt>
                <c:pt idx="56">
                  <c:v>0.18551149137690498</c:v>
                </c:pt>
                <c:pt idx="57">
                  <c:v>0.18590872478634871</c:v>
                </c:pt>
                <c:pt idx="58">
                  <c:v>8.8704315102661316E-2</c:v>
                </c:pt>
                <c:pt idx="59">
                  <c:v>-7.2491343619836982E-3</c:v>
                </c:pt>
                <c:pt idx="60">
                  <c:v>5.4525595034438774E-2</c:v>
                </c:pt>
                <c:pt idx="61">
                  <c:v>8.3312326101964485E-2</c:v>
                </c:pt>
                <c:pt idx="62">
                  <c:v>0.16872330104813826</c:v>
                </c:pt>
                <c:pt idx="63">
                  <c:v>0.10091865233384641</c:v>
                </c:pt>
                <c:pt idx="64">
                  <c:v>0.18398328335027286</c:v>
                </c:pt>
                <c:pt idx="65">
                  <c:v>2.8151162768106641E-2</c:v>
                </c:pt>
                <c:pt idx="66">
                  <c:v>2.4840685179695608E-3</c:v>
                </c:pt>
                <c:pt idx="67">
                  <c:v>1.9247525896567235E-2</c:v>
                </c:pt>
                <c:pt idx="68">
                  <c:v>5.2709545137752674E-2</c:v>
                </c:pt>
                <c:pt idx="69">
                  <c:v>0.14099999511809311</c:v>
                </c:pt>
                <c:pt idx="70">
                  <c:v>0.14690120148403757</c:v>
                </c:pt>
                <c:pt idx="71">
                  <c:v>0.14523106143402387</c:v>
                </c:pt>
                <c:pt idx="72">
                  <c:v>0.22491658480873705</c:v>
                </c:pt>
                <c:pt idx="73">
                  <c:v>0.14564867870828849</c:v>
                </c:pt>
                <c:pt idx="74">
                  <c:v>0.13127327792720508</c:v>
                </c:pt>
                <c:pt idx="75">
                  <c:v>0.20019035979497105</c:v>
                </c:pt>
                <c:pt idx="76">
                  <c:v>0.18794882115350045</c:v>
                </c:pt>
                <c:pt idx="77">
                  <c:v>1.004392818159028E-2</c:v>
                </c:pt>
                <c:pt idx="78">
                  <c:v>8.6889485587879747E-2</c:v>
                </c:pt>
                <c:pt idx="79">
                  <c:v>0.12855249411921624</c:v>
                </c:pt>
              </c:numCache>
            </c:numRef>
          </c:yVal>
          <c:smooth val="0"/>
          <c:extLst>
            <c:ext xmlns:c16="http://schemas.microsoft.com/office/drawing/2014/chart" uri="{C3380CC4-5D6E-409C-BE32-E72D297353CC}">
              <c16:uniqueId val="{00000002-BF67-4414-A5DF-C0CA176A3D72}"/>
            </c:ext>
          </c:extLst>
        </c:ser>
        <c:ser>
          <c:idx val="2"/>
          <c:order val="2"/>
          <c:tx>
            <c:v>fit w/ polynomial (dz)</c:v>
          </c:tx>
          <c:spPr>
            <a:ln w="12700" cap="rnd">
              <a:solidFill>
                <a:schemeClr val="accent1"/>
              </a:solidFill>
              <a:prstDash val="sysDash"/>
              <a:round/>
            </a:ln>
            <a:effectLst/>
          </c:spPr>
          <c:marker>
            <c:symbol val="none"/>
          </c:marker>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測地線補正!$J$26:$J$105</c:f>
              <c:numCache>
                <c:formatCode>0.0000E+00</c:formatCode>
                <c:ptCount val="80"/>
                <c:pt idx="0">
                  <c:v>-8.8410594540578646</c:v>
                </c:pt>
                <c:pt idx="1">
                  <c:v>-8.7094530913149644</c:v>
                </c:pt>
                <c:pt idx="2">
                  <c:v>-8.4887504089171593</c:v>
                </c:pt>
                <c:pt idx="3">
                  <c:v>-7.7563104350765908</c:v>
                </c:pt>
                <c:pt idx="4">
                  <c:v>-7.6838973717459629</c:v>
                </c:pt>
                <c:pt idx="5">
                  <c:v>-6.9845915008095139</c:v>
                </c:pt>
                <c:pt idx="6">
                  <c:v>-6.9153734850875024</c:v>
                </c:pt>
                <c:pt idx="7">
                  <c:v>-6.1830183382629498</c:v>
                </c:pt>
                <c:pt idx="8">
                  <c:v>-5.5483560605042195</c:v>
                </c:pt>
                <c:pt idx="9">
                  <c:v>-5.4852792888803981</c:v>
                </c:pt>
                <c:pt idx="10">
                  <c:v>-4.8819173378618421</c:v>
                </c:pt>
                <c:pt idx="11">
                  <c:v>-4.8239739024021056</c:v>
                </c:pt>
                <c:pt idx="12">
                  <c:v>-4.2512700389398193</c:v>
                </c:pt>
                <c:pt idx="13">
                  <c:v>-4.1894994627565874</c:v>
                </c:pt>
                <c:pt idx="14">
                  <c:v>-3.6470062675476473</c:v>
                </c:pt>
                <c:pt idx="15">
                  <c:v>-3.3310460747279622</c:v>
                </c:pt>
                <c:pt idx="16">
                  <c:v>-2.83111926498177</c:v>
                </c:pt>
                <c:pt idx="17">
                  <c:v>-2.7644040715104214</c:v>
                </c:pt>
                <c:pt idx="18">
                  <c:v>-2.2479872841455966</c:v>
                </c:pt>
                <c:pt idx="19">
                  <c:v>-1.8051742499262731</c:v>
                </c:pt>
                <c:pt idx="20">
                  <c:v>-1.7610073644985387</c:v>
                </c:pt>
                <c:pt idx="21">
                  <c:v>-1.345260818314183</c:v>
                </c:pt>
                <c:pt idx="22">
                  <c:v>-0.82018619342525656</c:v>
                </c:pt>
                <c:pt idx="23">
                  <c:v>-0.42244979261514648</c:v>
                </c:pt>
                <c:pt idx="24">
                  <c:v>-0.40960510485558688</c:v>
                </c:pt>
                <c:pt idx="25">
                  <c:v>-0.16294865861178476</c:v>
                </c:pt>
                <c:pt idx="26">
                  <c:v>-0.15075701637390027</c:v>
                </c:pt>
                <c:pt idx="27">
                  <c:v>0.2240311590221018</c:v>
                </c:pt>
                <c:pt idx="28">
                  <c:v>0.28901717457030762</c:v>
                </c:pt>
                <c:pt idx="29">
                  <c:v>1.0897056070555575</c:v>
                </c:pt>
                <c:pt idx="30">
                  <c:v>1.0984834318566603</c:v>
                </c:pt>
                <c:pt idx="31">
                  <c:v>1.3419203106964444</c:v>
                </c:pt>
                <c:pt idx="32">
                  <c:v>1.3511811853737281</c:v>
                </c:pt>
                <c:pt idx="33">
                  <c:v>1.5619844103025462</c:v>
                </c:pt>
                <c:pt idx="34">
                  <c:v>1.5901681069789271</c:v>
                </c:pt>
                <c:pt idx="35">
                  <c:v>1.8166523087884718</c:v>
                </c:pt>
                <c:pt idx="36">
                  <c:v>1.8386078709208193</c:v>
                </c:pt>
                <c:pt idx="37">
                  <c:v>2.0331413459679881</c:v>
                </c:pt>
                <c:pt idx="38">
                  <c:v>2.0585792382835386</c:v>
                </c:pt>
                <c:pt idx="39">
                  <c:v>2.1889358858859378</c:v>
                </c:pt>
                <c:pt idx="40">
                  <c:v>2.218063083364525</c:v>
                </c:pt>
                <c:pt idx="41">
                  <c:v>2.3279828602159176</c:v>
                </c:pt>
                <c:pt idx="42">
                  <c:v>2.5651457223410912</c:v>
                </c:pt>
                <c:pt idx="43">
                  <c:v>2.6148459487628219</c:v>
                </c:pt>
                <c:pt idx="44">
                  <c:v>2.6162325743827353</c:v>
                </c:pt>
                <c:pt idx="45">
                  <c:v>2.6518174940194301</c:v>
                </c:pt>
                <c:pt idx="46">
                  <c:v>2.656569482156705</c:v>
                </c:pt>
                <c:pt idx="47">
                  <c:v>2.676835751567789</c:v>
                </c:pt>
                <c:pt idx="48">
                  <c:v>2.6772758394718865</c:v>
                </c:pt>
                <c:pt idx="49">
                  <c:v>2.684653827939492</c:v>
                </c:pt>
                <c:pt idx="50">
                  <c:v>2.6847052843336225</c:v>
                </c:pt>
                <c:pt idx="51">
                  <c:v>2.6781591004593999</c:v>
                </c:pt>
                <c:pt idx="52">
                  <c:v>2.6777607705794502</c:v>
                </c:pt>
                <c:pt idx="53">
                  <c:v>2.6468901236025308</c:v>
                </c:pt>
                <c:pt idx="54">
                  <c:v>2.6129374136866481</c:v>
                </c:pt>
                <c:pt idx="55">
                  <c:v>2.567491041915047</c:v>
                </c:pt>
                <c:pt idx="56">
                  <c:v>2.5589489482799754</c:v>
                </c:pt>
                <c:pt idx="57">
                  <c:v>2.5037818621634074</c:v>
                </c:pt>
                <c:pt idx="58">
                  <c:v>2.501893729237068</c:v>
                </c:pt>
                <c:pt idx="59">
                  <c:v>2.4376983915836643</c:v>
                </c:pt>
                <c:pt idx="60">
                  <c:v>2.4258766654543127</c:v>
                </c:pt>
                <c:pt idx="61">
                  <c:v>2.3521203694089365</c:v>
                </c:pt>
                <c:pt idx="62">
                  <c:v>2.3496811520322094</c:v>
                </c:pt>
                <c:pt idx="63">
                  <c:v>2.2681118035671659</c:v>
                </c:pt>
                <c:pt idx="64">
                  <c:v>2.2534266868214523</c:v>
                </c:pt>
                <c:pt idx="65">
                  <c:v>2.1636835097304825</c:v>
                </c:pt>
                <c:pt idx="66">
                  <c:v>2.1608098163952842</c:v>
                </c:pt>
                <c:pt idx="67">
                  <c:v>1.9109138279420443</c:v>
                </c:pt>
                <c:pt idx="68">
                  <c:v>1.9075991322978447</c:v>
                </c:pt>
                <c:pt idx="69">
                  <c:v>1.7976323504908434</c:v>
                </c:pt>
                <c:pt idx="70">
                  <c:v>1.7783899571988255</c:v>
                </c:pt>
                <c:pt idx="71">
                  <c:v>1.6631774813030462</c:v>
                </c:pt>
                <c:pt idx="72">
                  <c:v>1.6594812617017156</c:v>
                </c:pt>
                <c:pt idx="73">
                  <c:v>1.5403584836925714</c:v>
                </c:pt>
                <c:pt idx="74">
                  <c:v>1.5196486440280237</c:v>
                </c:pt>
                <c:pt idx="75">
                  <c:v>1.3966992366752338</c:v>
                </c:pt>
                <c:pt idx="76">
                  <c:v>1.3927829839318038</c:v>
                </c:pt>
                <c:pt idx="77">
                  <c:v>1.2671009244896945</c:v>
                </c:pt>
                <c:pt idx="78">
                  <c:v>1.2453319710862141</c:v>
                </c:pt>
                <c:pt idx="79">
                  <c:v>1.1172484297140952</c:v>
                </c:pt>
              </c:numCache>
            </c:numRef>
          </c:yVal>
          <c:smooth val="0"/>
          <c:extLst>
            <c:ext xmlns:c16="http://schemas.microsoft.com/office/drawing/2014/chart" uri="{C3380CC4-5D6E-409C-BE32-E72D297353CC}">
              <c16:uniqueId val="{00000003-BF67-4414-A5DF-C0CA176A3D72}"/>
            </c:ext>
          </c:extLst>
        </c:ser>
        <c:dLbls>
          <c:showLegendKey val="0"/>
          <c:showVal val="0"/>
          <c:showCatName val="0"/>
          <c:showSerName val="0"/>
          <c:showPercent val="0"/>
          <c:showBubbleSize val="0"/>
        </c:dLbls>
        <c:axId val="1532455807"/>
        <c:axId val="1841795167"/>
      </c:scatterChart>
      <c:valAx>
        <c:axId val="15324558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r>
                  <a:rPr lang="en-US" altLang="ja-JP" sz="1400" b="1">
                    <a:solidFill>
                      <a:schemeClr val="tx1"/>
                    </a:solidFill>
                    <a:latin typeface="メイリオ" panose="020B0604030504040204" pitchFamily="50" charset="-128"/>
                    <a:ea typeface="メイリオ" panose="020B0604030504040204" pitchFamily="50" charset="-128"/>
                  </a:rPr>
                  <a:t>y</a:t>
                </a:r>
                <a:r>
                  <a:rPr lang="en-US" altLang="ja-JP" sz="1400" b="1" baseline="0">
                    <a:solidFill>
                      <a:schemeClr val="tx1"/>
                    </a:solidFill>
                    <a:latin typeface="メイリオ" panose="020B0604030504040204" pitchFamily="50" charset="-128"/>
                    <a:ea typeface="メイリオ" panose="020B0604030504040204" pitchFamily="50" charset="-128"/>
                  </a:rPr>
                  <a:t>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841795167"/>
        <c:crossesAt val="-12"/>
        <c:crossBetween val="midCat"/>
      </c:valAx>
      <c:valAx>
        <c:axId val="18417951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r>
                  <a:rPr lang="en-US" altLang="ja-JP" sz="1400" b="1">
                    <a:solidFill>
                      <a:schemeClr val="tx1"/>
                    </a:solidFill>
                    <a:latin typeface="メイリオ" panose="020B0604030504040204" pitchFamily="50" charset="-128"/>
                    <a:ea typeface="メイリオ" panose="020B0604030504040204" pitchFamily="50" charset="-128"/>
                  </a:rPr>
                  <a:t>z</a:t>
                </a:r>
                <a:r>
                  <a:rPr lang="en-US" altLang="ja-JP" sz="1400" b="1" baseline="0">
                    <a:solidFill>
                      <a:schemeClr val="tx1"/>
                    </a:solidFill>
                    <a:latin typeface="メイリオ" panose="020B0604030504040204" pitchFamily="50" charset="-128"/>
                    <a:ea typeface="メイリオ" panose="020B0604030504040204" pitchFamily="50" charset="-128"/>
                  </a:rPr>
                  <a:t>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54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532455807"/>
        <c:crossesAt val="-500"/>
        <c:crossBetween val="midCat"/>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PD_level</c:v>
          </c:tx>
          <c:spPr>
            <a:ln w="12700" cap="rnd">
              <a:solidFill>
                <a:schemeClr val="accent2"/>
              </a:solidFill>
              <a:round/>
            </a:ln>
            <a:effectLst/>
          </c:spPr>
          <c:marker>
            <c:symbol val="circle"/>
            <c:size val="2"/>
            <c:spPr>
              <a:solidFill>
                <a:schemeClr val="accent2"/>
              </a:solidFill>
              <a:ln w="3175">
                <a:solidFill>
                  <a:schemeClr val="accent2"/>
                </a:solidFill>
              </a:ln>
              <a:effectLst/>
            </c:spPr>
          </c:marker>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測地線補正!$D$26:$D$105</c:f>
              <c:numCache>
                <c:formatCode>General</c:formatCode>
                <c:ptCount val="80"/>
                <c:pt idx="0">
                  <c:v>-2.7450181204649204E-2</c:v>
                </c:pt>
                <c:pt idx="1">
                  <c:v>-0.13252759650542584</c:v>
                </c:pt>
                <c:pt idx="2">
                  <c:v>-0.30836283330986647</c:v>
                </c:pt>
                <c:pt idx="3">
                  <c:v>-0.29240464658028009</c:v>
                </c:pt>
                <c:pt idx="4">
                  <c:v>-0.33990306508205581</c:v>
                </c:pt>
                <c:pt idx="5">
                  <c:v>-0.33030504003033889</c:v>
                </c:pt>
                <c:pt idx="6">
                  <c:v>-0.57464007153745078</c:v>
                </c:pt>
                <c:pt idx="7">
                  <c:v>-0.42151246848916585</c:v>
                </c:pt>
                <c:pt idx="8">
                  <c:v>-0.55073983208663346</c:v>
                </c:pt>
                <c:pt idx="9">
                  <c:v>-0.61277711251767453</c:v>
                </c:pt>
                <c:pt idx="10">
                  <c:v>-0.732062095438619</c:v>
                </c:pt>
                <c:pt idx="11">
                  <c:v>-0.73649151222294396</c:v>
                </c:pt>
                <c:pt idx="12">
                  <c:v>-0.83140313247638342</c:v>
                </c:pt>
                <c:pt idx="13">
                  <c:v>-0.81204505269227667</c:v>
                </c:pt>
                <c:pt idx="14">
                  <c:v>-0.67198668779492787</c:v>
                </c:pt>
                <c:pt idx="15">
                  <c:v>-1.0751789438142363</c:v>
                </c:pt>
                <c:pt idx="16">
                  <c:v>-0.92856152379916956</c:v>
                </c:pt>
                <c:pt idx="17">
                  <c:v>-0.79085051727881173</c:v>
                </c:pt>
                <c:pt idx="18">
                  <c:v>-0.76166601162973135</c:v>
                </c:pt>
                <c:pt idx="19">
                  <c:v>-0.72309443239753413</c:v>
                </c:pt>
                <c:pt idx="20">
                  <c:v>-0.64861521834210412</c:v>
                </c:pt>
                <c:pt idx="21">
                  <c:v>-0.64000384260334398</c:v>
                </c:pt>
                <c:pt idx="22">
                  <c:v>-0.49258423829524084</c:v>
                </c:pt>
                <c:pt idx="23">
                  <c:v>9.2928152268012099E-2</c:v>
                </c:pt>
                <c:pt idx="24">
                  <c:v>-0.49490180763994329</c:v>
                </c:pt>
                <c:pt idx="25">
                  <c:v>-0.40121954393472375</c:v>
                </c:pt>
                <c:pt idx="26">
                  <c:v>-0.39730444742564047</c:v>
                </c:pt>
                <c:pt idx="27">
                  <c:v>-0.33957742716315437</c:v>
                </c:pt>
                <c:pt idx="28">
                  <c:v>-0.38911332354271849</c:v>
                </c:pt>
                <c:pt idx="29">
                  <c:v>-0.34311649120002652</c:v>
                </c:pt>
                <c:pt idx="30">
                  <c:v>-0.35785923253600604</c:v>
                </c:pt>
                <c:pt idx="31">
                  <c:v>-0.26178464615647229</c:v>
                </c:pt>
                <c:pt idx="32">
                  <c:v>-0.36830493584139828</c:v>
                </c:pt>
                <c:pt idx="33">
                  <c:v>-0.24660073252092946</c:v>
                </c:pt>
                <c:pt idx="34">
                  <c:v>-0.15019874903777999</c:v>
                </c:pt>
                <c:pt idx="35">
                  <c:v>-0.16765862452791924</c:v>
                </c:pt>
                <c:pt idx="36">
                  <c:v>-0.15268265968941191</c:v>
                </c:pt>
                <c:pt idx="37">
                  <c:v>-0.16484765291907474</c:v>
                </c:pt>
                <c:pt idx="38">
                  <c:v>-0.32958746134573391</c:v>
                </c:pt>
                <c:pt idx="39">
                  <c:v>-0.31991417385991749</c:v>
                </c:pt>
                <c:pt idx="40">
                  <c:v>-0.32675633738498733</c:v>
                </c:pt>
                <c:pt idx="41">
                  <c:v>-0.54947683871133413</c:v>
                </c:pt>
                <c:pt idx="42">
                  <c:v>-0.10567525555258578</c:v>
                </c:pt>
                <c:pt idx="43">
                  <c:v>-0.10941851099231546</c:v>
                </c:pt>
                <c:pt idx="44">
                  <c:v>-2.2477516754041953E-2</c:v>
                </c:pt>
                <c:pt idx="45">
                  <c:v>-6.5459208717267819E-2</c:v>
                </c:pt>
                <c:pt idx="46">
                  <c:v>-0.11993385651441724</c:v>
                </c:pt>
                <c:pt idx="47">
                  <c:v>-7.4186534815432234E-2</c:v>
                </c:pt>
                <c:pt idx="48">
                  <c:v>-8.2358719643867873E-2</c:v>
                </c:pt>
                <c:pt idx="49">
                  <c:v>3.888235298198079E-2</c:v>
                </c:pt>
                <c:pt idx="50">
                  <c:v>-2.439588741227635E-2</c:v>
                </c:pt>
                <c:pt idx="51">
                  <c:v>1.9551638184701771E-2</c:v>
                </c:pt>
                <c:pt idx="52">
                  <c:v>-2.5227988922902856E-3</c:v>
                </c:pt>
                <c:pt idx="53">
                  <c:v>-0.38075783385358164</c:v>
                </c:pt>
                <c:pt idx="54">
                  <c:v>2.4219289870143958E-2</c:v>
                </c:pt>
                <c:pt idx="55">
                  <c:v>0.14810174386486102</c:v>
                </c:pt>
                <c:pt idx="56">
                  <c:v>0.18551149137690498</c:v>
                </c:pt>
                <c:pt idx="57">
                  <c:v>0.18590872478634871</c:v>
                </c:pt>
                <c:pt idx="58">
                  <c:v>8.8704315102661316E-2</c:v>
                </c:pt>
                <c:pt idx="59">
                  <c:v>-7.2491343619836982E-3</c:v>
                </c:pt>
                <c:pt idx="60">
                  <c:v>5.4525595034438774E-2</c:v>
                </c:pt>
                <c:pt idx="61">
                  <c:v>8.3312326101964485E-2</c:v>
                </c:pt>
                <c:pt idx="62">
                  <c:v>0.16872330104813826</c:v>
                </c:pt>
                <c:pt idx="63">
                  <c:v>0.10091865233384641</c:v>
                </c:pt>
                <c:pt idx="64">
                  <c:v>0.18398328335027286</c:v>
                </c:pt>
                <c:pt idx="65">
                  <c:v>2.8151162768106641E-2</c:v>
                </c:pt>
                <c:pt idx="66">
                  <c:v>2.4840685179695608E-3</c:v>
                </c:pt>
                <c:pt idx="67">
                  <c:v>1.9247525896567235E-2</c:v>
                </c:pt>
                <c:pt idx="68">
                  <c:v>5.2709545137752674E-2</c:v>
                </c:pt>
                <c:pt idx="69">
                  <c:v>0.14099999511809311</c:v>
                </c:pt>
                <c:pt idx="70">
                  <c:v>0.14690120148403757</c:v>
                </c:pt>
                <c:pt idx="71">
                  <c:v>0.14523106143402387</c:v>
                </c:pt>
                <c:pt idx="72">
                  <c:v>0.22491658480873705</c:v>
                </c:pt>
                <c:pt idx="73">
                  <c:v>0.14564867870828849</c:v>
                </c:pt>
                <c:pt idx="74">
                  <c:v>0.13127327792720508</c:v>
                </c:pt>
                <c:pt idx="75">
                  <c:v>0.20019035979497105</c:v>
                </c:pt>
                <c:pt idx="76">
                  <c:v>0.18794882115350045</c:v>
                </c:pt>
                <c:pt idx="77">
                  <c:v>1.004392818159028E-2</c:v>
                </c:pt>
                <c:pt idx="78">
                  <c:v>8.6889485587879747E-2</c:v>
                </c:pt>
                <c:pt idx="79">
                  <c:v>0.12855249411921624</c:v>
                </c:pt>
              </c:numCache>
            </c:numRef>
          </c:yVal>
          <c:smooth val="0"/>
          <c:extLst>
            <c:ext xmlns:c16="http://schemas.microsoft.com/office/drawing/2014/chart" uri="{C3380CC4-5D6E-409C-BE32-E72D297353CC}">
              <c16:uniqueId val="{00000000-C273-49A7-BFAF-99D7A6BCBD67}"/>
            </c:ext>
          </c:extLst>
        </c:ser>
        <c:ser>
          <c:idx val="1"/>
          <c:order val="1"/>
          <c:tx>
            <c:v>LT_level (corrected)</c:v>
          </c:tx>
          <c:spPr>
            <a:ln w="12700" cap="rnd">
              <a:solidFill>
                <a:schemeClr val="accent1"/>
              </a:solidFill>
              <a:round/>
            </a:ln>
            <a:effectLst/>
          </c:spPr>
          <c:marker>
            <c:symbol val="circle"/>
            <c:size val="3"/>
            <c:spPr>
              <a:solidFill>
                <a:schemeClr val="accent1"/>
              </a:solidFill>
              <a:ln w="9525">
                <a:solidFill>
                  <a:schemeClr val="accent1"/>
                </a:solidFill>
              </a:ln>
              <a:effectLst/>
            </c:spPr>
          </c:marker>
          <c:trendline>
            <c:spPr>
              <a:ln w="19050" cap="rnd">
                <a:solidFill>
                  <a:schemeClr val="accent2"/>
                </a:solidFill>
                <a:prstDash val="sysDot"/>
              </a:ln>
              <a:effectLst/>
            </c:spPr>
            <c:trendlineType val="poly"/>
            <c:order val="3"/>
            <c:dispRSqr val="0"/>
            <c:dispEq val="1"/>
            <c:trendlineLbl>
              <c:layout>
                <c:manualLayout>
                  <c:x val="0.23223277777777784"/>
                  <c:y val="0.3007124074074074"/>
                </c:manualLayout>
              </c:layout>
              <c:numFmt formatCode="General" sourceLinked="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en-US"/>
                </a:p>
              </c:txPr>
            </c:trendlineLbl>
          </c:trendline>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測地線補正!$H$26:$H$105</c:f>
              <c:numCache>
                <c:formatCode>General</c:formatCode>
                <c:ptCount val="80"/>
                <c:pt idx="0">
                  <c:v>-2.7450181204649204E-2</c:v>
                </c:pt>
                <c:pt idx="1">
                  <c:v>-0.10620734023656547</c:v>
                </c:pt>
                <c:pt idx="2">
                  <c:v>-0.54899561960253618</c:v>
                </c:pt>
                <c:pt idx="3">
                  <c:v>-1.1902571793193331</c:v>
                </c:pt>
                <c:pt idx="4">
                  <c:v>-0.52883890596946437</c:v>
                </c:pt>
                <c:pt idx="5">
                  <c:v>-1.3617294117177883</c:v>
                </c:pt>
                <c:pt idx="6">
                  <c:v>-1.4364241874674604</c:v>
                </c:pt>
                <c:pt idx="7">
                  <c:v>-2.2865211110618517</c:v>
                </c:pt>
                <c:pt idx="8">
                  <c:v>-2.7974231706965895</c:v>
                </c:pt>
                <c:pt idx="9">
                  <c:v>-2.7280298954679214</c:v>
                </c:pt>
                <c:pt idx="10">
                  <c:v>-3.0001777334589912</c:v>
                </c:pt>
                <c:pt idx="11">
                  <c:v>-3.1111742427284605</c:v>
                </c:pt>
                <c:pt idx="12">
                  <c:v>-4.0291886257701544</c:v>
                </c:pt>
                <c:pt idx="13">
                  <c:v>-3.9780958037290408</c:v>
                </c:pt>
                <c:pt idx="14">
                  <c:v>-4.3942903458763203</c:v>
                </c:pt>
                <c:pt idx="15">
                  <c:v>-4.9237681247613381</c:v>
                </c:pt>
                <c:pt idx="16">
                  <c:v>-4.955725612668334</c:v>
                </c:pt>
                <c:pt idx="17">
                  <c:v>-4.8367128978535625</c:v>
                </c:pt>
                <c:pt idx="18">
                  <c:v>-5.8505397649832664</c:v>
                </c:pt>
                <c:pt idx="19">
                  <c:v>-5.5510183399279747</c:v>
                </c:pt>
                <c:pt idx="20">
                  <c:v>-5.2288108357760938</c:v>
                </c:pt>
                <c:pt idx="21">
                  <c:v>-5.1695387192914009</c:v>
                </c:pt>
                <c:pt idx="22">
                  <c:v>-5.558740088537804</c:v>
                </c:pt>
                <c:pt idx="23">
                  <c:v>-5.8002848074012867</c:v>
                </c:pt>
                <c:pt idx="24">
                  <c:v>-5.936081323230618</c:v>
                </c:pt>
                <c:pt idx="25">
                  <c:v>-5.811889733063941</c:v>
                </c:pt>
                <c:pt idx="26">
                  <c:v>-5.7308141100780405</c:v>
                </c:pt>
                <c:pt idx="27">
                  <c:v>-5.9660912548248666</c:v>
                </c:pt>
                <c:pt idx="28">
                  <c:v>-6.0499641067146861</c:v>
                </c:pt>
                <c:pt idx="29">
                  <c:v>-6.3397362966568673</c:v>
                </c:pt>
                <c:pt idx="30">
                  <c:v>-6.3465963236128626</c:v>
                </c:pt>
                <c:pt idx="31">
                  <c:v>-6.0531941889887806</c:v>
                </c:pt>
                <c:pt idx="32">
                  <c:v>-6.424865061662457</c:v>
                </c:pt>
                <c:pt idx="33">
                  <c:v>-6.2170193293366056</c:v>
                </c:pt>
                <c:pt idx="34">
                  <c:v>-5.9531210662550853</c:v>
                </c:pt>
                <c:pt idx="35">
                  <c:v>-5.6725648464839296</c:v>
                </c:pt>
                <c:pt idx="36">
                  <c:v>-6.1029956640080201</c:v>
                </c:pt>
                <c:pt idx="37">
                  <c:v>-5.8924975068557748</c:v>
                </c:pt>
                <c:pt idx="38">
                  <c:v>-6.1827650395154885</c:v>
                </c:pt>
                <c:pt idx="39">
                  <c:v>-6.307355807815278</c:v>
                </c:pt>
                <c:pt idx="40">
                  <c:v>-6.2839725527388524</c:v>
                </c:pt>
                <c:pt idx="41">
                  <c:v>-6.52288105999392</c:v>
                </c:pt>
                <c:pt idx="42">
                  <c:v>-5.7201747358126864</c:v>
                </c:pt>
                <c:pt idx="43">
                  <c:v>-5.3382417426767503</c:v>
                </c:pt>
                <c:pt idx="44">
                  <c:v>-5.1889386299622533</c:v>
                </c:pt>
                <c:pt idx="45">
                  <c:v>-5.5207187931388244</c:v>
                </c:pt>
                <c:pt idx="46">
                  <c:v>-5.5380857966406207</c:v>
                </c:pt>
                <c:pt idx="47">
                  <c:v>-5.5073031311855951</c:v>
                </c:pt>
                <c:pt idx="48">
                  <c:v>-5.539067647311124</c:v>
                </c:pt>
                <c:pt idx="49">
                  <c:v>-5.0003806636317236</c:v>
                </c:pt>
                <c:pt idx="50">
                  <c:v>-4.8398234740172432</c:v>
                </c:pt>
                <c:pt idx="51">
                  <c:v>-4.7769186165069453</c:v>
                </c:pt>
                <c:pt idx="52">
                  <c:v>-4.8318019919836654</c:v>
                </c:pt>
                <c:pt idx="53">
                  <c:v>-4.5160266256045229</c:v>
                </c:pt>
                <c:pt idx="54">
                  <c:v>-4.2105036464424961</c:v>
                </c:pt>
                <c:pt idx="55">
                  <c:v>-3.3703104850690084</c:v>
                </c:pt>
                <c:pt idx="56">
                  <c:v>-3.3913375235549874</c:v>
                </c:pt>
                <c:pt idx="57">
                  <c:v>-3.4237146309767845</c:v>
                </c:pt>
                <c:pt idx="58">
                  <c:v>-3.4863078370205871</c:v>
                </c:pt>
                <c:pt idx="59">
                  <c:v>-3.3600983839263856</c:v>
                </c:pt>
                <c:pt idx="60">
                  <c:v>-3.17817445666318</c:v>
                </c:pt>
                <c:pt idx="61">
                  <c:v>-3.5348836004255562</c:v>
                </c:pt>
                <c:pt idx="62">
                  <c:v>-2.86275583413512</c:v>
                </c:pt>
                <c:pt idx="63">
                  <c:v>-2.4031998918187139</c:v>
                </c:pt>
                <c:pt idx="64">
                  <c:v>-2.5804860496500228</c:v>
                </c:pt>
                <c:pt idx="65">
                  <c:v>-2.4218268941882735</c:v>
                </c:pt>
                <c:pt idx="66">
                  <c:v>-2.4847691432336205</c:v>
                </c:pt>
                <c:pt idx="67">
                  <c:v>-1.3456983131202866</c:v>
                </c:pt>
                <c:pt idx="68">
                  <c:v>-1.6387914604054399</c:v>
                </c:pt>
                <c:pt idx="69">
                  <c:v>-1.2897817932566629</c:v>
                </c:pt>
                <c:pt idx="70">
                  <c:v>-1.0698527997385801</c:v>
                </c:pt>
                <c:pt idx="71">
                  <c:v>-0.85597257402713534</c:v>
                </c:pt>
                <c:pt idx="72">
                  <c:v>-0.65156490678157786</c:v>
                </c:pt>
                <c:pt idx="73">
                  <c:v>-0.78199560259424661</c:v>
                </c:pt>
                <c:pt idx="74">
                  <c:v>-0.7836649716335824</c:v>
                </c:pt>
                <c:pt idx="75">
                  <c:v>-0.41878372973085476</c:v>
                </c:pt>
                <c:pt idx="76">
                  <c:v>-0.27001404638858506</c:v>
                </c:pt>
                <c:pt idx="77">
                  <c:v>-5.9382125309330069E-2</c:v>
                </c:pt>
                <c:pt idx="78">
                  <c:v>-1.7154840105541552E-2</c:v>
                </c:pt>
                <c:pt idx="79">
                  <c:v>0.12855249411921624</c:v>
                </c:pt>
              </c:numCache>
            </c:numRef>
          </c:yVal>
          <c:smooth val="0"/>
          <c:extLst>
            <c:ext xmlns:c16="http://schemas.microsoft.com/office/drawing/2014/chart" uri="{C3380CC4-5D6E-409C-BE32-E72D297353CC}">
              <c16:uniqueId val="{00000002-C273-49A7-BFAF-99D7A6BCBD67}"/>
            </c:ext>
          </c:extLst>
        </c:ser>
        <c:ser>
          <c:idx val="2"/>
          <c:order val="2"/>
          <c:tx>
            <c:v>LT_level</c:v>
          </c:tx>
          <c:spPr>
            <a:ln w="12700" cap="rnd">
              <a:solidFill>
                <a:schemeClr val="tx1"/>
              </a:solidFill>
              <a:round/>
            </a:ln>
            <a:effectLst/>
          </c:spPr>
          <c:marker>
            <c:symbol val="circle"/>
            <c:size val="3"/>
            <c:spPr>
              <a:solidFill>
                <a:schemeClr val="tx1"/>
              </a:solidFill>
              <a:ln w="9525">
                <a:solidFill>
                  <a:schemeClr val="tx1"/>
                </a:solidFill>
              </a:ln>
              <a:effectLst/>
            </c:spPr>
          </c:marker>
          <c:xVal>
            <c:numRef>
              <c:f>測地線補正!$C$26:$C$105</c:f>
              <c:numCache>
                <c:formatCode>General</c:formatCode>
                <c:ptCount val="80"/>
                <c:pt idx="0">
                  <c:v>111.88288818897</c:v>
                </c:pt>
                <c:pt idx="1">
                  <c:v>110.37267982963999</c:v>
                </c:pt>
                <c:pt idx="2">
                  <c:v>107.81579313671</c:v>
                </c:pt>
                <c:pt idx="3">
                  <c:v>99.10072644380999</c:v>
                </c:pt>
                <c:pt idx="4">
                  <c:v>98.21895993342001</c:v>
                </c:pt>
                <c:pt idx="5">
                  <c:v>89.502261735060003</c:v>
                </c:pt>
                <c:pt idx="6">
                  <c:v>88.618731960549994</c:v>
                </c:pt>
                <c:pt idx="7">
                  <c:v>79.022111112540003</c:v>
                </c:pt>
                <c:pt idx="8">
                  <c:v>70.306213648940002</c:v>
                </c:pt>
                <c:pt idx="9">
                  <c:v>69.417902122019996</c:v>
                </c:pt>
                <c:pt idx="10">
                  <c:v>60.701588236879999</c:v>
                </c:pt>
                <c:pt idx="11">
                  <c:v>59.842605103100006</c:v>
                </c:pt>
                <c:pt idx="12">
                  <c:v>51.12744503647</c:v>
                </c:pt>
                <c:pt idx="13">
                  <c:v>50.161761072540003</c:v>
                </c:pt>
                <c:pt idx="14">
                  <c:v>41.44585653459</c:v>
                </c:pt>
                <c:pt idx="15">
                  <c:v>36.160219480209996</c:v>
                </c:pt>
                <c:pt idx="16">
                  <c:v>27.44394971953</c:v>
                </c:pt>
                <c:pt idx="17">
                  <c:v>26.24535833661</c:v>
                </c:pt>
                <c:pt idx="18">
                  <c:v>16.654773188330001</c:v>
                </c:pt>
                <c:pt idx="19">
                  <c:v>7.9405835600800003</c:v>
                </c:pt>
                <c:pt idx="20">
                  <c:v>7.0437711151699993</c:v>
                </c:pt>
                <c:pt idx="21">
                  <c:v>-1.67097066741</c:v>
                </c:pt>
                <c:pt idx="22">
                  <c:v>-13.4777968243</c:v>
                </c:pt>
                <c:pt idx="23">
                  <c:v>-23.13693933403</c:v>
                </c:pt>
                <c:pt idx="24">
                  <c:v>-23.460692029419999</c:v>
                </c:pt>
                <c:pt idx="25">
                  <c:v>-29.837445735469998</c:v>
                </c:pt>
                <c:pt idx="26">
                  <c:v>-30.160889954269997</c:v>
                </c:pt>
                <c:pt idx="27">
                  <c:v>-40.530734924340003</c:v>
                </c:pt>
                <c:pt idx="28">
                  <c:v>-42.420700450110004</c:v>
                </c:pt>
                <c:pt idx="29">
                  <c:v>-68.674872915969999</c:v>
                </c:pt>
                <c:pt idx="30">
                  <c:v>-69.000833900390006</c:v>
                </c:pt>
                <c:pt idx="31">
                  <c:v>-78.48798771093</c:v>
                </c:pt>
                <c:pt idx="32">
                  <c:v>-78.867579884029993</c:v>
                </c:pt>
                <c:pt idx="33">
                  <c:v>-87.949886356989992</c:v>
                </c:pt>
                <c:pt idx="34">
                  <c:v>-89.235331156560008</c:v>
                </c:pt>
                <c:pt idx="35">
                  <c:v>-100.32244223927</c:v>
                </c:pt>
                <c:pt idx="36">
                  <c:v>-101.47994029378</c:v>
                </c:pt>
                <c:pt idx="37">
                  <c:v>-112.56610584596</c:v>
                </c:pt>
                <c:pt idx="38">
                  <c:v>-114.14595742044</c:v>
                </c:pt>
                <c:pt idx="39">
                  <c:v>-122.86201179607001</c:v>
                </c:pt>
                <c:pt idx="40">
                  <c:v>-124.97742147143001</c:v>
                </c:pt>
                <c:pt idx="41">
                  <c:v>-133.69367495502999</c:v>
                </c:pt>
                <c:pt idx="42">
                  <c:v>-159.88987573514001</c:v>
                </c:pt>
                <c:pt idx="43">
                  <c:v>-168.60539680050999</c:v>
                </c:pt>
                <c:pt idx="44">
                  <c:v>-168.88944289962998</c:v>
                </c:pt>
                <c:pt idx="45">
                  <c:v>-177.60605967957</c:v>
                </c:pt>
                <c:pt idx="46">
                  <c:v>-179.09540847970999</c:v>
                </c:pt>
                <c:pt idx="47">
                  <c:v>-187.81169471000999</c:v>
                </c:pt>
                <c:pt idx="48">
                  <c:v>-188.09112080385</c:v>
                </c:pt>
                <c:pt idx="49">
                  <c:v>-196.80765349293</c:v>
                </c:pt>
                <c:pt idx="50">
                  <c:v>-198.29493224083001</c:v>
                </c:pt>
                <c:pt idx="51">
                  <c:v>-207.01122576457001</c:v>
                </c:pt>
                <c:pt idx="52">
                  <c:v>-207.28962542251</c:v>
                </c:pt>
                <c:pt idx="53">
                  <c:v>-220.21113411873</c:v>
                </c:pt>
                <c:pt idx="54">
                  <c:v>-228.92679553312999</c:v>
                </c:pt>
                <c:pt idx="55">
                  <c:v>-237.91746579581002</c:v>
                </c:pt>
                <c:pt idx="56">
                  <c:v>-239.41240284625999</c:v>
                </c:pt>
                <c:pt idx="57">
                  <c:v>-248.12850379078</c:v>
                </c:pt>
                <c:pt idx="58">
                  <c:v>-248.40380771210002</c:v>
                </c:pt>
                <c:pt idx="59">
                  <c:v>-257.11919830863002</c:v>
                </c:pt>
                <c:pt idx="60">
                  <c:v>-258.61047776685001</c:v>
                </c:pt>
                <c:pt idx="61">
                  <c:v>-267.32610114803998</c:v>
                </c:pt>
                <c:pt idx="62">
                  <c:v>-267.59951964774001</c:v>
                </c:pt>
                <c:pt idx="63">
                  <c:v>-276.31580236988998</c:v>
                </c:pt>
                <c:pt idx="64">
                  <c:v>-277.80817616213005</c:v>
                </c:pt>
                <c:pt idx="65">
                  <c:v>-286.52471277396</c:v>
                </c:pt>
                <c:pt idx="66">
                  <c:v>-286.79368459282</c:v>
                </c:pt>
                <c:pt idx="67">
                  <c:v>-308.44817343596998</c:v>
                </c:pt>
                <c:pt idx="68">
                  <c:v>-308.71699904372997</c:v>
                </c:pt>
                <c:pt idx="69">
                  <c:v>-317.43293472565</c:v>
                </c:pt>
                <c:pt idx="70">
                  <c:v>-318.92140800792998</c:v>
                </c:pt>
                <c:pt idx="71">
                  <c:v>-327.64145332625003</c:v>
                </c:pt>
                <c:pt idx="72">
                  <c:v>-327.91625520396002</c:v>
                </c:pt>
                <c:pt idx="73">
                  <c:v>-336.63240850833</c:v>
                </c:pt>
                <c:pt idx="74">
                  <c:v>-338.12253456764</c:v>
                </c:pt>
                <c:pt idx="75">
                  <c:v>-346.84048168142999</c:v>
                </c:pt>
                <c:pt idx="76">
                  <c:v>-347.11490588147001</c:v>
                </c:pt>
                <c:pt idx="77">
                  <c:v>-355.83255700709003</c:v>
                </c:pt>
                <c:pt idx="78">
                  <c:v>-357.32681264122999</c:v>
                </c:pt>
                <c:pt idx="79">
                  <c:v>-366.04374203320998</c:v>
                </c:pt>
              </c:numCache>
            </c:numRef>
          </c:xVal>
          <c:yVal>
            <c:numRef>
              <c:f>測地線補正!$F$26:$F$105</c:f>
              <c:numCache>
                <c:formatCode>General</c:formatCode>
                <c:ptCount val="80"/>
                <c:pt idx="0">
                  <c:v>8.5861618900000849</c:v>
                </c:pt>
                <c:pt idx="1">
                  <c:v>8.4759195900001032</c:v>
                </c:pt>
                <c:pt idx="2">
                  <c:v>7.979824800000074</c:v>
                </c:pt>
                <c:pt idx="3">
                  <c:v>7.1568697000000157</c:v>
                </c:pt>
                <c:pt idx="4">
                  <c:v>7.7999047200000859</c:v>
                </c:pt>
                <c:pt idx="5">
                  <c:v>6.7852866600001107</c:v>
                </c:pt>
                <c:pt idx="6">
                  <c:v>6.6921718700000383</c:v>
                </c:pt>
                <c:pt idx="7">
                  <c:v>5.6420025800000531</c:v>
                </c:pt>
                <c:pt idx="8">
                  <c:v>4.9493896600000653</c:v>
                </c:pt>
                <c:pt idx="9">
                  <c:v>5.0002632300000869</c:v>
                </c:pt>
                <c:pt idx="10">
                  <c:v>4.5463958500000672</c:v>
                </c:pt>
                <c:pt idx="11">
                  <c:v>4.4174910800001044</c:v>
                </c:pt>
                <c:pt idx="12">
                  <c:v>3.317781210000021</c:v>
                </c:pt>
                <c:pt idx="13">
                  <c:v>3.3487412500001028</c:v>
                </c:pt>
                <c:pt idx="14">
                  <c:v>2.7508357000000387</c:v>
                </c:pt>
                <c:pt idx="15">
                  <c:v>2.1111618500000304</c:v>
                </c:pt>
                <c:pt idx="16">
                  <c:v>1.8974857400000928</c:v>
                </c:pt>
                <c:pt idx="17">
                  <c:v>1.9915099700000383</c:v>
                </c:pt>
                <c:pt idx="18">
                  <c:v>0.77773657000000185</c:v>
                </c:pt>
                <c:pt idx="19">
                  <c:v>0.89558274000000893</c:v>
                </c:pt>
                <c:pt idx="20">
                  <c:v>1.1990933100000802</c:v>
                </c:pt>
                <c:pt idx="21">
                  <c:v>1.0766786600000842</c:v>
                </c:pt>
                <c:pt idx="22">
                  <c:v>0.44132610000008299</c:v>
                </c:pt>
                <c:pt idx="23">
                  <c:v>-1.5944499999704931E-3</c:v>
                </c:pt>
                <c:pt idx="24">
                  <c:v>-0.14414062999992439</c:v>
                </c:pt>
                <c:pt idx="25">
                  <c:v>-0.1528929399999015</c:v>
                </c:pt>
                <c:pt idx="26">
                  <c:v>-7.856054999990647E-2</c:v>
                </c:pt>
                <c:pt idx="27">
                  <c:v>-0.53003039999998691</c:v>
                </c:pt>
                <c:pt idx="28">
                  <c:v>-0.65330564999999297</c:v>
                </c:pt>
                <c:pt idx="29">
                  <c:v>-1.490430339999989</c:v>
                </c:pt>
                <c:pt idx="30">
                  <c:v>-1.5040860699999712</c:v>
                </c:pt>
                <c:pt idx="31">
                  <c:v>-1.4084741099999292</c:v>
                </c:pt>
                <c:pt idx="32">
                  <c:v>-1.7880587999999307</c:v>
                </c:pt>
                <c:pt idx="33">
                  <c:v>-1.7695628999999826</c:v>
                </c:pt>
                <c:pt idx="34">
                  <c:v>-1.5324638599998934</c:v>
                </c:pt>
                <c:pt idx="35">
                  <c:v>-1.4830540599999722</c:v>
                </c:pt>
                <c:pt idx="36">
                  <c:v>-1.9376166399999875</c:v>
                </c:pt>
                <c:pt idx="37">
                  <c:v>-1.9582451899999569</c:v>
                </c:pt>
                <c:pt idx="38">
                  <c:v>-2.2814497999999048</c:v>
                </c:pt>
                <c:pt idx="39">
                  <c:v>-2.5877546999998913</c:v>
                </c:pt>
                <c:pt idx="40">
                  <c:v>-2.6084739499999614</c:v>
                </c:pt>
                <c:pt idx="41">
                  <c:v>-3.0291007399999899</c:v>
                </c:pt>
                <c:pt idx="42">
                  <c:v>-2.772538309999959</c:v>
                </c:pt>
                <c:pt idx="43">
                  <c:v>-2.5723083299999416</c:v>
                </c:pt>
                <c:pt idx="44">
                  <c:v>-2.4289270699999861</c:v>
                </c:pt>
                <c:pt idx="45">
                  <c:v>-2.9424330899998949</c:v>
                </c:pt>
                <c:pt idx="46">
                  <c:v>-2.9908503499999597</c:v>
                </c:pt>
                <c:pt idx="47">
                  <c:v>-3.1417866499999718</c:v>
                </c:pt>
                <c:pt idx="48">
                  <c:v>-3.1793766999999207</c:v>
                </c:pt>
                <c:pt idx="49">
                  <c:v>-2.8224138199999516</c:v>
                </c:pt>
                <c:pt idx="50">
                  <c:v>-2.6928637299999991</c:v>
                </c:pt>
                <c:pt idx="51">
                  <c:v>-2.8116779899999074</c:v>
                </c:pt>
                <c:pt idx="52">
                  <c:v>-2.8723654999998871</c:v>
                </c:pt>
                <c:pt idx="53">
                  <c:v>-2.8259804599999825</c:v>
                </c:pt>
                <c:pt idx="54">
                  <c:v>-2.7021634199999198</c:v>
                </c:pt>
                <c:pt idx="55">
                  <c:v>-2.049409639999908</c:v>
                </c:pt>
                <c:pt idx="56">
                  <c:v>-2.1016034399999626</c:v>
                </c:pt>
                <c:pt idx="57">
                  <c:v>-2.3156956499999524</c:v>
                </c:pt>
                <c:pt idx="58">
                  <c:v>-2.3840284499999598</c:v>
                </c:pt>
                <c:pt idx="59">
                  <c:v>-2.4395192899999074</c:v>
                </c:pt>
                <c:pt idx="60">
                  <c:v>-2.2886858699999948</c:v>
                </c:pt>
                <c:pt idx="61">
                  <c:v>-2.8271001599999863</c:v>
                </c:pt>
                <c:pt idx="62">
                  <c:v>-2.1606726799999478</c:v>
                </c:pt>
                <c:pt idx="63">
                  <c:v>-1.8828356299999314</c:v>
                </c:pt>
                <c:pt idx="64">
                  <c:v>-2.0912351099999569</c:v>
                </c:pt>
                <c:pt idx="65">
                  <c:v>-2.1143001399999548</c:v>
                </c:pt>
                <c:pt idx="66">
                  <c:v>-2.1828499699998929</c:v>
                </c:pt>
                <c:pt idx="67">
                  <c:v>-1.4952364699998952</c:v>
                </c:pt>
                <c:pt idx="68">
                  <c:v>-1.7939341499999273</c:v>
                </c:pt>
                <c:pt idx="69">
                  <c:v>-1.6266361399999596</c:v>
                </c:pt>
                <c:pt idx="70">
                  <c:v>-1.4377391499999703</c:v>
                </c:pt>
                <c:pt idx="71">
                  <c:v>-1.405656259999887</c:v>
                </c:pt>
                <c:pt idx="72">
                  <c:v>-1.2069777199999407</c:v>
                </c:pt>
                <c:pt idx="73">
                  <c:v>-1.5191246099999489</c:v>
                </c:pt>
                <c:pt idx="74">
                  <c:v>-1.5518604399999276</c:v>
                </c:pt>
                <c:pt idx="75">
                  <c:v>-1.3687327899999673</c:v>
                </c:pt>
                <c:pt idx="76">
                  <c:v>-1.2256843599999456</c:v>
                </c:pt>
                <c:pt idx="77">
                  <c:v>-1.1967998599999419</c:v>
                </c:pt>
                <c:pt idx="78">
                  <c:v>-1.1857251299999234</c:v>
                </c:pt>
                <c:pt idx="79">
                  <c:v>-1.2217501699999502</c:v>
                </c:pt>
              </c:numCache>
            </c:numRef>
          </c:yVal>
          <c:smooth val="0"/>
          <c:extLst>
            <c:ext xmlns:c16="http://schemas.microsoft.com/office/drawing/2014/chart" uri="{C3380CC4-5D6E-409C-BE32-E72D297353CC}">
              <c16:uniqueId val="{00000003-C273-49A7-BFAF-99D7A6BCBD67}"/>
            </c:ext>
          </c:extLst>
        </c:ser>
        <c:dLbls>
          <c:showLegendKey val="0"/>
          <c:showVal val="0"/>
          <c:showCatName val="0"/>
          <c:showSerName val="0"/>
          <c:showPercent val="0"/>
          <c:showBubbleSize val="0"/>
        </c:dLbls>
        <c:axId val="1445957456"/>
        <c:axId val="1074379392"/>
      </c:scatterChart>
      <c:valAx>
        <c:axId val="144595745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y</a:t>
                </a:r>
                <a:r>
                  <a:rPr lang="en-US" altLang="ja-JP" sz="1400" b="1" baseline="0">
                    <a:solidFill>
                      <a:schemeClr val="tx1"/>
                    </a:solidFill>
                    <a:latin typeface="メイリオ" panose="020B0604030504040204" pitchFamily="50" charset="-128"/>
                    <a:ea typeface="メイリオ" panose="020B0604030504040204" pitchFamily="50" charset="-128"/>
                  </a:rPr>
                  <a:t>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074379392"/>
        <c:crossesAt val="-8"/>
        <c:crossBetween val="midCat"/>
      </c:valAx>
      <c:valAx>
        <c:axId val="10743793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r>
                  <a:rPr lang="en-US" altLang="ja-JP" sz="1400" b="1">
                    <a:solidFill>
                      <a:schemeClr val="tx1"/>
                    </a:solidFill>
                    <a:latin typeface="メイリオ" panose="020B0604030504040204" pitchFamily="50" charset="-128"/>
                    <a:ea typeface="メイリオ" panose="020B0604030504040204" pitchFamily="50" charset="-128"/>
                  </a:rPr>
                  <a:t>z [mm]</a:t>
                </a:r>
                <a:endParaRPr lang="ja-JP" altLang="en-US" sz="1400" b="1">
                  <a:solidFill>
                    <a:schemeClr val="tx1"/>
                  </a:solidFill>
                  <a:latin typeface="メイリオ" panose="020B0604030504040204" pitchFamily="50" charset="-128"/>
                  <a:ea typeface="メイリオ" panose="020B0604030504040204" pitchFamily="50" charset="-128"/>
                </a:endParaRPr>
              </a:p>
            </c:rich>
          </c:tx>
          <c:overlay val="0"/>
          <c:spPr>
            <a:noFill/>
            <a:ln>
              <a:noFill/>
            </a:ln>
            <a:effectLst/>
          </c:spPr>
          <c:txPr>
            <a:bodyPr rot="-54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crossAx val="1445957456"/>
        <c:crossesAt val="-400"/>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lang="ja-JP" sz="800" b="1" i="0" u="none" strike="noStrike" kern="1200" baseline="0">
              <a:solidFill>
                <a:schemeClr val="tx1"/>
              </a:solidFill>
              <a:latin typeface="メイリオ" panose="020B0604030504040204" pitchFamily="50" charset="-128"/>
              <a:ea typeface="メイリオ" panose="020B0604030504040204" pitchFamily="50" charset="-128"/>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58</xdr:row>
      <xdr:rowOff>0</xdr:rowOff>
    </xdr:from>
    <xdr:to>
      <xdr:col>17</xdr:col>
      <xdr:colOff>124722</xdr:colOff>
      <xdr:row>77</xdr:row>
      <xdr:rowOff>52582</xdr:rowOff>
    </xdr:to>
    <xdr:pic>
      <xdr:nvPicPr>
        <xdr:cNvPr id="2" name="図 1">
          <a:extLst>
            <a:ext uri="{FF2B5EF4-FFF2-40B4-BE49-F238E27FC236}">
              <a16:creationId xmlns:a16="http://schemas.microsoft.com/office/drawing/2014/main" id="{F8D39058-6EE9-42BD-922C-8136DF2FC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6000" y="5400675"/>
          <a:ext cx="3172722" cy="38530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0</xdr:colOff>
      <xdr:row>1</xdr:row>
      <xdr:rowOff>190499</xdr:rowOff>
    </xdr:from>
    <xdr:to>
      <xdr:col>30</xdr:col>
      <xdr:colOff>342000</xdr:colOff>
      <xdr:row>29</xdr:row>
      <xdr:rowOff>9970</xdr:rowOff>
    </xdr:to>
    <xdr:graphicFrame macro="">
      <xdr:nvGraphicFramePr>
        <xdr:cNvPr id="2" name="グラフ 1">
          <a:extLst>
            <a:ext uri="{FF2B5EF4-FFF2-40B4-BE49-F238E27FC236}">
              <a16:creationId xmlns:a16="http://schemas.microsoft.com/office/drawing/2014/main" id="{79889342-EA03-4F80-B90C-B44FC160B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1</xdr:row>
      <xdr:rowOff>190499</xdr:rowOff>
    </xdr:from>
    <xdr:to>
      <xdr:col>40</xdr:col>
      <xdr:colOff>342000</xdr:colOff>
      <xdr:row>29</xdr:row>
      <xdr:rowOff>9970</xdr:rowOff>
    </xdr:to>
    <xdr:graphicFrame macro="">
      <xdr:nvGraphicFramePr>
        <xdr:cNvPr id="3" name="グラフ 2">
          <a:extLst>
            <a:ext uri="{FF2B5EF4-FFF2-40B4-BE49-F238E27FC236}">
              <a16:creationId xmlns:a16="http://schemas.microsoft.com/office/drawing/2014/main" id="{F3E73D93-9295-4F20-8D23-AEC6670E8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30</xdr:row>
      <xdr:rowOff>0</xdr:rowOff>
    </xdr:from>
    <xdr:to>
      <xdr:col>30</xdr:col>
      <xdr:colOff>342000</xdr:colOff>
      <xdr:row>58</xdr:row>
      <xdr:rowOff>66000</xdr:rowOff>
    </xdr:to>
    <xdr:graphicFrame macro="">
      <xdr:nvGraphicFramePr>
        <xdr:cNvPr id="4" name="グラフ 3">
          <a:extLst>
            <a:ext uri="{FF2B5EF4-FFF2-40B4-BE49-F238E27FC236}">
              <a16:creationId xmlns:a16="http://schemas.microsoft.com/office/drawing/2014/main" id="{A0170EAA-D1E9-405F-9EB8-D49919097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0</xdr:colOff>
      <xdr:row>30</xdr:row>
      <xdr:rowOff>0</xdr:rowOff>
    </xdr:from>
    <xdr:to>
      <xdr:col>40</xdr:col>
      <xdr:colOff>342000</xdr:colOff>
      <xdr:row>58</xdr:row>
      <xdr:rowOff>66000</xdr:rowOff>
    </xdr:to>
    <xdr:graphicFrame macro="">
      <xdr:nvGraphicFramePr>
        <xdr:cNvPr id="5" name="グラフ 4">
          <a:extLst>
            <a:ext uri="{FF2B5EF4-FFF2-40B4-BE49-F238E27FC236}">
              <a16:creationId xmlns:a16="http://schemas.microsoft.com/office/drawing/2014/main" id="{32054819-4F61-4F87-9AC2-33A56F6F1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farm1.kek.jp/share/work/KEK/ia/data/202107_&#22799;&#26399;&#20572;&#27490;&#26399;&#38291;&#20316;&#26989;/202107_summary_final_rev2.xlsx" TargetMode="External"/><Relationship Id="rId1" Type="http://schemas.openxmlformats.org/officeDocument/2006/relationships/externalLinkPath" Target="/ufarm1.kek.jp/work/KEK/ia/data/202107_&#22799;&#26399;&#20572;&#27490;&#26399;&#38291;&#20316;&#26989;/202107_summary_final_re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farm1.kek.jp/work/KEK/ia/data/202007_&#22799;&#26399;&#20572;&#27490;&#26399;&#38291;&#20316;&#26989;/202007_summary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s_coordinates"/>
      <sheetName val="s-coordinate_meas"/>
      <sheetName val="s-coordinates_deck"/>
      <sheetName val="DiNi"/>
      <sheetName val="Inst_error"/>
      <sheetName val="usmn_all"/>
      <sheetName val="usmn_lt"/>
      <sheetName val="Sheet1"/>
      <sheetName val="usmn_mag_Li"/>
      <sheetName val="usmn_pd"/>
      <sheetName val="設計座標"/>
      <sheetName val="設計座標_SA"/>
      <sheetName val="SA 用設計座標_修正後"/>
      <sheetName val="測地線補正"/>
      <sheetName val="draw_circle_text"/>
      <sheetName val="shift_rotate"/>
      <sheetName val="usmn_mag_trend"/>
      <sheetName val="J-arc_di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pd_a1d</v>
          </cell>
          <cell r="B2">
            <v>8.0827799999999996</v>
          </cell>
          <cell r="C2">
            <v>-399.98281386999997</v>
          </cell>
          <cell r="D2">
            <v>693.41314523000005</v>
          </cell>
          <cell r="E2">
            <v>-690.05141046000006</v>
          </cell>
          <cell r="F2">
            <v>0</v>
          </cell>
        </row>
        <row r="3">
          <cell r="A3" t="str">
            <v>pd_a2u</v>
          </cell>
          <cell r="B3">
            <v>8.4525269999999999</v>
          </cell>
          <cell r="C3">
            <v>-399.82604995000003</v>
          </cell>
          <cell r="D3">
            <v>1063.1861980799999</v>
          </cell>
          <cell r="E3">
            <v>-689.72256508999999</v>
          </cell>
          <cell r="F3">
            <v>0.32884537000006731</v>
          </cell>
        </row>
        <row r="4">
          <cell r="A4" t="str">
            <v>pd_a2d</v>
          </cell>
          <cell r="B4">
            <v>19.099688</v>
          </cell>
          <cell r="C4">
            <v>-399.82639107</v>
          </cell>
          <cell r="D4">
            <v>11710.30901965</v>
          </cell>
          <cell r="E4">
            <v>-688.85315728</v>
          </cell>
          <cell r="F4">
            <v>1.1982531800000515</v>
          </cell>
        </row>
        <row r="5">
          <cell r="A5" t="str">
            <v>pd_a3u</v>
          </cell>
          <cell r="B5">
            <v>20.313375000000001</v>
          </cell>
          <cell r="C5">
            <v>-399.82446955</v>
          </cell>
          <cell r="D5">
            <v>12924.013982959999</v>
          </cell>
          <cell r="E5">
            <v>-689.07992297999999</v>
          </cell>
          <cell r="F5">
            <v>0.97148748000006435</v>
          </cell>
        </row>
        <row r="6">
          <cell r="A6" t="str">
            <v>pd_a3d</v>
          </cell>
          <cell r="B6">
            <v>29.700552999999999</v>
          </cell>
          <cell r="C6">
            <v>-399.99549086000002</v>
          </cell>
          <cell r="D6">
            <v>22311.176522950002</v>
          </cell>
          <cell r="E6">
            <v>-688.33778928000004</v>
          </cell>
          <cell r="F6">
            <v>1.7136211800000183</v>
          </cell>
        </row>
        <row r="7">
          <cell r="A7" t="str">
            <v>pd_a4u</v>
          </cell>
          <cell r="B7">
            <v>30.814761999999998</v>
          </cell>
          <cell r="C7">
            <v>-400.03648341000002</v>
          </cell>
          <cell r="D7">
            <v>23425.38590741</v>
          </cell>
          <cell r="E7">
            <v>-688.27883155999996</v>
          </cell>
          <cell r="F7">
            <v>1.7725789000000987</v>
          </cell>
        </row>
        <row r="8">
          <cell r="A8" t="str">
            <v>pd_a4d</v>
          </cell>
          <cell r="B8">
            <v>40.202587000000001</v>
          </cell>
          <cell r="C8">
            <v>-400.1051147</v>
          </cell>
          <cell r="D8">
            <v>32813.160767250003</v>
          </cell>
          <cell r="E8">
            <v>-687.76459179000005</v>
          </cell>
          <cell r="F8">
            <v>2.2868186700000024</v>
          </cell>
        </row>
        <row r="9">
          <cell r="A9" t="str">
            <v>pd_b1u</v>
          </cell>
          <cell r="B9">
            <v>43.953696999999998</v>
          </cell>
          <cell r="C9">
            <v>-400.05560616999998</v>
          </cell>
          <cell r="D9">
            <v>36564.270152980003</v>
          </cell>
          <cell r="E9">
            <v>-687.64618657000005</v>
          </cell>
          <cell r="F9">
            <v>2.405223890000002</v>
          </cell>
        </row>
        <row r="10">
          <cell r="A10" t="str">
            <v>pd_b2u</v>
          </cell>
          <cell r="B10">
            <v>53.461810999999997</v>
          </cell>
          <cell r="C10">
            <v>-400.13832363</v>
          </cell>
          <cell r="D10">
            <v>46072.34924743</v>
          </cell>
          <cell r="E10">
            <v>-686.88572950000002</v>
          </cell>
          <cell r="F10">
            <v>3.1656809600000315</v>
          </cell>
        </row>
        <row r="11">
          <cell r="A11" t="str">
            <v>pd_b2d</v>
          </cell>
          <cell r="B11">
            <v>62.010358999999994</v>
          </cell>
          <cell r="C11">
            <v>-399.97580384999998</v>
          </cell>
          <cell r="D11">
            <v>54620.86038251</v>
          </cell>
          <cell r="E11">
            <v>-686.08656117999999</v>
          </cell>
          <cell r="F11">
            <v>3.9648492800000668</v>
          </cell>
        </row>
        <row r="12">
          <cell r="A12" t="str">
            <v>pd_b3u</v>
          </cell>
          <cell r="B12">
            <v>63.150418999999992</v>
          </cell>
          <cell r="C12">
            <v>-400.1023702</v>
          </cell>
          <cell r="D12">
            <v>55760.873217230001</v>
          </cell>
          <cell r="E12">
            <v>-686.09477765999998</v>
          </cell>
          <cell r="F12">
            <v>3.9566328000000794</v>
          </cell>
        </row>
        <row r="13">
          <cell r="A13" t="str">
            <v>pd_b3d</v>
          </cell>
          <cell r="B13">
            <v>71.698402999999985</v>
          </cell>
          <cell r="C13">
            <v>-399.62561871999998</v>
          </cell>
          <cell r="D13">
            <v>64308.842514770004</v>
          </cell>
          <cell r="E13">
            <v>-685.05886127999997</v>
          </cell>
          <cell r="F13">
            <v>4.9925491800000827</v>
          </cell>
        </row>
        <row r="14">
          <cell r="A14" t="str">
            <v>pd_b4u</v>
          </cell>
          <cell r="B14">
            <v>72.75006599999999</v>
          </cell>
          <cell r="C14">
            <v>-399.63868536000001</v>
          </cell>
          <cell r="D14">
            <v>65360.490091849999</v>
          </cell>
          <cell r="E14">
            <v>-684.95269235000001</v>
          </cell>
          <cell r="F14">
            <v>5.0987181100000498</v>
          </cell>
        </row>
        <row r="15">
          <cell r="A15" t="str">
            <v>pd_b4d</v>
          </cell>
          <cell r="B15">
            <v>81.297968999999995</v>
          </cell>
          <cell r="C15">
            <v>-399.66786703999998</v>
          </cell>
          <cell r="D15">
            <v>73908.37076659</v>
          </cell>
          <cell r="E15">
            <v>-684.60166308999999</v>
          </cell>
          <cell r="F15">
            <v>5.4497473700000683</v>
          </cell>
        </row>
        <row r="16">
          <cell r="A16" t="str">
            <v>pd_b5u</v>
          </cell>
          <cell r="B16">
            <v>82.352720999999988</v>
          </cell>
          <cell r="C16">
            <v>-399.78449472</v>
          </cell>
          <cell r="D16">
            <v>74963.221009760004</v>
          </cell>
          <cell r="E16">
            <v>-684.68679826000005</v>
          </cell>
          <cell r="F16">
            <v>5.3646122000000105</v>
          </cell>
        </row>
        <row r="17">
          <cell r="A17" t="str">
            <v>pd_b5d</v>
          </cell>
          <cell r="B17">
            <v>90.900906999999989</v>
          </cell>
          <cell r="C17">
            <v>-399.82604673999998</v>
          </cell>
          <cell r="D17">
            <v>83511.392317909995</v>
          </cell>
          <cell r="E17">
            <v>-683.69683273999999</v>
          </cell>
          <cell r="F17">
            <v>6.3545777200000657</v>
          </cell>
        </row>
        <row r="18">
          <cell r="A18" t="str">
            <v>pd_b6u</v>
          </cell>
          <cell r="B18">
            <v>91.949908999999991</v>
          </cell>
          <cell r="C18">
            <v>-399.69036233999998</v>
          </cell>
          <cell r="D18">
            <v>84560.416836040007</v>
          </cell>
          <cell r="E18">
            <v>-683.74662124999998</v>
          </cell>
          <cell r="F18">
            <v>6.3047892100000809</v>
          </cell>
        </row>
        <row r="19">
          <cell r="A19" t="str">
            <v>pd_b6d</v>
          </cell>
          <cell r="B19">
            <v>100.49764999999998</v>
          </cell>
          <cell r="C19">
            <v>-399.90392701000002</v>
          </cell>
          <cell r="D19">
            <v>93108.185650419997</v>
          </cell>
          <cell r="E19">
            <v>-683.17548080999995</v>
          </cell>
          <cell r="F19">
            <v>6.8759296500001028</v>
          </cell>
        </row>
        <row r="20">
          <cell r="A20" t="str">
            <v>pd_b7u</v>
          </cell>
          <cell r="B20">
            <v>101.54792799999998</v>
          </cell>
          <cell r="C20">
            <v>-400.00722048</v>
          </cell>
          <cell r="D20">
            <v>94158.369181560003</v>
          </cell>
          <cell r="E20">
            <v>-683.19821478999995</v>
          </cell>
          <cell r="F20">
            <v>6.8531956700001047</v>
          </cell>
        </row>
        <row r="21">
          <cell r="A21" t="str">
            <v>pd_b7d</v>
          </cell>
          <cell r="B21">
            <v>110.09624799999999</v>
          </cell>
          <cell r="C21">
            <v>-399.91600424000001</v>
          </cell>
          <cell r="D21">
            <v>102706.70880846999</v>
          </cell>
          <cell r="E21">
            <v>-682.24916513000005</v>
          </cell>
          <cell r="F21">
            <v>7.8022453300000052</v>
          </cell>
        </row>
        <row r="22">
          <cell r="A22" t="str">
            <v>pd_b8u</v>
          </cell>
          <cell r="B22">
            <v>111.14629199999999</v>
          </cell>
          <cell r="C22">
            <v>-400.06265804999998</v>
          </cell>
          <cell r="D22">
            <v>103756.68379852999</v>
          </cell>
          <cell r="E22">
            <v>-682.16623578999997</v>
          </cell>
          <cell r="F22">
            <v>7.8851746700000831</v>
          </cell>
        </row>
        <row r="23">
          <cell r="A23" t="str">
            <v>pd_b8d</v>
          </cell>
          <cell r="B23">
            <v>119.69509699999998</v>
          </cell>
          <cell r="C23">
            <v>-399.12320884000002</v>
          </cell>
          <cell r="D23">
            <v>112305.57370805</v>
          </cell>
          <cell r="E23">
            <v>-681.10671487000002</v>
          </cell>
          <cell r="F23">
            <v>8.9446955900000376</v>
          </cell>
        </row>
        <row r="24">
          <cell r="A24" t="str">
            <v>pd_r0d</v>
          </cell>
          <cell r="B24">
            <v>121.31399599999999</v>
          </cell>
          <cell r="C24">
            <v>-118.73636242000001</v>
          </cell>
          <cell r="D24">
            <v>113924.66091565001</v>
          </cell>
          <cell r="E24">
            <v>-680.90899075000004</v>
          </cell>
          <cell r="F24">
            <v>9.1424197100000129</v>
          </cell>
        </row>
        <row r="25">
          <cell r="A25" t="str">
            <v>pd_r063u</v>
          </cell>
          <cell r="B25">
            <v>152.47842999999997</v>
          </cell>
          <cell r="C25">
            <v>-15132.80614121</v>
          </cell>
          <cell r="D25">
            <v>111882.88818897</v>
          </cell>
          <cell r="E25">
            <v>-681.46524856999997</v>
          </cell>
          <cell r="F25">
            <v>8.5861618900000849</v>
          </cell>
        </row>
        <row r="26">
          <cell r="A26" t="str">
            <v>pd_r063d</v>
          </cell>
          <cell r="B26">
            <v>153.98864099999997</v>
          </cell>
          <cell r="C26">
            <v>-15412.75309466</v>
          </cell>
          <cell r="D26">
            <v>110372.67982963999</v>
          </cell>
          <cell r="E26">
            <v>-681.57549086999995</v>
          </cell>
          <cell r="F26">
            <v>8.4759195900001032</v>
          </cell>
        </row>
        <row r="27">
          <cell r="A27" t="str">
            <v>pd_c1u</v>
          </cell>
          <cell r="B27">
            <v>156.54550899999995</v>
          </cell>
          <cell r="C27">
            <v>-15412.19772188</v>
          </cell>
          <cell r="D27">
            <v>107815.79313671</v>
          </cell>
          <cell r="E27">
            <v>-682.07158565999998</v>
          </cell>
          <cell r="F27">
            <v>7.979824800000074</v>
          </cell>
        </row>
        <row r="28">
          <cell r="A28" t="str">
            <v>pd_c1d</v>
          </cell>
          <cell r="B28">
            <v>165.26051799999996</v>
          </cell>
          <cell r="C28">
            <v>-15411.23158448</v>
          </cell>
          <cell r="D28">
            <v>99100.726443809996</v>
          </cell>
          <cell r="E28">
            <v>-682.89454076000004</v>
          </cell>
          <cell r="F28">
            <v>7.1568697000000157</v>
          </cell>
        </row>
        <row r="29">
          <cell r="A29" t="str">
            <v>pd_c2u</v>
          </cell>
          <cell r="B29">
            <v>166.14232299999995</v>
          </cell>
          <cell r="C29">
            <v>-15410.53968097</v>
          </cell>
          <cell r="D29">
            <v>98218.959933420003</v>
          </cell>
          <cell r="E29">
            <v>-682.25150573999997</v>
          </cell>
          <cell r="F29">
            <v>7.7999047200000859</v>
          </cell>
        </row>
        <row r="30">
          <cell r="A30" t="str">
            <v>pd_c2d</v>
          </cell>
          <cell r="B30">
            <v>174.85890799999993</v>
          </cell>
          <cell r="C30">
            <v>-15409.948285230001</v>
          </cell>
          <cell r="D30">
            <v>89502.261735060005</v>
          </cell>
          <cell r="E30">
            <v>-683.26612379999995</v>
          </cell>
          <cell r="F30">
            <v>6.7852866600001107</v>
          </cell>
        </row>
        <row r="31">
          <cell r="A31" t="str">
            <v>pd_c3u</v>
          </cell>
          <cell r="B31">
            <v>175.74261599999994</v>
          </cell>
          <cell r="C31">
            <v>-15409.665276199999</v>
          </cell>
          <cell r="D31">
            <v>88618.731960549994</v>
          </cell>
          <cell r="E31">
            <v>-683.35923859000002</v>
          </cell>
          <cell r="F31">
            <v>6.6921718700000383</v>
          </cell>
        </row>
        <row r="32">
          <cell r="A32" t="str">
            <v>pd_c3d</v>
          </cell>
          <cell r="B32">
            <v>184.45718899999994</v>
          </cell>
          <cell r="C32">
            <v>-15408.6462231</v>
          </cell>
          <cell r="D32">
            <v>79904.077634860005</v>
          </cell>
          <cell r="E32">
            <v>-683.95818053999994</v>
          </cell>
          <cell r="F32">
            <v>6.0932299200001125</v>
          </cell>
        </row>
        <row r="33">
          <cell r="A33" t="str">
            <v>pd_c4u</v>
          </cell>
          <cell r="B33">
            <v>185.33915799999997</v>
          </cell>
          <cell r="C33">
            <v>-15408.23139323</v>
          </cell>
          <cell r="D33">
            <v>79022.111112540006</v>
          </cell>
          <cell r="E33">
            <v>-684.40940788</v>
          </cell>
          <cell r="F33">
            <v>5.6420025800000531</v>
          </cell>
        </row>
        <row r="34">
          <cell r="A34" t="str">
            <v>pd_c4d</v>
          </cell>
          <cell r="B34">
            <v>194.05496099999996</v>
          </cell>
          <cell r="C34">
            <v>-15407.125200160001</v>
          </cell>
          <cell r="D34">
            <v>70306.21364894</v>
          </cell>
          <cell r="E34">
            <v>-685.10202079999999</v>
          </cell>
          <cell r="F34">
            <v>4.9493896600000653</v>
          </cell>
        </row>
        <row r="35">
          <cell r="A35" t="str">
            <v>pd_c5u</v>
          </cell>
          <cell r="B35">
            <v>194.94342399999994</v>
          </cell>
          <cell r="C35">
            <v>-15406.93521779</v>
          </cell>
          <cell r="D35">
            <v>69417.902122019994</v>
          </cell>
          <cell r="E35">
            <v>-685.05114722999997</v>
          </cell>
          <cell r="F35">
            <v>5.0002632300000869</v>
          </cell>
        </row>
        <row r="36">
          <cell r="A36" t="str">
            <v>pd_c5d</v>
          </cell>
          <cell r="B36">
            <v>203.65968099999995</v>
          </cell>
          <cell r="C36">
            <v>-15405.51716834</v>
          </cell>
          <cell r="D36">
            <v>60701.588236880001</v>
          </cell>
          <cell r="E36">
            <v>-685.50501460999999</v>
          </cell>
          <cell r="F36">
            <v>4.5463958500000672</v>
          </cell>
        </row>
        <row r="37">
          <cell r="A37" t="str">
            <v>pd_c6u</v>
          </cell>
          <cell r="B37">
            <v>204.51867499999997</v>
          </cell>
          <cell r="C37">
            <v>-15405.670989529999</v>
          </cell>
          <cell r="D37">
            <v>59842.605103100002</v>
          </cell>
          <cell r="E37">
            <v>-685.63391937999995</v>
          </cell>
          <cell r="F37">
            <v>4.4174910800001044</v>
          </cell>
        </row>
        <row r="38">
          <cell r="A38" t="str">
            <v>pd_c6d</v>
          </cell>
          <cell r="B38">
            <v>213.23380299999997</v>
          </cell>
          <cell r="C38">
            <v>-15404.34391319</v>
          </cell>
          <cell r="D38">
            <v>51127.445036470002</v>
          </cell>
          <cell r="E38">
            <v>-686.73362925000004</v>
          </cell>
          <cell r="F38">
            <v>3.317781210000021</v>
          </cell>
        </row>
        <row r="39">
          <cell r="A39" t="str">
            <v>pd_c7u</v>
          </cell>
          <cell r="B39">
            <v>214.19955299999995</v>
          </cell>
          <cell r="C39">
            <v>-15404.24476155</v>
          </cell>
          <cell r="D39">
            <v>50161.761072540001</v>
          </cell>
          <cell r="E39">
            <v>-686.70266920999995</v>
          </cell>
          <cell r="F39">
            <v>3.3487412500001028</v>
          </cell>
        </row>
        <row r="40">
          <cell r="A40" t="str">
            <v>pd_c7d</v>
          </cell>
          <cell r="B40">
            <v>222.91542199999995</v>
          </cell>
          <cell r="C40">
            <v>-15403.13778386</v>
          </cell>
          <cell r="D40">
            <v>41445.856534589999</v>
          </cell>
          <cell r="E40">
            <v>-687.30057476000002</v>
          </cell>
          <cell r="F40">
            <v>2.7508357000000387</v>
          </cell>
        </row>
        <row r="41">
          <cell r="A41" t="str">
            <v>pd_c8u</v>
          </cell>
          <cell r="B41">
            <v>228.20102399999999</v>
          </cell>
          <cell r="C41">
            <v>-15402.34266131</v>
          </cell>
          <cell r="D41">
            <v>36160.219480209998</v>
          </cell>
          <cell r="E41">
            <v>-687.94024861000003</v>
          </cell>
          <cell r="F41">
            <v>2.1111618500000304</v>
          </cell>
        </row>
        <row r="42">
          <cell r="A42" t="str">
            <v>pd_c8d</v>
          </cell>
          <cell r="B42">
            <v>236.91723499999998</v>
          </cell>
          <cell r="C42">
            <v>-15401.18650322</v>
          </cell>
          <cell r="D42">
            <v>27443.949719529999</v>
          </cell>
          <cell r="E42">
            <v>-688.15392471999996</v>
          </cell>
          <cell r="F42">
            <v>1.8974857400000928</v>
          </cell>
        </row>
        <row r="43">
          <cell r="A43" t="str">
            <v>pd_11u</v>
          </cell>
          <cell r="B43">
            <v>238.11592599999997</v>
          </cell>
          <cell r="C43">
            <v>-15400.90200023</v>
          </cell>
          <cell r="D43">
            <v>26245.358336609999</v>
          </cell>
          <cell r="E43">
            <v>-688.05990049000002</v>
          </cell>
          <cell r="F43">
            <v>1.9915099700000383</v>
          </cell>
        </row>
        <row r="44">
          <cell r="A44" t="str">
            <v>pd_11d</v>
          </cell>
          <cell r="B44">
            <v>246.83135899999996</v>
          </cell>
          <cell r="C44">
            <v>-15399.823885379999</v>
          </cell>
          <cell r="D44">
            <v>17529.824999190001</v>
          </cell>
          <cell r="E44">
            <v>-688.76997441000003</v>
          </cell>
          <cell r="F44">
            <v>1.2814360500000248</v>
          </cell>
        </row>
        <row r="45">
          <cell r="A45" t="str">
            <v>pd_12u</v>
          </cell>
          <cell r="B45">
            <v>247.70651399999997</v>
          </cell>
          <cell r="C45">
            <v>-15399.855445859999</v>
          </cell>
          <cell r="D45">
            <v>16654.77318833</v>
          </cell>
          <cell r="E45">
            <v>-689.27367389000005</v>
          </cell>
          <cell r="F45">
            <v>0.77773657000000185</v>
          </cell>
        </row>
        <row r="46">
          <cell r="A46" t="str">
            <v>pd_12d</v>
          </cell>
          <cell r="B46">
            <v>256.42060699999996</v>
          </cell>
          <cell r="C46">
            <v>-15398.626194709999</v>
          </cell>
          <cell r="D46">
            <v>7940.5835600800001</v>
          </cell>
          <cell r="E46">
            <v>-689.15582772000005</v>
          </cell>
          <cell r="F46">
            <v>0.89558274000000893</v>
          </cell>
        </row>
        <row r="47">
          <cell r="A47" t="str">
            <v>pd_13u</v>
          </cell>
          <cell r="B47">
            <v>257.31755299999998</v>
          </cell>
          <cell r="C47">
            <v>-15398.7265763</v>
          </cell>
          <cell r="D47">
            <v>7043.7711151699996</v>
          </cell>
          <cell r="E47">
            <v>-688.85231714999998</v>
          </cell>
          <cell r="F47">
            <v>1.1990933100000802</v>
          </cell>
        </row>
        <row r="48">
          <cell r="A48" t="str">
            <v>pd_13d</v>
          </cell>
          <cell r="B48">
            <v>266.03217899999993</v>
          </cell>
          <cell r="C48">
            <v>-15397.707340499999</v>
          </cell>
          <cell r="D48">
            <v>-1670.97066741</v>
          </cell>
          <cell r="E48">
            <v>-688.97473179999997</v>
          </cell>
          <cell r="F48">
            <v>1.0766786600000842</v>
          </cell>
        </row>
        <row r="49">
          <cell r="A49" t="str">
            <v>pd_132u</v>
          </cell>
          <cell r="B49">
            <v>266.32968599999992</v>
          </cell>
          <cell r="C49">
            <v>-15397.69587476</v>
          </cell>
          <cell r="D49">
            <v>-1968.3294917400001</v>
          </cell>
          <cell r="E49">
            <v>-689.02879951</v>
          </cell>
          <cell r="F49">
            <v>1.0226109500000575</v>
          </cell>
        </row>
        <row r="50">
          <cell r="A50" t="str">
            <v>pd_132d</v>
          </cell>
          <cell r="B50">
            <v>270.38045999999991</v>
          </cell>
          <cell r="C50">
            <v>-15397.026057200001</v>
          </cell>
          <cell r="D50">
            <v>-6019.2101614200001</v>
          </cell>
          <cell r="E50">
            <v>-689.13760336999997</v>
          </cell>
          <cell r="F50">
            <v>0.91380709000009119</v>
          </cell>
        </row>
        <row r="51">
          <cell r="A51" t="str">
            <v>pd_161u</v>
          </cell>
          <cell r="B51">
            <v>277.8389269999999</v>
          </cell>
          <cell r="C51">
            <v>-15396.57761448</v>
          </cell>
          <cell r="D51">
            <v>-13477.7968243</v>
          </cell>
          <cell r="E51">
            <v>-689.61008435999997</v>
          </cell>
          <cell r="F51">
            <v>0.44132610000008299</v>
          </cell>
        </row>
        <row r="52">
          <cell r="A52" t="str">
            <v>pd_161d</v>
          </cell>
          <cell r="B52">
            <v>287.49834099999993</v>
          </cell>
          <cell r="C52">
            <v>-15395.37776508</v>
          </cell>
          <cell r="D52">
            <v>-23136.939334030001</v>
          </cell>
          <cell r="E52">
            <v>-690.05300491000003</v>
          </cell>
          <cell r="F52">
            <v>-1.5944499999704931E-3</v>
          </cell>
        </row>
        <row r="53">
          <cell r="A53" t="str">
            <v>pd_162u</v>
          </cell>
          <cell r="B53">
            <v>287.82182199999994</v>
          </cell>
          <cell r="C53">
            <v>-15395.233337490001</v>
          </cell>
          <cell r="D53">
            <v>-23460.692029419999</v>
          </cell>
          <cell r="E53">
            <v>-690.19555108999998</v>
          </cell>
          <cell r="F53">
            <v>-0.14414062999992439</v>
          </cell>
        </row>
        <row r="54">
          <cell r="A54" t="str">
            <v>pd_162d</v>
          </cell>
          <cell r="B54">
            <v>294.19867799999997</v>
          </cell>
          <cell r="C54">
            <v>-15394.912956919999</v>
          </cell>
          <cell r="D54">
            <v>-29837.445735469999</v>
          </cell>
          <cell r="E54">
            <v>-690.20430339999996</v>
          </cell>
          <cell r="F54">
            <v>-0.1528929399999015</v>
          </cell>
        </row>
        <row r="55">
          <cell r="A55" t="str">
            <v>pd_171u</v>
          </cell>
          <cell r="B55">
            <v>294.52209139999991</v>
          </cell>
          <cell r="C55">
            <v>-15394.47492164</v>
          </cell>
          <cell r="D55">
            <v>-30160.889954269998</v>
          </cell>
          <cell r="E55">
            <v>-690.12997100999996</v>
          </cell>
          <cell r="F55">
            <v>-7.856054999990647E-2</v>
          </cell>
        </row>
        <row r="56">
          <cell r="A56" t="str">
            <v>pd_171d</v>
          </cell>
          <cell r="B56">
            <v>304.89211799999993</v>
          </cell>
          <cell r="C56">
            <v>-15393.610325490001</v>
          </cell>
          <cell r="D56">
            <v>-40530.734924340002</v>
          </cell>
          <cell r="E56">
            <v>-690.58144086000004</v>
          </cell>
          <cell r="F56">
            <v>-0.53003039999998691</v>
          </cell>
        </row>
        <row r="57">
          <cell r="A57" t="str">
            <v>pd_1811u</v>
          </cell>
          <cell r="B57">
            <v>306.78192999999987</v>
          </cell>
          <cell r="C57">
            <v>-15393.25871391</v>
          </cell>
          <cell r="D57">
            <v>-42420.700450110002</v>
          </cell>
          <cell r="E57">
            <v>-690.70471611000005</v>
          </cell>
          <cell r="F57">
            <v>-0.65330564999999297</v>
          </cell>
        </row>
        <row r="58">
          <cell r="A58" t="str">
            <v>pd_1814d</v>
          </cell>
          <cell r="B58">
            <v>317.62309099999987</v>
          </cell>
          <cell r="C58">
            <v>-15391.834718489999</v>
          </cell>
          <cell r="D58">
            <v>-53261.733821950002</v>
          </cell>
          <cell r="E58">
            <v>-691.91314179999995</v>
          </cell>
          <cell r="F58">
            <v>-1.861731339999892</v>
          </cell>
        </row>
        <row r="59">
          <cell r="A59" t="str">
            <v>pd_21u</v>
          </cell>
          <cell r="B59">
            <v>320.50635399999987</v>
          </cell>
          <cell r="C59">
            <v>-15391.50198913</v>
          </cell>
          <cell r="D59">
            <v>-56145.06373029</v>
          </cell>
          <cell r="E59">
            <v>-691.89109122000002</v>
          </cell>
          <cell r="F59">
            <v>-1.8396807599999647</v>
          </cell>
        </row>
        <row r="60">
          <cell r="A60" t="str">
            <v>pd_21d</v>
          </cell>
          <cell r="B60">
            <v>333.03611699999988</v>
          </cell>
          <cell r="C60">
            <v>-15390.701326599999</v>
          </cell>
          <cell r="D60">
            <v>-68674.872915970001</v>
          </cell>
          <cell r="E60">
            <v>-691.54184080000005</v>
          </cell>
          <cell r="F60">
            <v>-1.490430339999989</v>
          </cell>
        </row>
        <row r="61">
          <cell r="A61" t="str">
            <v>pd_22u</v>
          </cell>
          <cell r="B61">
            <v>333.36209799999989</v>
          </cell>
          <cell r="C61">
            <v>-15390.311892870001</v>
          </cell>
          <cell r="D61">
            <v>-69000.833900390004</v>
          </cell>
          <cell r="E61">
            <v>-691.55549653000003</v>
          </cell>
          <cell r="F61">
            <v>-1.5040860699999712</v>
          </cell>
        </row>
        <row r="62">
          <cell r="A62" t="str">
            <v>pd_22d</v>
          </cell>
          <cell r="B62">
            <v>342.84917399999989</v>
          </cell>
          <cell r="C62">
            <v>-15389.053069469999</v>
          </cell>
          <cell r="D62">
            <v>-78487.98771093</v>
          </cell>
          <cell r="E62">
            <v>-691.45988456999999</v>
          </cell>
          <cell r="F62">
            <v>-1.4084741099999292</v>
          </cell>
        </row>
        <row r="63">
          <cell r="A63" t="str">
            <v>pd_23u</v>
          </cell>
          <cell r="B63">
            <v>343.22894999999988</v>
          </cell>
          <cell r="C63">
            <v>-15389.2529541</v>
          </cell>
          <cell r="D63">
            <v>-78867.579884029998</v>
          </cell>
          <cell r="E63">
            <v>-691.83946925999999</v>
          </cell>
          <cell r="F63">
            <v>-1.7880587999999307</v>
          </cell>
        </row>
        <row r="64">
          <cell r="A64" t="str">
            <v>pd_23d</v>
          </cell>
          <cell r="B64">
            <v>352.31123999999988</v>
          </cell>
          <cell r="C64">
            <v>-15387.833546809999</v>
          </cell>
          <cell r="D64">
            <v>-87949.886356989999</v>
          </cell>
          <cell r="E64">
            <v>-691.82097336000004</v>
          </cell>
          <cell r="F64">
            <v>-1.7695628999999826</v>
          </cell>
        </row>
        <row r="65">
          <cell r="A65" t="str">
            <v>pd_24u</v>
          </cell>
          <cell r="B65">
            <v>353.59675099999987</v>
          </cell>
          <cell r="C65">
            <v>-15387.491698899999</v>
          </cell>
          <cell r="D65">
            <v>-89235.331156560002</v>
          </cell>
          <cell r="E65">
            <v>-691.58387431999995</v>
          </cell>
          <cell r="F65">
            <v>-1.5324638599998934</v>
          </cell>
        </row>
        <row r="66">
          <cell r="A66" t="str">
            <v>pd_24d</v>
          </cell>
          <cell r="B66">
            <v>364.68369399999989</v>
          </cell>
          <cell r="C66">
            <v>-15386.045936570001</v>
          </cell>
          <cell r="D66">
            <v>-100322.44223927001</v>
          </cell>
          <cell r="E66">
            <v>-691.53446452000003</v>
          </cell>
          <cell r="F66">
            <v>-1.4830540599999722</v>
          </cell>
        </row>
        <row r="67">
          <cell r="A67" t="str">
            <v>pd_26u</v>
          </cell>
          <cell r="B67">
            <v>365.84132599999987</v>
          </cell>
          <cell r="C67">
            <v>-15385.91818404</v>
          </cell>
          <cell r="D67">
            <v>-101479.94029378</v>
          </cell>
          <cell r="E67">
            <v>-691.98902710000004</v>
          </cell>
          <cell r="F67">
            <v>-1.9376166399999875</v>
          </cell>
        </row>
        <row r="68">
          <cell r="A68" t="str">
            <v>pd_26d</v>
          </cell>
          <cell r="B68">
            <v>376.92742399999986</v>
          </cell>
          <cell r="C68">
            <v>-15384.328819300001</v>
          </cell>
          <cell r="D68">
            <v>-112566.10584596</v>
          </cell>
          <cell r="E68">
            <v>-692.00965565000001</v>
          </cell>
          <cell r="F68">
            <v>-1.9582451899999569</v>
          </cell>
        </row>
        <row r="69">
          <cell r="A69" t="str">
            <v>pd_27u</v>
          </cell>
          <cell r="B69">
            <v>378.50721699999991</v>
          </cell>
          <cell r="C69">
            <v>-15384.12236397</v>
          </cell>
          <cell r="D69">
            <v>-114145.95742044</v>
          </cell>
          <cell r="E69">
            <v>-692.33286025999996</v>
          </cell>
          <cell r="F69">
            <v>-2.2814497999999048</v>
          </cell>
        </row>
        <row r="70">
          <cell r="A70" t="str">
            <v>pd_27d</v>
          </cell>
          <cell r="B70">
            <v>387.22322999999989</v>
          </cell>
          <cell r="C70">
            <v>-15383.39209806</v>
          </cell>
          <cell r="D70">
            <v>-122862.01179607</v>
          </cell>
          <cell r="E70">
            <v>-692.63916515999995</v>
          </cell>
          <cell r="F70">
            <v>-2.5877546999998913</v>
          </cell>
        </row>
        <row r="71">
          <cell r="A71" t="str">
            <v>pd_28u</v>
          </cell>
          <cell r="B71">
            <v>389.33865599999984</v>
          </cell>
          <cell r="C71">
            <v>-15383.124200169999</v>
          </cell>
          <cell r="D71">
            <v>-124977.42147143</v>
          </cell>
          <cell r="E71">
            <v>-692.65988441000002</v>
          </cell>
          <cell r="F71">
            <v>-2.6084739499999614</v>
          </cell>
        </row>
        <row r="72">
          <cell r="A72" t="str">
            <v>pd_28d</v>
          </cell>
          <cell r="B72">
            <v>398.05489099999983</v>
          </cell>
          <cell r="C72">
            <v>-15382.369743269999</v>
          </cell>
          <cell r="D72">
            <v>-133693.67495503</v>
          </cell>
          <cell r="E72">
            <v>-693.08051120000005</v>
          </cell>
          <cell r="F72">
            <v>-3.0291007399999899</v>
          </cell>
        </row>
        <row r="73">
          <cell r="A73" t="str">
            <v>pd_ref28ua</v>
          </cell>
          <cell r="B73">
            <v>406.64654309999992</v>
          </cell>
          <cell r="C73">
            <v>-15381.3892206</v>
          </cell>
          <cell r="D73">
            <v>-142285.79539688001</v>
          </cell>
          <cell r="E73">
            <v>-692.71281842999997</v>
          </cell>
          <cell r="F73">
            <v>-2.6614079699999138</v>
          </cell>
        </row>
        <row r="74">
          <cell r="A74" t="str">
            <v>pd_32u</v>
          </cell>
          <cell r="B74">
            <v>414.04992299999981</v>
          </cell>
          <cell r="C74">
            <v>-15379.935753219999</v>
          </cell>
          <cell r="D74">
            <v>-149688.72099423001</v>
          </cell>
          <cell r="E74">
            <v>-693.01796419000004</v>
          </cell>
          <cell r="F74">
            <v>-2.9665537299999869</v>
          </cell>
        </row>
        <row r="75">
          <cell r="A75" t="str">
            <v>pd_32d</v>
          </cell>
          <cell r="B75">
            <v>422.76940299999984</v>
          </cell>
          <cell r="C75">
            <v>-15378.9071334</v>
          </cell>
          <cell r="D75">
            <v>-158408.1844647</v>
          </cell>
          <cell r="E75">
            <v>-693.02709662999996</v>
          </cell>
          <cell r="F75">
            <v>-2.9756861699999035</v>
          </cell>
        </row>
        <row r="76">
          <cell r="A76" t="str">
            <v>pd_33u</v>
          </cell>
          <cell r="B76">
            <v>424.25118599999979</v>
          </cell>
          <cell r="C76">
            <v>-15378.62214576</v>
          </cell>
          <cell r="D76">
            <v>-159889.87573514</v>
          </cell>
          <cell r="E76">
            <v>-692.82394877000002</v>
          </cell>
          <cell r="F76">
            <v>-2.772538309999959</v>
          </cell>
        </row>
        <row r="77">
          <cell r="A77" t="str">
            <v>pd_33d</v>
          </cell>
          <cell r="B77">
            <v>432.96672199999983</v>
          </cell>
          <cell r="C77">
            <v>-15377.515472970001</v>
          </cell>
          <cell r="D77">
            <v>-168605.39680051</v>
          </cell>
          <cell r="E77">
            <v>-692.62371879</v>
          </cell>
          <cell r="F77">
            <v>-2.5723083299999416</v>
          </cell>
        </row>
        <row r="78">
          <cell r="A78" t="str">
            <v>pd_34u</v>
          </cell>
          <cell r="B78">
            <v>433.25072199999983</v>
          </cell>
          <cell r="C78">
            <v>-15377.33016442</v>
          </cell>
          <cell r="D78">
            <v>-168889.44289963</v>
          </cell>
          <cell r="E78">
            <v>-692.48033753000004</v>
          </cell>
          <cell r="F78">
            <v>-2.4289270699999861</v>
          </cell>
        </row>
        <row r="79">
          <cell r="A79" t="str">
            <v>pd_34d</v>
          </cell>
          <cell r="B79">
            <v>441.96738399999987</v>
          </cell>
          <cell r="C79">
            <v>-15376.16286961</v>
          </cell>
          <cell r="D79">
            <v>-177606.05967957</v>
          </cell>
          <cell r="E79">
            <v>-692.99384354999995</v>
          </cell>
          <cell r="F79">
            <v>-2.9424330899998949</v>
          </cell>
        </row>
        <row r="80">
          <cell r="A80" t="str">
            <v>pd_35u</v>
          </cell>
          <cell r="B80">
            <v>443.45673799999986</v>
          </cell>
          <cell r="C80">
            <v>-15376.18842572</v>
          </cell>
          <cell r="D80">
            <v>-179095.40847970999</v>
          </cell>
          <cell r="E80">
            <v>-693.04226081000002</v>
          </cell>
          <cell r="F80">
            <v>-2.9908503499999597</v>
          </cell>
        </row>
        <row r="81">
          <cell r="A81" t="str">
            <v>pd_35d</v>
          </cell>
          <cell r="B81">
            <v>452.17305599999986</v>
          </cell>
          <cell r="C81">
            <v>-15374.9295938</v>
          </cell>
          <cell r="D81">
            <v>-187811.69471000999</v>
          </cell>
          <cell r="E81">
            <v>-693.19319711000003</v>
          </cell>
          <cell r="F81">
            <v>-3.1417866499999718</v>
          </cell>
        </row>
        <row r="82">
          <cell r="A82" t="str">
            <v>pd_36u</v>
          </cell>
          <cell r="B82">
            <v>452.4525119999999</v>
          </cell>
          <cell r="C82">
            <v>-15374.821794859999</v>
          </cell>
          <cell r="D82">
            <v>-188091.12080385</v>
          </cell>
          <cell r="E82">
            <v>-693.23078715999998</v>
          </cell>
          <cell r="F82">
            <v>-3.1793766999999207</v>
          </cell>
        </row>
        <row r="83">
          <cell r="A83" t="str">
            <v>pd_36d</v>
          </cell>
          <cell r="B83">
            <v>461.16904299999987</v>
          </cell>
          <cell r="C83">
            <v>-15373.485038500001</v>
          </cell>
          <cell r="D83">
            <v>-196807.65349293</v>
          </cell>
          <cell r="E83">
            <v>-692.87382428000001</v>
          </cell>
          <cell r="F83">
            <v>-2.8224138199999516</v>
          </cell>
        </row>
        <row r="84">
          <cell r="A84" t="str">
            <v>pd_37u</v>
          </cell>
          <cell r="B84">
            <v>462.6563129999999</v>
          </cell>
          <cell r="C84">
            <v>-15373.71122676</v>
          </cell>
          <cell r="D84">
            <v>-198294.93224083001</v>
          </cell>
          <cell r="E84">
            <v>-692.74427419000006</v>
          </cell>
          <cell r="F84">
            <v>-2.6928637299999991</v>
          </cell>
        </row>
        <row r="85">
          <cell r="A85" t="str">
            <v>pd_37d</v>
          </cell>
          <cell r="B85">
            <v>471.37264399999992</v>
          </cell>
          <cell r="C85">
            <v>-15372.40665146</v>
          </cell>
          <cell r="D85">
            <v>-207011.22576457</v>
          </cell>
          <cell r="E85">
            <v>-692.86308844999996</v>
          </cell>
          <cell r="F85">
            <v>-2.8116779899999074</v>
          </cell>
        </row>
        <row r="86">
          <cell r="A86" t="str">
            <v>pd_38u</v>
          </cell>
          <cell r="B86">
            <v>471.65109699999988</v>
          </cell>
          <cell r="C86">
            <v>-15372.356764239999</v>
          </cell>
          <cell r="D86">
            <v>-207289.62542251</v>
          </cell>
          <cell r="E86">
            <v>-692.92377595999994</v>
          </cell>
          <cell r="F86">
            <v>-2.8723654999998871</v>
          </cell>
        </row>
        <row r="87">
          <cell r="A87" t="str">
            <v>pd_38d</v>
          </cell>
          <cell r="B87">
            <v>480.36716799999988</v>
          </cell>
          <cell r="C87">
            <v>-15370.99781809</v>
          </cell>
          <cell r="D87">
            <v>-216005.70044824001</v>
          </cell>
          <cell r="E87">
            <v>-693.09567795999999</v>
          </cell>
          <cell r="F87">
            <v>-3.0442674999999326</v>
          </cell>
        </row>
        <row r="88">
          <cell r="A88" t="str">
            <v>pd_41u</v>
          </cell>
          <cell r="B88">
            <v>484.57235399999985</v>
          </cell>
          <cell r="C88">
            <v>-15370.410842110001</v>
          </cell>
          <cell r="D88">
            <v>-220211.13411873</v>
          </cell>
          <cell r="E88">
            <v>-692.87739092000004</v>
          </cell>
          <cell r="F88">
            <v>-2.8259804599999825</v>
          </cell>
        </row>
        <row r="89">
          <cell r="A89" t="str">
            <v>pd_41d</v>
          </cell>
          <cell r="B89">
            <v>493.28802799999988</v>
          </cell>
          <cell r="C89">
            <v>-15369.183698319999</v>
          </cell>
          <cell r="D89">
            <v>-228926.79553313</v>
          </cell>
          <cell r="E89">
            <v>-692.75357387999998</v>
          </cell>
          <cell r="F89">
            <v>-2.7021634199999198</v>
          </cell>
        </row>
        <row r="90">
          <cell r="A90" t="str">
            <v>pd_42u</v>
          </cell>
          <cell r="B90">
            <v>493.56326699999988</v>
          </cell>
          <cell r="C90">
            <v>-15369.31507511</v>
          </cell>
          <cell r="D90">
            <v>-229202.02320768</v>
          </cell>
          <cell r="E90">
            <v>-692.68721086000005</v>
          </cell>
          <cell r="F90">
            <v>-2.6358003999999937</v>
          </cell>
        </row>
        <row r="91">
          <cell r="A91" t="str">
            <v>pd_42d</v>
          </cell>
          <cell r="B91">
            <v>502.27875299999982</v>
          </cell>
          <cell r="C91">
            <v>-15368.39450418</v>
          </cell>
          <cell r="D91">
            <v>-237917.46579581001</v>
          </cell>
          <cell r="E91">
            <v>-692.10082009999996</v>
          </cell>
          <cell r="F91">
            <v>-2.049409639999908</v>
          </cell>
        </row>
        <row r="92">
          <cell r="A92" t="str">
            <v>pd_43u</v>
          </cell>
          <cell r="B92">
            <v>503.77381499999984</v>
          </cell>
          <cell r="C92">
            <v>-15368.257406119999</v>
          </cell>
          <cell r="D92">
            <v>-239412.40284626</v>
          </cell>
          <cell r="E92">
            <v>-692.15301390000002</v>
          </cell>
          <cell r="F92">
            <v>-2.1016034399999626</v>
          </cell>
        </row>
        <row r="93">
          <cell r="A93" t="str">
            <v>pd_43d</v>
          </cell>
          <cell r="B93">
            <v>512.4899039999998</v>
          </cell>
          <cell r="C93">
            <v>-15367.38784773</v>
          </cell>
          <cell r="D93">
            <v>-248128.50379078</v>
          </cell>
          <cell r="E93">
            <v>-692.36710611000001</v>
          </cell>
          <cell r="F93">
            <v>-2.3156956499999524</v>
          </cell>
        </row>
        <row r="94">
          <cell r="A94" t="str">
            <v>pd_44u</v>
          </cell>
          <cell r="B94">
            <v>512.76513299999976</v>
          </cell>
          <cell r="C94">
            <v>-15367.10186372</v>
          </cell>
          <cell r="D94">
            <v>-248403.80771210001</v>
          </cell>
          <cell r="E94">
            <v>-692.43543891000002</v>
          </cell>
          <cell r="F94">
            <v>-2.3840284499999598</v>
          </cell>
        </row>
        <row r="95">
          <cell r="A95" t="str">
            <v>pd_44d</v>
          </cell>
          <cell r="B95">
            <v>521.48056499999984</v>
          </cell>
          <cell r="C95">
            <v>-15365.98528861</v>
          </cell>
          <cell r="D95">
            <v>-257119.19830863</v>
          </cell>
          <cell r="E95">
            <v>-692.49092974999996</v>
          </cell>
          <cell r="F95">
            <v>-2.4395192899999074</v>
          </cell>
        </row>
        <row r="96">
          <cell r="A96" t="str">
            <v>pd_45u</v>
          </cell>
          <cell r="B96">
            <v>522.97194899999988</v>
          </cell>
          <cell r="C96">
            <v>-15365.34152681</v>
          </cell>
          <cell r="D96">
            <v>-258610.47776685</v>
          </cell>
          <cell r="E96">
            <v>-692.34009633000005</v>
          </cell>
          <cell r="F96">
            <v>-2.2886858699999948</v>
          </cell>
        </row>
        <row r="97">
          <cell r="A97" t="str">
            <v>pd_45d</v>
          </cell>
          <cell r="B97">
            <v>531.68756599999983</v>
          </cell>
          <cell r="C97">
            <v>-15363.912645869999</v>
          </cell>
          <cell r="D97">
            <v>-267326.10114803998</v>
          </cell>
          <cell r="E97">
            <v>-692.87851062000004</v>
          </cell>
          <cell r="F97">
            <v>-2.8271001599999863</v>
          </cell>
        </row>
        <row r="98">
          <cell r="A98" t="str">
            <v>pd_46u</v>
          </cell>
          <cell r="B98">
            <v>531.96092199999987</v>
          </cell>
          <cell r="C98">
            <v>-15364.050685910001</v>
          </cell>
          <cell r="D98">
            <v>-267599.51964774</v>
          </cell>
          <cell r="E98">
            <v>-692.21208314</v>
          </cell>
          <cell r="F98">
            <v>-2.1606726799999478</v>
          </cell>
        </row>
        <row r="99">
          <cell r="A99" t="str">
            <v>pd_46d</v>
          </cell>
          <cell r="B99">
            <v>540.677232</v>
          </cell>
          <cell r="C99">
            <v>-15363.04276285</v>
          </cell>
          <cell r="D99">
            <v>-276315.80236988998</v>
          </cell>
          <cell r="E99">
            <v>-691.93424608999999</v>
          </cell>
          <cell r="F99">
            <v>-1.8828356299999314</v>
          </cell>
        </row>
        <row r="100">
          <cell r="A100" t="str">
            <v>pd_47u</v>
          </cell>
          <cell r="B100">
            <v>542.16968199999997</v>
          </cell>
          <cell r="C100">
            <v>-15362.67731959</v>
          </cell>
          <cell r="D100">
            <v>-277808.17616213002</v>
          </cell>
          <cell r="E100">
            <v>-692.14264557000001</v>
          </cell>
          <cell r="F100">
            <v>-2.0912351099999569</v>
          </cell>
        </row>
        <row r="101">
          <cell r="A101" t="str">
            <v>pd_47d</v>
          </cell>
          <cell r="B101">
            <v>550.88620099999991</v>
          </cell>
          <cell r="C101">
            <v>-15361.370885730001</v>
          </cell>
          <cell r="D101">
            <v>-286524.71277396003</v>
          </cell>
          <cell r="E101">
            <v>-692.16571060000001</v>
          </cell>
          <cell r="F101">
            <v>-2.1143001399999548</v>
          </cell>
        </row>
        <row r="102">
          <cell r="A102" t="str">
            <v>pd_48u</v>
          </cell>
          <cell r="B102">
            <v>551.15510599999993</v>
          </cell>
          <cell r="C102">
            <v>-15361.428535769999</v>
          </cell>
          <cell r="D102">
            <v>-286793.68459282001</v>
          </cell>
          <cell r="E102">
            <v>-692.23426042999995</v>
          </cell>
          <cell r="F102">
            <v>-2.1828499699998929</v>
          </cell>
        </row>
        <row r="103">
          <cell r="A103" t="str">
            <v>pd_48d</v>
          </cell>
          <cell r="B103">
            <v>559.87129499999992</v>
          </cell>
          <cell r="C103">
            <v>-15360.542941969999</v>
          </cell>
          <cell r="D103">
            <v>-295509.86386129999</v>
          </cell>
          <cell r="E103">
            <v>-692.17507069999999</v>
          </cell>
          <cell r="F103">
            <v>-2.1236602399999356</v>
          </cell>
        </row>
        <row r="104">
          <cell r="A104" t="str">
            <v>pd_51u</v>
          </cell>
          <cell r="B104">
            <v>564.09214999999995</v>
          </cell>
          <cell r="C104">
            <v>-15359.993185630001</v>
          </cell>
          <cell r="D104">
            <v>-299730.88921324001</v>
          </cell>
          <cell r="E104">
            <v>-691.94101933000002</v>
          </cell>
          <cell r="F104">
            <v>-1.8896088699999609</v>
          </cell>
        </row>
        <row r="105">
          <cell r="A105" t="str">
            <v>pd_51d</v>
          </cell>
          <cell r="B105">
            <v>572.8094309999999</v>
          </cell>
          <cell r="C105">
            <v>-15358.443446859999</v>
          </cell>
          <cell r="D105">
            <v>-308448.17343596998</v>
          </cell>
          <cell r="E105">
            <v>-691.54664692999995</v>
          </cell>
          <cell r="F105">
            <v>-1.4952364699998952</v>
          </cell>
        </row>
        <row r="106">
          <cell r="A106" t="str">
            <v>pd_52u</v>
          </cell>
          <cell r="B106">
            <v>573.07825199999991</v>
          </cell>
          <cell r="C106">
            <v>-15358.755499270001</v>
          </cell>
          <cell r="D106">
            <v>-308716.99904372997</v>
          </cell>
          <cell r="E106">
            <v>-691.84534460999998</v>
          </cell>
          <cell r="F106">
            <v>-1.7939341499999273</v>
          </cell>
        </row>
        <row r="107">
          <cell r="A107" t="str">
            <v>pd_52d</v>
          </cell>
          <cell r="B107">
            <v>581.79420099999993</v>
          </cell>
          <cell r="C107">
            <v>-15357.7333619</v>
          </cell>
          <cell r="D107">
            <v>-317432.93472565</v>
          </cell>
          <cell r="E107">
            <v>-691.67804660000002</v>
          </cell>
          <cell r="F107">
            <v>-1.6266361399999596</v>
          </cell>
        </row>
        <row r="108">
          <cell r="A108" t="str">
            <v>pd_53u</v>
          </cell>
          <cell r="B108">
            <v>583.28280199999995</v>
          </cell>
          <cell r="C108">
            <v>-15357.09901586</v>
          </cell>
          <cell r="D108">
            <v>-318921.40800792997</v>
          </cell>
          <cell r="E108">
            <v>-691.48914961000003</v>
          </cell>
          <cell r="F108">
            <v>-1.4377391499999703</v>
          </cell>
        </row>
        <row r="109">
          <cell r="A109" t="str">
            <v>pd_53d</v>
          </cell>
          <cell r="B109">
            <v>592.00284499999987</v>
          </cell>
          <cell r="C109">
            <v>-15356.14861022</v>
          </cell>
          <cell r="D109">
            <v>-327641.45332625002</v>
          </cell>
          <cell r="E109">
            <v>-691.45706671999994</v>
          </cell>
          <cell r="F109">
            <v>-1.405656259999887</v>
          </cell>
        </row>
        <row r="110">
          <cell r="A110" t="str">
            <v>pd_54u</v>
          </cell>
          <cell r="B110">
            <v>592.27754399999992</v>
          </cell>
          <cell r="C110">
            <v>-15355.974522279999</v>
          </cell>
          <cell r="D110">
            <v>-327916.25520396</v>
          </cell>
          <cell r="E110">
            <v>-691.25838818</v>
          </cell>
          <cell r="F110">
            <v>-1.2069777199999407</v>
          </cell>
        </row>
        <row r="111">
          <cell r="A111" t="str">
            <v>pd_54d</v>
          </cell>
          <cell r="B111">
            <v>600.99368799999979</v>
          </cell>
          <cell r="C111">
            <v>-15355.159054010001</v>
          </cell>
          <cell r="D111">
            <v>-336632.40850833</v>
          </cell>
          <cell r="E111">
            <v>-691.57053507000001</v>
          </cell>
          <cell r="F111">
            <v>-1.5191246099999489</v>
          </cell>
        </row>
        <row r="112">
          <cell r="A112" t="str">
            <v>pd_55u</v>
          </cell>
          <cell r="B112">
            <v>602.4838749999999</v>
          </cell>
          <cell r="C112">
            <v>-15354.780532119999</v>
          </cell>
          <cell r="D112">
            <v>-338122.53456763999</v>
          </cell>
          <cell r="E112">
            <v>-691.60327089999998</v>
          </cell>
          <cell r="F112">
            <v>-1.5518604399999276</v>
          </cell>
        </row>
        <row r="113">
          <cell r="A113" t="str">
            <v>pd_55d</v>
          </cell>
          <cell r="B113">
            <v>611.20182799999986</v>
          </cell>
          <cell r="C113">
            <v>-15353.478248470001</v>
          </cell>
          <cell r="D113">
            <v>-346840.48168143001</v>
          </cell>
          <cell r="E113">
            <v>-691.42014325000002</v>
          </cell>
          <cell r="F113">
            <v>-1.3687327899999673</v>
          </cell>
        </row>
        <row r="114">
          <cell r="A114" t="str">
            <v>pd_56u</v>
          </cell>
          <cell r="B114">
            <v>611.47626099999979</v>
          </cell>
          <cell r="C114">
            <v>-15353.53413036</v>
          </cell>
          <cell r="D114">
            <v>-347114.90588147001</v>
          </cell>
          <cell r="E114">
            <v>-691.27709482</v>
          </cell>
          <cell r="F114">
            <v>-1.2256843599999456</v>
          </cell>
        </row>
        <row r="115">
          <cell r="A115" t="str">
            <v>pd_56d</v>
          </cell>
          <cell r="B115">
            <v>620.19389399999989</v>
          </cell>
          <cell r="C115">
            <v>-15352.14977548</v>
          </cell>
          <cell r="D115">
            <v>-355832.55700709001</v>
          </cell>
          <cell r="E115">
            <v>-691.24821032</v>
          </cell>
          <cell r="F115">
            <v>-1.1967998599999419</v>
          </cell>
        </row>
        <row r="116">
          <cell r="A116" t="str">
            <v>pd_57u</v>
          </cell>
          <cell r="B116">
            <v>621.68815199999983</v>
          </cell>
          <cell r="C116">
            <v>-15352.14696421</v>
          </cell>
          <cell r="D116">
            <v>-357326.81264123</v>
          </cell>
          <cell r="E116">
            <v>-691.23713558999998</v>
          </cell>
          <cell r="F116">
            <v>-1.1857251299999234</v>
          </cell>
        </row>
        <row r="117">
          <cell r="A117" t="str">
            <v>pd_57d</v>
          </cell>
          <cell r="B117">
            <v>630.40510199999983</v>
          </cell>
          <cell r="C117">
            <v>-15350.962624010001</v>
          </cell>
          <cell r="D117">
            <v>-366043.74203321</v>
          </cell>
          <cell r="E117">
            <v>-691.27316063000001</v>
          </cell>
          <cell r="F117">
            <v>-1.2217501699999502</v>
          </cell>
        </row>
        <row r="118">
          <cell r="A118" t="str">
            <v>pd_584d</v>
          </cell>
          <cell r="B118">
            <v>640.77328929999965</v>
          </cell>
          <cell r="C118">
            <v>-15349.396344459999</v>
          </cell>
          <cell r="D118">
            <v>-376409.08908955997</v>
          </cell>
          <cell r="E118">
            <v>-690.95375005999995</v>
          </cell>
          <cell r="F118">
            <v>-0.90233959999989111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_coordinate"/>
      <sheetName val="dini"/>
      <sheetName val="Inst_error_ana14"/>
      <sheetName val="usmn_ana14_org"/>
      <sheetName val="usmn_ana14_mag"/>
      <sheetName val="usmn_ana14_mag_shift_rotate"/>
      <sheetName val="usmn_ana14_pd"/>
      <sheetName val="usmn_ana14_lt"/>
      <sheetName val="Height to BL"/>
      <sheetName val="設計座標"/>
      <sheetName val="environmental_data"/>
      <sheetName val="draw_circle_text"/>
      <sheetName val="測地線補正"/>
    </sheetNames>
    <sheetDataSet>
      <sheetData sheetId="0" refreshError="1"/>
      <sheetData sheetId="1" refreshError="1"/>
      <sheetData sheetId="2" refreshError="1"/>
      <sheetData sheetId="3" refreshError="1"/>
      <sheetData sheetId="4" refreshError="1"/>
      <sheetData sheetId="5">
        <row r="2">
          <cell r="G2">
            <v>-0.17099999999999937</v>
          </cell>
        </row>
      </sheetData>
      <sheetData sheetId="6" refreshError="1"/>
      <sheetData sheetId="7">
        <row r="2">
          <cell r="A2" t="str">
            <v>pd_a1d</v>
          </cell>
          <cell r="B2">
            <v>8.0827799999999996</v>
          </cell>
        </row>
        <row r="3">
          <cell r="A3" t="str">
            <v>pd_a2u</v>
          </cell>
          <cell r="B3">
            <v>8.4525269999999999</v>
          </cell>
        </row>
        <row r="4">
          <cell r="A4" t="str">
            <v>pd_a2d</v>
          </cell>
          <cell r="B4">
            <v>19.099688</v>
          </cell>
        </row>
        <row r="5">
          <cell r="A5" t="str">
            <v>pd_a3u</v>
          </cell>
          <cell r="B5">
            <v>20.313375000000001</v>
          </cell>
        </row>
        <row r="6">
          <cell r="A6" t="str">
            <v>pd_a3d</v>
          </cell>
          <cell r="B6">
            <v>29.700552999999999</v>
          </cell>
        </row>
        <row r="7">
          <cell r="A7" t="str">
            <v>pd_a4u</v>
          </cell>
          <cell r="B7">
            <v>30.814761999999998</v>
          </cell>
        </row>
        <row r="8">
          <cell r="A8" t="str">
            <v>pd_a4d</v>
          </cell>
          <cell r="B8">
            <v>40.202587000000001</v>
          </cell>
        </row>
        <row r="9">
          <cell r="A9" t="str">
            <v>pd_b1u</v>
          </cell>
          <cell r="B9">
            <v>43.953696999999998</v>
          </cell>
        </row>
        <row r="10">
          <cell r="A10" t="str">
            <v>pd_b1d</v>
          </cell>
          <cell r="B10">
            <v>52.502036999999994</v>
          </cell>
        </row>
        <row r="11">
          <cell r="A11" t="str">
            <v>pd_b2u</v>
          </cell>
          <cell r="B11">
            <v>53.461810999999997</v>
          </cell>
        </row>
        <row r="12">
          <cell r="A12" t="str">
            <v>pd_b2d</v>
          </cell>
          <cell r="B12">
            <v>62.010358999999994</v>
          </cell>
        </row>
        <row r="13">
          <cell r="A13" t="str">
            <v>pd_b3u</v>
          </cell>
          <cell r="B13">
            <v>63.150418999999992</v>
          </cell>
        </row>
        <row r="14">
          <cell r="A14" t="str">
            <v>pd_b3d</v>
          </cell>
          <cell r="B14">
            <v>71.698402999999985</v>
          </cell>
        </row>
        <row r="15">
          <cell r="A15" t="str">
            <v>pd_b4u</v>
          </cell>
          <cell r="B15">
            <v>72.75006599999999</v>
          </cell>
        </row>
        <row r="16">
          <cell r="A16" t="str">
            <v>pd_b4d</v>
          </cell>
          <cell r="B16">
            <v>81.297968999999995</v>
          </cell>
        </row>
        <row r="17">
          <cell r="A17" t="str">
            <v>pd_b5u</v>
          </cell>
          <cell r="B17">
            <v>82.352720999999988</v>
          </cell>
        </row>
        <row r="18">
          <cell r="A18" t="str">
            <v>pd_b5d</v>
          </cell>
          <cell r="B18">
            <v>90.900906999999989</v>
          </cell>
        </row>
        <row r="19">
          <cell r="A19" t="str">
            <v>pd_b6u</v>
          </cell>
          <cell r="B19">
            <v>91.949908999999991</v>
          </cell>
        </row>
        <row r="20">
          <cell r="A20" t="str">
            <v>pd_b6d</v>
          </cell>
          <cell r="B20">
            <v>100.49764999999998</v>
          </cell>
        </row>
        <row r="21">
          <cell r="A21" t="str">
            <v>pd_b7u</v>
          </cell>
          <cell r="B21">
            <v>101.54792799999998</v>
          </cell>
        </row>
        <row r="22">
          <cell r="A22" t="str">
            <v>pd_b7d</v>
          </cell>
          <cell r="B22">
            <v>110.09624799999999</v>
          </cell>
        </row>
        <row r="23">
          <cell r="A23" t="str">
            <v>pd_b8u</v>
          </cell>
          <cell r="B23">
            <v>111.14629199999999</v>
          </cell>
        </row>
        <row r="24">
          <cell r="A24" t="str">
            <v>pd_b8d</v>
          </cell>
          <cell r="B24">
            <v>119.69509699999998</v>
          </cell>
        </row>
        <row r="25">
          <cell r="A25" t="str">
            <v>pd_r0d</v>
          </cell>
          <cell r="B25">
            <v>121.31399599999999</v>
          </cell>
        </row>
        <row r="26">
          <cell r="A26" t="str">
            <v>pd_r063u</v>
          </cell>
          <cell r="B26">
            <v>152.47842999999997</v>
          </cell>
        </row>
        <row r="27">
          <cell r="A27" t="str">
            <v>pd_r063d</v>
          </cell>
          <cell r="B27">
            <v>153.98864099999997</v>
          </cell>
        </row>
        <row r="28">
          <cell r="A28" t="str">
            <v>pd_c1u</v>
          </cell>
          <cell r="B28">
            <v>156.54550899999995</v>
          </cell>
        </row>
        <row r="29">
          <cell r="A29" t="str">
            <v>pd_c1d</v>
          </cell>
          <cell r="B29">
            <v>165.26051799999996</v>
          </cell>
        </row>
        <row r="30">
          <cell r="A30" t="str">
            <v>pd_c2u</v>
          </cell>
          <cell r="B30">
            <v>166.14232299999995</v>
          </cell>
        </row>
        <row r="31">
          <cell r="A31" t="str">
            <v>pd_c2d</v>
          </cell>
          <cell r="B31">
            <v>174.85890799999993</v>
          </cell>
        </row>
        <row r="32">
          <cell r="A32" t="str">
            <v>pd_c3u</v>
          </cell>
          <cell r="B32">
            <v>175.74261599999994</v>
          </cell>
        </row>
        <row r="33">
          <cell r="A33" t="str">
            <v>pd_c3d</v>
          </cell>
          <cell r="B33">
            <v>184.45718899999994</v>
          </cell>
        </row>
        <row r="34">
          <cell r="A34" t="str">
            <v>pd_c4u</v>
          </cell>
          <cell r="B34">
            <v>185.33915799999997</v>
          </cell>
        </row>
        <row r="35">
          <cell r="A35" t="str">
            <v>pd_c4d</v>
          </cell>
          <cell r="B35">
            <v>194.05496099999996</v>
          </cell>
        </row>
        <row r="36">
          <cell r="A36" t="str">
            <v>pd_c5u</v>
          </cell>
          <cell r="B36">
            <v>194.94342399999994</v>
          </cell>
        </row>
        <row r="37">
          <cell r="A37" t="str">
            <v>pd_c5d</v>
          </cell>
          <cell r="B37">
            <v>203.65968099999995</v>
          </cell>
        </row>
        <row r="38">
          <cell r="A38" t="str">
            <v>pd_c6u</v>
          </cell>
          <cell r="B38">
            <v>204.51867499999997</v>
          </cell>
        </row>
        <row r="39">
          <cell r="A39" t="str">
            <v>pd_c6d</v>
          </cell>
          <cell r="B39">
            <v>213.23380299999997</v>
          </cell>
        </row>
        <row r="40">
          <cell r="A40" t="str">
            <v>pd_c7u</v>
          </cell>
          <cell r="B40">
            <v>214.19955299999995</v>
          </cell>
        </row>
        <row r="41">
          <cell r="A41" t="str">
            <v>pd_c7d</v>
          </cell>
          <cell r="B41">
            <v>222.91542199999995</v>
          </cell>
        </row>
        <row r="42">
          <cell r="A42" t="str">
            <v>pd_c8u</v>
          </cell>
          <cell r="B42">
            <v>228.20102399999999</v>
          </cell>
        </row>
        <row r="43">
          <cell r="A43" t="str">
            <v>pd_c8d</v>
          </cell>
          <cell r="B43">
            <v>236.91723499999998</v>
          </cell>
        </row>
        <row r="44">
          <cell r="A44" t="str">
            <v>pd_11u</v>
          </cell>
          <cell r="B44">
            <v>238.11592599999997</v>
          </cell>
        </row>
        <row r="45">
          <cell r="A45" t="str">
            <v>pd_11d</v>
          </cell>
          <cell r="B45">
            <v>246.83135899999996</v>
          </cell>
        </row>
        <row r="46">
          <cell r="A46" t="str">
            <v>pd_12u</v>
          </cell>
          <cell r="B46">
            <v>247.70651399999997</v>
          </cell>
        </row>
        <row r="47">
          <cell r="A47" t="str">
            <v>pd_12d</v>
          </cell>
          <cell r="B47">
            <v>256.42060699999996</v>
          </cell>
        </row>
        <row r="48">
          <cell r="A48" t="str">
            <v>pd_13u</v>
          </cell>
          <cell r="B48">
            <v>257.31755299999998</v>
          </cell>
        </row>
        <row r="49">
          <cell r="A49" t="str">
            <v>pd_13d</v>
          </cell>
          <cell r="B49">
            <v>266.03217899999993</v>
          </cell>
        </row>
        <row r="50">
          <cell r="A50" t="str">
            <v>pd_132u</v>
          </cell>
          <cell r="B50">
            <v>266.32968599999992</v>
          </cell>
        </row>
        <row r="51">
          <cell r="A51" t="str">
            <v>pd_132d</v>
          </cell>
          <cell r="B51">
            <v>270.38045999999991</v>
          </cell>
        </row>
        <row r="52">
          <cell r="A52" t="str">
            <v>pd_15d</v>
          </cell>
          <cell r="B52">
            <v>277.51247099999989</v>
          </cell>
        </row>
        <row r="53">
          <cell r="A53" t="str">
            <v>pd_161u</v>
          </cell>
          <cell r="B53">
            <v>277.8389269999999</v>
          </cell>
        </row>
        <row r="54">
          <cell r="A54" t="str">
            <v>pd_161d</v>
          </cell>
          <cell r="B54">
            <v>287.49834099999993</v>
          </cell>
        </row>
        <row r="55">
          <cell r="A55" t="str">
            <v>pd_162u</v>
          </cell>
          <cell r="B55">
            <v>287.82182199999994</v>
          </cell>
        </row>
        <row r="56">
          <cell r="A56" t="str">
            <v>pd_162d</v>
          </cell>
          <cell r="B56">
            <v>294.19867799999997</v>
          </cell>
        </row>
        <row r="57">
          <cell r="A57" t="str">
            <v>pd_171u</v>
          </cell>
          <cell r="B57">
            <v>294.52192499999995</v>
          </cell>
        </row>
        <row r="58">
          <cell r="A58" t="str">
            <v>pd_171d</v>
          </cell>
          <cell r="B58">
            <v>304.89211799999993</v>
          </cell>
        </row>
        <row r="59">
          <cell r="A59" t="str">
            <v>pd_1811u</v>
          </cell>
          <cell r="B59">
            <v>306.78192999999987</v>
          </cell>
        </row>
        <row r="60">
          <cell r="A60" t="str">
            <v>pd_1814d</v>
          </cell>
          <cell r="B60">
            <v>317.62309099999987</v>
          </cell>
        </row>
        <row r="61">
          <cell r="A61" t="str">
            <v>pd_21u</v>
          </cell>
          <cell r="B61">
            <v>320.50635399999987</v>
          </cell>
        </row>
        <row r="62">
          <cell r="A62" t="str">
            <v>pd_21d</v>
          </cell>
          <cell r="B62">
            <v>333.03611699999988</v>
          </cell>
        </row>
        <row r="63">
          <cell r="A63" t="str">
            <v>pd_22u</v>
          </cell>
          <cell r="B63">
            <v>333.36209799999989</v>
          </cell>
        </row>
        <row r="64">
          <cell r="A64" t="str">
            <v>pd_22d</v>
          </cell>
          <cell r="B64">
            <v>342.84917399999989</v>
          </cell>
        </row>
        <row r="65">
          <cell r="A65" t="str">
            <v>pd_23u</v>
          </cell>
          <cell r="B65">
            <v>343.22894999999988</v>
          </cell>
        </row>
        <row r="66">
          <cell r="A66" t="str">
            <v>pd_23d</v>
          </cell>
          <cell r="B66">
            <v>352.31123999999988</v>
          </cell>
        </row>
        <row r="67">
          <cell r="A67" t="str">
            <v>pd_24u</v>
          </cell>
          <cell r="B67">
            <v>353.59675099999987</v>
          </cell>
        </row>
        <row r="68">
          <cell r="A68" t="str">
            <v>pd_24d</v>
          </cell>
          <cell r="B68">
            <v>364.68369399999989</v>
          </cell>
        </row>
        <row r="69">
          <cell r="A69" t="str">
            <v>pd_26u</v>
          </cell>
          <cell r="B69">
            <v>365.84132599999987</v>
          </cell>
        </row>
        <row r="70">
          <cell r="A70" t="str">
            <v>pd_26d</v>
          </cell>
          <cell r="B70">
            <v>376.92742399999986</v>
          </cell>
        </row>
        <row r="71">
          <cell r="A71" t="str">
            <v>pd_27u</v>
          </cell>
          <cell r="B71">
            <v>378.50721699999991</v>
          </cell>
        </row>
        <row r="72">
          <cell r="A72" t="str">
            <v>pd_27d</v>
          </cell>
          <cell r="B72">
            <v>387.22322999999989</v>
          </cell>
        </row>
        <row r="73">
          <cell r="A73" t="str">
            <v>pd_28u</v>
          </cell>
          <cell r="B73">
            <v>389.33865599999984</v>
          </cell>
        </row>
        <row r="74">
          <cell r="A74" t="str">
            <v>pd_28d</v>
          </cell>
          <cell r="B74">
            <v>398.05489099999983</v>
          </cell>
        </row>
        <row r="75">
          <cell r="A75" t="str">
            <v>pd_32u</v>
          </cell>
          <cell r="B75">
            <v>414.04992299999981</v>
          </cell>
        </row>
        <row r="76">
          <cell r="A76" t="str">
            <v>pd_32d</v>
          </cell>
          <cell r="B76">
            <v>422.76940299999984</v>
          </cell>
        </row>
        <row r="77">
          <cell r="A77" t="str">
            <v>pd_33u</v>
          </cell>
          <cell r="B77">
            <v>424.25118599999979</v>
          </cell>
        </row>
        <row r="78">
          <cell r="A78" t="str">
            <v>pd_33d</v>
          </cell>
          <cell r="B78">
            <v>432.96672199999983</v>
          </cell>
        </row>
        <row r="79">
          <cell r="A79" t="str">
            <v>pd_34u</v>
          </cell>
          <cell r="B79">
            <v>433.25072199999983</v>
          </cell>
        </row>
        <row r="80">
          <cell r="A80" t="str">
            <v>pd_34d</v>
          </cell>
          <cell r="B80">
            <v>441.96738399999987</v>
          </cell>
        </row>
        <row r="81">
          <cell r="A81" t="str">
            <v>pd_35u</v>
          </cell>
          <cell r="B81">
            <v>443.45673799999986</v>
          </cell>
        </row>
        <row r="82">
          <cell r="A82" t="str">
            <v>pd_35d</v>
          </cell>
          <cell r="B82">
            <v>452.17305599999986</v>
          </cell>
        </row>
        <row r="83">
          <cell r="A83" t="str">
            <v>pd_36u</v>
          </cell>
          <cell r="B83">
            <v>452.4525119999999</v>
          </cell>
        </row>
        <row r="84">
          <cell r="A84" t="str">
            <v>pd_36d</v>
          </cell>
          <cell r="B84">
            <v>461.16904299999987</v>
          </cell>
        </row>
        <row r="85">
          <cell r="A85" t="str">
            <v>pd_37u</v>
          </cell>
          <cell r="B85">
            <v>462.6563129999999</v>
          </cell>
        </row>
        <row r="86">
          <cell r="A86" t="str">
            <v>pd_37d</v>
          </cell>
          <cell r="B86">
            <v>471.37264399999992</v>
          </cell>
        </row>
        <row r="87">
          <cell r="A87" t="str">
            <v>pd_38u</v>
          </cell>
          <cell r="B87">
            <v>471.65109699999988</v>
          </cell>
        </row>
        <row r="88">
          <cell r="A88" t="str">
            <v>pd_38d</v>
          </cell>
          <cell r="B88">
            <v>480.36716799999988</v>
          </cell>
        </row>
        <row r="89">
          <cell r="A89" t="str">
            <v>pd_41u</v>
          </cell>
          <cell r="B89">
            <v>484.57235399999985</v>
          </cell>
        </row>
        <row r="90">
          <cell r="A90" t="str">
            <v>pd_41d</v>
          </cell>
          <cell r="B90">
            <v>493.28802799999988</v>
          </cell>
        </row>
        <row r="91">
          <cell r="A91" t="str">
            <v>pd_42u</v>
          </cell>
          <cell r="B91">
            <v>493.56326699999988</v>
          </cell>
        </row>
        <row r="92">
          <cell r="A92" t="str">
            <v>pd_42d</v>
          </cell>
          <cell r="B92">
            <v>502.27875299999982</v>
          </cell>
        </row>
        <row r="93">
          <cell r="A93" t="str">
            <v>pd_43u</v>
          </cell>
          <cell r="B93">
            <v>503.77381499999984</v>
          </cell>
        </row>
        <row r="94">
          <cell r="A94" t="str">
            <v>pd_43d</v>
          </cell>
          <cell r="B94">
            <v>512.4899039999998</v>
          </cell>
        </row>
        <row r="95">
          <cell r="A95" t="str">
            <v>pd_44u</v>
          </cell>
          <cell r="B95">
            <v>512.76513299999976</v>
          </cell>
        </row>
        <row r="96">
          <cell r="A96" t="str">
            <v>pd_44d</v>
          </cell>
          <cell r="B96">
            <v>521.48056499999984</v>
          </cell>
        </row>
        <row r="97">
          <cell r="A97" t="str">
            <v>pd_45u</v>
          </cell>
          <cell r="B97">
            <v>522.97194899999988</v>
          </cell>
        </row>
        <row r="98">
          <cell r="A98" t="str">
            <v>pd_45d</v>
          </cell>
          <cell r="B98">
            <v>531.68756599999983</v>
          </cell>
        </row>
        <row r="99">
          <cell r="A99" t="str">
            <v>pd_46u</v>
          </cell>
          <cell r="B99">
            <v>531.96092199999987</v>
          </cell>
        </row>
        <row r="100">
          <cell r="A100" t="str">
            <v>pd_46d</v>
          </cell>
          <cell r="B100">
            <v>540.677232</v>
          </cell>
        </row>
        <row r="101">
          <cell r="A101" t="str">
            <v>pd_47u</v>
          </cell>
          <cell r="B101">
            <v>542.16968199999997</v>
          </cell>
        </row>
        <row r="102">
          <cell r="A102" t="str">
            <v>pd_47d</v>
          </cell>
          <cell r="B102">
            <v>550.88620099999991</v>
          </cell>
        </row>
        <row r="103">
          <cell r="A103" t="str">
            <v>pd_48u</v>
          </cell>
          <cell r="B103">
            <v>551.15510599999993</v>
          </cell>
        </row>
        <row r="104">
          <cell r="A104" t="str">
            <v>pd_48d</v>
          </cell>
          <cell r="B104">
            <v>559.87129499999992</v>
          </cell>
        </row>
        <row r="105">
          <cell r="A105" t="str">
            <v>pd_51u</v>
          </cell>
          <cell r="B105">
            <v>564.09214999999995</v>
          </cell>
        </row>
        <row r="106">
          <cell r="A106" t="str">
            <v>pd_51d</v>
          </cell>
          <cell r="B106">
            <v>572.8094309999999</v>
          </cell>
        </row>
        <row r="107">
          <cell r="A107" t="str">
            <v>pd_52u</v>
          </cell>
          <cell r="B107">
            <v>573.07825199999991</v>
          </cell>
        </row>
        <row r="108">
          <cell r="A108" t="str">
            <v>pd_52d</v>
          </cell>
          <cell r="B108">
            <v>581.79420099999993</v>
          </cell>
        </row>
        <row r="109">
          <cell r="A109" t="str">
            <v>pd_53u</v>
          </cell>
          <cell r="B109">
            <v>583.28280199999995</v>
          </cell>
        </row>
        <row r="110">
          <cell r="A110" t="str">
            <v>pd_53d</v>
          </cell>
          <cell r="B110">
            <v>592.00284499999987</v>
          </cell>
        </row>
        <row r="111">
          <cell r="A111" t="str">
            <v>pd_54u</v>
          </cell>
          <cell r="B111">
            <v>592.27754399999992</v>
          </cell>
        </row>
        <row r="112">
          <cell r="A112" t="str">
            <v>pd_54d</v>
          </cell>
          <cell r="B112">
            <v>600.99368799999979</v>
          </cell>
        </row>
        <row r="113">
          <cell r="A113" t="str">
            <v>pd_55u</v>
          </cell>
          <cell r="B113">
            <v>602.4838749999999</v>
          </cell>
        </row>
        <row r="114">
          <cell r="A114" t="str">
            <v>pd_55d</v>
          </cell>
          <cell r="B114">
            <v>611.20182799999986</v>
          </cell>
        </row>
        <row r="115">
          <cell r="A115" t="str">
            <v>pd_56u</v>
          </cell>
          <cell r="B115">
            <v>611.47626099999979</v>
          </cell>
        </row>
        <row r="116">
          <cell r="A116" t="str">
            <v>pd_56d</v>
          </cell>
          <cell r="B116">
            <v>620.19389399999989</v>
          </cell>
        </row>
        <row r="117">
          <cell r="A117" t="str">
            <v>pd_57u</v>
          </cell>
          <cell r="B117">
            <v>621.68815199999983</v>
          </cell>
        </row>
        <row r="118">
          <cell r="A118" t="str">
            <v>pd_57d</v>
          </cell>
          <cell r="B118">
            <v>630.40510199999983</v>
          </cell>
        </row>
        <row r="119">
          <cell r="A119" t="str">
            <v>pd_58d</v>
          </cell>
          <cell r="B119">
            <v>640.7703439999998</v>
          </cell>
        </row>
      </sheetData>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1229-1394-4499-8EBA-6DC846DF101D}">
  <dimension ref="A1:B117"/>
  <sheetViews>
    <sheetView topLeftCell="A110" workbookViewId="0">
      <selection activeCell="A10" sqref="A10"/>
    </sheetView>
  </sheetViews>
  <sheetFormatPr baseColWidth="10" defaultColWidth="8.7109375" defaultRowHeight="16"/>
  <sheetData>
    <row r="1" spans="1:1">
      <c r="A1" t="s">
        <v>1114</v>
      </c>
    </row>
    <row r="3" spans="1:1">
      <c r="A3" t="s">
        <v>3891</v>
      </c>
    </row>
    <row r="4" spans="1:1">
      <c r="A4" t="s">
        <v>3804</v>
      </c>
    </row>
    <row r="5" spans="1:1">
      <c r="A5" t="s">
        <v>3800</v>
      </c>
    </row>
    <row r="6" spans="1:1">
      <c r="A6" t="s">
        <v>3719</v>
      </c>
    </row>
    <row r="8" spans="1:1">
      <c r="A8" t="s">
        <v>3798</v>
      </c>
    </row>
    <row r="9" spans="1:1">
      <c r="A9" t="s">
        <v>3892</v>
      </c>
    </row>
    <row r="10" spans="1:1">
      <c r="A10" t="s">
        <v>3890</v>
      </c>
    </row>
    <row r="11" spans="1:1">
      <c r="A11" t="s">
        <v>3889</v>
      </c>
    </row>
    <row r="12" spans="1:1">
      <c r="A12" t="s">
        <v>3806</v>
      </c>
    </row>
    <row r="13" spans="1:1">
      <c r="A13" t="s">
        <v>3809</v>
      </c>
    </row>
    <row r="14" spans="1:1">
      <c r="A14" t="s">
        <v>3815</v>
      </c>
    </row>
    <row r="15" spans="1:1">
      <c r="A15" t="s">
        <v>3816</v>
      </c>
    </row>
    <row r="16" spans="1:1">
      <c r="A16" t="s">
        <v>3823</v>
      </c>
    </row>
    <row r="17" spans="1:1">
      <c r="A17" t="s">
        <v>3888</v>
      </c>
    </row>
    <row r="18" spans="1:1">
      <c r="A18" t="s">
        <v>3824</v>
      </c>
    </row>
    <row r="19" spans="1:1">
      <c r="A19" t="s">
        <v>3829</v>
      </c>
    </row>
    <row r="20" spans="1:1">
      <c r="A20" t="s">
        <v>3845</v>
      </c>
    </row>
    <row r="21" spans="1:1">
      <c r="A21" t="s">
        <v>3846</v>
      </c>
    </row>
    <row r="22" spans="1:1">
      <c r="A22" t="s">
        <v>3849</v>
      </c>
    </row>
    <row r="23" spans="1:1">
      <c r="A23" t="s">
        <v>3852</v>
      </c>
    </row>
    <row r="25" spans="1:1">
      <c r="A25" t="s">
        <v>3808</v>
      </c>
    </row>
    <row r="26" spans="1:1">
      <c r="A26" s="24" t="s">
        <v>3805</v>
      </c>
    </row>
    <row r="27" spans="1:1">
      <c r="A27" s="24"/>
    </row>
    <row r="28" spans="1:1">
      <c r="A28" t="s">
        <v>3807</v>
      </c>
    </row>
    <row r="29" spans="1:1">
      <c r="A29" t="s">
        <v>3799</v>
      </c>
    </row>
    <row r="30" spans="1:1">
      <c r="A30" t="s">
        <v>3802</v>
      </c>
    </row>
    <row r="31" spans="1:1">
      <c r="A31" t="s">
        <v>3803</v>
      </c>
    </row>
    <row r="33" spans="1:1">
      <c r="A33" t="s">
        <v>3795</v>
      </c>
    </row>
    <row r="34" spans="1:1">
      <c r="A34" t="s">
        <v>3796</v>
      </c>
    </row>
    <row r="36" spans="1:1">
      <c r="A36" t="s">
        <v>3731</v>
      </c>
    </row>
    <row r="37" spans="1:1">
      <c r="A37" t="s">
        <v>3732</v>
      </c>
    </row>
    <row r="38" spans="1:1">
      <c r="A38" t="s">
        <v>3734</v>
      </c>
    </row>
    <row r="39" spans="1:1">
      <c r="A39" t="s">
        <v>3733</v>
      </c>
    </row>
    <row r="40" spans="1:1">
      <c r="A40" t="s">
        <v>3735</v>
      </c>
    </row>
    <row r="41" spans="1:1">
      <c r="A41" t="s">
        <v>3737</v>
      </c>
    </row>
    <row r="42" spans="1:1">
      <c r="A42" t="s">
        <v>3736</v>
      </c>
    </row>
    <row r="43" spans="1:1">
      <c r="A43" t="s">
        <v>3738</v>
      </c>
    </row>
    <row r="44" spans="1:1">
      <c r="A44" t="s">
        <v>3742</v>
      </c>
    </row>
    <row r="45" spans="1:1">
      <c r="A45" t="s">
        <v>3739</v>
      </c>
    </row>
    <row r="46" spans="1:1">
      <c r="A46" t="s">
        <v>3740</v>
      </c>
    </row>
    <row r="47" spans="1:1">
      <c r="A47" t="s">
        <v>3747</v>
      </c>
    </row>
    <row r="48" spans="1:1">
      <c r="A48" t="s">
        <v>3741</v>
      </c>
    </row>
    <row r="49" spans="1:1">
      <c r="A49" t="s">
        <v>3743</v>
      </c>
    </row>
    <row r="50" spans="1:1">
      <c r="A50" t="s">
        <v>3744</v>
      </c>
    </row>
    <row r="51" spans="1:1">
      <c r="A51" t="s">
        <v>3745</v>
      </c>
    </row>
    <row r="52" spans="1:1">
      <c r="A52" t="s">
        <v>3746</v>
      </c>
    </row>
    <row r="53" spans="1:1">
      <c r="A53" t="s">
        <v>3748</v>
      </c>
    </row>
    <row r="54" spans="1:1">
      <c r="A54" t="s">
        <v>3749</v>
      </c>
    </row>
    <row r="56" spans="1:1">
      <c r="A56" t="s">
        <v>3730</v>
      </c>
    </row>
    <row r="57" spans="1:1">
      <c r="A57" t="s">
        <v>3720</v>
      </c>
    </row>
    <row r="58" spans="1:1">
      <c r="A58" t="s">
        <v>3726</v>
      </c>
    </row>
    <row r="60" spans="1:1">
      <c r="A60" t="s">
        <v>3721</v>
      </c>
    </row>
    <row r="61" spans="1:1">
      <c r="A61" t="s">
        <v>3727</v>
      </c>
    </row>
    <row r="62" spans="1:1">
      <c r="A62" t="s">
        <v>3728</v>
      </c>
    </row>
    <row r="63" spans="1:1">
      <c r="A63" t="s">
        <v>3729</v>
      </c>
    </row>
    <row r="65" spans="1:1">
      <c r="A65" t="s">
        <v>3722</v>
      </c>
    </row>
    <row r="66" spans="1:1">
      <c r="A66" t="s">
        <v>3750</v>
      </c>
    </row>
    <row r="67" spans="1:1">
      <c r="A67" t="s">
        <v>3751</v>
      </c>
    </row>
    <row r="68" spans="1:1">
      <c r="A68" t="s">
        <v>3752</v>
      </c>
    </row>
    <row r="69" spans="1:1">
      <c r="A69" t="s">
        <v>3753</v>
      </c>
    </row>
    <row r="70" spans="1:1">
      <c r="A70" t="s">
        <v>3754</v>
      </c>
    </row>
    <row r="71" spans="1:1">
      <c r="A71" t="s">
        <v>3755</v>
      </c>
    </row>
    <row r="72" spans="1:1">
      <c r="A72" t="s">
        <v>3757</v>
      </c>
    </row>
    <row r="73" spans="1:1">
      <c r="A73" t="s">
        <v>3756</v>
      </c>
    </row>
    <row r="74" spans="1:1">
      <c r="A74" t="s">
        <v>3758</v>
      </c>
    </row>
    <row r="75" spans="1:1">
      <c r="A75" t="s">
        <v>3759</v>
      </c>
    </row>
    <row r="76" spans="1:1">
      <c r="A76" t="s">
        <v>3760</v>
      </c>
    </row>
    <row r="77" spans="1:1">
      <c r="A77" t="s">
        <v>3761</v>
      </c>
    </row>
    <row r="78" spans="1:1">
      <c r="A78" t="s">
        <v>3762</v>
      </c>
    </row>
    <row r="79" spans="1:1">
      <c r="A79" t="s">
        <v>3764</v>
      </c>
    </row>
    <row r="80" spans="1:1">
      <c r="A80" t="s">
        <v>3763</v>
      </c>
    </row>
    <row r="81" spans="1:2">
      <c r="A81" t="s">
        <v>3765</v>
      </c>
    </row>
    <row r="82" spans="1:2">
      <c r="A82" t="s">
        <v>3766</v>
      </c>
    </row>
    <row r="83" spans="1:2">
      <c r="A83" t="s">
        <v>3767</v>
      </c>
    </row>
    <row r="84" spans="1:2">
      <c r="A84" t="s">
        <v>3768</v>
      </c>
    </row>
    <row r="85" spans="1:2">
      <c r="A85" t="s">
        <v>3769</v>
      </c>
    </row>
    <row r="86" spans="1:2">
      <c r="A86" t="s">
        <v>3770</v>
      </c>
    </row>
    <row r="87" spans="1:2">
      <c r="A87" t="s">
        <v>3771</v>
      </c>
    </row>
    <row r="88" spans="1:2">
      <c r="B88" t="s">
        <v>3772</v>
      </c>
    </row>
    <row r="89" spans="1:2">
      <c r="A89" t="s">
        <v>3773</v>
      </c>
    </row>
    <row r="90" spans="1:2">
      <c r="A90" t="s">
        <v>3774</v>
      </c>
    </row>
    <row r="92" spans="1:2">
      <c r="A92" t="s">
        <v>3723</v>
      </c>
    </row>
    <row r="93" spans="1:2">
      <c r="A93" t="s">
        <v>3775</v>
      </c>
    </row>
    <row r="94" spans="1:2">
      <c r="A94" t="s">
        <v>3776</v>
      </c>
    </row>
    <row r="95" spans="1:2">
      <c r="A95" t="s">
        <v>3777</v>
      </c>
    </row>
    <row r="96" spans="1:2">
      <c r="A96" t="s">
        <v>3778</v>
      </c>
    </row>
    <row r="98" spans="1:2">
      <c r="A98" t="s">
        <v>3724</v>
      </c>
    </row>
    <row r="99" spans="1:2">
      <c r="A99" t="s">
        <v>3779</v>
      </c>
    </row>
    <row r="100" spans="1:2">
      <c r="A100" t="s">
        <v>3780</v>
      </c>
    </row>
    <row r="102" spans="1:2">
      <c r="A102" t="s">
        <v>3725</v>
      </c>
    </row>
    <row r="103" spans="1:2">
      <c r="A103" t="s">
        <v>3781</v>
      </c>
    </row>
    <row r="104" spans="1:2">
      <c r="A104" t="s">
        <v>3782</v>
      </c>
    </row>
    <row r="105" spans="1:2">
      <c r="A105" t="s">
        <v>3783</v>
      </c>
    </row>
    <row r="106" spans="1:2">
      <c r="B106" t="s">
        <v>3788</v>
      </c>
    </row>
    <row r="107" spans="1:2">
      <c r="B107" t="s">
        <v>3784</v>
      </c>
    </row>
    <row r="108" spans="1:2">
      <c r="B108" t="s">
        <v>3785</v>
      </c>
    </row>
    <row r="109" spans="1:2">
      <c r="A109" t="s">
        <v>3786</v>
      </c>
    </row>
    <row r="110" spans="1:2">
      <c r="B110" t="s">
        <v>3787</v>
      </c>
    </row>
    <row r="111" spans="1:2">
      <c r="A111" t="s">
        <v>3789</v>
      </c>
    </row>
    <row r="112" spans="1:2">
      <c r="B112" t="s">
        <v>3790</v>
      </c>
    </row>
    <row r="113" spans="1:2">
      <c r="A113" t="s">
        <v>3791</v>
      </c>
    </row>
    <row r="114" spans="1:2">
      <c r="A114" t="s">
        <v>3792</v>
      </c>
    </row>
    <row r="115" spans="1:2">
      <c r="B115" t="s">
        <v>3772</v>
      </c>
    </row>
    <row r="116" spans="1:2">
      <c r="A116" t="s">
        <v>3793</v>
      </c>
    </row>
    <row r="117" spans="1:2">
      <c r="A117" t="s">
        <v>3794</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47F4-A76F-4464-A3B2-D7913E5797D7}">
  <dimension ref="A1:AW625"/>
  <sheetViews>
    <sheetView zoomScale="70" zoomScaleNormal="70" workbookViewId="0">
      <pane xSplit="35" ySplit="1" topLeftCell="AJ550" activePane="bottomRight" state="frozen"/>
      <selection pane="topRight" activeCell="AJ1" sqref="AJ1"/>
      <selection pane="bottomLeft" activeCell="A2" sqref="A2"/>
      <selection pane="bottomRight" activeCell="A322" sqref="A322:XFD322"/>
    </sheetView>
  </sheetViews>
  <sheetFormatPr baseColWidth="10" defaultColWidth="9.5703125" defaultRowHeight="17" outlineLevelCol="1"/>
  <cols>
    <col min="1" max="1" width="11.85546875" style="11" customWidth="1"/>
    <col min="2" max="2" width="13.28515625" style="11" hidden="1" customWidth="1" outlineLevel="1"/>
    <col min="3" max="3" width="12.7109375" style="11" hidden="1" customWidth="1" outlineLevel="1"/>
    <col min="4" max="4" width="13.7109375" style="11" hidden="1" customWidth="1" outlineLevel="1"/>
    <col min="5" max="5" width="13.28515625" style="11" hidden="1" customWidth="1" outlineLevel="1"/>
    <col min="6" max="6" width="13.85546875" style="11" hidden="1" customWidth="1" outlineLevel="1"/>
    <col min="7" max="7" width="13.140625" style="11" hidden="1" customWidth="1" outlineLevel="1"/>
    <col min="8" max="8" width="11.28515625" style="11" hidden="1" customWidth="1" outlineLevel="1"/>
    <col min="9" max="9" width="13.42578125" style="11" hidden="1" customWidth="1" outlineLevel="1"/>
    <col min="10" max="10" width="12.28515625" style="11" hidden="1" customWidth="1" outlineLevel="1"/>
    <col min="11" max="11" width="13.7109375" style="11" hidden="1" customWidth="1" outlineLevel="1"/>
    <col min="12" max="12" width="12" style="11" customWidth="1" collapsed="1"/>
    <col min="13" max="13" width="13" style="11" customWidth="1"/>
    <col min="14" max="14" width="17.7109375" style="11" customWidth="1"/>
    <col min="15" max="15" width="14.85546875" style="11" customWidth="1"/>
    <col min="16" max="16" width="17.28515625" style="11" customWidth="1"/>
    <col min="17" max="17" width="11.85546875" style="11" customWidth="1"/>
    <col min="18" max="18" width="13.7109375" style="11" customWidth="1"/>
    <col min="19" max="19" width="11" style="11" customWidth="1"/>
    <col min="20" max="20" width="13.5703125" style="11" customWidth="1"/>
    <col min="21" max="21" width="10.28515625" style="11" customWidth="1"/>
    <col min="22" max="22" width="15.5703125" style="12" customWidth="1"/>
    <col min="23" max="23" width="17.7109375" style="11" customWidth="1"/>
    <col min="24" max="24" width="16.7109375" style="11" customWidth="1"/>
    <col min="25" max="25" width="18.28515625" style="11" customWidth="1"/>
    <col min="26" max="26" width="15.28515625" style="11" customWidth="1"/>
    <col min="27" max="27" width="17.42578125" style="11" customWidth="1"/>
    <col min="28" max="28" width="18.28515625" style="11" customWidth="1"/>
    <col min="29" max="29" width="19.28515625" style="11" customWidth="1"/>
    <col min="30" max="30" width="17.42578125" style="11" customWidth="1"/>
    <col min="31" max="31" width="16.5703125" style="11" customWidth="1"/>
    <col min="32" max="32" width="25.7109375" style="11" customWidth="1"/>
    <col min="33" max="33" width="12.5703125" style="11" customWidth="1"/>
    <col min="34" max="34" width="19.85546875" style="11" customWidth="1"/>
    <col min="35" max="35" width="29.5703125" style="11" customWidth="1"/>
    <col min="36" max="36" width="13.42578125" style="13" customWidth="1"/>
    <col min="37" max="39" width="9.5703125" style="11" customWidth="1"/>
    <col min="40" max="49" width="15.7109375" style="11" customWidth="1"/>
    <col min="50" max="58" width="9.5703125" style="11" customWidth="1"/>
    <col min="59" max="16384" width="9.5703125" style="11"/>
  </cols>
  <sheetData>
    <row r="1" spans="1:49" ht="17" customHeight="1">
      <c r="A1" s="11" t="s">
        <v>2817</v>
      </c>
      <c r="B1" s="11" t="s">
        <v>2818</v>
      </c>
      <c r="C1" s="11" t="s">
        <v>2819</v>
      </c>
      <c r="D1" s="11" t="s">
        <v>2820</v>
      </c>
      <c r="E1" s="11" t="s">
        <v>2821</v>
      </c>
      <c r="F1" s="11" t="s">
        <v>2822</v>
      </c>
      <c r="G1" s="11" t="s">
        <v>2823</v>
      </c>
      <c r="H1" s="11" t="s">
        <v>2824</v>
      </c>
      <c r="I1" s="11" t="s">
        <v>2825</v>
      </c>
      <c r="J1" s="11" t="s">
        <v>2826</v>
      </c>
      <c r="K1" s="11" t="s">
        <v>2827</v>
      </c>
      <c r="L1" s="11" t="s">
        <v>2828</v>
      </c>
      <c r="M1" s="11" t="s">
        <v>2829</v>
      </c>
      <c r="N1" s="11" t="s">
        <v>2830</v>
      </c>
      <c r="O1" s="11" t="s">
        <v>2831</v>
      </c>
      <c r="P1" s="11" t="s">
        <v>2832</v>
      </c>
      <c r="Q1" s="11" t="s">
        <v>2833</v>
      </c>
      <c r="R1" s="11" t="s">
        <v>2834</v>
      </c>
      <c r="S1" s="11" t="s">
        <v>2835</v>
      </c>
      <c r="T1" s="11" t="s">
        <v>2836</v>
      </c>
      <c r="U1" s="11" t="s">
        <v>2837</v>
      </c>
      <c r="V1" s="12" t="s">
        <v>2838</v>
      </c>
      <c r="W1" s="11" t="s">
        <v>2839</v>
      </c>
      <c r="X1" s="11" t="s">
        <v>2840</v>
      </c>
      <c r="Y1" s="11" t="s">
        <v>2841</v>
      </c>
      <c r="Z1" s="11" t="s">
        <v>2842</v>
      </c>
      <c r="AA1" s="11" t="s">
        <v>2843</v>
      </c>
      <c r="AB1" s="11" t="s">
        <v>2844</v>
      </c>
      <c r="AC1" s="11" t="s">
        <v>2845</v>
      </c>
      <c r="AD1" s="11" t="s">
        <v>2846</v>
      </c>
      <c r="AE1" s="11" t="s">
        <v>2847</v>
      </c>
      <c r="AF1" s="11" t="s">
        <v>2848</v>
      </c>
      <c r="AG1" s="11" t="s">
        <v>2849</v>
      </c>
      <c r="AH1" s="11" t="s">
        <v>2850</v>
      </c>
      <c r="AI1" s="11" t="s">
        <v>2851</v>
      </c>
      <c r="AJ1" s="13" t="s">
        <v>2852</v>
      </c>
      <c r="AK1" s="11" t="s">
        <v>2853</v>
      </c>
      <c r="AL1" s="11" t="s">
        <v>2854</v>
      </c>
      <c r="AM1" s="11" t="s">
        <v>2855</v>
      </c>
      <c r="AN1" s="11" t="s">
        <v>2856</v>
      </c>
      <c r="AO1" s="11" t="s">
        <v>2857</v>
      </c>
      <c r="AP1" s="11" t="s">
        <v>2858</v>
      </c>
      <c r="AQ1" s="11" t="s">
        <v>2859</v>
      </c>
      <c r="AR1" s="11" t="s">
        <v>2860</v>
      </c>
      <c r="AS1" s="11" t="s">
        <v>2861</v>
      </c>
      <c r="AT1" s="11" t="s">
        <v>2862</v>
      </c>
      <c r="AU1" s="11" t="s">
        <v>2863</v>
      </c>
      <c r="AV1" s="11" t="s">
        <v>2864</v>
      </c>
      <c r="AW1" s="11" t="s">
        <v>2865</v>
      </c>
    </row>
    <row r="2" spans="1:49" ht="17" customHeight="1">
      <c r="A2" s="11" t="s">
        <v>2866</v>
      </c>
      <c r="B2" s="11" t="s">
        <v>2866</v>
      </c>
      <c r="C2" s="14" t="s">
        <v>2867</v>
      </c>
      <c r="D2" s="14" t="s">
        <v>2868</v>
      </c>
      <c r="E2" s="14" t="s">
        <v>2869</v>
      </c>
      <c r="F2" s="14"/>
      <c r="G2" s="14"/>
      <c r="H2" s="14"/>
      <c r="I2" s="14"/>
      <c r="J2" s="14"/>
      <c r="K2" s="14"/>
      <c r="L2" s="14"/>
      <c r="M2" s="14">
        <v>60</v>
      </c>
      <c r="N2" s="14">
        <v>3</v>
      </c>
      <c r="O2" s="14"/>
      <c r="P2" s="14"/>
      <c r="Q2" s="14">
        <v>1361</v>
      </c>
      <c r="R2" s="14"/>
      <c r="S2" s="14"/>
      <c r="T2" s="14"/>
      <c r="U2" s="14"/>
      <c r="V2" s="15">
        <v>0.20715</v>
      </c>
      <c r="W2" s="14"/>
      <c r="X2" s="14"/>
      <c r="Y2" s="14"/>
      <c r="Z2" s="14"/>
      <c r="AA2" s="14"/>
      <c r="AB2" s="14"/>
      <c r="AC2" s="14"/>
      <c r="AD2" s="14"/>
      <c r="AE2" s="14"/>
      <c r="AF2" s="14"/>
      <c r="AG2" s="14"/>
      <c r="AH2" s="14" t="s">
        <v>2866</v>
      </c>
      <c r="AI2" s="14"/>
      <c r="AJ2" s="16">
        <v>2.4729999999999999E-2</v>
      </c>
      <c r="AK2" s="14">
        <v>1</v>
      </c>
      <c r="AL2" s="14">
        <v>0</v>
      </c>
      <c r="AM2" s="14">
        <v>3</v>
      </c>
      <c r="AN2" s="17">
        <v>0</v>
      </c>
      <c r="AO2" s="17">
        <v>1.708843E-3</v>
      </c>
      <c r="AP2" s="17">
        <v>0</v>
      </c>
      <c r="AQ2" s="17">
        <v>0</v>
      </c>
      <c r="AR2" s="17">
        <v>0</v>
      </c>
      <c r="AS2" s="17">
        <v>0</v>
      </c>
      <c r="AT2" s="17">
        <v>0</v>
      </c>
      <c r="AU2" s="17">
        <v>0</v>
      </c>
      <c r="AV2" s="17">
        <v>0</v>
      </c>
      <c r="AW2" s="17">
        <v>0</v>
      </c>
    </row>
    <row r="3" spans="1:49" ht="17" customHeight="1">
      <c r="A3" s="11" t="s">
        <v>2870</v>
      </c>
      <c r="B3" s="11" t="s">
        <v>2870</v>
      </c>
      <c r="C3" s="18" t="s">
        <v>2867</v>
      </c>
      <c r="D3" s="18" t="s">
        <v>2868</v>
      </c>
      <c r="E3" s="18" t="s">
        <v>2871</v>
      </c>
      <c r="F3" s="18"/>
      <c r="G3" s="14"/>
      <c r="H3" s="14"/>
      <c r="I3" s="14"/>
      <c r="J3" s="14" t="s">
        <v>2872</v>
      </c>
      <c r="K3" s="14"/>
      <c r="L3" s="14">
        <v>74</v>
      </c>
      <c r="M3" s="18">
        <v>65</v>
      </c>
      <c r="N3" s="14">
        <v>3</v>
      </c>
      <c r="O3" s="14"/>
      <c r="P3" s="14">
        <v>1.6</v>
      </c>
      <c r="Q3" s="14">
        <v>45</v>
      </c>
      <c r="R3" s="14"/>
      <c r="S3" s="14"/>
      <c r="T3" s="14"/>
      <c r="U3" s="14">
        <v>0.54166666666666663</v>
      </c>
      <c r="V3" s="15">
        <v>1.428E-3</v>
      </c>
      <c r="W3" s="14" t="s">
        <v>2873</v>
      </c>
      <c r="X3" s="14"/>
      <c r="Y3" s="14"/>
      <c r="Z3" s="14"/>
      <c r="AA3" s="14"/>
      <c r="AB3" s="14" t="s">
        <v>2874</v>
      </c>
      <c r="AC3" s="14"/>
      <c r="AD3" s="14"/>
      <c r="AE3" s="14"/>
      <c r="AF3" s="14"/>
      <c r="AG3" s="14"/>
      <c r="AH3" s="18" t="s">
        <v>2870</v>
      </c>
      <c r="AI3" s="14"/>
      <c r="AJ3" s="16">
        <v>5.7959999999999998E-2</v>
      </c>
      <c r="AK3" s="18">
        <v>1</v>
      </c>
      <c r="AL3" s="14">
        <v>-3</v>
      </c>
      <c r="AM3" s="14">
        <v>3</v>
      </c>
      <c r="AN3" s="19">
        <v>0</v>
      </c>
      <c r="AO3" s="19">
        <v>2.758896E-5</v>
      </c>
      <c r="AP3" s="19">
        <v>0</v>
      </c>
      <c r="AQ3" s="19">
        <v>0</v>
      </c>
      <c r="AR3" s="19">
        <v>0</v>
      </c>
      <c r="AS3" s="19">
        <v>0</v>
      </c>
      <c r="AT3" s="19">
        <v>0</v>
      </c>
      <c r="AU3" s="19">
        <v>0</v>
      </c>
      <c r="AV3" s="19">
        <v>0</v>
      </c>
      <c r="AW3" s="19">
        <v>0</v>
      </c>
    </row>
    <row r="4" spans="1:49" ht="17" customHeight="1">
      <c r="A4" s="11" t="s">
        <v>2875</v>
      </c>
      <c r="B4" s="11" t="s">
        <v>2875</v>
      </c>
      <c r="C4" s="18" t="s">
        <v>2867</v>
      </c>
      <c r="D4" s="18" t="s">
        <v>2868</v>
      </c>
      <c r="E4" s="18" t="s">
        <v>2871</v>
      </c>
      <c r="F4" s="18"/>
      <c r="G4" s="14"/>
      <c r="H4" s="14"/>
      <c r="I4" s="14"/>
      <c r="J4" s="14" t="s">
        <v>2872</v>
      </c>
      <c r="K4" s="14"/>
      <c r="L4" s="14">
        <v>74</v>
      </c>
      <c r="M4" s="18">
        <v>65</v>
      </c>
      <c r="N4" s="14">
        <v>3</v>
      </c>
      <c r="O4" s="14"/>
      <c r="P4" s="14">
        <v>1.6</v>
      </c>
      <c r="Q4" s="14">
        <v>45</v>
      </c>
      <c r="R4" s="14"/>
      <c r="S4" s="14"/>
      <c r="T4" s="14"/>
      <c r="U4" s="14">
        <v>0.54166666666666663</v>
      </c>
      <c r="V4" s="15">
        <v>1.428E-3</v>
      </c>
      <c r="W4" s="14" t="s">
        <v>2873</v>
      </c>
      <c r="X4" s="14"/>
      <c r="Y4" s="14"/>
      <c r="Z4" s="14"/>
      <c r="AA4" s="14"/>
      <c r="AB4" s="14" t="s">
        <v>2874</v>
      </c>
      <c r="AC4" s="14"/>
      <c r="AD4" s="14"/>
      <c r="AE4" s="14"/>
      <c r="AF4" s="14"/>
      <c r="AG4" s="14"/>
      <c r="AH4" s="18" t="s">
        <v>2870</v>
      </c>
      <c r="AI4" s="14"/>
      <c r="AJ4" s="16">
        <v>5.7959999999999998E-2</v>
      </c>
      <c r="AK4" s="18">
        <v>1</v>
      </c>
      <c r="AL4" s="14">
        <v>-3</v>
      </c>
      <c r="AM4" s="14">
        <v>3</v>
      </c>
      <c r="AN4" s="19">
        <v>0</v>
      </c>
      <c r="AO4" s="19">
        <v>2.758896E-5</v>
      </c>
      <c r="AP4" s="19">
        <v>0</v>
      </c>
      <c r="AQ4" s="19">
        <v>0</v>
      </c>
      <c r="AR4" s="19">
        <v>0</v>
      </c>
      <c r="AS4" s="19">
        <v>0</v>
      </c>
      <c r="AT4" s="19">
        <v>0</v>
      </c>
      <c r="AU4" s="19">
        <v>0</v>
      </c>
      <c r="AV4" s="19">
        <v>0</v>
      </c>
      <c r="AW4" s="19">
        <v>0</v>
      </c>
    </row>
    <row r="5" spans="1:49" ht="17" customHeight="1">
      <c r="A5" s="11" t="s">
        <v>2876</v>
      </c>
      <c r="B5" s="11" t="s">
        <v>2876</v>
      </c>
      <c r="C5" s="14" t="s">
        <v>2867</v>
      </c>
      <c r="D5" s="14" t="s">
        <v>2868</v>
      </c>
      <c r="E5" s="14" t="s">
        <v>2869</v>
      </c>
      <c r="F5" s="14"/>
      <c r="G5" s="14"/>
      <c r="H5" s="14"/>
      <c r="I5" s="14"/>
      <c r="J5" s="14"/>
      <c r="K5" s="14"/>
      <c r="L5" s="14"/>
      <c r="M5" s="14">
        <v>60</v>
      </c>
      <c r="N5" s="14">
        <v>3</v>
      </c>
      <c r="O5" s="14"/>
      <c r="P5" s="14"/>
      <c r="Q5" s="14">
        <v>1361</v>
      </c>
      <c r="R5" s="14"/>
      <c r="S5" s="14"/>
      <c r="T5" s="14"/>
      <c r="U5" s="14"/>
      <c r="V5" s="15">
        <v>0.20715</v>
      </c>
      <c r="W5" s="14"/>
      <c r="X5" s="14"/>
      <c r="Y5" s="14"/>
      <c r="Z5" s="14"/>
      <c r="AA5" s="14"/>
      <c r="AB5" s="14"/>
      <c r="AC5" s="14"/>
      <c r="AD5" s="14"/>
      <c r="AE5" s="14"/>
      <c r="AF5" s="14"/>
      <c r="AG5" s="14"/>
      <c r="AH5" s="14" t="s">
        <v>2866</v>
      </c>
      <c r="AI5" s="14"/>
      <c r="AJ5" s="16">
        <v>2.4729999999999999E-2</v>
      </c>
      <c r="AK5" s="14">
        <v>1</v>
      </c>
      <c r="AL5" s="14">
        <v>0</v>
      </c>
      <c r="AM5" s="14">
        <v>3</v>
      </c>
      <c r="AN5" s="17">
        <v>0</v>
      </c>
      <c r="AO5" s="17">
        <v>1.708843E-3</v>
      </c>
      <c r="AP5" s="17">
        <v>0</v>
      </c>
      <c r="AQ5" s="17">
        <v>0</v>
      </c>
      <c r="AR5" s="17">
        <v>0</v>
      </c>
      <c r="AS5" s="17">
        <v>0</v>
      </c>
      <c r="AT5" s="17">
        <v>0</v>
      </c>
      <c r="AU5" s="17">
        <v>0</v>
      </c>
      <c r="AV5" s="17">
        <v>0</v>
      </c>
      <c r="AW5" s="17">
        <v>0</v>
      </c>
    </row>
    <row r="6" spans="1:49" ht="17" customHeight="1">
      <c r="A6" s="11" t="s">
        <v>2877</v>
      </c>
      <c r="B6" s="11" t="s">
        <v>2877</v>
      </c>
      <c r="C6" s="18" t="s">
        <v>2867</v>
      </c>
      <c r="D6" s="18" t="s">
        <v>2868</v>
      </c>
      <c r="E6" s="18" t="s">
        <v>2871</v>
      </c>
      <c r="F6" s="18"/>
      <c r="G6" s="14"/>
      <c r="H6" s="14"/>
      <c r="I6" s="14"/>
      <c r="J6" s="14" t="s">
        <v>2872</v>
      </c>
      <c r="K6" s="14"/>
      <c r="L6" s="14">
        <v>40</v>
      </c>
      <c r="M6" s="18">
        <v>40</v>
      </c>
      <c r="N6" s="14">
        <v>3</v>
      </c>
      <c r="O6" s="14"/>
      <c r="P6" s="14">
        <v>4.8</v>
      </c>
      <c r="Q6" s="14">
        <v>66</v>
      </c>
      <c r="R6" s="14"/>
      <c r="S6" s="14"/>
      <c r="T6" s="14"/>
      <c r="U6" s="14">
        <v>1.5923333333333329</v>
      </c>
      <c r="V6" s="15">
        <v>3.3999999999999998E-3</v>
      </c>
      <c r="W6" s="14" t="s">
        <v>2873</v>
      </c>
      <c r="X6" s="14"/>
      <c r="Y6" s="14"/>
      <c r="Z6" s="14"/>
      <c r="AA6" s="14"/>
      <c r="AB6" s="14" t="s">
        <v>2874</v>
      </c>
      <c r="AC6" s="14"/>
      <c r="AD6" s="14"/>
      <c r="AE6" s="14"/>
      <c r="AF6" s="14"/>
      <c r="AG6" s="14"/>
      <c r="AH6" s="18" t="s">
        <v>2877</v>
      </c>
      <c r="AI6" s="14"/>
      <c r="AJ6" s="16">
        <v>4.1959999999999997E-2</v>
      </c>
      <c r="AK6" s="18">
        <v>1</v>
      </c>
      <c r="AL6" s="14">
        <v>-3</v>
      </c>
      <c r="AM6" s="14">
        <v>3</v>
      </c>
      <c r="AN6" s="19">
        <v>0</v>
      </c>
      <c r="AO6" s="19">
        <v>4.7554666666666667E-5</v>
      </c>
      <c r="AP6" s="19">
        <v>0</v>
      </c>
      <c r="AQ6" s="19">
        <v>0</v>
      </c>
      <c r="AR6" s="19">
        <v>0</v>
      </c>
      <c r="AS6" s="19">
        <v>0</v>
      </c>
      <c r="AT6" s="19">
        <v>0</v>
      </c>
      <c r="AU6" s="19">
        <v>0</v>
      </c>
      <c r="AV6" s="19">
        <v>0</v>
      </c>
      <c r="AW6" s="19">
        <v>0</v>
      </c>
    </row>
    <row r="7" spans="1:49" ht="17" customHeight="1">
      <c r="A7" s="11" t="s">
        <v>2878</v>
      </c>
      <c r="B7" s="11" t="s">
        <v>2878</v>
      </c>
      <c r="C7" s="18" t="s">
        <v>2867</v>
      </c>
      <c r="D7" s="18" t="s">
        <v>2868</v>
      </c>
      <c r="E7" s="18" t="s">
        <v>2871</v>
      </c>
      <c r="F7" s="18"/>
      <c r="G7" s="14"/>
      <c r="H7" s="14"/>
      <c r="I7" s="14"/>
      <c r="J7" s="14" t="s">
        <v>2872</v>
      </c>
      <c r="K7" s="14"/>
      <c r="L7" s="14">
        <v>40</v>
      </c>
      <c r="M7" s="18">
        <v>40</v>
      </c>
      <c r="N7" s="14">
        <v>3</v>
      </c>
      <c r="O7" s="14"/>
      <c r="P7" s="14">
        <v>4.8</v>
      </c>
      <c r="Q7" s="14">
        <v>66</v>
      </c>
      <c r="R7" s="14"/>
      <c r="S7" s="14"/>
      <c r="T7" s="14"/>
      <c r="U7" s="14">
        <v>1.5923333333333329</v>
      </c>
      <c r="V7" s="15">
        <v>3.3999999999999998E-3</v>
      </c>
      <c r="W7" s="14" t="s">
        <v>2873</v>
      </c>
      <c r="X7" s="14"/>
      <c r="Y7" s="14"/>
      <c r="Z7" s="14"/>
      <c r="AA7" s="14"/>
      <c r="AB7" s="14" t="s">
        <v>2874</v>
      </c>
      <c r="AC7" s="14"/>
      <c r="AD7" s="14"/>
      <c r="AE7" s="14"/>
      <c r="AF7" s="14"/>
      <c r="AG7" s="14"/>
      <c r="AH7" s="18" t="s">
        <v>2877</v>
      </c>
      <c r="AI7" s="14"/>
      <c r="AJ7" s="16">
        <v>4.1959999999999997E-2</v>
      </c>
      <c r="AK7" s="18">
        <v>1</v>
      </c>
      <c r="AL7" s="14">
        <v>-3</v>
      </c>
      <c r="AM7" s="14">
        <v>3</v>
      </c>
      <c r="AN7" s="19">
        <v>0</v>
      </c>
      <c r="AO7" s="19">
        <v>4.7554666666666667E-5</v>
      </c>
      <c r="AP7" s="19">
        <v>0</v>
      </c>
      <c r="AQ7" s="19">
        <v>0</v>
      </c>
      <c r="AR7" s="19">
        <v>0</v>
      </c>
      <c r="AS7" s="19">
        <v>0</v>
      </c>
      <c r="AT7" s="19">
        <v>0</v>
      </c>
      <c r="AU7" s="19">
        <v>0</v>
      </c>
      <c r="AV7" s="19">
        <v>0</v>
      </c>
      <c r="AW7" s="19">
        <v>0</v>
      </c>
    </row>
    <row r="8" spans="1:49" ht="17" customHeight="1">
      <c r="A8" s="11" t="s">
        <v>2879</v>
      </c>
      <c r="B8" s="11" t="s">
        <v>2879</v>
      </c>
      <c r="C8" s="14" t="s">
        <v>2867</v>
      </c>
      <c r="D8" s="14" t="s">
        <v>2868</v>
      </c>
      <c r="E8" s="14" t="s">
        <v>2880</v>
      </c>
      <c r="F8" s="14"/>
      <c r="G8" s="14"/>
      <c r="H8" s="14" t="s">
        <v>2881</v>
      </c>
      <c r="I8" s="14"/>
      <c r="J8" s="14"/>
      <c r="K8" s="14"/>
      <c r="L8" s="14"/>
      <c r="M8" s="14"/>
      <c r="N8" s="14"/>
      <c r="O8" s="14"/>
      <c r="P8" s="14"/>
      <c r="Q8" s="14"/>
      <c r="R8" s="14"/>
      <c r="S8" s="14"/>
      <c r="T8" s="14"/>
      <c r="U8" s="14"/>
      <c r="V8" s="15"/>
      <c r="W8" s="14"/>
      <c r="X8" s="14"/>
      <c r="Y8" s="14"/>
      <c r="Z8" s="14"/>
      <c r="AA8" s="14"/>
      <c r="AB8" s="14"/>
      <c r="AC8" s="14"/>
      <c r="AD8" s="14"/>
      <c r="AE8" s="14"/>
      <c r="AF8" s="14"/>
      <c r="AG8" s="14"/>
      <c r="AH8" s="14" t="s">
        <v>2879</v>
      </c>
      <c r="AI8" s="14"/>
      <c r="AJ8" s="16">
        <v>0.29026695178312761</v>
      </c>
      <c r="AK8" s="14">
        <v>1</v>
      </c>
      <c r="AL8" s="14">
        <v>0</v>
      </c>
      <c r="AM8" s="14">
        <v>35</v>
      </c>
      <c r="AN8" s="17">
        <v>0</v>
      </c>
      <c r="AO8" s="17">
        <v>7.7925925925925927E-4</v>
      </c>
      <c r="AP8" s="17">
        <v>0</v>
      </c>
      <c r="AQ8" s="17">
        <v>0</v>
      </c>
      <c r="AR8" s="17">
        <v>0</v>
      </c>
      <c r="AS8" s="17">
        <v>0</v>
      </c>
      <c r="AT8" s="17">
        <v>0</v>
      </c>
      <c r="AU8" s="17">
        <v>0</v>
      </c>
      <c r="AV8" s="17">
        <v>0</v>
      </c>
      <c r="AW8" s="17">
        <v>0</v>
      </c>
    </row>
    <row r="9" spans="1:49" ht="17" customHeight="1">
      <c r="A9" s="11" t="s">
        <v>2882</v>
      </c>
      <c r="B9" s="11" t="s">
        <v>2882</v>
      </c>
      <c r="C9" s="14" t="s">
        <v>2867</v>
      </c>
      <c r="D9" s="14" t="s">
        <v>2868</v>
      </c>
      <c r="E9" s="14" t="s">
        <v>2880</v>
      </c>
      <c r="F9" s="14"/>
      <c r="G9" s="14"/>
      <c r="H9" s="14" t="s">
        <v>2881</v>
      </c>
      <c r="I9" s="14"/>
      <c r="J9" s="14"/>
      <c r="K9" s="14"/>
      <c r="L9" s="14"/>
      <c r="M9" s="14"/>
      <c r="N9" s="14"/>
      <c r="O9" s="14"/>
      <c r="P9" s="14"/>
      <c r="Q9" s="14"/>
      <c r="R9" s="14"/>
      <c r="S9" s="14"/>
      <c r="T9" s="14"/>
      <c r="U9" s="14"/>
      <c r="V9" s="15"/>
      <c r="W9" s="14"/>
      <c r="X9" s="14"/>
      <c r="Y9" s="14"/>
      <c r="Z9" s="14"/>
      <c r="AA9" s="14"/>
      <c r="AB9" s="14"/>
      <c r="AC9" s="14"/>
      <c r="AD9" s="14"/>
      <c r="AE9" s="14"/>
      <c r="AF9" s="14"/>
      <c r="AG9" s="14"/>
      <c r="AH9" s="14" t="s">
        <v>2879</v>
      </c>
      <c r="AI9" s="14"/>
      <c r="AJ9" s="16">
        <v>0.29026695178312761</v>
      </c>
      <c r="AK9" s="14">
        <v>1</v>
      </c>
      <c r="AL9" s="14">
        <v>0</v>
      </c>
      <c r="AM9" s="14">
        <v>35</v>
      </c>
      <c r="AN9" s="17">
        <v>0</v>
      </c>
      <c r="AO9" s="17">
        <v>7.7925925925925927E-4</v>
      </c>
      <c r="AP9" s="17">
        <v>0</v>
      </c>
      <c r="AQ9" s="17">
        <v>0</v>
      </c>
      <c r="AR9" s="17">
        <v>0</v>
      </c>
      <c r="AS9" s="17">
        <v>0</v>
      </c>
      <c r="AT9" s="17">
        <v>0</v>
      </c>
      <c r="AU9" s="17">
        <v>0</v>
      </c>
      <c r="AV9" s="17">
        <v>0</v>
      </c>
      <c r="AW9" s="17">
        <v>0</v>
      </c>
    </row>
    <row r="10" spans="1:49" ht="17" customHeight="1">
      <c r="A10" s="11" t="s">
        <v>2883</v>
      </c>
      <c r="B10" s="11" t="s">
        <v>2884</v>
      </c>
      <c r="C10" s="14" t="s">
        <v>2867</v>
      </c>
      <c r="D10" s="14" t="s">
        <v>2868</v>
      </c>
      <c r="E10" s="14" t="s">
        <v>2880</v>
      </c>
      <c r="F10" s="14"/>
      <c r="G10" s="14"/>
      <c r="H10" s="14" t="s">
        <v>2881</v>
      </c>
      <c r="I10" s="14"/>
      <c r="J10" s="14"/>
      <c r="K10" s="14"/>
      <c r="L10" s="14"/>
      <c r="M10" s="14"/>
      <c r="N10" s="14"/>
      <c r="O10" s="14"/>
      <c r="P10" s="14"/>
      <c r="Q10" s="14"/>
      <c r="R10" s="14"/>
      <c r="S10" s="14"/>
      <c r="T10" s="14"/>
      <c r="U10" s="14"/>
      <c r="V10" s="15"/>
      <c r="W10" s="14"/>
      <c r="X10" s="14"/>
      <c r="Y10" s="14"/>
      <c r="Z10" s="14"/>
      <c r="AA10" s="14"/>
      <c r="AB10" s="14"/>
      <c r="AC10" s="14"/>
      <c r="AD10" s="14"/>
      <c r="AE10" s="14"/>
      <c r="AF10" s="14"/>
      <c r="AG10" s="14"/>
      <c r="AH10" s="14" t="s">
        <v>2879</v>
      </c>
      <c r="AI10" s="14"/>
      <c r="AJ10" s="16">
        <v>0.29026695178312761</v>
      </c>
      <c r="AK10" s="14">
        <v>1</v>
      </c>
      <c r="AL10" s="14">
        <v>0</v>
      </c>
      <c r="AM10" s="14">
        <v>35</v>
      </c>
      <c r="AN10" s="17">
        <v>0</v>
      </c>
      <c r="AO10" s="17">
        <v>7.7925925925925927E-4</v>
      </c>
      <c r="AP10" s="17">
        <v>0</v>
      </c>
      <c r="AQ10" s="17">
        <v>0</v>
      </c>
      <c r="AR10" s="17">
        <v>0</v>
      </c>
      <c r="AS10" s="17">
        <v>0</v>
      </c>
      <c r="AT10" s="17">
        <v>0</v>
      </c>
      <c r="AU10" s="17">
        <v>0</v>
      </c>
      <c r="AV10" s="17">
        <v>0</v>
      </c>
      <c r="AW10" s="17">
        <v>0</v>
      </c>
    </row>
    <row r="11" spans="1:49" ht="17" customHeight="1">
      <c r="A11" s="11" t="s">
        <v>2885</v>
      </c>
      <c r="B11" s="11" t="s">
        <v>2884</v>
      </c>
      <c r="C11" s="14" t="s">
        <v>2867</v>
      </c>
      <c r="D11" s="14" t="s">
        <v>2868</v>
      </c>
      <c r="E11" s="14" t="s">
        <v>2880</v>
      </c>
      <c r="F11" s="14"/>
      <c r="G11" s="14"/>
      <c r="H11" s="14" t="s">
        <v>2881</v>
      </c>
      <c r="I11" s="14"/>
      <c r="J11" s="14"/>
      <c r="K11" s="14"/>
      <c r="L11" s="14"/>
      <c r="M11" s="14"/>
      <c r="N11" s="14"/>
      <c r="O11" s="14"/>
      <c r="P11" s="14"/>
      <c r="Q11" s="14"/>
      <c r="R11" s="14"/>
      <c r="S11" s="14"/>
      <c r="T11" s="14"/>
      <c r="U11" s="14"/>
      <c r="V11" s="15"/>
      <c r="W11" s="14"/>
      <c r="X11" s="14"/>
      <c r="Y11" s="14"/>
      <c r="Z11" s="14"/>
      <c r="AA11" s="14"/>
      <c r="AB11" s="14"/>
      <c r="AC11" s="14"/>
      <c r="AD11" s="14"/>
      <c r="AE11" s="14"/>
      <c r="AF11" s="14"/>
      <c r="AG11" s="14"/>
      <c r="AH11" s="14" t="s">
        <v>2879</v>
      </c>
      <c r="AI11" s="14"/>
      <c r="AJ11" s="16">
        <v>0.29026695178312761</v>
      </c>
      <c r="AK11" s="14">
        <v>1</v>
      </c>
      <c r="AL11" s="14">
        <v>0</v>
      </c>
      <c r="AM11" s="14">
        <v>35</v>
      </c>
      <c r="AN11" s="17">
        <v>0</v>
      </c>
      <c r="AO11" s="17">
        <v>7.7925925925925927E-4</v>
      </c>
      <c r="AP11" s="17">
        <v>0</v>
      </c>
      <c r="AQ11" s="17">
        <v>0</v>
      </c>
      <c r="AR11" s="17">
        <v>0</v>
      </c>
      <c r="AS11" s="17">
        <v>0</v>
      </c>
      <c r="AT11" s="17">
        <v>0</v>
      </c>
      <c r="AU11" s="17">
        <v>0</v>
      </c>
      <c r="AV11" s="17">
        <v>0</v>
      </c>
      <c r="AW11" s="17">
        <v>0</v>
      </c>
    </row>
    <row r="12" spans="1:49" ht="17" customHeight="1">
      <c r="A12" s="11" t="s">
        <v>2886</v>
      </c>
      <c r="B12" s="11" t="s">
        <v>2886</v>
      </c>
      <c r="C12" s="18" t="s">
        <v>2867</v>
      </c>
      <c r="D12" s="18" t="s">
        <v>2868</v>
      </c>
      <c r="E12" s="18" t="s">
        <v>2871</v>
      </c>
      <c r="F12" s="18"/>
      <c r="G12" s="14"/>
      <c r="H12" s="14"/>
      <c r="I12" s="14"/>
      <c r="J12" s="14" t="s">
        <v>2872</v>
      </c>
      <c r="K12" s="14"/>
      <c r="L12" s="14">
        <v>76</v>
      </c>
      <c r="M12" s="18">
        <v>125</v>
      </c>
      <c r="N12" s="14">
        <v>5</v>
      </c>
      <c r="O12" s="14"/>
      <c r="P12" s="14">
        <v>5.9</v>
      </c>
      <c r="Q12" s="14">
        <v>96</v>
      </c>
      <c r="R12" s="14"/>
      <c r="S12" s="14"/>
      <c r="T12" s="14"/>
      <c r="U12" s="14"/>
      <c r="V12" s="15">
        <v>4.3299999999999996E-3</v>
      </c>
      <c r="W12" s="14" t="s">
        <v>2873</v>
      </c>
      <c r="X12" s="14"/>
      <c r="Y12" s="14"/>
      <c r="Z12" s="14"/>
      <c r="AA12" s="14"/>
      <c r="AB12" s="14" t="s">
        <v>2874</v>
      </c>
      <c r="AC12" s="14"/>
      <c r="AD12" s="14"/>
      <c r="AE12" s="14"/>
      <c r="AF12" s="14"/>
      <c r="AG12" s="14"/>
      <c r="AH12" s="18" t="s">
        <v>2886</v>
      </c>
      <c r="AI12" s="14"/>
      <c r="AJ12" s="16">
        <v>9.9729999999999999E-2</v>
      </c>
      <c r="AK12" s="18">
        <v>1</v>
      </c>
      <c r="AL12" s="14">
        <v>-5</v>
      </c>
      <c r="AM12" s="14">
        <v>5</v>
      </c>
      <c r="AN12" s="19">
        <v>0</v>
      </c>
      <c r="AO12" s="19">
        <v>8.6366179999999978E-5</v>
      </c>
      <c r="AP12" s="19">
        <v>0</v>
      </c>
      <c r="AQ12" s="19">
        <v>0</v>
      </c>
      <c r="AR12" s="19">
        <v>0</v>
      </c>
      <c r="AS12" s="19">
        <v>0</v>
      </c>
      <c r="AT12" s="19">
        <v>0</v>
      </c>
      <c r="AU12" s="19">
        <v>0</v>
      </c>
      <c r="AV12" s="19">
        <v>0</v>
      </c>
      <c r="AW12" s="19">
        <v>0</v>
      </c>
    </row>
    <row r="13" spans="1:49" ht="17" customHeight="1">
      <c r="A13" s="11" t="s">
        <v>2887</v>
      </c>
      <c r="B13" s="11" t="s">
        <v>2887</v>
      </c>
      <c r="C13" s="18" t="s">
        <v>2867</v>
      </c>
      <c r="D13" s="18" t="s">
        <v>2868</v>
      </c>
      <c r="E13" s="18" t="s">
        <v>2871</v>
      </c>
      <c r="F13" s="18"/>
      <c r="G13" s="14"/>
      <c r="H13" s="14"/>
      <c r="I13" s="14"/>
      <c r="J13" s="14" t="s">
        <v>2872</v>
      </c>
      <c r="K13" s="14"/>
      <c r="L13" s="14">
        <v>76</v>
      </c>
      <c r="M13" s="18">
        <v>125</v>
      </c>
      <c r="N13" s="14">
        <v>5</v>
      </c>
      <c r="O13" s="14"/>
      <c r="P13" s="14">
        <v>5.9</v>
      </c>
      <c r="Q13" s="14">
        <v>96</v>
      </c>
      <c r="R13" s="14"/>
      <c r="S13" s="14"/>
      <c r="T13" s="14"/>
      <c r="U13" s="14"/>
      <c r="V13" s="15">
        <v>4.3299999999999996E-3</v>
      </c>
      <c r="W13" s="14" t="s">
        <v>2873</v>
      </c>
      <c r="X13" s="14"/>
      <c r="Y13" s="14"/>
      <c r="Z13" s="14"/>
      <c r="AA13" s="14"/>
      <c r="AB13" s="14" t="s">
        <v>2874</v>
      </c>
      <c r="AC13" s="14"/>
      <c r="AD13" s="14"/>
      <c r="AE13" s="14"/>
      <c r="AF13" s="14"/>
      <c r="AG13" s="14"/>
      <c r="AH13" s="18" t="s">
        <v>2886</v>
      </c>
      <c r="AI13" s="14"/>
      <c r="AJ13" s="16">
        <v>9.9729999999999999E-2</v>
      </c>
      <c r="AK13" s="18">
        <v>1</v>
      </c>
      <c r="AL13" s="14">
        <v>-5</v>
      </c>
      <c r="AM13" s="14">
        <v>5</v>
      </c>
      <c r="AN13" s="19">
        <v>0</v>
      </c>
      <c r="AO13" s="19">
        <v>8.6366179999999978E-5</v>
      </c>
      <c r="AP13" s="19">
        <v>0</v>
      </c>
      <c r="AQ13" s="19">
        <v>0</v>
      </c>
      <c r="AR13" s="19">
        <v>0</v>
      </c>
      <c r="AS13" s="19">
        <v>0</v>
      </c>
      <c r="AT13" s="19">
        <v>0</v>
      </c>
      <c r="AU13" s="19">
        <v>0</v>
      </c>
      <c r="AV13" s="19">
        <v>0</v>
      </c>
      <c r="AW13" s="19">
        <v>0</v>
      </c>
    </row>
    <row r="14" spans="1:49" ht="17" customHeight="1">
      <c r="A14" s="11" t="s">
        <v>2888</v>
      </c>
      <c r="B14" s="11" t="s">
        <v>2889</v>
      </c>
      <c r="C14" s="14" t="s">
        <v>2867</v>
      </c>
      <c r="D14" s="14" t="s">
        <v>2868</v>
      </c>
      <c r="E14" s="14" t="s">
        <v>2880</v>
      </c>
      <c r="F14" s="14"/>
      <c r="G14" s="14"/>
      <c r="H14" s="14" t="s">
        <v>2881</v>
      </c>
      <c r="I14" s="14"/>
      <c r="J14" s="14"/>
      <c r="K14" s="14"/>
      <c r="L14" s="14"/>
      <c r="M14" s="14"/>
      <c r="N14" s="14"/>
      <c r="O14" s="14"/>
      <c r="P14" s="14"/>
      <c r="Q14" s="14"/>
      <c r="R14" s="14"/>
      <c r="S14" s="14"/>
      <c r="T14" s="14"/>
      <c r="U14" s="14"/>
      <c r="V14" s="15"/>
      <c r="W14" s="14"/>
      <c r="X14" s="14"/>
      <c r="Y14" s="14"/>
      <c r="Z14" s="14"/>
      <c r="AA14" s="14"/>
      <c r="AB14" s="14"/>
      <c r="AC14" s="14"/>
      <c r="AD14" s="14"/>
      <c r="AE14" s="14"/>
      <c r="AF14" s="14"/>
      <c r="AG14" s="14"/>
      <c r="AH14" s="14" t="s">
        <v>2879</v>
      </c>
      <c r="AI14" s="14"/>
      <c r="AJ14" s="16">
        <v>0.29026695178312761</v>
      </c>
      <c r="AK14" s="14">
        <v>1</v>
      </c>
      <c r="AL14" s="14">
        <v>0</v>
      </c>
      <c r="AM14" s="14">
        <v>35</v>
      </c>
      <c r="AN14" s="17">
        <v>0</v>
      </c>
      <c r="AO14" s="17">
        <v>7.7925925925925927E-4</v>
      </c>
      <c r="AP14" s="17">
        <v>0</v>
      </c>
      <c r="AQ14" s="17">
        <v>0</v>
      </c>
      <c r="AR14" s="17">
        <v>0</v>
      </c>
      <c r="AS14" s="17">
        <v>0</v>
      </c>
      <c r="AT14" s="17">
        <v>0</v>
      </c>
      <c r="AU14" s="17">
        <v>0</v>
      </c>
      <c r="AV14" s="17">
        <v>0</v>
      </c>
      <c r="AW14" s="17">
        <v>0</v>
      </c>
    </row>
    <row r="15" spans="1:49" ht="17" customHeight="1">
      <c r="A15" s="11" t="s">
        <v>2890</v>
      </c>
      <c r="B15" s="11" t="s">
        <v>2889</v>
      </c>
      <c r="C15" s="14" t="s">
        <v>2867</v>
      </c>
      <c r="D15" s="14" t="s">
        <v>2868</v>
      </c>
      <c r="E15" s="14" t="s">
        <v>2880</v>
      </c>
      <c r="F15" s="14"/>
      <c r="G15" s="14"/>
      <c r="H15" s="14" t="s">
        <v>2881</v>
      </c>
      <c r="I15" s="14"/>
      <c r="J15" s="14"/>
      <c r="K15" s="14"/>
      <c r="L15" s="14"/>
      <c r="M15" s="14"/>
      <c r="N15" s="14"/>
      <c r="O15" s="14"/>
      <c r="P15" s="14"/>
      <c r="Q15" s="14"/>
      <c r="R15" s="14"/>
      <c r="S15" s="14"/>
      <c r="T15" s="14"/>
      <c r="U15" s="14"/>
      <c r="V15" s="15"/>
      <c r="W15" s="14"/>
      <c r="X15" s="14"/>
      <c r="Y15" s="14"/>
      <c r="Z15" s="14"/>
      <c r="AA15" s="14"/>
      <c r="AB15" s="14"/>
      <c r="AC15" s="14"/>
      <c r="AD15" s="14"/>
      <c r="AE15" s="14"/>
      <c r="AF15" s="14"/>
      <c r="AG15" s="14"/>
      <c r="AH15" s="14" t="s">
        <v>2879</v>
      </c>
      <c r="AI15" s="14"/>
      <c r="AJ15" s="16">
        <v>0.29026695178312761</v>
      </c>
      <c r="AK15" s="14">
        <v>1</v>
      </c>
      <c r="AL15" s="14">
        <v>0</v>
      </c>
      <c r="AM15" s="14">
        <v>35</v>
      </c>
      <c r="AN15" s="17">
        <v>0</v>
      </c>
      <c r="AO15" s="17">
        <v>7.7925925925925927E-4</v>
      </c>
      <c r="AP15" s="17">
        <v>0</v>
      </c>
      <c r="AQ15" s="17">
        <v>0</v>
      </c>
      <c r="AR15" s="17">
        <v>0</v>
      </c>
      <c r="AS15" s="17">
        <v>0</v>
      </c>
      <c r="AT15" s="17">
        <v>0</v>
      </c>
      <c r="AU15" s="17">
        <v>0</v>
      </c>
      <c r="AV15" s="17">
        <v>0</v>
      </c>
      <c r="AW15" s="17">
        <v>0</v>
      </c>
    </row>
    <row r="16" spans="1:49" ht="17" customHeight="1">
      <c r="A16" s="11" t="s">
        <v>2891</v>
      </c>
      <c r="B16" s="11" t="s">
        <v>2892</v>
      </c>
      <c r="C16" s="14" t="s">
        <v>2867</v>
      </c>
      <c r="D16" s="14" t="s">
        <v>2868</v>
      </c>
      <c r="E16" s="14" t="s">
        <v>2880</v>
      </c>
      <c r="F16" s="14"/>
      <c r="G16" s="14"/>
      <c r="H16" s="14" t="s">
        <v>2881</v>
      </c>
      <c r="I16" s="14"/>
      <c r="J16" s="14"/>
      <c r="K16" s="14"/>
      <c r="L16" s="14"/>
      <c r="M16" s="14"/>
      <c r="N16" s="14"/>
      <c r="O16" s="14"/>
      <c r="P16" s="14"/>
      <c r="Q16" s="14"/>
      <c r="R16" s="14"/>
      <c r="S16" s="14"/>
      <c r="T16" s="14"/>
      <c r="U16" s="14"/>
      <c r="V16" s="15"/>
      <c r="W16" s="14"/>
      <c r="X16" s="14"/>
      <c r="Y16" s="14"/>
      <c r="Z16" s="14"/>
      <c r="AA16" s="14"/>
      <c r="AB16" s="14"/>
      <c r="AC16" s="14"/>
      <c r="AD16" s="14"/>
      <c r="AE16" s="14"/>
      <c r="AF16" s="14"/>
      <c r="AG16" s="14"/>
      <c r="AH16" s="14" t="s">
        <v>2879</v>
      </c>
      <c r="AI16" s="14"/>
      <c r="AJ16" s="16">
        <v>0.29026695178312761</v>
      </c>
      <c r="AK16" s="14">
        <v>1</v>
      </c>
      <c r="AL16" s="14">
        <v>0</v>
      </c>
      <c r="AM16" s="14">
        <v>35</v>
      </c>
      <c r="AN16" s="17">
        <v>0</v>
      </c>
      <c r="AO16" s="17">
        <v>7.7925925925925927E-4</v>
      </c>
      <c r="AP16" s="17">
        <v>0</v>
      </c>
      <c r="AQ16" s="17">
        <v>0</v>
      </c>
      <c r="AR16" s="17">
        <v>0</v>
      </c>
      <c r="AS16" s="17">
        <v>0</v>
      </c>
      <c r="AT16" s="17">
        <v>0</v>
      </c>
      <c r="AU16" s="17">
        <v>0</v>
      </c>
      <c r="AV16" s="17">
        <v>0</v>
      </c>
      <c r="AW16" s="17">
        <v>0</v>
      </c>
    </row>
    <row r="17" spans="1:49" ht="17" customHeight="1">
      <c r="A17" s="11" t="s">
        <v>2893</v>
      </c>
      <c r="B17" s="11" t="s">
        <v>2892</v>
      </c>
      <c r="C17" s="14" t="s">
        <v>2867</v>
      </c>
      <c r="D17" s="14" t="s">
        <v>2868</v>
      </c>
      <c r="E17" s="14" t="s">
        <v>2880</v>
      </c>
      <c r="F17" s="14"/>
      <c r="G17" s="14"/>
      <c r="H17" s="14" t="s">
        <v>2881</v>
      </c>
      <c r="I17" s="14"/>
      <c r="J17" s="14"/>
      <c r="K17" s="14"/>
      <c r="L17" s="14"/>
      <c r="M17" s="14"/>
      <c r="N17" s="14"/>
      <c r="O17" s="14"/>
      <c r="P17" s="14"/>
      <c r="Q17" s="14"/>
      <c r="R17" s="14"/>
      <c r="S17" s="14"/>
      <c r="T17" s="14"/>
      <c r="U17" s="14"/>
      <c r="V17" s="15"/>
      <c r="W17" s="14"/>
      <c r="X17" s="14"/>
      <c r="Y17" s="14"/>
      <c r="Z17" s="14"/>
      <c r="AA17" s="14"/>
      <c r="AB17" s="14"/>
      <c r="AC17" s="14"/>
      <c r="AD17" s="14"/>
      <c r="AE17" s="14"/>
      <c r="AF17" s="14"/>
      <c r="AG17" s="14"/>
      <c r="AH17" s="14" t="s">
        <v>2879</v>
      </c>
      <c r="AI17" s="14"/>
      <c r="AJ17" s="16">
        <v>0.29026695178312761</v>
      </c>
      <c r="AK17" s="14">
        <v>1</v>
      </c>
      <c r="AL17" s="14">
        <v>0</v>
      </c>
      <c r="AM17" s="14">
        <v>35</v>
      </c>
      <c r="AN17" s="17">
        <v>0</v>
      </c>
      <c r="AO17" s="17">
        <v>7.7925925925925927E-4</v>
      </c>
      <c r="AP17" s="17">
        <v>0</v>
      </c>
      <c r="AQ17" s="17">
        <v>0</v>
      </c>
      <c r="AR17" s="17">
        <v>0</v>
      </c>
      <c r="AS17" s="17">
        <v>0</v>
      </c>
      <c r="AT17" s="17">
        <v>0</v>
      </c>
      <c r="AU17" s="17">
        <v>0</v>
      </c>
      <c r="AV17" s="17">
        <v>0</v>
      </c>
      <c r="AW17" s="17">
        <v>0</v>
      </c>
    </row>
    <row r="18" spans="1:49" ht="17" customHeight="1">
      <c r="A18" s="11" t="s">
        <v>2894</v>
      </c>
      <c r="B18" s="11" t="s">
        <v>2895</v>
      </c>
      <c r="C18" s="14" t="s">
        <v>2867</v>
      </c>
      <c r="D18" s="14" t="s">
        <v>2868</v>
      </c>
      <c r="E18" s="14" t="s">
        <v>2880</v>
      </c>
      <c r="F18" s="14"/>
      <c r="G18" s="14"/>
      <c r="H18" s="14" t="s">
        <v>2881</v>
      </c>
      <c r="I18" s="14"/>
      <c r="J18" s="14"/>
      <c r="K18" s="14"/>
      <c r="L18" s="14"/>
      <c r="M18" s="14"/>
      <c r="N18" s="14"/>
      <c r="O18" s="14"/>
      <c r="P18" s="14"/>
      <c r="Q18" s="14"/>
      <c r="R18" s="14"/>
      <c r="S18" s="14"/>
      <c r="T18" s="14"/>
      <c r="U18" s="14"/>
      <c r="V18" s="15"/>
      <c r="W18" s="14"/>
      <c r="X18" s="14"/>
      <c r="Y18" s="14"/>
      <c r="Z18" s="14"/>
      <c r="AA18" s="14"/>
      <c r="AB18" s="14"/>
      <c r="AC18" s="14"/>
      <c r="AD18" s="14"/>
      <c r="AE18" s="14"/>
      <c r="AF18" s="14"/>
      <c r="AG18" s="14"/>
      <c r="AH18" s="14" t="s">
        <v>2879</v>
      </c>
      <c r="AI18" s="14"/>
      <c r="AJ18" s="16">
        <v>0.29026695178312761</v>
      </c>
      <c r="AK18" s="14">
        <v>1</v>
      </c>
      <c r="AL18" s="14">
        <v>0</v>
      </c>
      <c r="AM18" s="14">
        <v>35</v>
      </c>
      <c r="AN18" s="17">
        <v>0</v>
      </c>
      <c r="AO18" s="17">
        <v>7.7925925925925927E-4</v>
      </c>
      <c r="AP18" s="17">
        <v>0</v>
      </c>
      <c r="AQ18" s="17">
        <v>0</v>
      </c>
      <c r="AR18" s="17">
        <v>0</v>
      </c>
      <c r="AS18" s="17">
        <v>0</v>
      </c>
      <c r="AT18" s="17">
        <v>0</v>
      </c>
      <c r="AU18" s="17">
        <v>0</v>
      </c>
      <c r="AV18" s="17">
        <v>0</v>
      </c>
      <c r="AW18" s="17">
        <v>0</v>
      </c>
    </row>
    <row r="19" spans="1:49" ht="17" customHeight="1">
      <c r="A19" s="11" t="s">
        <v>2896</v>
      </c>
      <c r="B19" s="11" t="s">
        <v>2895</v>
      </c>
      <c r="C19" s="14" t="s">
        <v>2867</v>
      </c>
      <c r="D19" s="14" t="s">
        <v>2868</v>
      </c>
      <c r="E19" s="14" t="s">
        <v>2880</v>
      </c>
      <c r="F19" s="14"/>
      <c r="G19" s="14"/>
      <c r="H19" s="14" t="s">
        <v>2881</v>
      </c>
      <c r="I19" s="14"/>
      <c r="J19" s="14"/>
      <c r="K19" s="14"/>
      <c r="L19" s="14"/>
      <c r="M19" s="14"/>
      <c r="N19" s="14"/>
      <c r="O19" s="14"/>
      <c r="P19" s="14"/>
      <c r="Q19" s="14"/>
      <c r="R19" s="14"/>
      <c r="S19" s="14"/>
      <c r="T19" s="14"/>
      <c r="U19" s="14"/>
      <c r="V19" s="15"/>
      <c r="W19" s="14"/>
      <c r="X19" s="14"/>
      <c r="Y19" s="14"/>
      <c r="Z19" s="14"/>
      <c r="AA19" s="14"/>
      <c r="AB19" s="14"/>
      <c r="AC19" s="14"/>
      <c r="AD19" s="14"/>
      <c r="AE19" s="14"/>
      <c r="AF19" s="14"/>
      <c r="AG19" s="14"/>
      <c r="AH19" s="14" t="s">
        <v>2879</v>
      </c>
      <c r="AI19" s="14"/>
      <c r="AJ19" s="16">
        <v>0.29026695178312761</v>
      </c>
      <c r="AK19" s="14">
        <v>1</v>
      </c>
      <c r="AL19" s="14">
        <v>0</v>
      </c>
      <c r="AM19" s="14">
        <v>35</v>
      </c>
      <c r="AN19" s="17">
        <v>0</v>
      </c>
      <c r="AO19" s="17">
        <v>7.7925925925925927E-4</v>
      </c>
      <c r="AP19" s="17">
        <v>0</v>
      </c>
      <c r="AQ19" s="17">
        <v>0</v>
      </c>
      <c r="AR19" s="17">
        <v>0</v>
      </c>
      <c r="AS19" s="17">
        <v>0</v>
      </c>
      <c r="AT19" s="17">
        <v>0</v>
      </c>
      <c r="AU19" s="17">
        <v>0</v>
      </c>
      <c r="AV19" s="17">
        <v>0</v>
      </c>
      <c r="AW19" s="17">
        <v>0</v>
      </c>
    </row>
    <row r="20" spans="1:49" ht="17" customHeight="1">
      <c r="A20" s="11" t="s">
        <v>2897</v>
      </c>
      <c r="B20" s="11" t="s">
        <v>2898</v>
      </c>
      <c r="C20" s="14" t="s">
        <v>2867</v>
      </c>
      <c r="D20" s="14" t="s">
        <v>2868</v>
      </c>
      <c r="E20" s="14" t="s">
        <v>2880</v>
      </c>
      <c r="F20" s="14"/>
      <c r="G20" s="14"/>
      <c r="H20" s="14" t="s">
        <v>2881</v>
      </c>
      <c r="I20" s="14"/>
      <c r="J20" s="14"/>
      <c r="K20" s="14"/>
      <c r="L20" s="14"/>
      <c r="M20" s="14"/>
      <c r="N20" s="14"/>
      <c r="O20" s="14"/>
      <c r="P20" s="14"/>
      <c r="Q20" s="14"/>
      <c r="R20" s="14"/>
      <c r="S20" s="14"/>
      <c r="T20" s="14"/>
      <c r="U20" s="14"/>
      <c r="V20" s="15"/>
      <c r="W20" s="14"/>
      <c r="X20" s="14"/>
      <c r="Y20" s="14"/>
      <c r="Z20" s="14"/>
      <c r="AA20" s="14"/>
      <c r="AB20" s="14"/>
      <c r="AC20" s="14"/>
      <c r="AD20" s="14"/>
      <c r="AE20" s="14"/>
      <c r="AF20" s="14"/>
      <c r="AG20" s="14"/>
      <c r="AH20" s="14" t="s">
        <v>2879</v>
      </c>
      <c r="AI20" s="14"/>
      <c r="AJ20" s="16">
        <v>0.29026695178312761</v>
      </c>
      <c r="AK20" s="14">
        <v>1</v>
      </c>
      <c r="AL20" s="14">
        <v>0</v>
      </c>
      <c r="AM20" s="14">
        <v>35</v>
      </c>
      <c r="AN20" s="17">
        <v>0</v>
      </c>
      <c r="AO20" s="17">
        <v>7.7925925925925927E-4</v>
      </c>
      <c r="AP20" s="17">
        <v>0</v>
      </c>
      <c r="AQ20" s="17">
        <v>0</v>
      </c>
      <c r="AR20" s="17">
        <v>0</v>
      </c>
      <c r="AS20" s="17">
        <v>0</v>
      </c>
      <c r="AT20" s="17">
        <v>0</v>
      </c>
      <c r="AU20" s="17">
        <v>0</v>
      </c>
      <c r="AV20" s="17">
        <v>0</v>
      </c>
      <c r="AW20" s="17">
        <v>0</v>
      </c>
    </row>
    <row r="21" spans="1:49" ht="17" customHeight="1">
      <c r="A21" s="11" t="s">
        <v>2899</v>
      </c>
      <c r="B21" s="11" t="s">
        <v>2898</v>
      </c>
      <c r="C21" s="14" t="s">
        <v>2867</v>
      </c>
      <c r="D21" s="14" t="s">
        <v>2868</v>
      </c>
      <c r="E21" s="14" t="s">
        <v>2880</v>
      </c>
      <c r="F21" s="14"/>
      <c r="G21" s="14"/>
      <c r="H21" s="14" t="s">
        <v>2881</v>
      </c>
      <c r="I21" s="14"/>
      <c r="J21" s="14"/>
      <c r="K21" s="14"/>
      <c r="L21" s="14"/>
      <c r="M21" s="14"/>
      <c r="N21" s="14"/>
      <c r="O21" s="14"/>
      <c r="P21" s="14"/>
      <c r="Q21" s="14"/>
      <c r="R21" s="14"/>
      <c r="S21" s="14"/>
      <c r="T21" s="14"/>
      <c r="U21" s="14"/>
      <c r="V21" s="15"/>
      <c r="W21" s="14"/>
      <c r="X21" s="14"/>
      <c r="Y21" s="14"/>
      <c r="Z21" s="14"/>
      <c r="AA21" s="14"/>
      <c r="AB21" s="14"/>
      <c r="AC21" s="14"/>
      <c r="AD21" s="14"/>
      <c r="AE21" s="14"/>
      <c r="AF21" s="14"/>
      <c r="AG21" s="14"/>
      <c r="AH21" s="14" t="s">
        <v>2879</v>
      </c>
      <c r="AI21" s="14"/>
      <c r="AJ21" s="16">
        <v>0.29026695178312761</v>
      </c>
      <c r="AK21" s="14">
        <v>1</v>
      </c>
      <c r="AL21" s="14">
        <v>0</v>
      </c>
      <c r="AM21" s="14">
        <v>35</v>
      </c>
      <c r="AN21" s="17">
        <v>0</v>
      </c>
      <c r="AO21" s="17">
        <v>7.7925925925925927E-4</v>
      </c>
      <c r="AP21" s="17">
        <v>0</v>
      </c>
      <c r="AQ21" s="17">
        <v>0</v>
      </c>
      <c r="AR21" s="17">
        <v>0</v>
      </c>
      <c r="AS21" s="17">
        <v>0</v>
      </c>
      <c r="AT21" s="17">
        <v>0</v>
      </c>
      <c r="AU21" s="17">
        <v>0</v>
      </c>
      <c r="AV21" s="17">
        <v>0</v>
      </c>
      <c r="AW21" s="17">
        <v>0</v>
      </c>
    </row>
    <row r="22" spans="1:49" ht="17" customHeight="1">
      <c r="A22" s="11" t="s">
        <v>2900</v>
      </c>
      <c r="B22" s="11" t="s">
        <v>2900</v>
      </c>
      <c r="C22" s="18" t="s">
        <v>2867</v>
      </c>
      <c r="D22" s="18" t="s">
        <v>2868</v>
      </c>
      <c r="E22" s="18" t="s">
        <v>2871</v>
      </c>
      <c r="F22" s="18"/>
      <c r="G22" s="14"/>
      <c r="H22" s="14"/>
      <c r="I22" s="14"/>
      <c r="J22" s="14" t="s">
        <v>2872</v>
      </c>
      <c r="K22" s="14"/>
      <c r="L22" s="14">
        <v>76</v>
      </c>
      <c r="M22" s="18">
        <v>125</v>
      </c>
      <c r="N22" s="14">
        <v>5</v>
      </c>
      <c r="O22" s="14"/>
      <c r="P22" s="14">
        <v>5.9</v>
      </c>
      <c r="Q22" s="14">
        <v>96</v>
      </c>
      <c r="R22" s="14"/>
      <c r="S22" s="14"/>
      <c r="T22" s="14"/>
      <c r="U22" s="14"/>
      <c r="V22" s="15">
        <v>4.3299999999999996E-3</v>
      </c>
      <c r="W22" s="14" t="s">
        <v>2873</v>
      </c>
      <c r="X22" s="14"/>
      <c r="Y22" s="14"/>
      <c r="Z22" s="14"/>
      <c r="AA22" s="14"/>
      <c r="AB22" s="14" t="s">
        <v>2874</v>
      </c>
      <c r="AC22" s="14"/>
      <c r="AD22" s="14"/>
      <c r="AE22" s="14"/>
      <c r="AF22" s="14"/>
      <c r="AG22" s="14"/>
      <c r="AH22" s="18" t="s">
        <v>2886</v>
      </c>
      <c r="AI22" s="14"/>
      <c r="AJ22" s="16">
        <v>9.9729999999999999E-2</v>
      </c>
      <c r="AK22" s="18">
        <v>1</v>
      </c>
      <c r="AL22" s="14">
        <v>-5</v>
      </c>
      <c r="AM22" s="14">
        <v>5</v>
      </c>
      <c r="AN22" s="19">
        <v>0</v>
      </c>
      <c r="AO22" s="19">
        <v>8.6366179999999978E-5</v>
      </c>
      <c r="AP22" s="19">
        <v>0</v>
      </c>
      <c r="AQ22" s="19">
        <v>0</v>
      </c>
      <c r="AR22" s="19">
        <v>0</v>
      </c>
      <c r="AS22" s="19">
        <v>0</v>
      </c>
      <c r="AT22" s="19">
        <v>0</v>
      </c>
      <c r="AU22" s="19">
        <v>0</v>
      </c>
      <c r="AV22" s="19">
        <v>0</v>
      </c>
      <c r="AW22" s="19">
        <v>0</v>
      </c>
    </row>
    <row r="23" spans="1:49" ht="17" customHeight="1">
      <c r="A23" s="11" t="s">
        <v>2901</v>
      </c>
      <c r="B23" s="11" t="s">
        <v>2901</v>
      </c>
      <c r="C23" s="18" t="s">
        <v>2867</v>
      </c>
      <c r="D23" s="18" t="s">
        <v>2868</v>
      </c>
      <c r="E23" s="18" t="s">
        <v>2871</v>
      </c>
      <c r="F23" s="18"/>
      <c r="G23" s="14"/>
      <c r="H23" s="14"/>
      <c r="I23" s="14"/>
      <c r="J23" s="14" t="s">
        <v>2872</v>
      </c>
      <c r="K23" s="14"/>
      <c r="L23" s="14">
        <v>76</v>
      </c>
      <c r="M23" s="18">
        <v>125</v>
      </c>
      <c r="N23" s="14">
        <v>5</v>
      </c>
      <c r="O23" s="14"/>
      <c r="P23" s="14">
        <v>5.9</v>
      </c>
      <c r="Q23" s="14">
        <v>96</v>
      </c>
      <c r="R23" s="14"/>
      <c r="S23" s="14"/>
      <c r="T23" s="14"/>
      <c r="U23" s="14"/>
      <c r="V23" s="15">
        <v>4.3299999999999996E-3</v>
      </c>
      <c r="W23" s="14" t="s">
        <v>2873</v>
      </c>
      <c r="X23" s="14"/>
      <c r="Y23" s="14"/>
      <c r="Z23" s="14"/>
      <c r="AA23" s="14"/>
      <c r="AB23" s="14" t="s">
        <v>2874</v>
      </c>
      <c r="AC23" s="14"/>
      <c r="AD23" s="14"/>
      <c r="AE23" s="14"/>
      <c r="AF23" s="14"/>
      <c r="AG23" s="14"/>
      <c r="AH23" s="18" t="s">
        <v>2886</v>
      </c>
      <c r="AI23" s="14"/>
      <c r="AJ23" s="16">
        <v>9.9729999999999999E-2</v>
      </c>
      <c r="AK23" s="18">
        <v>1</v>
      </c>
      <c r="AL23" s="14">
        <v>-5</v>
      </c>
      <c r="AM23" s="14">
        <v>5</v>
      </c>
      <c r="AN23" s="19">
        <v>0</v>
      </c>
      <c r="AO23" s="19">
        <v>8.6366179999999978E-5</v>
      </c>
      <c r="AP23" s="19">
        <v>0</v>
      </c>
      <c r="AQ23" s="19">
        <v>0</v>
      </c>
      <c r="AR23" s="19">
        <v>0</v>
      </c>
      <c r="AS23" s="19">
        <v>0</v>
      </c>
      <c r="AT23" s="19">
        <v>0</v>
      </c>
      <c r="AU23" s="19">
        <v>0</v>
      </c>
      <c r="AV23" s="19">
        <v>0</v>
      </c>
      <c r="AW23" s="19">
        <v>0</v>
      </c>
    </row>
    <row r="24" spans="1:49" ht="17" customHeight="1">
      <c r="A24" s="11" t="s">
        <v>2902</v>
      </c>
      <c r="B24" s="11" t="s">
        <v>2903</v>
      </c>
      <c r="C24" s="14" t="s">
        <v>2867</v>
      </c>
      <c r="D24" s="14" t="s">
        <v>2868</v>
      </c>
      <c r="E24" s="14" t="s">
        <v>2880</v>
      </c>
      <c r="F24" s="14"/>
      <c r="G24" s="14"/>
      <c r="H24" s="14" t="s">
        <v>2881</v>
      </c>
      <c r="I24" s="14"/>
      <c r="J24" s="14"/>
      <c r="K24" s="14"/>
      <c r="L24" s="14"/>
      <c r="M24" s="14"/>
      <c r="N24" s="14"/>
      <c r="O24" s="14"/>
      <c r="P24" s="14"/>
      <c r="Q24" s="14"/>
      <c r="R24" s="14"/>
      <c r="S24" s="14"/>
      <c r="T24" s="14"/>
      <c r="U24" s="14"/>
      <c r="V24" s="15"/>
      <c r="W24" s="14"/>
      <c r="X24" s="14"/>
      <c r="Y24" s="14"/>
      <c r="Z24" s="14"/>
      <c r="AA24" s="14"/>
      <c r="AB24" s="14"/>
      <c r="AC24" s="14"/>
      <c r="AD24" s="14"/>
      <c r="AE24" s="14"/>
      <c r="AF24" s="14"/>
      <c r="AG24" s="14"/>
      <c r="AH24" s="14" t="s">
        <v>2879</v>
      </c>
      <c r="AI24" s="14"/>
      <c r="AJ24" s="16">
        <v>0.29026695178312761</v>
      </c>
      <c r="AK24" s="14">
        <v>1</v>
      </c>
      <c r="AL24" s="14">
        <v>0</v>
      </c>
      <c r="AM24" s="14">
        <v>35</v>
      </c>
      <c r="AN24" s="17">
        <v>0</v>
      </c>
      <c r="AO24" s="17">
        <v>7.7925925925925927E-4</v>
      </c>
      <c r="AP24" s="17">
        <v>0</v>
      </c>
      <c r="AQ24" s="17">
        <v>0</v>
      </c>
      <c r="AR24" s="17">
        <v>0</v>
      </c>
      <c r="AS24" s="17">
        <v>0</v>
      </c>
      <c r="AT24" s="17">
        <v>0</v>
      </c>
      <c r="AU24" s="17">
        <v>0</v>
      </c>
      <c r="AV24" s="17">
        <v>0</v>
      </c>
      <c r="AW24" s="17">
        <v>0</v>
      </c>
    </row>
    <row r="25" spans="1:49" ht="17" customHeight="1">
      <c r="A25" s="11" t="s">
        <v>2904</v>
      </c>
      <c r="B25" s="11" t="s">
        <v>2903</v>
      </c>
      <c r="C25" s="14" t="s">
        <v>2867</v>
      </c>
      <c r="D25" s="14" t="s">
        <v>2868</v>
      </c>
      <c r="E25" s="14" t="s">
        <v>2880</v>
      </c>
      <c r="F25" s="14"/>
      <c r="G25" s="14"/>
      <c r="H25" s="14" t="s">
        <v>2881</v>
      </c>
      <c r="I25" s="14"/>
      <c r="J25" s="14"/>
      <c r="K25" s="14"/>
      <c r="L25" s="14"/>
      <c r="M25" s="14"/>
      <c r="N25" s="14"/>
      <c r="O25" s="14"/>
      <c r="P25" s="14"/>
      <c r="Q25" s="14"/>
      <c r="R25" s="14"/>
      <c r="S25" s="14"/>
      <c r="T25" s="14"/>
      <c r="U25" s="14"/>
      <c r="V25" s="15"/>
      <c r="W25" s="14"/>
      <c r="X25" s="14"/>
      <c r="Y25" s="14"/>
      <c r="Z25" s="14"/>
      <c r="AA25" s="14"/>
      <c r="AB25" s="14"/>
      <c r="AC25" s="14"/>
      <c r="AD25" s="14"/>
      <c r="AE25" s="14"/>
      <c r="AF25" s="14"/>
      <c r="AG25" s="14"/>
      <c r="AH25" s="14" t="s">
        <v>2879</v>
      </c>
      <c r="AI25" s="14"/>
      <c r="AJ25" s="16">
        <v>0.29026695178312761</v>
      </c>
      <c r="AK25" s="14">
        <v>1</v>
      </c>
      <c r="AL25" s="14">
        <v>0</v>
      </c>
      <c r="AM25" s="14">
        <v>35</v>
      </c>
      <c r="AN25" s="17">
        <v>0</v>
      </c>
      <c r="AO25" s="17">
        <v>7.7925925925925927E-4</v>
      </c>
      <c r="AP25" s="17">
        <v>0</v>
      </c>
      <c r="AQ25" s="17">
        <v>0</v>
      </c>
      <c r="AR25" s="17">
        <v>0</v>
      </c>
      <c r="AS25" s="17">
        <v>0</v>
      </c>
      <c r="AT25" s="17">
        <v>0</v>
      </c>
      <c r="AU25" s="17">
        <v>0</v>
      </c>
      <c r="AV25" s="17">
        <v>0</v>
      </c>
      <c r="AW25" s="17">
        <v>0</v>
      </c>
    </row>
    <row r="26" spans="1:49" ht="17" customHeight="1">
      <c r="A26" s="11" t="s">
        <v>2905</v>
      </c>
      <c r="B26" s="11" t="s">
        <v>2905</v>
      </c>
      <c r="C26" s="14" t="s">
        <v>2867</v>
      </c>
      <c r="D26" s="14" t="s">
        <v>2868</v>
      </c>
      <c r="E26" s="14" t="s">
        <v>2880</v>
      </c>
      <c r="F26" s="14"/>
      <c r="G26" s="14"/>
      <c r="H26" s="14" t="s">
        <v>2881</v>
      </c>
      <c r="I26" s="14"/>
      <c r="J26" s="14"/>
      <c r="K26" s="14"/>
      <c r="L26" s="14"/>
      <c r="M26" s="14"/>
      <c r="N26" s="14"/>
      <c r="O26" s="14"/>
      <c r="P26" s="14"/>
      <c r="Q26" s="14"/>
      <c r="R26" s="14"/>
      <c r="S26" s="14"/>
      <c r="T26" s="14"/>
      <c r="U26" s="14"/>
      <c r="V26" s="15"/>
      <c r="W26" s="14"/>
      <c r="X26" s="14"/>
      <c r="Y26" s="14"/>
      <c r="Z26" s="14"/>
      <c r="AA26" s="14"/>
      <c r="AB26" s="14"/>
      <c r="AC26" s="14"/>
      <c r="AD26" s="14"/>
      <c r="AE26" s="14"/>
      <c r="AF26" s="14"/>
      <c r="AG26" s="14"/>
      <c r="AH26" s="14" t="s">
        <v>2905</v>
      </c>
      <c r="AI26" s="14"/>
      <c r="AJ26" s="16">
        <v>0.33007660393922661</v>
      </c>
      <c r="AK26" s="14">
        <v>1</v>
      </c>
      <c r="AL26" s="14">
        <v>0</v>
      </c>
      <c r="AM26" s="14">
        <v>35</v>
      </c>
      <c r="AN26" s="17">
        <v>0</v>
      </c>
      <c r="AO26" s="17">
        <v>8.6337037037037035E-4</v>
      </c>
      <c r="AP26" s="17">
        <v>0</v>
      </c>
      <c r="AQ26" s="17">
        <v>0</v>
      </c>
      <c r="AR26" s="17">
        <v>0</v>
      </c>
      <c r="AS26" s="17">
        <v>0</v>
      </c>
      <c r="AT26" s="17">
        <v>0</v>
      </c>
      <c r="AU26" s="17">
        <v>0</v>
      </c>
      <c r="AV26" s="17">
        <v>0</v>
      </c>
      <c r="AW26" s="17">
        <v>0</v>
      </c>
    </row>
    <row r="27" spans="1:49" ht="17" customHeight="1">
      <c r="A27" s="11" t="s">
        <v>2906</v>
      </c>
      <c r="B27" s="11" t="s">
        <v>2906</v>
      </c>
      <c r="C27" s="14" t="s">
        <v>2867</v>
      </c>
      <c r="D27" s="14" t="s">
        <v>2868</v>
      </c>
      <c r="E27" s="14" t="s">
        <v>2880</v>
      </c>
      <c r="F27" s="14"/>
      <c r="G27" s="14"/>
      <c r="H27" s="14" t="s">
        <v>2881</v>
      </c>
      <c r="I27" s="14"/>
      <c r="J27" s="14"/>
      <c r="K27" s="14"/>
      <c r="L27" s="14"/>
      <c r="M27" s="14"/>
      <c r="N27" s="14"/>
      <c r="O27" s="14"/>
      <c r="P27" s="14"/>
      <c r="Q27" s="14"/>
      <c r="R27" s="14"/>
      <c r="S27" s="14"/>
      <c r="T27" s="14"/>
      <c r="U27" s="14"/>
      <c r="V27" s="15"/>
      <c r="W27" s="14"/>
      <c r="X27" s="14"/>
      <c r="Y27" s="14"/>
      <c r="Z27" s="14"/>
      <c r="AA27" s="14"/>
      <c r="AB27" s="14"/>
      <c r="AC27" s="14"/>
      <c r="AD27" s="14"/>
      <c r="AE27" s="14"/>
      <c r="AF27" s="14"/>
      <c r="AG27" s="14"/>
      <c r="AH27" s="14" t="s">
        <v>2905</v>
      </c>
      <c r="AI27" s="14"/>
      <c r="AJ27" s="16">
        <v>0.33007660393922661</v>
      </c>
      <c r="AK27" s="14">
        <v>1</v>
      </c>
      <c r="AL27" s="14">
        <v>0</v>
      </c>
      <c r="AM27" s="14">
        <v>35</v>
      </c>
      <c r="AN27" s="17">
        <v>0</v>
      </c>
      <c r="AO27" s="17">
        <v>8.6337037037037035E-4</v>
      </c>
      <c r="AP27" s="17">
        <v>0</v>
      </c>
      <c r="AQ27" s="17">
        <v>0</v>
      </c>
      <c r="AR27" s="17">
        <v>0</v>
      </c>
      <c r="AS27" s="17">
        <v>0</v>
      </c>
      <c r="AT27" s="17">
        <v>0</v>
      </c>
      <c r="AU27" s="17">
        <v>0</v>
      </c>
      <c r="AV27" s="17">
        <v>0</v>
      </c>
      <c r="AW27" s="17">
        <v>0</v>
      </c>
    </row>
    <row r="28" spans="1:49" ht="17" customHeight="1">
      <c r="A28" s="11" t="s">
        <v>2907</v>
      </c>
      <c r="B28" s="11" t="s">
        <v>2907</v>
      </c>
      <c r="C28" s="14" t="s">
        <v>2867</v>
      </c>
      <c r="D28" s="14" t="s">
        <v>2868</v>
      </c>
      <c r="E28" s="14" t="s">
        <v>2880</v>
      </c>
      <c r="F28" s="14"/>
      <c r="G28" s="14"/>
      <c r="H28" s="14" t="s">
        <v>2881</v>
      </c>
      <c r="I28" s="14"/>
      <c r="J28" s="14"/>
      <c r="K28" s="14"/>
      <c r="L28" s="14"/>
      <c r="M28" s="14"/>
      <c r="N28" s="14"/>
      <c r="O28" s="14"/>
      <c r="P28" s="14"/>
      <c r="Q28" s="14"/>
      <c r="R28" s="14"/>
      <c r="S28" s="14"/>
      <c r="T28" s="14"/>
      <c r="U28" s="14"/>
      <c r="V28" s="15"/>
      <c r="W28" s="14"/>
      <c r="X28" s="14"/>
      <c r="Y28" s="14"/>
      <c r="Z28" s="14"/>
      <c r="AA28" s="14"/>
      <c r="AB28" s="14"/>
      <c r="AC28" s="14"/>
      <c r="AD28" s="14"/>
      <c r="AE28" s="14"/>
      <c r="AF28" s="14"/>
      <c r="AG28" s="14"/>
      <c r="AH28" s="14" t="s">
        <v>2905</v>
      </c>
      <c r="AI28" s="14"/>
      <c r="AJ28" s="16">
        <v>0.33007660393922661</v>
      </c>
      <c r="AK28" s="14">
        <v>1</v>
      </c>
      <c r="AL28" s="14">
        <v>0</v>
      </c>
      <c r="AM28" s="14">
        <v>35</v>
      </c>
      <c r="AN28" s="17">
        <v>0</v>
      </c>
      <c r="AO28" s="17">
        <v>8.6337037037037035E-4</v>
      </c>
      <c r="AP28" s="17">
        <v>0</v>
      </c>
      <c r="AQ28" s="17">
        <v>0</v>
      </c>
      <c r="AR28" s="17">
        <v>0</v>
      </c>
      <c r="AS28" s="17">
        <v>0</v>
      </c>
      <c r="AT28" s="17">
        <v>0</v>
      </c>
      <c r="AU28" s="17">
        <v>0</v>
      </c>
      <c r="AV28" s="17">
        <v>0</v>
      </c>
      <c r="AW28" s="17">
        <v>0</v>
      </c>
    </row>
    <row r="29" spans="1:49" ht="17" customHeight="1">
      <c r="A29" s="11" t="s">
        <v>2908</v>
      </c>
      <c r="B29" s="11" t="s">
        <v>2908</v>
      </c>
      <c r="C29" s="14" t="s">
        <v>2867</v>
      </c>
      <c r="D29" s="14" t="s">
        <v>2868</v>
      </c>
      <c r="E29" s="14" t="s">
        <v>2880</v>
      </c>
      <c r="F29" s="14"/>
      <c r="G29" s="14"/>
      <c r="H29" s="14" t="s">
        <v>2881</v>
      </c>
      <c r="I29" s="14"/>
      <c r="J29" s="14"/>
      <c r="K29" s="14"/>
      <c r="L29" s="14"/>
      <c r="M29" s="14"/>
      <c r="N29" s="14"/>
      <c r="O29" s="14"/>
      <c r="P29" s="14"/>
      <c r="Q29" s="14"/>
      <c r="R29" s="14"/>
      <c r="S29" s="14"/>
      <c r="T29" s="14"/>
      <c r="U29" s="14"/>
      <c r="V29" s="15"/>
      <c r="W29" s="14"/>
      <c r="X29" s="14"/>
      <c r="Y29" s="14"/>
      <c r="Z29" s="14"/>
      <c r="AA29" s="14"/>
      <c r="AB29" s="14"/>
      <c r="AC29" s="14"/>
      <c r="AD29" s="14"/>
      <c r="AE29" s="14"/>
      <c r="AF29" s="14"/>
      <c r="AG29" s="14"/>
      <c r="AH29" s="14" t="s">
        <v>2879</v>
      </c>
      <c r="AI29" s="14"/>
      <c r="AJ29" s="16">
        <v>0.29026695178312761</v>
      </c>
      <c r="AK29" s="14">
        <v>1</v>
      </c>
      <c r="AL29" s="14">
        <v>0</v>
      </c>
      <c r="AM29" s="14">
        <v>35</v>
      </c>
      <c r="AN29" s="17">
        <v>0</v>
      </c>
      <c r="AO29" s="17">
        <v>7.7925925925925927E-4</v>
      </c>
      <c r="AP29" s="17">
        <v>0</v>
      </c>
      <c r="AQ29" s="17">
        <v>0</v>
      </c>
      <c r="AR29" s="17">
        <v>0</v>
      </c>
      <c r="AS29" s="17">
        <v>0</v>
      </c>
      <c r="AT29" s="17">
        <v>0</v>
      </c>
      <c r="AU29" s="17">
        <v>0</v>
      </c>
      <c r="AV29" s="17">
        <v>0</v>
      </c>
      <c r="AW29" s="17">
        <v>0</v>
      </c>
    </row>
    <row r="30" spans="1:49" ht="17" customHeight="1">
      <c r="A30" s="11" t="s">
        <v>2909</v>
      </c>
      <c r="B30" s="11" t="s">
        <v>2910</v>
      </c>
      <c r="C30" s="14" t="s">
        <v>2867</v>
      </c>
      <c r="D30" s="14" t="s">
        <v>2868</v>
      </c>
      <c r="E30" s="14" t="s">
        <v>2880</v>
      </c>
      <c r="F30" s="14"/>
      <c r="G30" s="14"/>
      <c r="H30" s="14" t="s">
        <v>2881</v>
      </c>
      <c r="I30" s="14"/>
      <c r="J30" s="14"/>
      <c r="K30" s="14"/>
      <c r="L30" s="14"/>
      <c r="M30" s="14"/>
      <c r="N30" s="14"/>
      <c r="O30" s="14"/>
      <c r="P30" s="14"/>
      <c r="Q30" s="14"/>
      <c r="R30" s="14"/>
      <c r="S30" s="14"/>
      <c r="T30" s="14"/>
      <c r="U30" s="14"/>
      <c r="V30" s="15"/>
      <c r="W30" s="14"/>
      <c r="X30" s="14"/>
      <c r="Y30" s="14"/>
      <c r="Z30" s="14"/>
      <c r="AA30" s="14"/>
      <c r="AB30" s="14"/>
      <c r="AC30" s="14"/>
      <c r="AD30" s="14"/>
      <c r="AE30" s="14"/>
      <c r="AF30" s="14"/>
      <c r="AG30" s="14"/>
      <c r="AH30" s="14" t="s">
        <v>2879</v>
      </c>
      <c r="AI30" s="14"/>
      <c r="AJ30" s="16">
        <v>0.29026695178312761</v>
      </c>
      <c r="AK30" s="14">
        <v>1</v>
      </c>
      <c r="AL30" s="14">
        <v>0</v>
      </c>
      <c r="AM30" s="14">
        <v>35</v>
      </c>
      <c r="AN30" s="17">
        <v>0</v>
      </c>
      <c r="AO30" s="17">
        <v>7.7925925925925927E-4</v>
      </c>
      <c r="AP30" s="17">
        <v>0</v>
      </c>
      <c r="AQ30" s="17">
        <v>0</v>
      </c>
      <c r="AR30" s="17">
        <v>0</v>
      </c>
      <c r="AS30" s="17">
        <v>0</v>
      </c>
      <c r="AT30" s="17">
        <v>0</v>
      </c>
      <c r="AU30" s="17">
        <v>0</v>
      </c>
      <c r="AV30" s="17">
        <v>0</v>
      </c>
      <c r="AW30" s="17">
        <v>0</v>
      </c>
    </row>
    <row r="31" spans="1:49" ht="17" customHeight="1">
      <c r="A31" s="11" t="s">
        <v>2911</v>
      </c>
      <c r="B31" s="11" t="s">
        <v>2910</v>
      </c>
      <c r="C31" s="14" t="s">
        <v>2867</v>
      </c>
      <c r="D31" s="14" t="s">
        <v>2868</v>
      </c>
      <c r="E31" s="14" t="s">
        <v>2880</v>
      </c>
      <c r="F31" s="14"/>
      <c r="G31" s="14"/>
      <c r="H31" s="14" t="s">
        <v>2881</v>
      </c>
      <c r="I31" s="14"/>
      <c r="J31" s="14"/>
      <c r="K31" s="14"/>
      <c r="L31" s="14"/>
      <c r="M31" s="14"/>
      <c r="N31" s="14"/>
      <c r="O31" s="14"/>
      <c r="P31" s="14"/>
      <c r="Q31" s="14"/>
      <c r="R31" s="14"/>
      <c r="S31" s="14"/>
      <c r="T31" s="14"/>
      <c r="U31" s="14"/>
      <c r="V31" s="15"/>
      <c r="W31" s="14"/>
      <c r="X31" s="14"/>
      <c r="Y31" s="14"/>
      <c r="Z31" s="14"/>
      <c r="AA31" s="14"/>
      <c r="AB31" s="14"/>
      <c r="AC31" s="14"/>
      <c r="AD31" s="14"/>
      <c r="AE31" s="14"/>
      <c r="AF31" s="14"/>
      <c r="AG31" s="14"/>
      <c r="AH31" s="14" t="s">
        <v>2879</v>
      </c>
      <c r="AI31" s="14"/>
      <c r="AJ31" s="16">
        <v>0.29026695178312761</v>
      </c>
      <c r="AK31" s="14">
        <v>1</v>
      </c>
      <c r="AL31" s="14">
        <v>0</v>
      </c>
      <c r="AM31" s="14">
        <v>35</v>
      </c>
      <c r="AN31" s="17">
        <v>0</v>
      </c>
      <c r="AO31" s="17">
        <v>7.7925925925925927E-4</v>
      </c>
      <c r="AP31" s="17">
        <v>0</v>
      </c>
      <c r="AQ31" s="17">
        <v>0</v>
      </c>
      <c r="AR31" s="17">
        <v>0</v>
      </c>
      <c r="AS31" s="17">
        <v>0</v>
      </c>
      <c r="AT31" s="17">
        <v>0</v>
      </c>
      <c r="AU31" s="17">
        <v>0</v>
      </c>
      <c r="AV31" s="17">
        <v>0</v>
      </c>
      <c r="AW31" s="17">
        <v>0</v>
      </c>
    </row>
    <row r="32" spans="1:49" ht="17" customHeight="1">
      <c r="A32" s="11" t="s">
        <v>2912</v>
      </c>
      <c r="B32" s="11" t="s">
        <v>2913</v>
      </c>
      <c r="C32" s="14" t="s">
        <v>2867</v>
      </c>
      <c r="D32" s="14" t="s">
        <v>2868</v>
      </c>
      <c r="E32" s="14" t="s">
        <v>2880</v>
      </c>
      <c r="F32" s="14"/>
      <c r="G32" s="14"/>
      <c r="H32" s="14" t="s">
        <v>2881</v>
      </c>
      <c r="I32" s="14"/>
      <c r="J32" s="14"/>
      <c r="K32" s="14"/>
      <c r="L32" s="14"/>
      <c r="M32" s="14"/>
      <c r="N32" s="14"/>
      <c r="O32" s="14"/>
      <c r="P32" s="14"/>
      <c r="Q32" s="14"/>
      <c r="R32" s="14"/>
      <c r="S32" s="14"/>
      <c r="T32" s="14"/>
      <c r="U32" s="14"/>
      <c r="V32" s="15"/>
      <c r="W32" s="14"/>
      <c r="X32" s="14"/>
      <c r="Y32" s="14"/>
      <c r="Z32" s="14"/>
      <c r="AA32" s="14"/>
      <c r="AB32" s="14"/>
      <c r="AC32" s="14"/>
      <c r="AD32" s="14"/>
      <c r="AE32" s="14"/>
      <c r="AF32" s="14"/>
      <c r="AG32" s="14"/>
      <c r="AH32" s="14" t="s">
        <v>2879</v>
      </c>
      <c r="AI32" s="14"/>
      <c r="AJ32" s="16">
        <v>0.29026695178312761</v>
      </c>
      <c r="AK32" s="14">
        <v>1</v>
      </c>
      <c r="AL32" s="14">
        <v>0</v>
      </c>
      <c r="AM32" s="14">
        <v>35</v>
      </c>
      <c r="AN32" s="17">
        <v>0</v>
      </c>
      <c r="AO32" s="17">
        <v>7.7925925925925927E-4</v>
      </c>
      <c r="AP32" s="17">
        <v>0</v>
      </c>
      <c r="AQ32" s="17">
        <v>0</v>
      </c>
      <c r="AR32" s="17">
        <v>0</v>
      </c>
      <c r="AS32" s="17">
        <v>0</v>
      </c>
      <c r="AT32" s="17">
        <v>0</v>
      </c>
      <c r="AU32" s="17">
        <v>0</v>
      </c>
      <c r="AV32" s="17">
        <v>0</v>
      </c>
      <c r="AW32" s="17">
        <v>0</v>
      </c>
    </row>
    <row r="33" spans="1:49" ht="17" customHeight="1">
      <c r="A33" s="11" t="s">
        <v>2914</v>
      </c>
      <c r="B33" s="11" t="s">
        <v>2913</v>
      </c>
      <c r="C33" s="14" t="s">
        <v>2867</v>
      </c>
      <c r="D33" s="14" t="s">
        <v>2868</v>
      </c>
      <c r="E33" s="14" t="s">
        <v>2880</v>
      </c>
      <c r="F33" s="14"/>
      <c r="G33" s="14"/>
      <c r="H33" s="14" t="s">
        <v>2881</v>
      </c>
      <c r="I33" s="14"/>
      <c r="J33" s="14"/>
      <c r="K33" s="14"/>
      <c r="L33" s="14"/>
      <c r="M33" s="14"/>
      <c r="N33" s="14"/>
      <c r="O33" s="14"/>
      <c r="P33" s="14"/>
      <c r="Q33" s="14"/>
      <c r="R33" s="14"/>
      <c r="S33" s="14"/>
      <c r="T33" s="14"/>
      <c r="U33" s="14"/>
      <c r="V33" s="15"/>
      <c r="W33" s="14"/>
      <c r="X33" s="14"/>
      <c r="Y33" s="14"/>
      <c r="Z33" s="14"/>
      <c r="AA33" s="14"/>
      <c r="AB33" s="14"/>
      <c r="AC33" s="14"/>
      <c r="AD33" s="14"/>
      <c r="AE33" s="14"/>
      <c r="AF33" s="14"/>
      <c r="AG33" s="14"/>
      <c r="AH33" s="14" t="s">
        <v>2879</v>
      </c>
      <c r="AI33" s="14"/>
      <c r="AJ33" s="16">
        <v>0.29026695178312761</v>
      </c>
      <c r="AK33" s="14">
        <v>1</v>
      </c>
      <c r="AL33" s="14">
        <v>0</v>
      </c>
      <c r="AM33" s="14">
        <v>35</v>
      </c>
      <c r="AN33" s="17">
        <v>0</v>
      </c>
      <c r="AO33" s="17">
        <v>7.7925925925925927E-4</v>
      </c>
      <c r="AP33" s="17">
        <v>0</v>
      </c>
      <c r="AQ33" s="17">
        <v>0</v>
      </c>
      <c r="AR33" s="17">
        <v>0</v>
      </c>
      <c r="AS33" s="17">
        <v>0</v>
      </c>
      <c r="AT33" s="17">
        <v>0</v>
      </c>
      <c r="AU33" s="17">
        <v>0</v>
      </c>
      <c r="AV33" s="17">
        <v>0</v>
      </c>
      <c r="AW33" s="17">
        <v>0</v>
      </c>
    </row>
    <row r="34" spans="1:49" ht="17" customHeight="1">
      <c r="A34" s="11" t="s">
        <v>2915</v>
      </c>
      <c r="B34" s="11" t="s">
        <v>2915</v>
      </c>
      <c r="C34" s="18" t="s">
        <v>2867</v>
      </c>
      <c r="D34" s="18" t="s">
        <v>2916</v>
      </c>
      <c r="E34" s="18" t="s">
        <v>2917</v>
      </c>
      <c r="F34" s="18" t="s">
        <v>2918</v>
      </c>
      <c r="G34" s="14"/>
      <c r="H34" s="18" t="s">
        <v>2919</v>
      </c>
      <c r="I34" s="14"/>
      <c r="J34" s="14"/>
      <c r="K34" s="14"/>
      <c r="L34" s="18">
        <v>120</v>
      </c>
      <c r="M34" s="18">
        <v>800</v>
      </c>
      <c r="N34" s="18">
        <v>5</v>
      </c>
      <c r="O34" s="14"/>
      <c r="P34" s="18">
        <v>7.4150000000000009</v>
      </c>
      <c r="Q34" s="18">
        <v>90</v>
      </c>
      <c r="R34" s="18">
        <v>2.1</v>
      </c>
      <c r="S34" s="18"/>
      <c r="T34" s="18" t="s">
        <v>2920</v>
      </c>
      <c r="U34" s="18">
        <v>1.4830000000000001</v>
      </c>
      <c r="V34" s="20">
        <v>2.15E-3</v>
      </c>
      <c r="W34" s="18" t="s">
        <v>2873</v>
      </c>
      <c r="X34" s="14"/>
      <c r="Y34" s="14"/>
      <c r="Z34" s="14"/>
      <c r="AA34" s="14"/>
      <c r="AB34" s="14"/>
      <c r="AC34" s="14"/>
      <c r="AD34" s="14"/>
      <c r="AE34" s="14"/>
      <c r="AF34" s="14"/>
      <c r="AG34" s="14"/>
      <c r="AH34" s="18" t="s">
        <v>2915</v>
      </c>
      <c r="AI34" s="14"/>
      <c r="AJ34" s="21">
        <v>0.74619000000000002</v>
      </c>
      <c r="AK34" s="18">
        <v>1</v>
      </c>
      <c r="AL34" s="18">
        <v>-5</v>
      </c>
      <c r="AM34" s="18">
        <v>5</v>
      </c>
      <c r="AN34" s="17">
        <v>0</v>
      </c>
      <c r="AO34" s="17">
        <v>3.2086000000000001E-4</v>
      </c>
      <c r="AP34" s="19">
        <v>0</v>
      </c>
      <c r="AQ34" s="19">
        <v>0</v>
      </c>
      <c r="AR34" s="19">
        <v>0</v>
      </c>
      <c r="AS34" s="19">
        <v>0</v>
      </c>
      <c r="AT34" s="19">
        <v>0</v>
      </c>
      <c r="AU34" s="19">
        <v>0</v>
      </c>
      <c r="AV34" s="19">
        <v>0</v>
      </c>
      <c r="AW34" s="19">
        <v>0</v>
      </c>
    </row>
    <row r="35" spans="1:49" ht="17" customHeight="1">
      <c r="A35" s="11" t="s">
        <v>2921</v>
      </c>
      <c r="B35" s="11" t="s">
        <v>2921</v>
      </c>
      <c r="C35" s="18" t="s">
        <v>2867</v>
      </c>
      <c r="D35" s="18" t="s">
        <v>2916</v>
      </c>
      <c r="E35" s="18" t="s">
        <v>2917</v>
      </c>
      <c r="F35" s="18" t="s">
        <v>2918</v>
      </c>
      <c r="G35" s="14"/>
      <c r="H35" s="18" t="s">
        <v>2919</v>
      </c>
      <c r="I35" s="14"/>
      <c r="J35" s="14"/>
      <c r="K35" s="14"/>
      <c r="L35" s="18">
        <v>120</v>
      </c>
      <c r="M35" s="18">
        <v>800</v>
      </c>
      <c r="N35" s="18">
        <v>5</v>
      </c>
      <c r="O35" s="14"/>
      <c r="P35" s="18">
        <v>7.4150000000000009</v>
      </c>
      <c r="Q35" s="18">
        <v>90</v>
      </c>
      <c r="R35" s="18">
        <v>2.1</v>
      </c>
      <c r="S35" s="18"/>
      <c r="T35" s="18" t="s">
        <v>2920</v>
      </c>
      <c r="U35" s="18">
        <v>1.4830000000000001</v>
      </c>
      <c r="V35" s="20">
        <v>2.15E-3</v>
      </c>
      <c r="W35" s="18" t="s">
        <v>2873</v>
      </c>
      <c r="X35" s="14"/>
      <c r="Y35" s="14"/>
      <c r="Z35" s="14"/>
      <c r="AA35" s="14"/>
      <c r="AB35" s="14"/>
      <c r="AC35" s="14"/>
      <c r="AD35" s="14"/>
      <c r="AE35" s="14"/>
      <c r="AF35" s="14"/>
      <c r="AG35" s="14"/>
      <c r="AH35" s="18" t="s">
        <v>2915</v>
      </c>
      <c r="AI35" s="14"/>
      <c r="AJ35" s="21">
        <v>0.74619000000000002</v>
      </c>
      <c r="AK35" s="18">
        <v>1</v>
      </c>
      <c r="AL35" s="18">
        <v>-5</v>
      </c>
      <c r="AM35" s="18">
        <v>5</v>
      </c>
      <c r="AN35" s="17">
        <v>0</v>
      </c>
      <c r="AO35" s="17">
        <v>3.2086000000000001E-4</v>
      </c>
      <c r="AP35" s="19">
        <v>0</v>
      </c>
      <c r="AQ35" s="19">
        <v>0</v>
      </c>
      <c r="AR35" s="19">
        <v>0</v>
      </c>
      <c r="AS35" s="19">
        <v>0</v>
      </c>
      <c r="AT35" s="19">
        <v>0</v>
      </c>
      <c r="AU35" s="19">
        <v>0</v>
      </c>
      <c r="AV35" s="19">
        <v>0</v>
      </c>
      <c r="AW35" s="19">
        <v>0</v>
      </c>
    </row>
    <row r="36" spans="1:49" ht="17" customHeight="1">
      <c r="A36" s="11" t="s">
        <v>2922</v>
      </c>
      <c r="B36" s="11" t="s">
        <v>2923</v>
      </c>
      <c r="C36" s="14" t="s">
        <v>2867</v>
      </c>
      <c r="D36" s="14" t="s">
        <v>2868</v>
      </c>
      <c r="E36" s="14" t="s">
        <v>2880</v>
      </c>
      <c r="F36" s="14"/>
      <c r="G36" s="14"/>
      <c r="H36" s="14" t="s">
        <v>2881</v>
      </c>
      <c r="I36" s="14"/>
      <c r="J36" s="14"/>
      <c r="K36" s="14"/>
      <c r="L36" s="14"/>
      <c r="M36" s="14"/>
      <c r="N36" s="14"/>
      <c r="O36" s="14"/>
      <c r="P36" s="14"/>
      <c r="Q36" s="14"/>
      <c r="R36" s="14"/>
      <c r="S36" s="14"/>
      <c r="T36" s="14"/>
      <c r="U36" s="14"/>
      <c r="V36" s="15"/>
      <c r="W36" s="14"/>
      <c r="X36" s="14"/>
      <c r="Y36" s="14"/>
      <c r="Z36" s="14"/>
      <c r="AA36" s="14"/>
      <c r="AB36" s="14"/>
      <c r="AC36" s="14"/>
      <c r="AD36" s="14"/>
      <c r="AE36" s="14"/>
      <c r="AF36" s="14"/>
      <c r="AG36" s="14"/>
      <c r="AH36" s="14" t="s">
        <v>2879</v>
      </c>
      <c r="AI36" s="14"/>
      <c r="AJ36" s="16">
        <v>0.29026695178312761</v>
      </c>
      <c r="AK36" s="14">
        <v>1</v>
      </c>
      <c r="AL36" s="14">
        <v>0</v>
      </c>
      <c r="AM36" s="14">
        <v>35</v>
      </c>
      <c r="AN36" s="17">
        <v>0</v>
      </c>
      <c r="AO36" s="17">
        <v>7.7925925925925927E-4</v>
      </c>
      <c r="AP36" s="17">
        <v>0</v>
      </c>
      <c r="AQ36" s="17">
        <v>0</v>
      </c>
      <c r="AR36" s="17">
        <v>0</v>
      </c>
      <c r="AS36" s="17">
        <v>0</v>
      </c>
      <c r="AT36" s="17">
        <v>0</v>
      </c>
      <c r="AU36" s="17">
        <v>0</v>
      </c>
      <c r="AV36" s="17">
        <v>0</v>
      </c>
      <c r="AW36" s="17">
        <v>0</v>
      </c>
    </row>
    <row r="37" spans="1:49" ht="17" customHeight="1">
      <c r="A37" s="11" t="s">
        <v>2924</v>
      </c>
      <c r="B37" s="11" t="s">
        <v>2923</v>
      </c>
      <c r="C37" s="14" t="s">
        <v>2867</v>
      </c>
      <c r="D37" s="14" t="s">
        <v>2868</v>
      </c>
      <c r="E37" s="14" t="s">
        <v>2880</v>
      </c>
      <c r="F37" s="14"/>
      <c r="G37" s="14"/>
      <c r="H37" s="14" t="s">
        <v>2881</v>
      </c>
      <c r="I37" s="14"/>
      <c r="J37" s="14"/>
      <c r="K37" s="14"/>
      <c r="L37" s="14"/>
      <c r="M37" s="14"/>
      <c r="N37" s="14"/>
      <c r="O37" s="14"/>
      <c r="P37" s="14"/>
      <c r="Q37" s="14"/>
      <c r="R37" s="14"/>
      <c r="S37" s="14"/>
      <c r="T37" s="14"/>
      <c r="U37" s="14"/>
      <c r="V37" s="15"/>
      <c r="W37" s="14"/>
      <c r="X37" s="14"/>
      <c r="Y37" s="14"/>
      <c r="Z37" s="14"/>
      <c r="AA37" s="14"/>
      <c r="AB37" s="14"/>
      <c r="AC37" s="14"/>
      <c r="AD37" s="14"/>
      <c r="AE37" s="14"/>
      <c r="AF37" s="14"/>
      <c r="AG37" s="14"/>
      <c r="AH37" s="14" t="s">
        <v>2879</v>
      </c>
      <c r="AI37" s="14"/>
      <c r="AJ37" s="16">
        <v>0.29026695178312761</v>
      </c>
      <c r="AK37" s="14">
        <v>1</v>
      </c>
      <c r="AL37" s="14">
        <v>0</v>
      </c>
      <c r="AM37" s="14">
        <v>35</v>
      </c>
      <c r="AN37" s="17">
        <v>0</v>
      </c>
      <c r="AO37" s="17">
        <v>7.7925925925925927E-4</v>
      </c>
      <c r="AP37" s="17">
        <v>0</v>
      </c>
      <c r="AQ37" s="17">
        <v>0</v>
      </c>
      <c r="AR37" s="17">
        <v>0</v>
      </c>
      <c r="AS37" s="17">
        <v>0</v>
      </c>
      <c r="AT37" s="17">
        <v>0</v>
      </c>
      <c r="AU37" s="17">
        <v>0</v>
      </c>
      <c r="AV37" s="17">
        <v>0</v>
      </c>
      <c r="AW37" s="17">
        <v>0</v>
      </c>
    </row>
    <row r="38" spans="1:49" ht="17" customHeight="1">
      <c r="A38" s="11" t="s">
        <v>2925</v>
      </c>
      <c r="B38" s="11" t="s">
        <v>2925</v>
      </c>
      <c r="C38" s="14" t="s">
        <v>2867</v>
      </c>
      <c r="D38" s="14" t="s">
        <v>2868</v>
      </c>
      <c r="E38" s="14" t="s">
        <v>2880</v>
      </c>
      <c r="F38" s="14"/>
      <c r="G38" s="14"/>
      <c r="H38" s="14" t="s">
        <v>2881</v>
      </c>
      <c r="I38" s="14"/>
      <c r="J38" s="14"/>
      <c r="K38" s="14"/>
      <c r="L38" s="14"/>
      <c r="M38" s="14"/>
      <c r="N38" s="14"/>
      <c r="O38" s="14"/>
      <c r="P38" s="14"/>
      <c r="Q38" s="14"/>
      <c r="R38" s="14"/>
      <c r="S38" s="14"/>
      <c r="T38" s="14"/>
      <c r="U38" s="14"/>
      <c r="V38" s="15"/>
      <c r="W38" s="14"/>
      <c r="X38" s="14"/>
      <c r="Y38" s="14"/>
      <c r="Z38" s="14"/>
      <c r="AA38" s="14"/>
      <c r="AB38" s="14"/>
      <c r="AC38" s="14"/>
      <c r="AD38" s="14"/>
      <c r="AE38" s="14"/>
      <c r="AF38" s="14"/>
      <c r="AG38" s="14"/>
      <c r="AH38" s="14" t="s">
        <v>2879</v>
      </c>
      <c r="AI38" s="14"/>
      <c r="AJ38" s="16">
        <v>0.29026695178312761</v>
      </c>
      <c r="AK38" s="14">
        <v>1</v>
      </c>
      <c r="AL38" s="14">
        <v>0</v>
      </c>
      <c r="AM38" s="14">
        <v>35</v>
      </c>
      <c r="AN38" s="17">
        <v>0</v>
      </c>
      <c r="AO38" s="17">
        <v>7.7925925925925927E-4</v>
      </c>
      <c r="AP38" s="17">
        <v>0</v>
      </c>
      <c r="AQ38" s="17">
        <v>0</v>
      </c>
      <c r="AR38" s="17">
        <v>0</v>
      </c>
      <c r="AS38" s="17">
        <v>0</v>
      </c>
      <c r="AT38" s="17">
        <v>0</v>
      </c>
      <c r="AU38" s="17">
        <v>0</v>
      </c>
      <c r="AV38" s="17">
        <v>0</v>
      </c>
      <c r="AW38" s="17">
        <v>0</v>
      </c>
    </row>
    <row r="39" spans="1:49" ht="17" customHeight="1">
      <c r="A39" s="11" t="s">
        <v>2926</v>
      </c>
      <c r="B39" s="11" t="s">
        <v>2926</v>
      </c>
      <c r="C39" s="14" t="s">
        <v>2867</v>
      </c>
      <c r="D39" s="14" t="s">
        <v>2916</v>
      </c>
      <c r="E39" s="14" t="s">
        <v>2927</v>
      </c>
      <c r="F39" s="14" t="s">
        <v>2918</v>
      </c>
      <c r="G39" s="14"/>
      <c r="H39" s="14" t="s">
        <v>2928</v>
      </c>
      <c r="I39" s="14"/>
      <c r="J39" s="14"/>
      <c r="K39" s="14"/>
      <c r="L39" s="14">
        <v>44</v>
      </c>
      <c r="M39" s="14">
        <v>50</v>
      </c>
      <c r="N39" s="14">
        <v>5</v>
      </c>
      <c r="O39" s="14"/>
      <c r="P39" s="14">
        <v>4.75</v>
      </c>
      <c r="Q39" s="14">
        <v>296</v>
      </c>
      <c r="R39" s="14">
        <v>2</v>
      </c>
      <c r="S39" s="14"/>
      <c r="T39" s="14" t="s">
        <v>2920</v>
      </c>
      <c r="U39" s="14">
        <v>0.95</v>
      </c>
      <c r="V39" s="15">
        <v>7.6852183922527164</v>
      </c>
      <c r="W39" s="14" t="s">
        <v>2873</v>
      </c>
      <c r="X39" s="14"/>
      <c r="Y39" s="14"/>
      <c r="Z39" s="14"/>
      <c r="AA39" s="14"/>
      <c r="AB39" s="14"/>
      <c r="AC39" s="14"/>
      <c r="AD39" s="14"/>
      <c r="AE39" s="14"/>
      <c r="AF39" s="14"/>
      <c r="AG39" s="14"/>
      <c r="AH39" s="14" t="s">
        <v>2926</v>
      </c>
      <c r="AI39" s="14"/>
      <c r="AJ39" s="16">
        <v>7.2499999999999995E-2</v>
      </c>
      <c r="AK39" s="14">
        <v>1</v>
      </c>
      <c r="AL39" s="14">
        <v>0</v>
      </c>
      <c r="AM39" s="14">
        <v>5</v>
      </c>
      <c r="AN39" s="17">
        <v>5.2238784599999994E-3</v>
      </c>
      <c r="AO39" s="17">
        <v>0.114756596</v>
      </c>
      <c r="AP39" s="17">
        <v>-1.6062237975E-5</v>
      </c>
      <c r="AQ39" s="17">
        <v>-1.117302285E-5</v>
      </c>
      <c r="AR39" s="17">
        <v>-3.1943788549999998E-5</v>
      </c>
      <c r="AS39" s="17">
        <v>-4.5542558450000004E-6</v>
      </c>
      <c r="AT39" s="17">
        <v>2.4099708325E-6</v>
      </c>
      <c r="AU39" s="17">
        <v>-2.6379341049999999E-7</v>
      </c>
      <c r="AV39" s="17">
        <v>0</v>
      </c>
      <c r="AW39" s="17">
        <v>0</v>
      </c>
    </row>
    <row r="40" spans="1:49" ht="17" customHeight="1">
      <c r="A40" s="11" t="s">
        <v>2929</v>
      </c>
      <c r="B40" s="11" t="s">
        <v>2929</v>
      </c>
      <c r="C40" s="14" t="s">
        <v>2867</v>
      </c>
      <c r="D40" s="14" t="s">
        <v>2916</v>
      </c>
      <c r="E40" s="14" t="s">
        <v>2927</v>
      </c>
      <c r="F40" s="14" t="s">
        <v>2918</v>
      </c>
      <c r="G40" s="14"/>
      <c r="H40" s="14" t="s">
        <v>2928</v>
      </c>
      <c r="I40" s="14"/>
      <c r="J40" s="14"/>
      <c r="K40" s="14"/>
      <c r="L40" s="14">
        <v>44</v>
      </c>
      <c r="M40" s="14">
        <v>100</v>
      </c>
      <c r="N40" s="14">
        <v>5</v>
      </c>
      <c r="O40" s="14"/>
      <c r="P40" s="14">
        <v>6</v>
      </c>
      <c r="Q40" s="14">
        <v>296</v>
      </c>
      <c r="R40" s="14">
        <v>2</v>
      </c>
      <c r="S40" s="14"/>
      <c r="T40" s="14" t="s">
        <v>2920</v>
      </c>
      <c r="U40" s="14">
        <v>1.2</v>
      </c>
      <c r="V40" s="15">
        <v>7.6852183922527164</v>
      </c>
      <c r="W40" s="14" t="s">
        <v>2873</v>
      </c>
      <c r="X40" s="14"/>
      <c r="Y40" s="14"/>
      <c r="Z40" s="14"/>
      <c r="AA40" s="14"/>
      <c r="AB40" s="14"/>
      <c r="AC40" s="14"/>
      <c r="AD40" s="14"/>
      <c r="AE40" s="14"/>
      <c r="AF40" s="14"/>
      <c r="AG40" s="14"/>
      <c r="AH40" s="14" t="s">
        <v>2929</v>
      </c>
      <c r="AI40" s="14"/>
      <c r="AJ40" s="16">
        <v>0.122</v>
      </c>
      <c r="AK40" s="14">
        <v>1</v>
      </c>
      <c r="AL40" s="14">
        <v>0</v>
      </c>
      <c r="AM40" s="14">
        <v>5</v>
      </c>
      <c r="AN40" s="17">
        <v>2.3310868180000002E-3</v>
      </c>
      <c r="AO40" s="17">
        <v>0.1691560134</v>
      </c>
      <c r="AP40" s="17">
        <v>4.60811873E-2</v>
      </c>
      <c r="AQ40" s="17">
        <v>-3.91551802E-2</v>
      </c>
      <c r="AR40" s="17">
        <v>1.7499210300000002E-2</v>
      </c>
      <c r="AS40" s="17">
        <v>-4.2939395720000004E-3</v>
      </c>
      <c r="AT40" s="17">
        <v>5.4370345539999992E-4</v>
      </c>
      <c r="AU40" s="17">
        <v>-2.7845289759999999E-5</v>
      </c>
      <c r="AV40" s="17">
        <v>0</v>
      </c>
      <c r="AW40" s="17">
        <v>0</v>
      </c>
    </row>
    <row r="41" spans="1:49" ht="17" customHeight="1">
      <c r="A41" s="11" t="s">
        <v>2930</v>
      </c>
      <c r="B41" s="11" t="s">
        <v>2930</v>
      </c>
      <c r="C41" s="14" t="s">
        <v>2867</v>
      </c>
      <c r="D41" s="14" t="s">
        <v>2916</v>
      </c>
      <c r="E41" s="14" t="s">
        <v>2927</v>
      </c>
      <c r="F41" s="14" t="s">
        <v>2918</v>
      </c>
      <c r="G41" s="14"/>
      <c r="H41" s="14" t="s">
        <v>2928</v>
      </c>
      <c r="I41" s="14"/>
      <c r="J41" s="14"/>
      <c r="K41" s="14"/>
      <c r="L41" s="14">
        <v>44</v>
      </c>
      <c r="M41" s="14">
        <v>50</v>
      </c>
      <c r="N41" s="14">
        <v>5</v>
      </c>
      <c r="O41" s="14"/>
      <c r="P41" s="14">
        <v>4.75</v>
      </c>
      <c r="Q41" s="14">
        <v>296</v>
      </c>
      <c r="R41" s="14">
        <v>2</v>
      </c>
      <c r="S41" s="14"/>
      <c r="T41" s="14" t="s">
        <v>2920</v>
      </c>
      <c r="U41" s="14">
        <v>0.95</v>
      </c>
      <c r="V41" s="15">
        <v>7.6852183922527164</v>
      </c>
      <c r="W41" s="14" t="s">
        <v>2873</v>
      </c>
      <c r="X41" s="14"/>
      <c r="Y41" s="14"/>
      <c r="Z41" s="14"/>
      <c r="AA41" s="14"/>
      <c r="AB41" s="14"/>
      <c r="AC41" s="14"/>
      <c r="AD41" s="14"/>
      <c r="AE41" s="14"/>
      <c r="AF41" s="14"/>
      <c r="AG41" s="14"/>
      <c r="AH41" s="14" t="s">
        <v>2930</v>
      </c>
      <c r="AI41" s="14"/>
      <c r="AJ41" s="16">
        <v>7.2499999999999995E-2</v>
      </c>
      <c r="AK41" s="14">
        <v>1</v>
      </c>
      <c r="AL41" s="14">
        <v>0</v>
      </c>
      <c r="AM41" s="14">
        <v>5</v>
      </c>
      <c r="AN41" s="17">
        <v>5.2027532649999986E-3</v>
      </c>
      <c r="AO41" s="17">
        <v>0.11521683325</v>
      </c>
      <c r="AP41" s="17">
        <v>-1.826466835E-3</v>
      </c>
      <c r="AQ41" s="17">
        <v>1.7460646974999999E-3</v>
      </c>
      <c r="AR41" s="17">
        <v>-9.1551426749999999E-4</v>
      </c>
      <c r="AS41" s="17">
        <v>2.34837244E-4</v>
      </c>
      <c r="AT41" s="17">
        <v>-3.0496761775000001E-5</v>
      </c>
      <c r="AU41" s="17">
        <v>1.5331429274999999E-6</v>
      </c>
      <c r="AV41" s="17">
        <v>0</v>
      </c>
      <c r="AW41" s="17">
        <v>0</v>
      </c>
    </row>
    <row r="42" spans="1:49" ht="17" customHeight="1">
      <c r="A42" s="11" t="s">
        <v>2931</v>
      </c>
      <c r="B42" s="11" t="s">
        <v>2931</v>
      </c>
      <c r="C42" s="18" t="s">
        <v>2867</v>
      </c>
      <c r="D42" s="18" t="s">
        <v>2916</v>
      </c>
      <c r="E42" s="18" t="s">
        <v>2917</v>
      </c>
      <c r="F42" s="18" t="s">
        <v>2918</v>
      </c>
      <c r="G42" s="14"/>
      <c r="H42" s="18" t="s">
        <v>2932</v>
      </c>
      <c r="I42" s="14"/>
      <c r="J42" s="14"/>
      <c r="K42" s="14"/>
      <c r="L42" s="18">
        <v>82</v>
      </c>
      <c r="M42" s="18">
        <v>50</v>
      </c>
      <c r="N42" s="18">
        <v>5</v>
      </c>
      <c r="O42" s="14"/>
      <c r="P42" s="18">
        <v>1.46</v>
      </c>
      <c r="Q42" s="18">
        <v>183</v>
      </c>
      <c r="R42" s="18">
        <v>2.4</v>
      </c>
      <c r="S42" s="18"/>
      <c r="T42" s="18" t="s">
        <v>2920</v>
      </c>
      <c r="U42" s="18">
        <v>0.29199999999999998</v>
      </c>
      <c r="V42" s="20">
        <v>8.4069999999999995E-3</v>
      </c>
      <c r="W42" s="18" t="s">
        <v>2873</v>
      </c>
      <c r="X42" s="14"/>
      <c r="Y42" s="14"/>
      <c r="Z42" s="14"/>
      <c r="AA42" s="14"/>
      <c r="AB42" s="14"/>
      <c r="AC42" s="14"/>
      <c r="AD42" s="14"/>
      <c r="AE42" s="14"/>
      <c r="AF42" s="14"/>
      <c r="AG42" s="14"/>
      <c r="AH42" s="18" t="s">
        <v>2931</v>
      </c>
      <c r="AI42" s="14"/>
      <c r="AJ42" s="21">
        <v>0.16389799999999999</v>
      </c>
      <c r="AK42" s="18">
        <v>1</v>
      </c>
      <c r="AL42" s="18">
        <v>-5</v>
      </c>
      <c r="AM42" s="18">
        <v>5</v>
      </c>
      <c r="AN42" s="17">
        <v>0</v>
      </c>
      <c r="AO42" s="17">
        <v>2.7557999999999999E-4</v>
      </c>
      <c r="AP42" s="19">
        <v>0</v>
      </c>
      <c r="AQ42" s="19">
        <v>0</v>
      </c>
      <c r="AR42" s="19">
        <v>0</v>
      </c>
      <c r="AS42" s="19">
        <v>0</v>
      </c>
      <c r="AT42" s="19">
        <v>0</v>
      </c>
      <c r="AU42" s="19">
        <v>0</v>
      </c>
      <c r="AV42" s="19">
        <v>0</v>
      </c>
      <c r="AW42" s="19">
        <v>0</v>
      </c>
    </row>
    <row r="43" spans="1:49" ht="17" customHeight="1">
      <c r="A43" s="11" t="s">
        <v>2933</v>
      </c>
      <c r="B43" s="11" t="s">
        <v>2933</v>
      </c>
      <c r="C43" s="18" t="s">
        <v>2867</v>
      </c>
      <c r="D43" s="18" t="s">
        <v>2916</v>
      </c>
      <c r="E43" s="18" t="s">
        <v>2917</v>
      </c>
      <c r="F43" s="18" t="s">
        <v>2918</v>
      </c>
      <c r="G43" s="14"/>
      <c r="H43" s="18" t="s">
        <v>2932</v>
      </c>
      <c r="I43" s="14"/>
      <c r="J43" s="14"/>
      <c r="K43" s="14"/>
      <c r="L43" s="18">
        <v>82</v>
      </c>
      <c r="M43" s="18">
        <v>50</v>
      </c>
      <c r="N43" s="18">
        <v>5</v>
      </c>
      <c r="O43" s="14"/>
      <c r="P43" s="18">
        <v>1.46</v>
      </c>
      <c r="Q43" s="18">
        <v>183</v>
      </c>
      <c r="R43" s="18">
        <v>2.4</v>
      </c>
      <c r="S43" s="18"/>
      <c r="T43" s="18" t="s">
        <v>2920</v>
      </c>
      <c r="U43" s="18">
        <v>0.29199999999999998</v>
      </c>
      <c r="V43" s="20">
        <v>8.4069999999999995E-3</v>
      </c>
      <c r="W43" s="18" t="s">
        <v>2873</v>
      </c>
      <c r="X43" s="14"/>
      <c r="Y43" s="14"/>
      <c r="Z43" s="14"/>
      <c r="AA43" s="14"/>
      <c r="AB43" s="14"/>
      <c r="AC43" s="14"/>
      <c r="AD43" s="14"/>
      <c r="AE43" s="14"/>
      <c r="AF43" s="14"/>
      <c r="AG43" s="14"/>
      <c r="AH43" s="18" t="s">
        <v>2931</v>
      </c>
      <c r="AI43" s="14"/>
      <c r="AJ43" s="21">
        <v>0.16389799999999999</v>
      </c>
      <c r="AK43" s="18">
        <v>1</v>
      </c>
      <c r="AL43" s="18">
        <v>-5</v>
      </c>
      <c r="AM43" s="18">
        <v>5</v>
      </c>
      <c r="AN43" s="17">
        <v>0</v>
      </c>
      <c r="AO43" s="17">
        <v>2.7557999999999999E-4</v>
      </c>
      <c r="AP43" s="19">
        <v>0</v>
      </c>
      <c r="AQ43" s="19">
        <v>0</v>
      </c>
      <c r="AR43" s="19">
        <v>0</v>
      </c>
      <c r="AS43" s="19">
        <v>0</v>
      </c>
      <c r="AT43" s="19">
        <v>0</v>
      </c>
      <c r="AU43" s="19">
        <v>0</v>
      </c>
      <c r="AV43" s="19">
        <v>0</v>
      </c>
      <c r="AW43" s="19">
        <v>0</v>
      </c>
    </row>
    <row r="44" spans="1:49" ht="17" customHeight="1">
      <c r="A44" s="11" t="s">
        <v>2934</v>
      </c>
      <c r="B44" s="11" t="s">
        <v>2934</v>
      </c>
      <c r="C44" s="18" t="s">
        <v>2867</v>
      </c>
      <c r="D44" s="18" t="s">
        <v>2916</v>
      </c>
      <c r="E44" s="18" t="s">
        <v>2917</v>
      </c>
      <c r="F44" s="18" t="s">
        <v>2918</v>
      </c>
      <c r="G44" s="14"/>
      <c r="H44" s="18" t="s">
        <v>2935</v>
      </c>
      <c r="I44" s="14"/>
      <c r="J44" s="14"/>
      <c r="K44" s="14"/>
      <c r="L44" s="18">
        <v>120</v>
      </c>
      <c r="M44" s="18">
        <v>1000</v>
      </c>
      <c r="N44" s="18">
        <v>5</v>
      </c>
      <c r="O44" s="14"/>
      <c r="P44" s="18">
        <v>6.37</v>
      </c>
      <c r="Q44" s="18">
        <v>90</v>
      </c>
      <c r="R44" s="18" t="s">
        <v>2936</v>
      </c>
      <c r="S44" s="18"/>
      <c r="T44" s="18">
        <v>12.9</v>
      </c>
      <c r="U44" s="18">
        <v>1.274</v>
      </c>
      <c r="V44" s="20">
        <v>2.0600000000000002E-3</v>
      </c>
      <c r="W44" s="18" t="s">
        <v>2873</v>
      </c>
      <c r="X44" s="14"/>
      <c r="Y44" s="14"/>
      <c r="Z44" s="14"/>
      <c r="AA44" s="14"/>
      <c r="AB44" s="14"/>
      <c r="AC44" s="14"/>
      <c r="AD44" s="14"/>
      <c r="AE44" s="14"/>
      <c r="AF44" s="14"/>
      <c r="AG44" s="14"/>
      <c r="AH44" s="18" t="s">
        <v>2934</v>
      </c>
      <c r="AI44" s="14"/>
      <c r="AJ44" s="21">
        <v>0.95010000000000006</v>
      </c>
      <c r="AK44" s="18">
        <v>1</v>
      </c>
      <c r="AL44" s="18">
        <v>-5</v>
      </c>
      <c r="AM44" s="18">
        <v>5</v>
      </c>
      <c r="AN44" s="17">
        <v>0</v>
      </c>
      <c r="AO44" s="17">
        <v>3.9144000000000001E-4</v>
      </c>
      <c r="AP44" s="19">
        <v>0</v>
      </c>
      <c r="AQ44" s="19">
        <v>0</v>
      </c>
      <c r="AR44" s="19">
        <v>0</v>
      </c>
      <c r="AS44" s="19">
        <v>0</v>
      </c>
      <c r="AT44" s="19">
        <v>0</v>
      </c>
      <c r="AU44" s="19">
        <v>0</v>
      </c>
      <c r="AV44" s="19">
        <v>0</v>
      </c>
      <c r="AW44" s="19">
        <v>0</v>
      </c>
    </row>
    <row r="45" spans="1:49" ht="17" customHeight="1">
      <c r="A45" s="11" t="s">
        <v>2937</v>
      </c>
      <c r="B45" s="11" t="s">
        <v>2937</v>
      </c>
      <c r="C45" s="18" t="s">
        <v>2867</v>
      </c>
      <c r="D45" s="18" t="s">
        <v>2916</v>
      </c>
      <c r="E45" s="18" t="s">
        <v>2917</v>
      </c>
      <c r="F45" s="18" t="s">
        <v>2918</v>
      </c>
      <c r="G45" s="14"/>
      <c r="H45" s="18" t="s">
        <v>2935</v>
      </c>
      <c r="I45" s="14"/>
      <c r="J45" s="14"/>
      <c r="K45" s="14"/>
      <c r="L45" s="18">
        <v>120</v>
      </c>
      <c r="M45" s="18">
        <v>1000</v>
      </c>
      <c r="N45" s="18">
        <v>5</v>
      </c>
      <c r="O45" s="14"/>
      <c r="P45" s="18">
        <v>6.37</v>
      </c>
      <c r="Q45" s="18">
        <v>90</v>
      </c>
      <c r="R45" s="18" t="s">
        <v>2936</v>
      </c>
      <c r="S45" s="18"/>
      <c r="T45" s="18">
        <v>12.9</v>
      </c>
      <c r="U45" s="18">
        <v>1.274</v>
      </c>
      <c r="V45" s="20">
        <v>2.0600000000000002E-3</v>
      </c>
      <c r="W45" s="18" t="s">
        <v>2873</v>
      </c>
      <c r="X45" s="14"/>
      <c r="Y45" s="14"/>
      <c r="Z45" s="14"/>
      <c r="AA45" s="14"/>
      <c r="AB45" s="14"/>
      <c r="AC45" s="14"/>
      <c r="AD45" s="14"/>
      <c r="AE45" s="14"/>
      <c r="AF45" s="14"/>
      <c r="AG45" s="14"/>
      <c r="AH45" s="18" t="s">
        <v>2934</v>
      </c>
      <c r="AI45" s="14"/>
      <c r="AJ45" s="21">
        <v>0.95010000000000006</v>
      </c>
      <c r="AK45" s="18">
        <v>1</v>
      </c>
      <c r="AL45" s="18">
        <v>-5</v>
      </c>
      <c r="AM45" s="18">
        <v>5</v>
      </c>
      <c r="AN45" s="17">
        <v>0</v>
      </c>
      <c r="AO45" s="17">
        <v>3.9144000000000001E-4</v>
      </c>
      <c r="AP45" s="19">
        <v>0</v>
      </c>
      <c r="AQ45" s="19">
        <v>0</v>
      </c>
      <c r="AR45" s="19">
        <v>0</v>
      </c>
      <c r="AS45" s="19">
        <v>0</v>
      </c>
      <c r="AT45" s="19">
        <v>0</v>
      </c>
      <c r="AU45" s="19">
        <v>0</v>
      </c>
      <c r="AV45" s="19">
        <v>0</v>
      </c>
      <c r="AW45" s="19">
        <v>0</v>
      </c>
    </row>
    <row r="46" spans="1:49" ht="17" customHeight="1">
      <c r="A46" s="11" t="s">
        <v>2938</v>
      </c>
      <c r="B46" s="11" t="s">
        <v>2938</v>
      </c>
      <c r="C46" s="14" t="s">
        <v>2867</v>
      </c>
      <c r="D46" s="14" t="s">
        <v>2916</v>
      </c>
      <c r="E46" s="14" t="s">
        <v>2927</v>
      </c>
      <c r="F46" s="14" t="s">
        <v>2918</v>
      </c>
      <c r="G46" s="14"/>
      <c r="H46" s="14" t="s">
        <v>2928</v>
      </c>
      <c r="I46" s="14"/>
      <c r="J46" s="14"/>
      <c r="K46" s="14"/>
      <c r="L46" s="14">
        <v>44</v>
      </c>
      <c r="M46" s="14">
        <v>50</v>
      </c>
      <c r="N46" s="14">
        <v>5</v>
      </c>
      <c r="O46" s="14"/>
      <c r="P46" s="14" t="s">
        <v>2920</v>
      </c>
      <c r="Q46" s="14">
        <v>206</v>
      </c>
      <c r="R46" s="14">
        <v>2.6</v>
      </c>
      <c r="S46" s="14"/>
      <c r="T46" s="14" t="s">
        <v>2920</v>
      </c>
      <c r="U46" s="14" t="s">
        <v>2920</v>
      </c>
      <c r="V46" s="15">
        <v>5.0759999999999996</v>
      </c>
      <c r="W46" s="14" t="s">
        <v>2873</v>
      </c>
      <c r="X46" s="14"/>
      <c r="Y46" s="14"/>
      <c r="Z46" s="14"/>
      <c r="AA46" s="14"/>
      <c r="AB46" s="14"/>
      <c r="AC46" s="14"/>
      <c r="AD46" s="14"/>
      <c r="AE46" s="14"/>
      <c r="AF46" s="14"/>
      <c r="AG46" s="14"/>
      <c r="AH46" s="14" t="s">
        <v>2938</v>
      </c>
      <c r="AI46" s="14"/>
      <c r="AJ46" s="16">
        <v>7.2499999999999995E-2</v>
      </c>
      <c r="AK46" s="14">
        <v>1</v>
      </c>
      <c r="AL46" s="14">
        <v>0</v>
      </c>
      <c r="AM46" s="14">
        <v>5</v>
      </c>
      <c r="AN46" s="17">
        <v>3.5563156749999999E-3</v>
      </c>
      <c r="AO46" s="17">
        <v>7.7966572499999998E-2</v>
      </c>
      <c r="AP46" s="17">
        <v>1.137442495E-3</v>
      </c>
      <c r="AQ46" s="17">
        <v>-8.6807773499999997E-4</v>
      </c>
      <c r="AR46" s="17">
        <v>3.9607504724999999E-4</v>
      </c>
      <c r="AS46" s="17">
        <v>-1.2068346375E-4</v>
      </c>
      <c r="AT46" s="17">
        <v>1.8792833750000001E-5</v>
      </c>
      <c r="AU46" s="17">
        <v>-1.163123445E-6</v>
      </c>
      <c r="AV46" s="17">
        <v>0</v>
      </c>
      <c r="AW46" s="17">
        <v>0</v>
      </c>
    </row>
    <row r="47" spans="1:49" ht="17" customHeight="1">
      <c r="A47" s="11" t="s">
        <v>2939</v>
      </c>
      <c r="B47" s="11" t="s">
        <v>2939</v>
      </c>
      <c r="C47" s="14" t="s">
        <v>2867</v>
      </c>
      <c r="D47" s="14" t="s">
        <v>2916</v>
      </c>
      <c r="E47" s="14" t="s">
        <v>2927</v>
      </c>
      <c r="F47" s="14" t="s">
        <v>2918</v>
      </c>
      <c r="G47" s="14"/>
      <c r="H47" s="14" t="s">
        <v>2928</v>
      </c>
      <c r="I47" s="14"/>
      <c r="J47" s="14"/>
      <c r="K47" s="14"/>
      <c r="L47" s="14">
        <v>44</v>
      </c>
      <c r="M47" s="14">
        <v>100</v>
      </c>
      <c r="N47" s="14">
        <v>5</v>
      </c>
      <c r="O47" s="14"/>
      <c r="P47" s="14" t="s">
        <v>2920</v>
      </c>
      <c r="Q47" s="14">
        <v>206</v>
      </c>
      <c r="R47" s="14">
        <v>2.6</v>
      </c>
      <c r="S47" s="14"/>
      <c r="T47" s="14" t="s">
        <v>2920</v>
      </c>
      <c r="U47" s="14" t="s">
        <v>2920</v>
      </c>
      <c r="V47" s="15">
        <v>5.2080000000000002</v>
      </c>
      <c r="W47" s="14" t="s">
        <v>2873</v>
      </c>
      <c r="X47" s="14"/>
      <c r="Y47" s="14"/>
      <c r="Z47" s="14"/>
      <c r="AA47" s="14"/>
      <c r="AB47" s="14"/>
      <c r="AC47" s="14"/>
      <c r="AD47" s="14"/>
      <c r="AE47" s="14"/>
      <c r="AF47" s="14"/>
      <c r="AG47" s="14"/>
      <c r="AH47" s="14" t="s">
        <v>2939</v>
      </c>
      <c r="AI47" s="14"/>
      <c r="AJ47" s="16">
        <v>0.122</v>
      </c>
      <c r="AK47" s="14">
        <v>1</v>
      </c>
      <c r="AL47" s="14">
        <v>0</v>
      </c>
      <c r="AM47" s="14">
        <v>5</v>
      </c>
      <c r="AN47" s="17">
        <v>1.57866536E-3</v>
      </c>
      <c r="AO47" s="17">
        <v>0.11577030789999999</v>
      </c>
      <c r="AP47" s="17">
        <v>3.4469675040000002E-2</v>
      </c>
      <c r="AQ47" s="17">
        <v>-2.9886664520000002E-2</v>
      </c>
      <c r="AR47" s="17">
        <v>1.37086398E-2</v>
      </c>
      <c r="AS47" s="17">
        <v>-3.4483971000000002E-3</v>
      </c>
      <c r="AT47" s="17">
        <v>4.4666031219999999E-4</v>
      </c>
      <c r="AU47" s="17">
        <v>-2.3318290660000001E-5</v>
      </c>
      <c r="AV47" s="17">
        <v>0</v>
      </c>
      <c r="AW47" s="17">
        <v>0</v>
      </c>
    </row>
    <row r="48" spans="1:49" ht="17" customHeight="1">
      <c r="A48" s="11" t="s">
        <v>2940</v>
      </c>
      <c r="B48" s="11" t="s">
        <v>2940</v>
      </c>
      <c r="C48" s="14" t="s">
        <v>2867</v>
      </c>
      <c r="D48" s="14" t="s">
        <v>2916</v>
      </c>
      <c r="E48" s="14" t="s">
        <v>2927</v>
      </c>
      <c r="F48" s="14" t="s">
        <v>2918</v>
      </c>
      <c r="G48" s="14"/>
      <c r="H48" s="14" t="s">
        <v>2928</v>
      </c>
      <c r="I48" s="14"/>
      <c r="J48" s="14"/>
      <c r="K48" s="14"/>
      <c r="L48" s="14">
        <v>44</v>
      </c>
      <c r="M48" s="14">
        <v>50</v>
      </c>
      <c r="N48" s="14">
        <v>5</v>
      </c>
      <c r="O48" s="14"/>
      <c r="P48" s="14" t="s">
        <v>2920</v>
      </c>
      <c r="Q48" s="14">
        <v>206</v>
      </c>
      <c r="R48" s="14">
        <v>2.6</v>
      </c>
      <c r="S48" s="14"/>
      <c r="T48" s="14" t="s">
        <v>2920</v>
      </c>
      <c r="U48" s="14" t="s">
        <v>2920</v>
      </c>
      <c r="V48" s="15">
        <v>5.0759999999999996</v>
      </c>
      <c r="W48" s="14" t="s">
        <v>2873</v>
      </c>
      <c r="X48" s="14"/>
      <c r="Y48" s="14"/>
      <c r="Z48" s="14"/>
      <c r="AA48" s="14"/>
      <c r="AB48" s="14"/>
      <c r="AC48" s="14"/>
      <c r="AD48" s="14"/>
      <c r="AE48" s="14"/>
      <c r="AF48" s="14"/>
      <c r="AG48" s="14"/>
      <c r="AH48" s="18" t="s">
        <v>2940</v>
      </c>
      <c r="AI48" s="14"/>
      <c r="AJ48" s="16">
        <v>7.2499999999999995E-2</v>
      </c>
      <c r="AK48" s="14">
        <v>1</v>
      </c>
      <c r="AL48" s="14">
        <v>0</v>
      </c>
      <c r="AM48" s="14">
        <v>5</v>
      </c>
      <c r="AN48" s="17">
        <v>3.6248884949999999E-3</v>
      </c>
      <c r="AO48" s="17">
        <v>7.9684641249999993E-2</v>
      </c>
      <c r="AP48" s="17">
        <v>-1.0629263425E-3</v>
      </c>
      <c r="AQ48" s="17">
        <v>7.9515636499999994E-4</v>
      </c>
      <c r="AR48" s="17">
        <v>-4.2622320074999989E-4</v>
      </c>
      <c r="AS48" s="17">
        <v>1.1411010625E-4</v>
      </c>
      <c r="AT48" s="17">
        <v>-1.5770606000000001E-5</v>
      </c>
      <c r="AU48" s="17">
        <v>8.5994330749999994E-7</v>
      </c>
      <c r="AV48" s="17">
        <v>0</v>
      </c>
      <c r="AW48" s="17">
        <v>0</v>
      </c>
    </row>
    <row r="49" spans="1:49" ht="17" customHeight="1">
      <c r="A49" s="11" t="s">
        <v>2941</v>
      </c>
      <c r="B49" s="11" t="s">
        <v>2941</v>
      </c>
      <c r="C49" s="18" t="s">
        <v>2867</v>
      </c>
      <c r="D49" s="18" t="s">
        <v>2916</v>
      </c>
      <c r="E49" s="18" t="s">
        <v>2917</v>
      </c>
      <c r="F49" s="18" t="s">
        <v>2918</v>
      </c>
      <c r="G49" s="14"/>
      <c r="H49" s="18" t="s">
        <v>2935</v>
      </c>
      <c r="I49" s="14"/>
      <c r="J49" s="14"/>
      <c r="K49" s="14"/>
      <c r="L49" s="18">
        <v>120</v>
      </c>
      <c r="M49" s="18">
        <v>1000</v>
      </c>
      <c r="N49" s="18">
        <v>5</v>
      </c>
      <c r="O49" s="14"/>
      <c r="P49" s="18">
        <v>6.37</v>
      </c>
      <c r="Q49" s="18">
        <v>90</v>
      </c>
      <c r="R49" s="18" t="s">
        <v>2936</v>
      </c>
      <c r="S49" s="18"/>
      <c r="T49" s="18">
        <v>12.9</v>
      </c>
      <c r="U49" s="18">
        <v>1.274</v>
      </c>
      <c r="V49" s="20">
        <v>2.0600000000000002E-3</v>
      </c>
      <c r="W49" s="18" t="s">
        <v>2873</v>
      </c>
      <c r="X49" s="14"/>
      <c r="Y49" s="14"/>
      <c r="Z49" s="14"/>
      <c r="AA49" s="14"/>
      <c r="AB49" s="14"/>
      <c r="AC49" s="14"/>
      <c r="AD49" s="14"/>
      <c r="AE49" s="14"/>
      <c r="AF49" s="14"/>
      <c r="AG49" s="14"/>
      <c r="AH49" s="18" t="s">
        <v>2934</v>
      </c>
      <c r="AI49" s="14"/>
      <c r="AJ49" s="21">
        <v>0.95010000000000006</v>
      </c>
      <c r="AK49" s="18">
        <v>1</v>
      </c>
      <c r="AL49" s="18">
        <v>-5</v>
      </c>
      <c r="AM49" s="18">
        <v>5</v>
      </c>
      <c r="AN49" s="17">
        <v>0</v>
      </c>
      <c r="AO49" s="17">
        <v>3.9144000000000001E-4</v>
      </c>
      <c r="AP49" s="19">
        <v>0</v>
      </c>
      <c r="AQ49" s="19">
        <v>0</v>
      </c>
      <c r="AR49" s="19">
        <v>0</v>
      </c>
      <c r="AS49" s="19">
        <v>0</v>
      </c>
      <c r="AT49" s="19">
        <v>0</v>
      </c>
      <c r="AU49" s="19">
        <v>0</v>
      </c>
      <c r="AV49" s="19">
        <v>0</v>
      </c>
      <c r="AW49" s="19">
        <v>0</v>
      </c>
    </row>
    <row r="50" spans="1:49" ht="17" customHeight="1">
      <c r="A50" s="11" t="s">
        <v>2942</v>
      </c>
      <c r="B50" s="11" t="s">
        <v>2942</v>
      </c>
      <c r="C50" s="18" t="s">
        <v>2867</v>
      </c>
      <c r="D50" s="18" t="s">
        <v>2916</v>
      </c>
      <c r="E50" s="18" t="s">
        <v>2917</v>
      </c>
      <c r="F50" s="18" t="s">
        <v>2918</v>
      </c>
      <c r="G50" s="14"/>
      <c r="H50" s="18" t="s">
        <v>2935</v>
      </c>
      <c r="I50" s="14"/>
      <c r="J50" s="14"/>
      <c r="K50" s="14"/>
      <c r="L50" s="18">
        <v>120</v>
      </c>
      <c r="M50" s="18">
        <v>1000</v>
      </c>
      <c r="N50" s="18">
        <v>5</v>
      </c>
      <c r="O50" s="14"/>
      <c r="P50" s="18">
        <v>6.37</v>
      </c>
      <c r="Q50" s="18">
        <v>90</v>
      </c>
      <c r="R50" s="18" t="s">
        <v>2936</v>
      </c>
      <c r="S50" s="18"/>
      <c r="T50" s="18">
        <v>12.9</v>
      </c>
      <c r="U50" s="18">
        <v>1.274</v>
      </c>
      <c r="V50" s="20">
        <v>2.0600000000000002E-3</v>
      </c>
      <c r="W50" s="18" t="s">
        <v>2873</v>
      </c>
      <c r="X50" s="14"/>
      <c r="Y50" s="14"/>
      <c r="Z50" s="14"/>
      <c r="AA50" s="14"/>
      <c r="AB50" s="14"/>
      <c r="AC50" s="14"/>
      <c r="AD50" s="14"/>
      <c r="AE50" s="14"/>
      <c r="AF50" s="14"/>
      <c r="AG50" s="14"/>
      <c r="AH50" s="18" t="s">
        <v>2934</v>
      </c>
      <c r="AI50" s="14"/>
      <c r="AJ50" s="21">
        <v>0.95010000000000006</v>
      </c>
      <c r="AK50" s="18">
        <v>1</v>
      </c>
      <c r="AL50" s="18">
        <v>-5</v>
      </c>
      <c r="AM50" s="18">
        <v>5</v>
      </c>
      <c r="AN50" s="17">
        <v>0</v>
      </c>
      <c r="AO50" s="17">
        <v>3.9144000000000001E-4</v>
      </c>
      <c r="AP50" s="19">
        <v>0</v>
      </c>
      <c r="AQ50" s="19">
        <v>0</v>
      </c>
      <c r="AR50" s="19">
        <v>0</v>
      </c>
      <c r="AS50" s="19">
        <v>0</v>
      </c>
      <c r="AT50" s="19">
        <v>0</v>
      </c>
      <c r="AU50" s="19">
        <v>0</v>
      </c>
      <c r="AV50" s="19">
        <v>0</v>
      </c>
      <c r="AW50" s="19">
        <v>0</v>
      </c>
    </row>
    <row r="51" spans="1:49" ht="17" customHeight="1">
      <c r="A51" s="11" t="s">
        <v>2943</v>
      </c>
      <c r="B51" s="11" t="s">
        <v>2943</v>
      </c>
      <c r="C51" s="14" t="s">
        <v>2867</v>
      </c>
      <c r="D51" s="14" t="s">
        <v>2916</v>
      </c>
      <c r="E51" s="14" t="s">
        <v>2927</v>
      </c>
      <c r="F51" s="14" t="s">
        <v>2918</v>
      </c>
      <c r="G51" s="14"/>
      <c r="H51" s="14" t="s">
        <v>2919</v>
      </c>
      <c r="I51" s="14"/>
      <c r="J51" s="14"/>
      <c r="K51" s="14"/>
      <c r="L51" s="14">
        <v>44</v>
      </c>
      <c r="M51" s="14">
        <v>50</v>
      </c>
      <c r="N51" s="14">
        <v>10</v>
      </c>
      <c r="O51" s="14"/>
      <c r="P51" s="14">
        <v>8.4499999999999993</v>
      </c>
      <c r="Q51" s="14">
        <v>235</v>
      </c>
      <c r="R51" s="14">
        <v>2.9</v>
      </c>
      <c r="S51" s="14"/>
      <c r="T51" s="14" t="s">
        <v>2944</v>
      </c>
      <c r="U51" s="14">
        <v>0.77</v>
      </c>
      <c r="V51" s="15">
        <v>10.6</v>
      </c>
      <c r="W51" s="14" t="s">
        <v>2873</v>
      </c>
      <c r="X51" s="14"/>
      <c r="Y51" s="14"/>
      <c r="Z51" s="14"/>
      <c r="AA51" s="14"/>
      <c r="AB51" s="14"/>
      <c r="AC51" s="14"/>
      <c r="AD51" s="14"/>
      <c r="AE51" s="14"/>
      <c r="AF51" s="14"/>
      <c r="AG51" s="14"/>
      <c r="AH51" s="14" t="s">
        <v>2943</v>
      </c>
      <c r="AI51" s="14"/>
      <c r="AJ51" s="16">
        <v>6.6400000000000001E-2</v>
      </c>
      <c r="AK51" s="14">
        <v>1</v>
      </c>
      <c r="AL51" s="14">
        <v>0</v>
      </c>
      <c r="AM51" s="14">
        <v>10</v>
      </c>
      <c r="AN51" s="17">
        <v>6.8370141120000002E-3</v>
      </c>
      <c r="AO51" s="17">
        <v>9.2613770479999996E-2</v>
      </c>
      <c r="AP51" s="17">
        <v>-1.7019177888E-4</v>
      </c>
      <c r="AQ51" s="17">
        <v>1.3787670496000001E-4</v>
      </c>
      <c r="AR51" s="17">
        <v>-4.9920931000000003E-5</v>
      </c>
      <c r="AS51" s="17">
        <v>5.2397224711999996E-6</v>
      </c>
      <c r="AT51" s="17">
        <v>-1.4520370591999999E-7</v>
      </c>
      <c r="AU51" s="17">
        <v>-5.4860002039999993E-9</v>
      </c>
      <c r="AV51" s="17">
        <v>0</v>
      </c>
      <c r="AW51" s="17">
        <v>0</v>
      </c>
    </row>
    <row r="52" spans="1:49" ht="17" customHeight="1">
      <c r="A52" s="11" t="s">
        <v>2945</v>
      </c>
      <c r="B52" s="11" t="s">
        <v>2945</v>
      </c>
      <c r="C52" s="14" t="s">
        <v>2867</v>
      </c>
      <c r="D52" s="14" t="s">
        <v>2916</v>
      </c>
      <c r="E52" s="14" t="s">
        <v>2927</v>
      </c>
      <c r="F52" s="14" t="s">
        <v>2918</v>
      </c>
      <c r="G52" s="14"/>
      <c r="H52" s="14" t="s">
        <v>2919</v>
      </c>
      <c r="I52" s="14"/>
      <c r="J52" s="14"/>
      <c r="K52" s="14"/>
      <c r="L52" s="14">
        <v>44</v>
      </c>
      <c r="M52" s="14">
        <v>100</v>
      </c>
      <c r="N52" s="14">
        <v>10</v>
      </c>
      <c r="O52" s="14"/>
      <c r="P52" s="14">
        <v>11.13</v>
      </c>
      <c r="Q52" s="14">
        <v>235</v>
      </c>
      <c r="R52" s="14">
        <v>2.9</v>
      </c>
      <c r="S52" s="14"/>
      <c r="T52" s="14">
        <v>37.700000000000003</v>
      </c>
      <c r="U52" s="14">
        <v>1.01</v>
      </c>
      <c r="V52" s="15">
        <v>10.6</v>
      </c>
      <c r="W52" s="14" t="s">
        <v>2873</v>
      </c>
      <c r="X52" s="14"/>
      <c r="Y52" s="14"/>
      <c r="Z52" s="14"/>
      <c r="AA52" s="14"/>
      <c r="AB52" s="14"/>
      <c r="AC52" s="14"/>
      <c r="AD52" s="14"/>
      <c r="AE52" s="14"/>
      <c r="AF52" s="14"/>
      <c r="AG52" s="14"/>
      <c r="AH52" s="14" t="s">
        <v>2945</v>
      </c>
      <c r="AI52" s="14"/>
      <c r="AJ52" s="16">
        <v>0.11459999999999999</v>
      </c>
      <c r="AK52" s="14">
        <v>1</v>
      </c>
      <c r="AL52" s="14">
        <v>0</v>
      </c>
      <c r="AM52" s="14">
        <v>10</v>
      </c>
      <c r="AN52" s="17">
        <v>4.5384987576000003E-3</v>
      </c>
      <c r="AO52" s="17">
        <v>0.13022425458</v>
      </c>
      <c r="AP52" s="17">
        <v>2.3872133471999998E-2</v>
      </c>
      <c r="AQ52" s="17">
        <v>-1.0354544334E-2</v>
      </c>
      <c r="AR52" s="17">
        <v>2.3718852534E-3</v>
      </c>
      <c r="AS52" s="17">
        <v>-2.9922654773999999E-4</v>
      </c>
      <c r="AT52" s="17">
        <v>1.9514318345999999E-5</v>
      </c>
      <c r="AU52" s="17">
        <v>-5.1577084571999994E-7</v>
      </c>
      <c r="AV52" s="17">
        <v>0</v>
      </c>
      <c r="AW52" s="17">
        <v>0</v>
      </c>
    </row>
    <row r="53" spans="1:49" ht="17" customHeight="1">
      <c r="A53" s="11" t="s">
        <v>2946</v>
      </c>
      <c r="B53" s="11" t="s">
        <v>2946</v>
      </c>
      <c r="C53" s="14" t="s">
        <v>2867</v>
      </c>
      <c r="D53" s="14" t="s">
        <v>2916</v>
      </c>
      <c r="E53" s="14" t="s">
        <v>2927</v>
      </c>
      <c r="F53" s="14" t="s">
        <v>2918</v>
      </c>
      <c r="G53" s="14"/>
      <c r="H53" s="14" t="s">
        <v>2919</v>
      </c>
      <c r="I53" s="14"/>
      <c r="J53" s="14"/>
      <c r="K53" s="14"/>
      <c r="L53" s="14">
        <v>44</v>
      </c>
      <c r="M53" s="14">
        <v>50</v>
      </c>
      <c r="N53" s="14">
        <v>10</v>
      </c>
      <c r="O53" s="14"/>
      <c r="P53" s="14">
        <v>8.4499999999999993</v>
      </c>
      <c r="Q53" s="14">
        <v>235</v>
      </c>
      <c r="R53" s="14">
        <v>2.9</v>
      </c>
      <c r="S53" s="14"/>
      <c r="T53" s="14" t="s">
        <v>2944</v>
      </c>
      <c r="U53" s="14">
        <v>0.77</v>
      </c>
      <c r="V53" s="15">
        <v>10.6</v>
      </c>
      <c r="W53" s="14" t="s">
        <v>2873</v>
      </c>
      <c r="X53" s="14"/>
      <c r="Y53" s="14"/>
      <c r="Z53" s="14"/>
      <c r="AA53" s="14"/>
      <c r="AB53" s="14"/>
      <c r="AC53" s="14"/>
      <c r="AD53" s="14"/>
      <c r="AE53" s="14"/>
      <c r="AF53" s="14"/>
      <c r="AG53" s="14"/>
      <c r="AH53" s="14" t="s">
        <v>2946</v>
      </c>
      <c r="AI53" s="14"/>
      <c r="AJ53" s="16">
        <v>6.6400000000000001E-2</v>
      </c>
      <c r="AK53" s="14">
        <v>1</v>
      </c>
      <c r="AL53" s="14">
        <v>0</v>
      </c>
      <c r="AM53" s="14">
        <v>10</v>
      </c>
      <c r="AN53" s="17">
        <v>6.5687531983999996E-3</v>
      </c>
      <c r="AO53" s="17">
        <v>9.1944285840000001E-2</v>
      </c>
      <c r="AP53" s="17">
        <v>-3.8125377368000002E-4</v>
      </c>
      <c r="AQ53" s="17">
        <v>2.6202115287999998E-4</v>
      </c>
      <c r="AR53" s="17">
        <v>-8.3856141679999999E-5</v>
      </c>
      <c r="AS53" s="17">
        <v>9.9075526320000016E-6</v>
      </c>
      <c r="AT53" s="17">
        <v>-4.5582034951999999E-7</v>
      </c>
      <c r="AU53" s="17">
        <v>2.4413849744E-9</v>
      </c>
      <c r="AV53" s="17">
        <v>0</v>
      </c>
      <c r="AW53" s="17">
        <v>0</v>
      </c>
    </row>
    <row r="54" spans="1:49" ht="17" customHeight="1">
      <c r="A54" s="11" t="s">
        <v>2947</v>
      </c>
      <c r="B54" s="11" t="s">
        <v>2947</v>
      </c>
      <c r="C54" s="18" t="s">
        <v>2867</v>
      </c>
      <c r="D54" s="18" t="s">
        <v>2916</v>
      </c>
      <c r="E54" s="18" t="s">
        <v>2917</v>
      </c>
      <c r="F54" s="18" t="s">
        <v>2918</v>
      </c>
      <c r="G54" s="14"/>
      <c r="H54" s="18" t="s">
        <v>2948</v>
      </c>
      <c r="I54" s="14"/>
      <c r="J54" s="14"/>
      <c r="K54" s="14"/>
      <c r="L54" s="18">
        <v>39</v>
      </c>
      <c r="M54" s="18">
        <v>50</v>
      </c>
      <c r="N54" s="18">
        <v>10</v>
      </c>
      <c r="O54" s="14"/>
      <c r="P54" s="18">
        <v>1.1299999999999999</v>
      </c>
      <c r="Q54" s="18">
        <v>36</v>
      </c>
      <c r="R54" s="18" t="s">
        <v>2936</v>
      </c>
      <c r="S54" s="18"/>
      <c r="T54" s="18">
        <v>1.95</v>
      </c>
      <c r="U54" s="18">
        <v>0.113</v>
      </c>
      <c r="V54" s="20">
        <v>2.264E-2</v>
      </c>
      <c r="W54" s="18" t="s">
        <v>2873</v>
      </c>
      <c r="X54" s="14"/>
      <c r="Y54" s="14"/>
      <c r="Z54" s="14"/>
      <c r="AA54" s="14"/>
      <c r="AB54" s="14"/>
      <c r="AC54" s="14"/>
      <c r="AD54" s="14"/>
      <c r="AE54" s="14"/>
      <c r="AF54" s="14"/>
      <c r="AG54" s="14"/>
      <c r="AH54" s="18" t="s">
        <v>2949</v>
      </c>
      <c r="AI54" s="14"/>
      <c r="AJ54" s="21">
        <v>9.1811000000000004E-2</v>
      </c>
      <c r="AK54" s="18">
        <v>1</v>
      </c>
      <c r="AL54" s="18">
        <v>-10</v>
      </c>
      <c r="AM54" s="18">
        <v>10</v>
      </c>
      <c r="AN54" s="17">
        <v>0</v>
      </c>
      <c r="AO54" s="17">
        <v>2.0786000000000001E-4</v>
      </c>
      <c r="AP54" s="19">
        <v>0</v>
      </c>
      <c r="AQ54" s="19">
        <v>0</v>
      </c>
      <c r="AR54" s="19">
        <v>0</v>
      </c>
      <c r="AS54" s="19">
        <v>0</v>
      </c>
      <c r="AT54" s="19">
        <v>0</v>
      </c>
      <c r="AU54" s="19">
        <v>0</v>
      </c>
      <c r="AV54" s="19">
        <v>0</v>
      </c>
      <c r="AW54" s="19">
        <v>0</v>
      </c>
    </row>
    <row r="55" spans="1:49" ht="17" customHeight="1">
      <c r="A55" s="11" t="s">
        <v>2950</v>
      </c>
      <c r="B55" s="11" t="s">
        <v>2950</v>
      </c>
      <c r="C55" s="18" t="s">
        <v>2867</v>
      </c>
      <c r="D55" s="18" t="s">
        <v>2916</v>
      </c>
      <c r="E55" s="18" t="s">
        <v>2917</v>
      </c>
      <c r="F55" s="18" t="s">
        <v>2918</v>
      </c>
      <c r="G55" s="14"/>
      <c r="H55" s="18" t="s">
        <v>2948</v>
      </c>
      <c r="I55" s="14"/>
      <c r="J55" s="14"/>
      <c r="K55" s="14"/>
      <c r="L55" s="18">
        <v>39</v>
      </c>
      <c r="M55" s="18">
        <v>50</v>
      </c>
      <c r="N55" s="18">
        <v>10</v>
      </c>
      <c r="O55" s="14"/>
      <c r="P55" s="18">
        <v>1.1299999999999999</v>
      </c>
      <c r="Q55" s="18">
        <v>36</v>
      </c>
      <c r="R55" s="18" t="s">
        <v>2936</v>
      </c>
      <c r="S55" s="18"/>
      <c r="T55" s="18">
        <v>1.95</v>
      </c>
      <c r="U55" s="18">
        <v>0.113</v>
      </c>
      <c r="V55" s="20">
        <v>2.264E-2</v>
      </c>
      <c r="W55" s="18" t="s">
        <v>2873</v>
      </c>
      <c r="X55" s="14"/>
      <c r="Y55" s="14"/>
      <c r="Z55" s="14"/>
      <c r="AA55" s="14"/>
      <c r="AB55" s="14"/>
      <c r="AC55" s="14"/>
      <c r="AD55" s="14"/>
      <c r="AE55" s="14"/>
      <c r="AF55" s="14"/>
      <c r="AG55" s="14"/>
      <c r="AH55" s="18" t="s">
        <v>2949</v>
      </c>
      <c r="AI55" s="14"/>
      <c r="AJ55" s="21">
        <v>9.1811000000000004E-2</v>
      </c>
      <c r="AK55" s="18">
        <v>1</v>
      </c>
      <c r="AL55" s="18">
        <v>-10</v>
      </c>
      <c r="AM55" s="18">
        <v>10</v>
      </c>
      <c r="AN55" s="17">
        <v>0</v>
      </c>
      <c r="AO55" s="17">
        <v>2.0786000000000001E-4</v>
      </c>
      <c r="AP55" s="19">
        <v>0</v>
      </c>
      <c r="AQ55" s="19">
        <v>0</v>
      </c>
      <c r="AR55" s="19">
        <v>0</v>
      </c>
      <c r="AS55" s="19">
        <v>0</v>
      </c>
      <c r="AT55" s="19">
        <v>0</v>
      </c>
      <c r="AU55" s="19">
        <v>0</v>
      </c>
      <c r="AV55" s="19">
        <v>0</v>
      </c>
      <c r="AW55" s="19">
        <v>0</v>
      </c>
    </row>
    <row r="56" spans="1:49" ht="17" customHeight="1">
      <c r="A56" s="11" t="s">
        <v>2951</v>
      </c>
      <c r="B56" s="11" t="s">
        <v>2951</v>
      </c>
      <c r="C56" s="14" t="s">
        <v>2867</v>
      </c>
      <c r="D56" s="14" t="s">
        <v>2916</v>
      </c>
      <c r="E56" s="14" t="s">
        <v>2927</v>
      </c>
      <c r="F56" s="14" t="s">
        <v>2918</v>
      </c>
      <c r="G56" s="14"/>
      <c r="H56" s="14" t="s">
        <v>2952</v>
      </c>
      <c r="I56" s="14"/>
      <c r="J56" s="14"/>
      <c r="K56" s="14"/>
      <c r="L56" s="14">
        <v>25</v>
      </c>
      <c r="M56" s="14">
        <v>162</v>
      </c>
      <c r="N56" s="14">
        <v>330</v>
      </c>
      <c r="O56" s="14"/>
      <c r="P56" s="14">
        <v>2.9</v>
      </c>
      <c r="Q56" s="14">
        <v>16</v>
      </c>
      <c r="R56" s="14" t="s">
        <v>2953</v>
      </c>
      <c r="S56" s="14"/>
      <c r="T56" s="14">
        <v>0.91100000000000003</v>
      </c>
      <c r="U56" s="14">
        <v>9.6999999999999993</v>
      </c>
      <c r="V56" s="15">
        <v>0.53080349475053135</v>
      </c>
      <c r="W56" s="14" t="s">
        <v>2954</v>
      </c>
      <c r="X56" s="14"/>
      <c r="Y56" s="14"/>
      <c r="Z56" s="14"/>
      <c r="AA56" s="14"/>
      <c r="AB56" s="14"/>
      <c r="AC56" s="14"/>
      <c r="AD56" s="14"/>
      <c r="AE56" s="14"/>
      <c r="AF56" s="14"/>
      <c r="AG56" s="14"/>
      <c r="AH56" s="14" t="s">
        <v>2951</v>
      </c>
      <c r="AI56" s="14"/>
      <c r="AJ56" s="16">
        <v>0.1963</v>
      </c>
      <c r="AK56" s="14">
        <v>1</v>
      </c>
      <c r="AL56" s="14">
        <v>0</v>
      </c>
      <c r="AM56" s="14">
        <v>330</v>
      </c>
      <c r="AN56" s="17">
        <v>-6.7336788999999999E-5</v>
      </c>
      <c r="AO56" s="17">
        <v>2.9231032999999998E-4</v>
      </c>
      <c r="AP56" s="17">
        <v>4.4854550000000001E-7</v>
      </c>
      <c r="AQ56" s="17">
        <v>-5.7087965999999997E-9</v>
      </c>
      <c r="AR56" s="17">
        <v>3.5612746000000002E-11</v>
      </c>
      <c r="AS56" s="17">
        <v>-1.11584772E-13</v>
      </c>
      <c r="AT56" s="17">
        <v>1.5738156200000001E-16</v>
      </c>
      <c r="AU56" s="17">
        <v>-6.1818796000000001E-20</v>
      </c>
      <c r="AV56" s="17">
        <v>0</v>
      </c>
      <c r="AW56" s="17">
        <v>0</v>
      </c>
    </row>
    <row r="57" spans="1:49" ht="17" customHeight="1">
      <c r="A57" s="11" t="s">
        <v>2955</v>
      </c>
      <c r="B57" s="11" t="s">
        <v>2955</v>
      </c>
      <c r="C57" s="14" t="s">
        <v>2867</v>
      </c>
      <c r="D57" s="14" t="s">
        <v>2916</v>
      </c>
      <c r="E57" s="14" t="s">
        <v>2927</v>
      </c>
      <c r="F57" s="14" t="s">
        <v>2918</v>
      </c>
      <c r="G57" s="14"/>
      <c r="H57" s="14" t="s">
        <v>2952</v>
      </c>
      <c r="I57" s="14"/>
      <c r="J57" s="14"/>
      <c r="K57" s="14"/>
      <c r="L57" s="14">
        <v>25</v>
      </c>
      <c r="M57" s="14">
        <v>162</v>
      </c>
      <c r="N57" s="14">
        <v>330</v>
      </c>
      <c r="O57" s="14"/>
      <c r="P57" s="14">
        <v>2.9</v>
      </c>
      <c r="Q57" s="14">
        <v>16</v>
      </c>
      <c r="R57" s="14" t="s">
        <v>2953</v>
      </c>
      <c r="S57" s="14"/>
      <c r="T57" s="14">
        <v>0.90700000000000003</v>
      </c>
      <c r="U57" s="14">
        <v>9.6999999999999993</v>
      </c>
      <c r="V57" s="15">
        <v>0.53080349475053135</v>
      </c>
      <c r="W57" s="14" t="s">
        <v>2954</v>
      </c>
      <c r="X57" s="14"/>
      <c r="Y57" s="14"/>
      <c r="Z57" s="14"/>
      <c r="AA57" s="14"/>
      <c r="AB57" s="14"/>
      <c r="AC57" s="14"/>
      <c r="AD57" s="14"/>
      <c r="AE57" s="14"/>
      <c r="AF57" s="14"/>
      <c r="AG57" s="14"/>
      <c r="AH57" s="14" t="s">
        <v>2955</v>
      </c>
      <c r="AI57" s="14"/>
      <c r="AJ57" s="16">
        <v>0.19639999999999999</v>
      </c>
      <c r="AK57" s="14">
        <v>1</v>
      </c>
      <c r="AL57" s="14">
        <v>0</v>
      </c>
      <c r="AM57" s="14">
        <v>330</v>
      </c>
      <c r="AN57" s="17">
        <v>3.4888496000000011E-4</v>
      </c>
      <c r="AO57" s="17">
        <v>2.7230860000000001E-4</v>
      </c>
      <c r="AP57" s="17">
        <v>9.509491600000001E-7</v>
      </c>
      <c r="AQ57" s="17">
        <v>-1.49586096E-8</v>
      </c>
      <c r="AR57" s="17">
        <v>1.3334381600000001E-10</v>
      </c>
      <c r="AS57" s="17">
        <v>-6.4733440000000005E-13</v>
      </c>
      <c r="AT57" s="17">
        <v>1.5867156000000001E-15</v>
      </c>
      <c r="AU57" s="17">
        <v>-1.5344535600000001E-18</v>
      </c>
      <c r="AV57" s="17">
        <v>0</v>
      </c>
      <c r="AW57" s="17">
        <v>0</v>
      </c>
    </row>
    <row r="58" spans="1:49" ht="17" customHeight="1">
      <c r="A58" s="11" t="s">
        <v>2956</v>
      </c>
      <c r="B58" s="11" t="s">
        <v>2956</v>
      </c>
      <c r="C58" s="14" t="s">
        <v>2867</v>
      </c>
      <c r="D58" s="14" t="s">
        <v>2916</v>
      </c>
      <c r="E58" s="14" t="s">
        <v>2927</v>
      </c>
      <c r="F58" s="14" t="s">
        <v>2918</v>
      </c>
      <c r="G58" s="14"/>
      <c r="H58" s="14" t="s">
        <v>2957</v>
      </c>
      <c r="I58" s="14"/>
      <c r="J58" s="14"/>
      <c r="K58" s="14"/>
      <c r="L58" s="14">
        <v>44</v>
      </c>
      <c r="M58" s="14">
        <v>160</v>
      </c>
      <c r="N58" s="14">
        <v>100</v>
      </c>
      <c r="O58" s="14"/>
      <c r="P58" s="14">
        <v>2.63</v>
      </c>
      <c r="Q58" s="14">
        <v>16</v>
      </c>
      <c r="R58" s="14" t="s">
        <v>2958</v>
      </c>
      <c r="S58" s="14"/>
      <c r="T58" s="14">
        <v>2.9</v>
      </c>
      <c r="U58" s="14">
        <v>2.6800000000000001E-2</v>
      </c>
      <c r="V58" s="15">
        <v>8.3083442078407757</v>
      </c>
      <c r="W58" s="14" t="s">
        <v>2954</v>
      </c>
      <c r="X58" s="14"/>
      <c r="Y58" s="14"/>
      <c r="Z58" s="14"/>
      <c r="AA58" s="14"/>
      <c r="AB58" s="14"/>
      <c r="AC58" s="14"/>
      <c r="AD58" s="14"/>
      <c r="AE58" s="14"/>
      <c r="AF58" s="14"/>
      <c r="AG58" s="14"/>
      <c r="AH58" s="14" t="s">
        <v>2956</v>
      </c>
      <c r="AI58" s="14"/>
      <c r="AJ58" s="16">
        <v>0.18614150287840159</v>
      </c>
      <c r="AK58" s="14">
        <v>1</v>
      </c>
      <c r="AL58" s="14">
        <v>0</v>
      </c>
      <c r="AM58" s="14">
        <v>100</v>
      </c>
      <c r="AN58" s="17">
        <v>1.2867951297776729E-2</v>
      </c>
      <c r="AO58" s="17">
        <v>1.6177093778253701E-2</v>
      </c>
      <c r="AP58" s="17">
        <v>-2.039712528731121E-6</v>
      </c>
      <c r="AQ58" s="17">
        <v>7.8379816259607305E-9</v>
      </c>
      <c r="AR58" s="17">
        <v>1.4512007590659121E-9</v>
      </c>
      <c r="AS58" s="17">
        <v>-4.7079694425147472E-11</v>
      </c>
      <c r="AT58" s="17">
        <v>5.3116845986398043E-13</v>
      </c>
      <c r="AU58" s="17">
        <v>-2.165948856304179E-15</v>
      </c>
      <c r="AV58" s="17">
        <v>0</v>
      </c>
      <c r="AW58" s="17">
        <v>0</v>
      </c>
    </row>
    <row r="59" spans="1:49" ht="17" customHeight="1">
      <c r="A59" s="11" t="s">
        <v>2959</v>
      </c>
      <c r="B59" s="11" t="s">
        <v>2959</v>
      </c>
      <c r="C59" s="14" t="s">
        <v>2867</v>
      </c>
      <c r="D59" s="14" t="s">
        <v>2916</v>
      </c>
      <c r="E59" s="14" t="s">
        <v>2927</v>
      </c>
      <c r="F59" s="14" t="s">
        <v>2918</v>
      </c>
      <c r="G59" s="14"/>
      <c r="H59" s="14" t="s">
        <v>2957</v>
      </c>
      <c r="I59" s="14"/>
      <c r="J59" s="14"/>
      <c r="K59" s="14"/>
      <c r="L59" s="14">
        <v>44</v>
      </c>
      <c r="M59" s="14">
        <v>160</v>
      </c>
      <c r="N59" s="14">
        <v>100</v>
      </c>
      <c r="O59" s="14"/>
      <c r="P59" s="14">
        <v>2.63</v>
      </c>
      <c r="Q59" s="14">
        <v>16</v>
      </c>
      <c r="R59" s="14" t="s">
        <v>2958</v>
      </c>
      <c r="S59" s="14"/>
      <c r="T59" s="14">
        <v>2.9</v>
      </c>
      <c r="U59" s="14">
        <v>2.6800000000000001E-2</v>
      </c>
      <c r="V59" s="15">
        <v>8.3083442078407757</v>
      </c>
      <c r="W59" s="14" t="s">
        <v>2954</v>
      </c>
      <c r="X59" s="14"/>
      <c r="Y59" s="14"/>
      <c r="Z59" s="14"/>
      <c r="AA59" s="14"/>
      <c r="AB59" s="14"/>
      <c r="AC59" s="14"/>
      <c r="AD59" s="14"/>
      <c r="AE59" s="14"/>
      <c r="AF59" s="14"/>
      <c r="AG59" s="14"/>
      <c r="AH59" s="14" t="s">
        <v>2959</v>
      </c>
      <c r="AI59" s="14"/>
      <c r="AJ59" s="16">
        <v>0.18614150287840159</v>
      </c>
      <c r="AK59" s="14">
        <v>1</v>
      </c>
      <c r="AL59" s="14">
        <v>0</v>
      </c>
      <c r="AM59" s="14">
        <v>100</v>
      </c>
      <c r="AN59" s="17">
        <v>1.274099348573852E-2</v>
      </c>
      <c r="AO59" s="17">
        <v>1.6120247280123651E-2</v>
      </c>
      <c r="AP59" s="17">
        <v>-5.4052707759004758E-6</v>
      </c>
      <c r="AQ59" s="17">
        <v>3.5379100152315182E-7</v>
      </c>
      <c r="AR59" s="17">
        <v>-9.4612643409803848E-9</v>
      </c>
      <c r="AS59" s="17">
        <v>1.1895736834223879E-10</v>
      </c>
      <c r="AT59" s="17">
        <v>-6.9791692194989747E-13</v>
      </c>
      <c r="AU59" s="17">
        <v>1.379035466744233E-15</v>
      </c>
      <c r="AV59" s="17">
        <v>0</v>
      </c>
      <c r="AW59" s="17">
        <v>0</v>
      </c>
    </row>
    <row r="60" spans="1:49" ht="17" customHeight="1">
      <c r="A60" s="11" t="s">
        <v>2960</v>
      </c>
      <c r="B60" s="11" t="s">
        <v>2960</v>
      </c>
      <c r="C60" s="14" t="s">
        <v>2867</v>
      </c>
      <c r="D60" s="14" t="s">
        <v>2916</v>
      </c>
      <c r="E60" s="14" t="s">
        <v>2927</v>
      </c>
      <c r="F60" s="14" t="s">
        <v>2918</v>
      </c>
      <c r="G60" s="14"/>
      <c r="H60" s="14" t="s">
        <v>2957</v>
      </c>
      <c r="I60" s="14"/>
      <c r="J60" s="14"/>
      <c r="K60" s="14"/>
      <c r="L60" s="14">
        <v>44</v>
      </c>
      <c r="M60" s="14">
        <v>160</v>
      </c>
      <c r="N60" s="14">
        <v>100</v>
      </c>
      <c r="O60" s="14"/>
      <c r="P60" s="14">
        <v>2.63</v>
      </c>
      <c r="Q60" s="14">
        <v>16</v>
      </c>
      <c r="R60" s="14" t="s">
        <v>2958</v>
      </c>
      <c r="S60" s="14"/>
      <c r="T60" s="14">
        <v>2.9</v>
      </c>
      <c r="U60" s="14">
        <v>2.6800000000000001E-2</v>
      </c>
      <c r="V60" s="15">
        <v>8.3083442078407757</v>
      </c>
      <c r="W60" s="14" t="s">
        <v>2954</v>
      </c>
      <c r="X60" s="14"/>
      <c r="Y60" s="14"/>
      <c r="Z60" s="14"/>
      <c r="AA60" s="14"/>
      <c r="AB60" s="14"/>
      <c r="AC60" s="14"/>
      <c r="AD60" s="14"/>
      <c r="AE60" s="14"/>
      <c r="AF60" s="14"/>
      <c r="AG60" s="14"/>
      <c r="AH60" s="14" t="s">
        <v>2960</v>
      </c>
      <c r="AI60" s="14"/>
      <c r="AJ60" s="16">
        <v>0.18614150287840159</v>
      </c>
      <c r="AK60" s="14">
        <v>1</v>
      </c>
      <c r="AL60" s="14">
        <v>0</v>
      </c>
      <c r="AM60" s="14">
        <v>100</v>
      </c>
      <c r="AN60" s="17">
        <v>1.1728409211465909E-2</v>
      </c>
      <c r="AO60" s="17">
        <v>1.62186751840157E-2</v>
      </c>
      <c r="AP60" s="17">
        <v>-6.1326784498202538E-6</v>
      </c>
      <c r="AQ60" s="17">
        <v>1.5602338517146471E-7</v>
      </c>
      <c r="AR60" s="17">
        <v>-3.4181104608279962E-10</v>
      </c>
      <c r="AS60" s="17">
        <v>-4.8935761608553788E-11</v>
      </c>
      <c r="AT60" s="17">
        <v>7.0468057821263734E-13</v>
      </c>
      <c r="AU60" s="17">
        <v>-3.016409465814787E-15</v>
      </c>
      <c r="AV60" s="17">
        <v>0</v>
      </c>
      <c r="AW60" s="17">
        <v>0</v>
      </c>
    </row>
    <row r="61" spans="1:49" ht="17" customHeight="1">
      <c r="A61" s="11" t="s">
        <v>2961</v>
      </c>
      <c r="B61" s="11" t="s">
        <v>2961</v>
      </c>
      <c r="C61" s="14" t="s">
        <v>2867</v>
      </c>
      <c r="D61" s="14" t="s">
        <v>2916</v>
      </c>
      <c r="E61" s="14" t="s">
        <v>2927</v>
      </c>
      <c r="F61" s="14" t="s">
        <v>2918</v>
      </c>
      <c r="G61" s="14"/>
      <c r="H61" s="14" t="s">
        <v>2919</v>
      </c>
      <c r="I61" s="14"/>
      <c r="J61" s="14"/>
      <c r="K61" s="14"/>
      <c r="L61" s="14">
        <v>44</v>
      </c>
      <c r="M61" s="14">
        <v>50</v>
      </c>
      <c r="N61" s="14">
        <v>10</v>
      </c>
      <c r="O61" s="14"/>
      <c r="P61" s="14">
        <v>4.8</v>
      </c>
      <c r="Q61" s="14">
        <v>168</v>
      </c>
      <c r="R61" s="14">
        <v>3.2</v>
      </c>
      <c r="S61" s="14"/>
      <c r="T61" s="14">
        <v>15.2</v>
      </c>
      <c r="U61" s="14">
        <v>0.39200000000000002</v>
      </c>
      <c r="V61" s="15">
        <v>8.2240000000000002</v>
      </c>
      <c r="W61" s="14" t="s">
        <v>2873</v>
      </c>
      <c r="X61" s="14"/>
      <c r="Y61" s="14"/>
      <c r="Z61" s="14"/>
      <c r="AA61" s="14"/>
      <c r="AB61" s="14"/>
      <c r="AC61" s="14"/>
      <c r="AD61" s="14"/>
      <c r="AE61" s="14"/>
      <c r="AF61" s="14"/>
      <c r="AG61" s="14"/>
      <c r="AH61" s="14" t="s">
        <v>2961</v>
      </c>
      <c r="AI61" s="14"/>
      <c r="AJ61" s="16">
        <v>7.3599999999999999E-2</v>
      </c>
      <c r="AK61" s="14">
        <v>1</v>
      </c>
      <c r="AL61" s="14">
        <v>0</v>
      </c>
      <c r="AM61" s="14">
        <v>10</v>
      </c>
      <c r="AN61" s="17">
        <v>1.4160207232000001E-4</v>
      </c>
      <c r="AO61" s="17">
        <v>6.5904853567999994E-2</v>
      </c>
      <c r="AP61" s="17">
        <v>-1.6354885632E-4</v>
      </c>
      <c r="AQ61" s="17">
        <v>1.5026164959999999E-4</v>
      </c>
      <c r="AR61" s="17">
        <v>-4.9062694719999998E-5</v>
      </c>
      <c r="AS61" s="17">
        <v>5.8019205312000001E-6</v>
      </c>
      <c r="AT61" s="17">
        <v>-2.7803462783999999E-7</v>
      </c>
      <c r="AU61" s="17">
        <v>2.1853359104000001E-9</v>
      </c>
      <c r="AV61" s="17">
        <v>0</v>
      </c>
      <c r="AW61" s="17">
        <v>0</v>
      </c>
    </row>
    <row r="62" spans="1:49" ht="17" customHeight="1">
      <c r="A62" s="11" t="s">
        <v>2962</v>
      </c>
      <c r="B62" s="11" t="s">
        <v>2962</v>
      </c>
      <c r="C62" s="14" t="s">
        <v>2867</v>
      </c>
      <c r="D62" s="14" t="s">
        <v>2916</v>
      </c>
      <c r="E62" s="14" t="s">
        <v>2927</v>
      </c>
      <c r="F62" s="14" t="s">
        <v>2918</v>
      </c>
      <c r="G62" s="14"/>
      <c r="H62" s="14" t="s">
        <v>2919</v>
      </c>
      <c r="I62" s="14"/>
      <c r="J62" s="14"/>
      <c r="K62" s="14"/>
      <c r="L62" s="14">
        <v>44</v>
      </c>
      <c r="M62" s="14">
        <v>50</v>
      </c>
      <c r="N62" s="14">
        <v>10</v>
      </c>
      <c r="O62" s="14"/>
      <c r="P62" s="14">
        <v>4.8</v>
      </c>
      <c r="Q62" s="14">
        <v>168</v>
      </c>
      <c r="R62" s="14">
        <v>3.2</v>
      </c>
      <c r="S62" s="14"/>
      <c r="T62" s="14">
        <v>15.2</v>
      </c>
      <c r="U62" s="14">
        <v>0.39200000000000002</v>
      </c>
      <c r="V62" s="15">
        <v>8.2240000000000002</v>
      </c>
      <c r="W62" s="14" t="s">
        <v>2873</v>
      </c>
      <c r="X62" s="14"/>
      <c r="Y62" s="14"/>
      <c r="Z62" s="14"/>
      <c r="AA62" s="14"/>
      <c r="AB62" s="14"/>
      <c r="AC62" s="14"/>
      <c r="AD62" s="14"/>
      <c r="AE62" s="14"/>
      <c r="AF62" s="14"/>
      <c r="AG62" s="14"/>
      <c r="AH62" s="14" t="s">
        <v>2962</v>
      </c>
      <c r="AI62" s="14"/>
      <c r="AJ62" s="16">
        <v>7.3599999999999999E-2</v>
      </c>
      <c r="AK62" s="14">
        <v>1</v>
      </c>
      <c r="AL62" s="14">
        <v>0</v>
      </c>
      <c r="AM62" s="14">
        <v>10</v>
      </c>
      <c r="AN62" s="17">
        <v>1.4363397696000001E-4</v>
      </c>
      <c r="AO62" s="17">
        <v>6.5471128768E-2</v>
      </c>
      <c r="AP62" s="17">
        <v>9.5252597440000008E-5</v>
      </c>
      <c r="AQ62" s="17">
        <v>3.8367949376000002E-5</v>
      </c>
      <c r="AR62" s="17">
        <v>-1.8897530848E-5</v>
      </c>
      <c r="AS62" s="17">
        <v>1.3470085056E-6</v>
      </c>
      <c r="AT62" s="17">
        <v>5.4816826623999998E-8</v>
      </c>
      <c r="AU62" s="17">
        <v>-7.6588822400000008E-9</v>
      </c>
      <c r="AV62" s="17">
        <v>0</v>
      </c>
      <c r="AW62" s="17">
        <v>0</v>
      </c>
    </row>
    <row r="63" spans="1:49" ht="17" customHeight="1">
      <c r="A63" s="11" t="s">
        <v>2963</v>
      </c>
      <c r="B63" s="11" t="s">
        <v>2963</v>
      </c>
      <c r="C63" s="18" t="s">
        <v>2867</v>
      </c>
      <c r="D63" s="18" t="s">
        <v>2916</v>
      </c>
      <c r="E63" s="18" t="s">
        <v>2917</v>
      </c>
      <c r="F63" s="18" t="s">
        <v>2918</v>
      </c>
      <c r="G63" s="14"/>
      <c r="H63" s="18" t="s">
        <v>2932</v>
      </c>
      <c r="I63" s="14"/>
      <c r="J63" s="14"/>
      <c r="K63" s="14"/>
      <c r="L63" s="18">
        <v>82</v>
      </c>
      <c r="M63" s="18">
        <v>50</v>
      </c>
      <c r="N63" s="18">
        <v>5</v>
      </c>
      <c r="O63" s="14"/>
      <c r="P63" s="18">
        <v>1.46</v>
      </c>
      <c r="Q63" s="18">
        <v>183</v>
      </c>
      <c r="R63" s="18">
        <v>2.4</v>
      </c>
      <c r="S63" s="18"/>
      <c r="T63" s="18" t="s">
        <v>2920</v>
      </c>
      <c r="U63" s="18">
        <v>0.29199999999999998</v>
      </c>
      <c r="V63" s="20">
        <v>8.4069999999999995E-3</v>
      </c>
      <c r="W63" s="18" t="s">
        <v>2873</v>
      </c>
      <c r="X63" s="14"/>
      <c r="Y63" s="14"/>
      <c r="Z63" s="14"/>
      <c r="AA63" s="14"/>
      <c r="AB63" s="14"/>
      <c r="AC63" s="14"/>
      <c r="AD63" s="14"/>
      <c r="AE63" s="14"/>
      <c r="AF63" s="14"/>
      <c r="AG63" s="14"/>
      <c r="AH63" s="18" t="s">
        <v>2931</v>
      </c>
      <c r="AI63" s="14"/>
      <c r="AJ63" s="21">
        <v>0.16389799999999999</v>
      </c>
      <c r="AK63" s="18">
        <v>1</v>
      </c>
      <c r="AL63" s="18">
        <v>-5</v>
      </c>
      <c r="AM63" s="18">
        <v>5</v>
      </c>
      <c r="AN63" s="17">
        <v>0</v>
      </c>
      <c r="AO63" s="17">
        <v>2.7557999999999999E-4</v>
      </c>
      <c r="AP63" s="19">
        <v>0</v>
      </c>
      <c r="AQ63" s="19">
        <v>0</v>
      </c>
      <c r="AR63" s="19">
        <v>0</v>
      </c>
      <c r="AS63" s="19">
        <v>0</v>
      </c>
      <c r="AT63" s="19">
        <v>0</v>
      </c>
      <c r="AU63" s="19">
        <v>0</v>
      </c>
      <c r="AV63" s="19">
        <v>0</v>
      </c>
      <c r="AW63" s="19">
        <v>0</v>
      </c>
    </row>
    <row r="64" spans="1:49" ht="17" customHeight="1">
      <c r="A64" s="11" t="s">
        <v>2964</v>
      </c>
      <c r="B64" s="11" t="s">
        <v>2964</v>
      </c>
      <c r="C64" s="18" t="s">
        <v>2867</v>
      </c>
      <c r="D64" s="18" t="s">
        <v>2916</v>
      </c>
      <c r="E64" s="18" t="s">
        <v>2917</v>
      </c>
      <c r="F64" s="18" t="s">
        <v>2918</v>
      </c>
      <c r="G64" s="14"/>
      <c r="H64" s="18" t="s">
        <v>2932</v>
      </c>
      <c r="I64" s="14"/>
      <c r="J64" s="14"/>
      <c r="K64" s="14"/>
      <c r="L64" s="18">
        <v>82</v>
      </c>
      <c r="M64" s="18">
        <v>50</v>
      </c>
      <c r="N64" s="18">
        <v>5</v>
      </c>
      <c r="O64" s="14"/>
      <c r="P64" s="18">
        <v>1.46</v>
      </c>
      <c r="Q64" s="18">
        <v>183</v>
      </c>
      <c r="R64" s="18">
        <v>2.4</v>
      </c>
      <c r="S64" s="18"/>
      <c r="T64" s="18" t="s">
        <v>2920</v>
      </c>
      <c r="U64" s="18">
        <v>0.29199999999999998</v>
      </c>
      <c r="V64" s="20">
        <v>8.4069999999999995E-3</v>
      </c>
      <c r="W64" s="18" t="s">
        <v>2873</v>
      </c>
      <c r="X64" s="14"/>
      <c r="Y64" s="14"/>
      <c r="Z64" s="14"/>
      <c r="AA64" s="14"/>
      <c r="AB64" s="14"/>
      <c r="AC64" s="14"/>
      <c r="AD64" s="14"/>
      <c r="AE64" s="14"/>
      <c r="AF64" s="14"/>
      <c r="AG64" s="14"/>
      <c r="AH64" s="18" t="s">
        <v>2931</v>
      </c>
      <c r="AI64" s="14"/>
      <c r="AJ64" s="21">
        <v>0.16389799999999999</v>
      </c>
      <c r="AK64" s="18">
        <v>1</v>
      </c>
      <c r="AL64" s="18">
        <v>-5</v>
      </c>
      <c r="AM64" s="18">
        <v>5</v>
      </c>
      <c r="AN64" s="17">
        <v>0</v>
      </c>
      <c r="AO64" s="17">
        <v>2.7557999999999999E-4</v>
      </c>
      <c r="AP64" s="19">
        <v>0</v>
      </c>
      <c r="AQ64" s="19">
        <v>0</v>
      </c>
      <c r="AR64" s="19">
        <v>0</v>
      </c>
      <c r="AS64" s="19">
        <v>0</v>
      </c>
      <c r="AT64" s="19">
        <v>0</v>
      </c>
      <c r="AU64" s="19">
        <v>0</v>
      </c>
      <c r="AV64" s="19">
        <v>0</v>
      </c>
      <c r="AW64" s="19">
        <v>0</v>
      </c>
    </row>
    <row r="65" spans="1:49" ht="17" customHeight="1">
      <c r="A65" s="11" t="s">
        <v>2965</v>
      </c>
      <c r="B65" s="11" t="s">
        <v>2965</v>
      </c>
      <c r="C65" s="14" t="s">
        <v>2867</v>
      </c>
      <c r="D65" s="14" t="s">
        <v>2916</v>
      </c>
      <c r="E65" s="14" t="s">
        <v>2927</v>
      </c>
      <c r="F65" s="14" t="s">
        <v>2918</v>
      </c>
      <c r="G65" s="14"/>
      <c r="H65" s="14" t="s">
        <v>2919</v>
      </c>
      <c r="I65" s="14"/>
      <c r="J65" s="14"/>
      <c r="K65" s="14"/>
      <c r="L65" s="14">
        <v>44</v>
      </c>
      <c r="M65" s="14">
        <v>50</v>
      </c>
      <c r="N65" s="14">
        <v>10</v>
      </c>
      <c r="O65" s="14"/>
      <c r="P65" s="14">
        <v>4.8</v>
      </c>
      <c r="Q65" s="14">
        <v>168</v>
      </c>
      <c r="R65" s="14">
        <v>3.2</v>
      </c>
      <c r="S65" s="14"/>
      <c r="T65" s="14">
        <v>15.2</v>
      </c>
      <c r="U65" s="14">
        <v>0.39200000000000002</v>
      </c>
      <c r="V65" s="15">
        <v>8.2240000000000002</v>
      </c>
      <c r="W65" s="14" t="s">
        <v>2873</v>
      </c>
      <c r="X65" s="14"/>
      <c r="Y65" s="14"/>
      <c r="Z65" s="14"/>
      <c r="AA65" s="14"/>
      <c r="AB65" s="14"/>
      <c r="AC65" s="14"/>
      <c r="AD65" s="14"/>
      <c r="AE65" s="14"/>
      <c r="AF65" s="14"/>
      <c r="AG65" s="14"/>
      <c r="AH65" s="14" t="s">
        <v>2965</v>
      </c>
      <c r="AI65" s="14"/>
      <c r="AJ65" s="16">
        <v>7.3599999999999999E-2</v>
      </c>
      <c r="AK65" s="14">
        <v>1</v>
      </c>
      <c r="AL65" s="14">
        <v>0</v>
      </c>
      <c r="AM65" s="14">
        <v>10</v>
      </c>
      <c r="AN65" s="17">
        <v>9.5717116480000008E-4</v>
      </c>
      <c r="AO65" s="17">
        <v>6.6040780992000003E-2</v>
      </c>
      <c r="AP65" s="17">
        <v>-2.5111582527999999E-4</v>
      </c>
      <c r="AQ65" s="17">
        <v>1.1369182623999999E-4</v>
      </c>
      <c r="AR65" s="17">
        <v>-2.6794114592E-5</v>
      </c>
      <c r="AS65" s="17">
        <v>1.5303683328000001E-6</v>
      </c>
      <c r="AT65" s="17">
        <v>8.3365667520000001E-8</v>
      </c>
      <c r="AU65" s="17">
        <v>-9.3036523519999996E-9</v>
      </c>
      <c r="AV65" s="17">
        <v>0</v>
      </c>
      <c r="AW65" s="17">
        <v>0</v>
      </c>
    </row>
    <row r="66" spans="1:49" ht="17" customHeight="1">
      <c r="A66" s="11" t="s">
        <v>2966</v>
      </c>
      <c r="B66" s="11" t="s">
        <v>2966</v>
      </c>
      <c r="C66" s="14" t="s">
        <v>2867</v>
      </c>
      <c r="D66" s="14" t="s">
        <v>2916</v>
      </c>
      <c r="E66" s="14" t="s">
        <v>2927</v>
      </c>
      <c r="F66" s="14" t="s">
        <v>2918</v>
      </c>
      <c r="G66" s="14"/>
      <c r="H66" s="14" t="s">
        <v>2919</v>
      </c>
      <c r="I66" s="14"/>
      <c r="J66" s="14"/>
      <c r="K66" s="14"/>
      <c r="L66" s="14">
        <v>44</v>
      </c>
      <c r="M66" s="14">
        <v>50</v>
      </c>
      <c r="N66" s="14">
        <v>10</v>
      </c>
      <c r="O66" s="14"/>
      <c r="P66" s="14">
        <v>4.8</v>
      </c>
      <c r="Q66" s="14">
        <v>168</v>
      </c>
      <c r="R66" s="14">
        <v>3.2</v>
      </c>
      <c r="S66" s="14"/>
      <c r="T66" s="14">
        <v>15.2</v>
      </c>
      <c r="U66" s="14">
        <v>0.39200000000000002</v>
      </c>
      <c r="V66" s="15">
        <v>8.2240000000000002</v>
      </c>
      <c r="W66" s="14" t="s">
        <v>2873</v>
      </c>
      <c r="X66" s="14"/>
      <c r="Y66" s="14"/>
      <c r="Z66" s="14"/>
      <c r="AA66" s="14"/>
      <c r="AB66" s="14"/>
      <c r="AC66" s="14"/>
      <c r="AD66" s="14"/>
      <c r="AE66" s="14"/>
      <c r="AF66" s="14"/>
      <c r="AG66" s="14"/>
      <c r="AH66" s="18" t="s">
        <v>2966</v>
      </c>
      <c r="AI66" s="14"/>
      <c r="AJ66" s="16">
        <v>7.3599999999999999E-2</v>
      </c>
      <c r="AK66" s="14">
        <v>1</v>
      </c>
      <c r="AL66" s="14">
        <v>0</v>
      </c>
      <c r="AM66" s="14">
        <v>10</v>
      </c>
      <c r="AN66" s="17">
        <v>7.0971010207999995E-5</v>
      </c>
      <c r="AO66" s="17">
        <v>6.5747866975999991E-2</v>
      </c>
      <c r="AP66" s="17">
        <v>1.6786934559999999E-4</v>
      </c>
      <c r="AQ66" s="17">
        <v>-4.9948568608000003E-5</v>
      </c>
      <c r="AR66" s="17">
        <v>5.3100073504E-6</v>
      </c>
      <c r="AS66" s="17">
        <v>-1.7705692928E-6</v>
      </c>
      <c r="AT66" s="17">
        <v>2.5080359935999999E-7</v>
      </c>
      <c r="AU66" s="17">
        <v>-1.2504749663999999E-8</v>
      </c>
      <c r="AV66" s="17">
        <v>0</v>
      </c>
      <c r="AW66" s="17">
        <v>0</v>
      </c>
    </row>
    <row r="67" spans="1:49" ht="17" customHeight="1">
      <c r="A67" s="11" t="s">
        <v>2967</v>
      </c>
      <c r="B67" s="11" t="s">
        <v>2967</v>
      </c>
      <c r="C67" s="18" t="s">
        <v>2867</v>
      </c>
      <c r="D67" s="18" t="s">
        <v>2916</v>
      </c>
      <c r="E67" s="18" t="s">
        <v>2917</v>
      </c>
      <c r="F67" s="18" t="s">
        <v>2918</v>
      </c>
      <c r="G67" s="14"/>
      <c r="H67" s="18" t="s">
        <v>2935</v>
      </c>
      <c r="I67" s="14"/>
      <c r="J67" s="14"/>
      <c r="K67" s="14"/>
      <c r="L67" s="18">
        <v>120</v>
      </c>
      <c r="M67" s="18">
        <v>1000</v>
      </c>
      <c r="N67" s="18">
        <v>5</v>
      </c>
      <c r="O67" s="14"/>
      <c r="P67" s="18">
        <v>6.37</v>
      </c>
      <c r="Q67" s="18">
        <v>90</v>
      </c>
      <c r="R67" s="18" t="s">
        <v>2936</v>
      </c>
      <c r="S67" s="18"/>
      <c r="T67" s="18">
        <v>12.9</v>
      </c>
      <c r="U67" s="18">
        <v>1.274</v>
      </c>
      <c r="V67" s="20">
        <v>2.0600000000000002E-3</v>
      </c>
      <c r="W67" s="18" t="s">
        <v>2873</v>
      </c>
      <c r="X67" s="14"/>
      <c r="Y67" s="14"/>
      <c r="Z67" s="14"/>
      <c r="AA67" s="14"/>
      <c r="AB67" s="14"/>
      <c r="AC67" s="14"/>
      <c r="AD67" s="14"/>
      <c r="AE67" s="14"/>
      <c r="AF67" s="14"/>
      <c r="AG67" s="14"/>
      <c r="AH67" s="18" t="s">
        <v>2934</v>
      </c>
      <c r="AI67" s="14"/>
      <c r="AJ67" s="21">
        <v>0.95010000000000006</v>
      </c>
      <c r="AK67" s="18">
        <v>1</v>
      </c>
      <c r="AL67" s="18">
        <v>-5</v>
      </c>
      <c r="AM67" s="18">
        <v>5</v>
      </c>
      <c r="AN67" s="17">
        <v>0</v>
      </c>
      <c r="AO67" s="17">
        <v>3.9144000000000001E-4</v>
      </c>
      <c r="AP67" s="19">
        <v>0</v>
      </c>
      <c r="AQ67" s="19">
        <v>0</v>
      </c>
      <c r="AR67" s="19">
        <v>0</v>
      </c>
      <c r="AS67" s="19">
        <v>0</v>
      </c>
      <c r="AT67" s="19">
        <v>0</v>
      </c>
      <c r="AU67" s="19">
        <v>0</v>
      </c>
      <c r="AV67" s="19">
        <v>0</v>
      </c>
      <c r="AW67" s="19">
        <v>0</v>
      </c>
    </row>
    <row r="68" spans="1:49" ht="17" customHeight="1">
      <c r="A68" s="11" t="s">
        <v>2968</v>
      </c>
      <c r="B68" s="11" t="s">
        <v>2968</v>
      </c>
      <c r="C68" s="18" t="s">
        <v>2867</v>
      </c>
      <c r="D68" s="18" t="s">
        <v>2916</v>
      </c>
      <c r="E68" s="18" t="s">
        <v>2917</v>
      </c>
      <c r="F68" s="18" t="s">
        <v>2918</v>
      </c>
      <c r="G68" s="14"/>
      <c r="H68" s="18" t="s">
        <v>2935</v>
      </c>
      <c r="I68" s="14"/>
      <c r="J68" s="14"/>
      <c r="K68" s="14"/>
      <c r="L68" s="18">
        <v>120</v>
      </c>
      <c r="M68" s="18">
        <v>1000</v>
      </c>
      <c r="N68" s="18">
        <v>5</v>
      </c>
      <c r="O68" s="14"/>
      <c r="P68" s="18">
        <v>6.37</v>
      </c>
      <c r="Q68" s="18">
        <v>90</v>
      </c>
      <c r="R68" s="18" t="s">
        <v>2936</v>
      </c>
      <c r="S68" s="18"/>
      <c r="T68" s="18">
        <v>12.9</v>
      </c>
      <c r="U68" s="18">
        <v>1.274</v>
      </c>
      <c r="V68" s="20">
        <v>2.0600000000000002E-3</v>
      </c>
      <c r="W68" s="18" t="s">
        <v>2873</v>
      </c>
      <c r="X68" s="14"/>
      <c r="Y68" s="14"/>
      <c r="Z68" s="14"/>
      <c r="AA68" s="14"/>
      <c r="AB68" s="14"/>
      <c r="AC68" s="14"/>
      <c r="AD68" s="14"/>
      <c r="AE68" s="14"/>
      <c r="AF68" s="14"/>
      <c r="AG68" s="14"/>
      <c r="AH68" s="18" t="s">
        <v>2934</v>
      </c>
      <c r="AI68" s="14"/>
      <c r="AJ68" s="21">
        <v>0.95010000000000006</v>
      </c>
      <c r="AK68" s="18">
        <v>1</v>
      </c>
      <c r="AL68" s="18">
        <v>-5</v>
      </c>
      <c r="AM68" s="18">
        <v>5</v>
      </c>
      <c r="AN68" s="17">
        <v>0</v>
      </c>
      <c r="AO68" s="17">
        <v>3.9144000000000001E-4</v>
      </c>
      <c r="AP68" s="19">
        <v>0</v>
      </c>
      <c r="AQ68" s="19">
        <v>0</v>
      </c>
      <c r="AR68" s="19">
        <v>0</v>
      </c>
      <c r="AS68" s="19">
        <v>0</v>
      </c>
      <c r="AT68" s="19">
        <v>0</v>
      </c>
      <c r="AU68" s="19">
        <v>0</v>
      </c>
      <c r="AV68" s="19">
        <v>0</v>
      </c>
      <c r="AW68" s="19">
        <v>0</v>
      </c>
    </row>
    <row r="69" spans="1:49" ht="17" customHeight="1">
      <c r="A69" s="11" t="s">
        <v>2969</v>
      </c>
      <c r="B69" s="11" t="s">
        <v>2969</v>
      </c>
      <c r="C69" s="14" t="s">
        <v>2867</v>
      </c>
      <c r="D69" s="14" t="s">
        <v>2916</v>
      </c>
      <c r="E69" s="14" t="s">
        <v>2927</v>
      </c>
      <c r="F69" s="14" t="s">
        <v>2918</v>
      </c>
      <c r="G69" s="14"/>
      <c r="H69" s="14" t="s">
        <v>2919</v>
      </c>
      <c r="I69" s="14"/>
      <c r="J69" s="14"/>
      <c r="K69" s="14"/>
      <c r="L69" s="14">
        <v>44</v>
      </c>
      <c r="M69" s="14">
        <v>50</v>
      </c>
      <c r="N69" s="14">
        <v>10</v>
      </c>
      <c r="O69" s="14"/>
      <c r="P69" s="14">
        <v>8.4499999999999993</v>
      </c>
      <c r="Q69" s="14">
        <v>235</v>
      </c>
      <c r="R69" s="14">
        <v>2.9</v>
      </c>
      <c r="S69" s="14"/>
      <c r="T69" s="14" t="s">
        <v>2944</v>
      </c>
      <c r="U69" s="14">
        <v>0.77</v>
      </c>
      <c r="V69" s="15">
        <v>10.6</v>
      </c>
      <c r="W69" s="14" t="s">
        <v>2873</v>
      </c>
      <c r="X69" s="14"/>
      <c r="Y69" s="14"/>
      <c r="Z69" s="14"/>
      <c r="AA69" s="14"/>
      <c r="AB69" s="14"/>
      <c r="AC69" s="14"/>
      <c r="AD69" s="14"/>
      <c r="AE69" s="14"/>
      <c r="AF69" s="14"/>
      <c r="AG69" s="14"/>
      <c r="AH69" s="14" t="s">
        <v>2969</v>
      </c>
      <c r="AI69" s="14"/>
      <c r="AJ69" s="16">
        <v>6.6400000000000001E-2</v>
      </c>
      <c r="AK69" s="14">
        <v>1</v>
      </c>
      <c r="AL69" s="14">
        <v>0</v>
      </c>
      <c r="AM69" s="14">
        <v>10</v>
      </c>
      <c r="AN69" s="17">
        <v>6.9665704719999999E-3</v>
      </c>
      <c r="AO69" s="17">
        <v>9.1798159359999992E-2</v>
      </c>
      <c r="AP69" s="17">
        <v>2.8083666192000001E-4</v>
      </c>
      <c r="AQ69" s="17">
        <v>-3.5968350128000003E-5</v>
      </c>
      <c r="AR69" s="17">
        <v>-1.5616588776E-6</v>
      </c>
      <c r="AS69" s="17">
        <v>-2.2378259471999999E-6</v>
      </c>
      <c r="AT69" s="17">
        <v>4.2830007272000001E-7</v>
      </c>
      <c r="AU69" s="17">
        <v>-2.2570839392000001E-8</v>
      </c>
      <c r="AV69" s="17">
        <v>0</v>
      </c>
      <c r="AW69" s="17">
        <v>0</v>
      </c>
    </row>
    <row r="70" spans="1:49" ht="17" customHeight="1">
      <c r="A70" s="11" t="s">
        <v>2970</v>
      </c>
      <c r="B70" s="11" t="s">
        <v>2970</v>
      </c>
      <c r="C70" s="14" t="s">
        <v>2867</v>
      </c>
      <c r="D70" s="14" t="s">
        <v>2916</v>
      </c>
      <c r="E70" s="14" t="s">
        <v>2927</v>
      </c>
      <c r="F70" s="14" t="s">
        <v>2918</v>
      </c>
      <c r="G70" s="14"/>
      <c r="H70" s="14" t="s">
        <v>2919</v>
      </c>
      <c r="I70" s="14"/>
      <c r="J70" s="14"/>
      <c r="K70" s="14"/>
      <c r="L70" s="14">
        <v>44</v>
      </c>
      <c r="M70" s="14">
        <v>100</v>
      </c>
      <c r="N70" s="14">
        <v>10</v>
      </c>
      <c r="O70" s="14"/>
      <c r="P70" s="14">
        <v>11.13</v>
      </c>
      <c r="Q70" s="14">
        <v>235</v>
      </c>
      <c r="R70" s="14">
        <v>2.9</v>
      </c>
      <c r="S70" s="14"/>
      <c r="T70" s="14">
        <v>37.700000000000003</v>
      </c>
      <c r="U70" s="14">
        <v>1.01</v>
      </c>
      <c r="V70" s="15">
        <v>10.6</v>
      </c>
      <c r="W70" s="14" t="s">
        <v>2873</v>
      </c>
      <c r="X70" s="14"/>
      <c r="Y70" s="14"/>
      <c r="Z70" s="14"/>
      <c r="AA70" s="14"/>
      <c r="AB70" s="14"/>
      <c r="AC70" s="14"/>
      <c r="AD70" s="14"/>
      <c r="AE70" s="14"/>
      <c r="AF70" s="14"/>
      <c r="AG70" s="14"/>
      <c r="AH70" s="14" t="s">
        <v>2970</v>
      </c>
      <c r="AI70" s="14"/>
      <c r="AJ70" s="16">
        <v>0.11459999999999999</v>
      </c>
      <c r="AK70" s="14">
        <v>1</v>
      </c>
      <c r="AL70" s="14">
        <v>0</v>
      </c>
      <c r="AM70" s="14">
        <v>10</v>
      </c>
      <c r="AN70" s="17">
        <v>4.7596163633999997E-3</v>
      </c>
      <c r="AO70" s="17">
        <v>0.12837475956</v>
      </c>
      <c r="AP70" s="17">
        <v>2.5316346738000001E-2</v>
      </c>
      <c r="AQ70" s="17">
        <v>-1.0833479508E-2</v>
      </c>
      <c r="AR70" s="17">
        <v>2.4594970679999999E-3</v>
      </c>
      <c r="AS70" s="17">
        <v>-3.0717123858000001E-4</v>
      </c>
      <c r="AT70" s="17">
        <v>1.9796849748E-5</v>
      </c>
      <c r="AU70" s="17">
        <v>-5.162522917799999E-7</v>
      </c>
      <c r="AV70" s="17">
        <v>0</v>
      </c>
      <c r="AW70" s="17">
        <v>0</v>
      </c>
    </row>
    <row r="71" spans="1:49" ht="17" customHeight="1">
      <c r="A71" s="11" t="s">
        <v>2971</v>
      </c>
      <c r="B71" s="11" t="s">
        <v>2971</v>
      </c>
      <c r="C71" s="14" t="s">
        <v>2867</v>
      </c>
      <c r="D71" s="14" t="s">
        <v>2916</v>
      </c>
      <c r="E71" s="14" t="s">
        <v>2927</v>
      </c>
      <c r="F71" s="14" t="s">
        <v>2918</v>
      </c>
      <c r="G71" s="14"/>
      <c r="H71" s="14" t="s">
        <v>2919</v>
      </c>
      <c r="I71" s="14"/>
      <c r="J71" s="14"/>
      <c r="K71" s="14"/>
      <c r="L71" s="14">
        <v>44</v>
      </c>
      <c r="M71" s="14">
        <v>50</v>
      </c>
      <c r="N71" s="14">
        <v>10</v>
      </c>
      <c r="O71" s="14"/>
      <c r="P71" s="14">
        <v>8.4499999999999993</v>
      </c>
      <c r="Q71" s="14">
        <v>235</v>
      </c>
      <c r="R71" s="14">
        <v>2.9</v>
      </c>
      <c r="S71" s="14"/>
      <c r="T71" s="14" t="s">
        <v>2944</v>
      </c>
      <c r="U71" s="14">
        <v>0.77</v>
      </c>
      <c r="V71" s="15">
        <v>10.6</v>
      </c>
      <c r="W71" s="14" t="s">
        <v>2873</v>
      </c>
      <c r="X71" s="14"/>
      <c r="Y71" s="14"/>
      <c r="Z71" s="14"/>
      <c r="AA71" s="14"/>
      <c r="AB71" s="14"/>
      <c r="AC71" s="14"/>
      <c r="AD71" s="14"/>
      <c r="AE71" s="14"/>
      <c r="AF71" s="14"/>
      <c r="AG71" s="14"/>
      <c r="AH71" s="14" t="s">
        <v>2971</v>
      </c>
      <c r="AI71" s="14"/>
      <c r="AJ71" s="16">
        <v>6.6400000000000001E-2</v>
      </c>
      <c r="AK71" s="14">
        <v>1</v>
      </c>
      <c r="AL71" s="14">
        <v>0</v>
      </c>
      <c r="AM71" s="14">
        <v>10</v>
      </c>
      <c r="AN71" s="17">
        <v>6.5075847880000006E-3</v>
      </c>
      <c r="AO71" s="17">
        <v>9.2029921919999993E-2</v>
      </c>
      <c r="AP71" s="17">
        <v>2.6519258287999999E-4</v>
      </c>
      <c r="AQ71" s="17">
        <v>-4.8548695319999999E-5</v>
      </c>
      <c r="AR71" s="17">
        <v>5.2934030200000004E-6</v>
      </c>
      <c r="AS71" s="17">
        <v>-3.5187771648E-6</v>
      </c>
      <c r="AT71" s="17">
        <v>5.3436454431999999E-7</v>
      </c>
      <c r="AU71" s="17">
        <v>-2.5808621583999999E-8</v>
      </c>
      <c r="AV71" s="17">
        <v>0</v>
      </c>
      <c r="AW71" s="17">
        <v>0</v>
      </c>
    </row>
    <row r="72" spans="1:49" ht="17" customHeight="1">
      <c r="A72" s="11" t="s">
        <v>2972</v>
      </c>
      <c r="B72" s="11" t="s">
        <v>2972</v>
      </c>
      <c r="C72" s="14" t="s">
        <v>2867</v>
      </c>
      <c r="D72" s="14" t="s">
        <v>2916</v>
      </c>
      <c r="E72" s="14" t="s">
        <v>2927</v>
      </c>
      <c r="F72" s="14" t="s">
        <v>2918</v>
      </c>
      <c r="G72" s="14"/>
      <c r="H72" s="14" t="s">
        <v>2973</v>
      </c>
      <c r="I72" s="14"/>
      <c r="J72" s="14"/>
      <c r="K72" s="14"/>
      <c r="L72" s="14">
        <v>40</v>
      </c>
      <c r="M72" s="14">
        <v>100</v>
      </c>
      <c r="N72" s="14">
        <v>30</v>
      </c>
      <c r="O72" s="14"/>
      <c r="P72" s="14">
        <v>18.059999999999999</v>
      </c>
      <c r="Q72" s="14">
        <v>243</v>
      </c>
      <c r="R72" s="14" t="s">
        <v>2974</v>
      </c>
      <c r="S72" s="14"/>
      <c r="T72" s="14" t="s">
        <v>2920</v>
      </c>
      <c r="U72" s="14">
        <v>602</v>
      </c>
      <c r="V72" s="15">
        <v>0.45804420889339181</v>
      </c>
      <c r="W72" s="14" t="s">
        <v>2975</v>
      </c>
      <c r="X72" s="14"/>
      <c r="Y72" s="14"/>
      <c r="Z72" s="14"/>
      <c r="AA72" s="14"/>
      <c r="AB72" s="14"/>
      <c r="AC72" s="14"/>
      <c r="AD72" s="14"/>
      <c r="AE72" s="14"/>
      <c r="AF72" s="14"/>
      <c r="AG72" s="14"/>
      <c r="AH72" s="14" t="s">
        <v>2972</v>
      </c>
      <c r="AI72" s="14"/>
      <c r="AJ72" s="16">
        <v>0.14724799999999999</v>
      </c>
      <c r="AK72" s="14">
        <v>1</v>
      </c>
      <c r="AL72" s="14">
        <v>0</v>
      </c>
      <c r="AM72" s="14">
        <v>30</v>
      </c>
      <c r="AN72" s="17">
        <v>-2.9157901711999999E-5</v>
      </c>
      <c r="AO72" s="17">
        <v>2.5365087728E-3</v>
      </c>
      <c r="AP72" s="17">
        <v>-8.8301533391999996E-5</v>
      </c>
      <c r="AQ72" s="17">
        <v>8.2180434031999996E-6</v>
      </c>
      <c r="AR72" s="17">
        <v>-2.9082363488000001E-7</v>
      </c>
      <c r="AS72" s="17">
        <v>3.2319169024E-9</v>
      </c>
      <c r="AT72" s="17">
        <v>0</v>
      </c>
      <c r="AU72" s="17">
        <v>0</v>
      </c>
      <c r="AV72" s="17">
        <v>0</v>
      </c>
      <c r="AW72" s="17">
        <v>0</v>
      </c>
    </row>
    <row r="73" spans="1:49" ht="17" customHeight="1">
      <c r="A73" s="11" t="s">
        <v>2976</v>
      </c>
      <c r="B73" s="11" t="s">
        <v>2976</v>
      </c>
      <c r="C73" s="14" t="s">
        <v>2867</v>
      </c>
      <c r="D73" s="14" t="s">
        <v>2916</v>
      </c>
      <c r="E73" s="14" t="s">
        <v>2927</v>
      </c>
      <c r="F73" s="14" t="s">
        <v>2918</v>
      </c>
      <c r="G73" s="14"/>
      <c r="H73" s="14" t="s">
        <v>2973</v>
      </c>
      <c r="I73" s="14"/>
      <c r="J73" s="14"/>
      <c r="K73" s="14"/>
      <c r="L73" s="14">
        <v>40</v>
      </c>
      <c r="M73" s="14">
        <v>100</v>
      </c>
      <c r="N73" s="14">
        <v>30</v>
      </c>
      <c r="O73" s="14"/>
      <c r="P73" s="14">
        <v>18.059999999999999</v>
      </c>
      <c r="Q73" s="14">
        <v>243</v>
      </c>
      <c r="R73" s="14" t="s">
        <v>2974</v>
      </c>
      <c r="S73" s="14"/>
      <c r="T73" s="14" t="s">
        <v>2920</v>
      </c>
      <c r="U73" s="14">
        <v>602</v>
      </c>
      <c r="V73" s="15">
        <v>0.45804420889339181</v>
      </c>
      <c r="W73" s="14" t="s">
        <v>2975</v>
      </c>
      <c r="X73" s="14"/>
      <c r="Y73" s="14"/>
      <c r="Z73" s="14"/>
      <c r="AA73" s="14"/>
      <c r="AB73" s="14"/>
      <c r="AC73" s="14"/>
      <c r="AD73" s="14"/>
      <c r="AE73" s="14"/>
      <c r="AF73" s="14"/>
      <c r="AG73" s="14"/>
      <c r="AH73" s="14" t="s">
        <v>2976</v>
      </c>
      <c r="AI73" s="14"/>
      <c r="AJ73" s="16">
        <v>0.14724799999999999</v>
      </c>
      <c r="AK73" s="14">
        <v>1</v>
      </c>
      <c r="AL73" s="14">
        <v>0</v>
      </c>
      <c r="AM73" s="14">
        <v>30</v>
      </c>
      <c r="AN73" s="17">
        <v>-2.9157901711999999E-5</v>
      </c>
      <c r="AO73" s="17">
        <v>2.5365087728E-3</v>
      </c>
      <c r="AP73" s="17">
        <v>-8.8301533391999996E-5</v>
      </c>
      <c r="AQ73" s="17">
        <v>8.2180434031999996E-6</v>
      </c>
      <c r="AR73" s="17">
        <v>-2.9082363488000001E-7</v>
      </c>
      <c r="AS73" s="17">
        <v>3.2319169024E-9</v>
      </c>
      <c r="AT73" s="17">
        <v>0</v>
      </c>
      <c r="AU73" s="17">
        <v>0</v>
      </c>
      <c r="AV73" s="17">
        <v>0</v>
      </c>
      <c r="AW73" s="17">
        <v>0</v>
      </c>
    </row>
    <row r="74" spans="1:49" ht="17" customHeight="1">
      <c r="A74" s="11" t="s">
        <v>2977</v>
      </c>
      <c r="B74" s="11" t="s">
        <v>2977</v>
      </c>
      <c r="C74" s="14" t="s">
        <v>2867</v>
      </c>
      <c r="D74" s="14" t="s">
        <v>2916</v>
      </c>
      <c r="E74" s="14" t="s">
        <v>2927</v>
      </c>
      <c r="F74" s="14" t="s">
        <v>2918</v>
      </c>
      <c r="G74" s="14"/>
      <c r="H74" s="14" t="s">
        <v>2973</v>
      </c>
      <c r="I74" s="14"/>
      <c r="J74" s="14"/>
      <c r="K74" s="14"/>
      <c r="L74" s="14">
        <v>40</v>
      </c>
      <c r="M74" s="14">
        <v>100</v>
      </c>
      <c r="N74" s="14">
        <v>30</v>
      </c>
      <c r="O74" s="14"/>
      <c r="P74" s="14">
        <v>18.149999999999999</v>
      </c>
      <c r="Q74" s="14">
        <v>243</v>
      </c>
      <c r="R74" s="14" t="s">
        <v>2974</v>
      </c>
      <c r="S74" s="14"/>
      <c r="T74" s="14" t="s">
        <v>2920</v>
      </c>
      <c r="U74" s="14">
        <v>605</v>
      </c>
      <c r="V74" s="15">
        <v>0.45804420889339181</v>
      </c>
      <c r="W74" s="14" t="s">
        <v>2975</v>
      </c>
      <c r="X74" s="14"/>
      <c r="Y74" s="14"/>
      <c r="Z74" s="14"/>
      <c r="AA74" s="14"/>
      <c r="AB74" s="14"/>
      <c r="AC74" s="14"/>
      <c r="AD74" s="14"/>
      <c r="AE74" s="14"/>
      <c r="AF74" s="14"/>
      <c r="AG74" s="14"/>
      <c r="AH74" s="14" t="s">
        <v>2977</v>
      </c>
      <c r="AI74" s="14"/>
      <c r="AJ74" s="16">
        <v>0.14724799999999999</v>
      </c>
      <c r="AK74" s="14">
        <v>1</v>
      </c>
      <c r="AL74" s="14">
        <v>0</v>
      </c>
      <c r="AM74" s="14">
        <v>30</v>
      </c>
      <c r="AN74" s="17">
        <v>-2.9157901711999999E-5</v>
      </c>
      <c r="AO74" s="17">
        <v>2.5365087728E-3</v>
      </c>
      <c r="AP74" s="17">
        <v>-8.8301533391999996E-5</v>
      </c>
      <c r="AQ74" s="17">
        <v>8.2180434031999996E-6</v>
      </c>
      <c r="AR74" s="17">
        <v>-2.9082363488000001E-7</v>
      </c>
      <c r="AS74" s="17">
        <v>3.2319169024E-9</v>
      </c>
      <c r="AT74" s="17">
        <v>0</v>
      </c>
      <c r="AU74" s="17">
        <v>0</v>
      </c>
      <c r="AV74" s="17">
        <v>0</v>
      </c>
      <c r="AW74" s="17">
        <v>0</v>
      </c>
    </row>
    <row r="75" spans="1:49" ht="17" customHeight="1">
      <c r="A75" s="11" t="s">
        <v>2978</v>
      </c>
      <c r="B75" s="11" t="s">
        <v>2978</v>
      </c>
      <c r="C75" s="14" t="s">
        <v>2867</v>
      </c>
      <c r="D75" s="14" t="s">
        <v>2916</v>
      </c>
      <c r="E75" s="14" t="s">
        <v>2927</v>
      </c>
      <c r="F75" s="14" t="s">
        <v>2918</v>
      </c>
      <c r="G75" s="14"/>
      <c r="H75" s="14" t="s">
        <v>2973</v>
      </c>
      <c r="I75" s="14"/>
      <c r="J75" s="14"/>
      <c r="K75" s="14"/>
      <c r="L75" s="14">
        <v>40</v>
      </c>
      <c r="M75" s="14">
        <v>100</v>
      </c>
      <c r="N75" s="14">
        <v>30</v>
      </c>
      <c r="O75" s="14"/>
      <c r="P75" s="14">
        <v>18.09</v>
      </c>
      <c r="Q75" s="14">
        <v>243</v>
      </c>
      <c r="R75" s="14" t="s">
        <v>2974</v>
      </c>
      <c r="S75" s="14"/>
      <c r="T75" s="14" t="s">
        <v>2920</v>
      </c>
      <c r="U75" s="14">
        <v>603</v>
      </c>
      <c r="V75" s="15">
        <v>0.45804420889339181</v>
      </c>
      <c r="W75" s="14" t="s">
        <v>2975</v>
      </c>
      <c r="X75" s="14"/>
      <c r="Y75" s="14"/>
      <c r="Z75" s="14"/>
      <c r="AA75" s="14"/>
      <c r="AB75" s="14"/>
      <c r="AC75" s="14"/>
      <c r="AD75" s="14"/>
      <c r="AE75" s="14"/>
      <c r="AF75" s="14"/>
      <c r="AG75" s="14"/>
      <c r="AH75" s="14" t="s">
        <v>2978</v>
      </c>
      <c r="AI75" s="14"/>
      <c r="AJ75" s="16">
        <v>0.14724799999999999</v>
      </c>
      <c r="AK75" s="14">
        <v>1</v>
      </c>
      <c r="AL75" s="14">
        <v>0</v>
      </c>
      <c r="AM75" s="14">
        <v>30</v>
      </c>
      <c r="AN75" s="17">
        <v>-2.9157901711999999E-5</v>
      </c>
      <c r="AO75" s="17">
        <v>2.5365087728E-3</v>
      </c>
      <c r="AP75" s="17">
        <v>-8.8301533391999996E-5</v>
      </c>
      <c r="AQ75" s="17">
        <v>8.2180434031999996E-6</v>
      </c>
      <c r="AR75" s="17">
        <v>-2.9082363488000001E-7</v>
      </c>
      <c r="AS75" s="17">
        <v>3.2319169024E-9</v>
      </c>
      <c r="AT75" s="17">
        <v>0</v>
      </c>
      <c r="AU75" s="17">
        <v>0</v>
      </c>
      <c r="AV75" s="17">
        <v>0</v>
      </c>
      <c r="AW75" s="17">
        <v>0</v>
      </c>
    </row>
    <row r="76" spans="1:49" ht="17" customHeight="1">
      <c r="A76" s="11" t="s">
        <v>2979</v>
      </c>
      <c r="B76" s="11" t="s">
        <v>2979</v>
      </c>
      <c r="C76" s="18" t="s">
        <v>2867</v>
      </c>
      <c r="D76" s="18" t="s">
        <v>2916</v>
      </c>
      <c r="E76" s="18" t="s">
        <v>2917</v>
      </c>
      <c r="F76" s="18" t="s">
        <v>2918</v>
      </c>
      <c r="G76" s="14"/>
      <c r="H76" s="18" t="s">
        <v>2980</v>
      </c>
      <c r="I76" s="14"/>
      <c r="J76" s="14"/>
      <c r="K76" s="14"/>
      <c r="L76" s="18">
        <v>30</v>
      </c>
      <c r="M76" s="18">
        <v>100</v>
      </c>
      <c r="N76" s="18">
        <v>5</v>
      </c>
      <c r="O76" s="14"/>
      <c r="P76" s="18">
        <v>1</v>
      </c>
      <c r="Q76" s="18">
        <v>23</v>
      </c>
      <c r="R76" s="18">
        <v>2</v>
      </c>
      <c r="S76" s="18"/>
      <c r="T76" s="18" t="s">
        <v>2920</v>
      </c>
      <c r="U76" s="18">
        <v>0.2</v>
      </c>
      <c r="V76" s="20">
        <v>4.3899999999999998E-3</v>
      </c>
      <c r="W76" s="18" t="s">
        <v>2873</v>
      </c>
      <c r="X76" s="14"/>
      <c r="Y76" s="14"/>
      <c r="Z76" s="14"/>
      <c r="AA76" s="14"/>
      <c r="AB76" s="14"/>
      <c r="AC76" s="14"/>
      <c r="AD76" s="14"/>
      <c r="AE76" s="14"/>
      <c r="AF76" s="14"/>
      <c r="AG76" s="14"/>
      <c r="AH76" s="18" t="s">
        <v>2979</v>
      </c>
      <c r="AI76" s="14"/>
      <c r="AJ76" s="21">
        <v>0.12551300000000001</v>
      </c>
      <c r="AK76" s="18">
        <v>1</v>
      </c>
      <c r="AL76" s="18">
        <v>-5</v>
      </c>
      <c r="AM76" s="18">
        <v>5</v>
      </c>
      <c r="AN76" s="17">
        <v>0</v>
      </c>
      <c r="AO76" s="17">
        <v>1.102E-4</v>
      </c>
      <c r="AP76" s="19">
        <v>0</v>
      </c>
      <c r="AQ76" s="19">
        <v>0</v>
      </c>
      <c r="AR76" s="19">
        <v>0</v>
      </c>
      <c r="AS76" s="19">
        <v>0</v>
      </c>
      <c r="AT76" s="19">
        <v>0</v>
      </c>
      <c r="AU76" s="19">
        <v>0</v>
      </c>
      <c r="AV76" s="19">
        <v>0</v>
      </c>
      <c r="AW76" s="19">
        <v>0</v>
      </c>
    </row>
    <row r="77" spans="1:49" ht="17" customHeight="1">
      <c r="A77" s="11" t="s">
        <v>2981</v>
      </c>
      <c r="B77" s="11" t="s">
        <v>2981</v>
      </c>
      <c r="C77" s="14" t="s">
        <v>2867</v>
      </c>
      <c r="D77" s="14" t="s">
        <v>2982</v>
      </c>
      <c r="E77" s="14" t="s">
        <v>2983</v>
      </c>
      <c r="F77" s="14" t="s">
        <v>2984</v>
      </c>
      <c r="G77" s="14"/>
      <c r="H77" s="14" t="s">
        <v>2985</v>
      </c>
      <c r="I77" s="14"/>
      <c r="J77" s="14"/>
      <c r="K77" s="14"/>
      <c r="L77" s="14">
        <v>30</v>
      </c>
      <c r="M77" s="14">
        <v>392.6</v>
      </c>
      <c r="N77" s="14">
        <v>15</v>
      </c>
      <c r="O77" s="14"/>
      <c r="P77" s="14"/>
      <c r="Q77" s="14">
        <v>120</v>
      </c>
      <c r="R77" s="14" t="s">
        <v>2986</v>
      </c>
      <c r="S77" s="14">
        <v>8</v>
      </c>
      <c r="T77" s="14"/>
      <c r="U77" s="14"/>
      <c r="V77" s="15">
        <v>0.15</v>
      </c>
      <c r="W77" s="14" t="s">
        <v>2873</v>
      </c>
      <c r="X77" s="14"/>
      <c r="Y77" s="14"/>
      <c r="Z77" s="14"/>
      <c r="AA77" s="14"/>
      <c r="AB77" s="14"/>
      <c r="AC77" s="14"/>
      <c r="AD77" s="14"/>
      <c r="AE77" s="14"/>
      <c r="AF77" s="14"/>
      <c r="AG77" s="14"/>
      <c r="AH77" s="14" t="s">
        <v>2981</v>
      </c>
      <c r="AI77" s="14"/>
      <c r="AJ77" s="16">
        <v>0.4229</v>
      </c>
      <c r="AK77" s="14">
        <v>1</v>
      </c>
      <c r="AL77" s="14">
        <v>0</v>
      </c>
      <c r="AM77" s="14">
        <v>15</v>
      </c>
      <c r="AN77" s="17">
        <v>8.7839332590000012E-4</v>
      </c>
      <c r="AO77" s="17">
        <v>4.2009067529999999E-3</v>
      </c>
      <c r="AP77" s="17">
        <v>-7.6502567710000003E-6</v>
      </c>
      <c r="AQ77" s="17">
        <v>0</v>
      </c>
      <c r="AR77" s="17">
        <v>0</v>
      </c>
      <c r="AS77" s="17">
        <v>0</v>
      </c>
      <c r="AT77" s="17">
        <v>0</v>
      </c>
      <c r="AU77" s="17">
        <v>0</v>
      </c>
      <c r="AV77" s="17">
        <v>0</v>
      </c>
      <c r="AW77" s="17">
        <v>0</v>
      </c>
    </row>
    <row r="78" spans="1:49" ht="17" customHeight="1">
      <c r="A78" s="11" t="s">
        <v>2987</v>
      </c>
      <c r="B78" s="11" t="s">
        <v>2987</v>
      </c>
      <c r="C78" s="14" t="s">
        <v>2867</v>
      </c>
      <c r="D78" s="14" t="s">
        <v>2982</v>
      </c>
      <c r="E78" s="14" t="s">
        <v>2983</v>
      </c>
      <c r="F78" s="14" t="s">
        <v>2984</v>
      </c>
      <c r="G78" s="14"/>
      <c r="H78" s="14" t="s">
        <v>2985</v>
      </c>
      <c r="I78" s="14"/>
      <c r="J78" s="14"/>
      <c r="K78" s="14"/>
      <c r="L78" s="14">
        <v>30</v>
      </c>
      <c r="M78" s="14">
        <v>392.6</v>
      </c>
      <c r="N78" s="14">
        <v>15</v>
      </c>
      <c r="O78" s="14"/>
      <c r="P78" s="14"/>
      <c r="Q78" s="14">
        <v>120</v>
      </c>
      <c r="R78" s="14" t="s">
        <v>2986</v>
      </c>
      <c r="S78" s="14">
        <v>8</v>
      </c>
      <c r="T78" s="14"/>
      <c r="U78" s="14"/>
      <c r="V78" s="15">
        <v>0.15</v>
      </c>
      <c r="W78" s="14" t="s">
        <v>2873</v>
      </c>
      <c r="X78" s="14"/>
      <c r="Y78" s="14"/>
      <c r="Z78" s="14"/>
      <c r="AA78" s="14"/>
      <c r="AB78" s="14"/>
      <c r="AC78" s="14"/>
      <c r="AD78" s="14"/>
      <c r="AE78" s="14"/>
      <c r="AF78" s="14"/>
      <c r="AG78" s="14"/>
      <c r="AH78" s="14" t="s">
        <v>2981</v>
      </c>
      <c r="AI78" s="14"/>
      <c r="AJ78" s="16">
        <v>0.4229</v>
      </c>
      <c r="AK78" s="14">
        <v>1</v>
      </c>
      <c r="AL78" s="14">
        <v>0</v>
      </c>
      <c r="AM78" s="14">
        <v>15</v>
      </c>
      <c r="AN78" s="17">
        <v>8.7839332590000012E-4</v>
      </c>
      <c r="AO78" s="17">
        <v>4.2009067529999999E-3</v>
      </c>
      <c r="AP78" s="17">
        <v>-7.6502567710000003E-6</v>
      </c>
      <c r="AQ78" s="17">
        <v>0</v>
      </c>
      <c r="AR78" s="17">
        <v>0</v>
      </c>
      <c r="AS78" s="17">
        <v>0</v>
      </c>
      <c r="AT78" s="17">
        <v>0</v>
      </c>
      <c r="AU78" s="17">
        <v>0</v>
      </c>
      <c r="AV78" s="17">
        <v>0</v>
      </c>
      <c r="AW78" s="17">
        <v>0</v>
      </c>
    </row>
    <row r="79" spans="1:49" ht="17" customHeight="1">
      <c r="A79" s="11" t="s">
        <v>2988</v>
      </c>
      <c r="B79" s="11" t="s">
        <v>2988</v>
      </c>
      <c r="C79" s="14" t="s">
        <v>2867</v>
      </c>
      <c r="D79" s="14" t="s">
        <v>2982</v>
      </c>
      <c r="E79" s="14" t="s">
        <v>2989</v>
      </c>
      <c r="F79" s="14" t="s">
        <v>2984</v>
      </c>
      <c r="G79" s="14"/>
      <c r="H79" s="14" t="s">
        <v>2985</v>
      </c>
      <c r="I79" s="14"/>
      <c r="J79" s="14"/>
      <c r="K79" s="14"/>
      <c r="L79" s="14">
        <v>80</v>
      </c>
      <c r="M79" s="14">
        <v>70</v>
      </c>
      <c r="N79" s="14">
        <v>5</v>
      </c>
      <c r="O79" s="14"/>
      <c r="P79" s="14"/>
      <c r="Q79" s="14">
        <v>75</v>
      </c>
      <c r="R79" s="14" t="s">
        <v>2990</v>
      </c>
      <c r="S79" s="14">
        <v>3.4636059005827469</v>
      </c>
      <c r="T79" s="14"/>
      <c r="U79" s="14"/>
      <c r="V79" s="15">
        <v>2.6340000000000001E-3</v>
      </c>
      <c r="W79" s="14" t="s">
        <v>2873</v>
      </c>
      <c r="X79" s="14"/>
      <c r="Y79" s="14"/>
      <c r="Z79" s="14"/>
      <c r="AA79" s="14"/>
      <c r="AB79" s="14"/>
      <c r="AC79" s="14"/>
      <c r="AD79" s="14"/>
      <c r="AE79" s="14"/>
      <c r="AF79" s="14"/>
      <c r="AG79" s="14"/>
      <c r="AH79" s="14" t="s">
        <v>2988</v>
      </c>
      <c r="AI79" s="14"/>
      <c r="AJ79" s="16">
        <v>8.039700000000001E-2</v>
      </c>
      <c r="AK79" s="14">
        <v>1</v>
      </c>
      <c r="AL79" s="14">
        <v>-5</v>
      </c>
      <c r="AM79" s="14">
        <v>5</v>
      </c>
      <c r="AN79" s="17">
        <v>0</v>
      </c>
      <c r="AO79" s="17">
        <v>4.2353139600000002E-5</v>
      </c>
      <c r="AP79" s="17">
        <v>0</v>
      </c>
      <c r="AQ79" s="17">
        <v>0</v>
      </c>
      <c r="AR79" s="17">
        <v>0</v>
      </c>
      <c r="AS79" s="17">
        <v>0</v>
      </c>
      <c r="AT79" s="17">
        <v>0</v>
      </c>
      <c r="AU79" s="17">
        <v>0</v>
      </c>
      <c r="AV79" s="17">
        <v>0</v>
      </c>
      <c r="AW79" s="17">
        <v>0</v>
      </c>
    </row>
    <row r="80" spans="1:49" ht="17" customHeight="1">
      <c r="A80" s="11" t="s">
        <v>2991</v>
      </c>
      <c r="B80" s="11" t="s">
        <v>2991</v>
      </c>
      <c r="C80" s="14" t="s">
        <v>2867</v>
      </c>
      <c r="D80" s="14" t="s">
        <v>2982</v>
      </c>
      <c r="E80" s="14" t="s">
        <v>2989</v>
      </c>
      <c r="F80" s="14" t="s">
        <v>2984</v>
      </c>
      <c r="G80" s="14"/>
      <c r="H80" s="14" t="s">
        <v>2985</v>
      </c>
      <c r="I80" s="14"/>
      <c r="J80" s="14"/>
      <c r="K80" s="14"/>
      <c r="L80" s="14">
        <v>80</v>
      </c>
      <c r="M80" s="14">
        <v>70</v>
      </c>
      <c r="N80" s="14">
        <v>5</v>
      </c>
      <c r="O80" s="14"/>
      <c r="P80" s="14"/>
      <c r="Q80" s="14">
        <v>75</v>
      </c>
      <c r="R80" s="14" t="s">
        <v>2990</v>
      </c>
      <c r="S80" s="14">
        <v>3.4636059005827469</v>
      </c>
      <c r="T80" s="14"/>
      <c r="U80" s="14"/>
      <c r="V80" s="15">
        <v>2.6340000000000001E-3</v>
      </c>
      <c r="W80" s="14" t="s">
        <v>2873</v>
      </c>
      <c r="X80" s="14"/>
      <c r="Y80" s="14"/>
      <c r="Z80" s="14"/>
      <c r="AA80" s="14"/>
      <c r="AB80" s="14"/>
      <c r="AC80" s="14"/>
      <c r="AD80" s="14"/>
      <c r="AE80" s="14"/>
      <c r="AF80" s="14"/>
      <c r="AG80" s="14"/>
      <c r="AH80" s="14" t="s">
        <v>2988</v>
      </c>
      <c r="AI80" s="14"/>
      <c r="AJ80" s="16">
        <v>8.039700000000001E-2</v>
      </c>
      <c r="AK80" s="14">
        <v>1</v>
      </c>
      <c r="AL80" s="14">
        <v>-5</v>
      </c>
      <c r="AM80" s="14">
        <v>5</v>
      </c>
      <c r="AN80" s="17">
        <v>0</v>
      </c>
      <c r="AO80" s="17">
        <v>4.2353139600000002E-5</v>
      </c>
      <c r="AP80" s="17">
        <v>0</v>
      </c>
      <c r="AQ80" s="17">
        <v>0</v>
      </c>
      <c r="AR80" s="17">
        <v>0</v>
      </c>
      <c r="AS80" s="17">
        <v>0</v>
      </c>
      <c r="AT80" s="17">
        <v>0</v>
      </c>
      <c r="AU80" s="17">
        <v>0</v>
      </c>
      <c r="AV80" s="17">
        <v>0</v>
      </c>
      <c r="AW80" s="17">
        <v>0</v>
      </c>
    </row>
    <row r="81" spans="1:49" ht="17" customHeight="1">
      <c r="A81" s="11" t="s">
        <v>2992</v>
      </c>
      <c r="B81" s="11" t="s">
        <v>2992</v>
      </c>
      <c r="C81" s="14" t="s">
        <v>2867</v>
      </c>
      <c r="D81" s="14" t="s">
        <v>2982</v>
      </c>
      <c r="E81" s="14" t="s">
        <v>2989</v>
      </c>
      <c r="F81" s="14" t="s">
        <v>2984</v>
      </c>
      <c r="G81" s="14"/>
      <c r="H81" s="14" t="s">
        <v>2985</v>
      </c>
      <c r="I81" s="14"/>
      <c r="J81" s="14"/>
      <c r="K81" s="14"/>
      <c r="L81" s="14">
        <v>80</v>
      </c>
      <c r="M81" s="14">
        <v>70</v>
      </c>
      <c r="N81" s="14">
        <v>5</v>
      </c>
      <c r="O81" s="14"/>
      <c r="P81" s="14"/>
      <c r="Q81" s="14">
        <v>75</v>
      </c>
      <c r="R81" s="14" t="s">
        <v>2990</v>
      </c>
      <c r="S81" s="14">
        <v>3.4636059005827469</v>
      </c>
      <c r="T81" s="14"/>
      <c r="U81" s="14"/>
      <c r="V81" s="15">
        <v>2.6340000000000001E-3</v>
      </c>
      <c r="W81" s="14" t="s">
        <v>2873</v>
      </c>
      <c r="X81" s="14"/>
      <c r="Y81" s="14"/>
      <c r="Z81" s="14"/>
      <c r="AA81" s="14"/>
      <c r="AB81" s="14"/>
      <c r="AC81" s="14"/>
      <c r="AD81" s="14"/>
      <c r="AE81" s="14"/>
      <c r="AF81" s="14"/>
      <c r="AG81" s="14"/>
      <c r="AH81" s="14" t="s">
        <v>2988</v>
      </c>
      <c r="AI81" s="14"/>
      <c r="AJ81" s="16">
        <v>8.039700000000001E-2</v>
      </c>
      <c r="AK81" s="14">
        <v>1</v>
      </c>
      <c r="AL81" s="14">
        <v>-5</v>
      </c>
      <c r="AM81" s="14">
        <v>5</v>
      </c>
      <c r="AN81" s="17">
        <v>0</v>
      </c>
      <c r="AO81" s="17">
        <v>4.2353139600000002E-5</v>
      </c>
      <c r="AP81" s="17">
        <v>0</v>
      </c>
      <c r="AQ81" s="17">
        <v>0</v>
      </c>
      <c r="AR81" s="17">
        <v>0</v>
      </c>
      <c r="AS81" s="17">
        <v>0</v>
      </c>
      <c r="AT81" s="17">
        <v>0</v>
      </c>
      <c r="AU81" s="17">
        <v>0</v>
      </c>
      <c r="AV81" s="17">
        <v>0</v>
      </c>
      <c r="AW81" s="17">
        <v>0</v>
      </c>
    </row>
    <row r="82" spans="1:49" ht="17" customHeight="1">
      <c r="A82" s="11" t="s">
        <v>2993</v>
      </c>
      <c r="B82" s="11" t="s">
        <v>2993</v>
      </c>
      <c r="C82" s="14" t="s">
        <v>2867</v>
      </c>
      <c r="D82" s="14" t="s">
        <v>2982</v>
      </c>
      <c r="E82" s="14" t="s">
        <v>2989</v>
      </c>
      <c r="F82" s="14" t="s">
        <v>2984</v>
      </c>
      <c r="G82" s="14"/>
      <c r="H82" s="14" t="s">
        <v>2985</v>
      </c>
      <c r="I82" s="14"/>
      <c r="J82" s="14"/>
      <c r="K82" s="14"/>
      <c r="L82" s="14">
        <v>80</v>
      </c>
      <c r="M82" s="14">
        <v>70</v>
      </c>
      <c r="N82" s="14">
        <v>5</v>
      </c>
      <c r="O82" s="14"/>
      <c r="P82" s="14"/>
      <c r="Q82" s="14">
        <v>75</v>
      </c>
      <c r="R82" s="14" t="s">
        <v>2990</v>
      </c>
      <c r="S82" s="14">
        <v>3.4636059005827469</v>
      </c>
      <c r="T82" s="14"/>
      <c r="U82" s="14"/>
      <c r="V82" s="15">
        <v>2.6340000000000001E-3</v>
      </c>
      <c r="W82" s="14" t="s">
        <v>2873</v>
      </c>
      <c r="X82" s="14"/>
      <c r="Y82" s="14"/>
      <c r="Z82" s="14"/>
      <c r="AA82" s="14"/>
      <c r="AB82" s="14"/>
      <c r="AC82" s="14"/>
      <c r="AD82" s="14"/>
      <c r="AE82" s="14"/>
      <c r="AF82" s="14"/>
      <c r="AG82" s="14"/>
      <c r="AH82" s="14" t="s">
        <v>2988</v>
      </c>
      <c r="AI82" s="14"/>
      <c r="AJ82" s="16">
        <v>8.039700000000001E-2</v>
      </c>
      <c r="AK82" s="14">
        <v>1</v>
      </c>
      <c r="AL82" s="14">
        <v>-5</v>
      </c>
      <c r="AM82" s="14">
        <v>5</v>
      </c>
      <c r="AN82" s="17">
        <v>0</v>
      </c>
      <c r="AO82" s="17">
        <v>4.2353139600000002E-5</v>
      </c>
      <c r="AP82" s="17">
        <v>0</v>
      </c>
      <c r="AQ82" s="17">
        <v>0</v>
      </c>
      <c r="AR82" s="17">
        <v>0</v>
      </c>
      <c r="AS82" s="17">
        <v>0</v>
      </c>
      <c r="AT82" s="17">
        <v>0</v>
      </c>
      <c r="AU82" s="17">
        <v>0</v>
      </c>
      <c r="AV82" s="17">
        <v>0</v>
      </c>
      <c r="AW82" s="17">
        <v>0</v>
      </c>
    </row>
    <row r="83" spans="1:49" ht="17" customHeight="1">
      <c r="A83" s="11" t="s">
        <v>2994</v>
      </c>
      <c r="B83" s="11" t="s">
        <v>2994</v>
      </c>
      <c r="C83" s="14" t="s">
        <v>2867</v>
      </c>
      <c r="D83" s="14" t="s">
        <v>2982</v>
      </c>
      <c r="E83" s="14" t="s">
        <v>2927</v>
      </c>
      <c r="F83" s="14" t="s">
        <v>2984</v>
      </c>
      <c r="G83" s="14"/>
      <c r="H83" s="14" t="s">
        <v>2985</v>
      </c>
      <c r="I83" s="14"/>
      <c r="J83" s="14"/>
      <c r="K83" s="14"/>
      <c r="L83" s="14">
        <v>44</v>
      </c>
      <c r="M83" s="14">
        <v>50</v>
      </c>
      <c r="N83" s="14">
        <v>5</v>
      </c>
      <c r="O83" s="14">
        <v>240</v>
      </c>
      <c r="P83" s="14"/>
      <c r="Q83" s="14">
        <v>200</v>
      </c>
      <c r="R83" s="14" t="s">
        <v>2995</v>
      </c>
      <c r="S83" s="14">
        <v>3.1415926535897931</v>
      </c>
      <c r="T83" s="14"/>
      <c r="U83" s="14"/>
      <c r="V83" s="15"/>
      <c r="W83" s="14"/>
      <c r="X83" s="14"/>
      <c r="Y83" s="14"/>
      <c r="Z83" s="14"/>
      <c r="AA83" s="14"/>
      <c r="AB83" s="14"/>
      <c r="AC83" s="14"/>
      <c r="AD83" s="14"/>
      <c r="AE83" s="14"/>
      <c r="AF83" s="14"/>
      <c r="AG83" s="14"/>
      <c r="AH83" s="14" t="s">
        <v>2994</v>
      </c>
      <c r="AI83" s="14"/>
      <c r="AJ83" s="16">
        <v>7.478499999999999E-2</v>
      </c>
      <c r="AK83" s="14">
        <v>1</v>
      </c>
      <c r="AL83" s="14">
        <v>0</v>
      </c>
      <c r="AM83" s="14">
        <v>5</v>
      </c>
      <c r="AN83" s="17">
        <v>2.9578364919999999E-3</v>
      </c>
      <c r="AO83" s="17">
        <v>7.2178107077499984E-2</v>
      </c>
      <c r="AP83" s="17">
        <v>4.7776928223499987E-5</v>
      </c>
      <c r="AQ83" s="17">
        <v>0</v>
      </c>
      <c r="AR83" s="17">
        <v>0</v>
      </c>
      <c r="AS83" s="17">
        <v>0</v>
      </c>
      <c r="AT83" s="17">
        <v>0</v>
      </c>
      <c r="AU83" s="17">
        <v>0</v>
      </c>
      <c r="AV83" s="17">
        <v>0</v>
      </c>
      <c r="AW83" s="17">
        <v>0</v>
      </c>
    </row>
    <row r="84" spans="1:49" ht="17" customHeight="1">
      <c r="A84" s="11" t="s">
        <v>2996</v>
      </c>
      <c r="B84" s="11" t="s">
        <v>2996</v>
      </c>
      <c r="C84" s="14" t="s">
        <v>2867</v>
      </c>
      <c r="D84" s="14" t="s">
        <v>2982</v>
      </c>
      <c r="E84" s="14" t="s">
        <v>2927</v>
      </c>
      <c r="F84" s="14" t="s">
        <v>2984</v>
      </c>
      <c r="G84" s="14"/>
      <c r="H84" s="14" t="s">
        <v>2985</v>
      </c>
      <c r="I84" s="14"/>
      <c r="J84" s="14"/>
      <c r="K84" s="14"/>
      <c r="L84" s="14">
        <v>44</v>
      </c>
      <c r="M84" s="14">
        <v>50</v>
      </c>
      <c r="N84" s="14">
        <v>5</v>
      </c>
      <c r="O84" s="14">
        <v>240</v>
      </c>
      <c r="P84" s="14"/>
      <c r="Q84" s="14">
        <v>200</v>
      </c>
      <c r="R84" s="14" t="s">
        <v>2995</v>
      </c>
      <c r="S84" s="14">
        <v>3.1415926535897931</v>
      </c>
      <c r="T84" s="14"/>
      <c r="U84" s="14"/>
      <c r="V84" s="15"/>
      <c r="W84" s="14"/>
      <c r="X84" s="14"/>
      <c r="Y84" s="14"/>
      <c r="Z84" s="14"/>
      <c r="AA84" s="14"/>
      <c r="AB84" s="14"/>
      <c r="AC84" s="14"/>
      <c r="AD84" s="14"/>
      <c r="AE84" s="14"/>
      <c r="AF84" s="14"/>
      <c r="AG84" s="14"/>
      <c r="AH84" s="14" t="s">
        <v>2994</v>
      </c>
      <c r="AI84" s="14"/>
      <c r="AJ84" s="16">
        <v>7.478499999999999E-2</v>
      </c>
      <c r="AK84" s="14">
        <v>1</v>
      </c>
      <c r="AL84" s="14">
        <v>0</v>
      </c>
      <c r="AM84" s="14">
        <v>5</v>
      </c>
      <c r="AN84" s="17">
        <v>2.9578364919999999E-3</v>
      </c>
      <c r="AO84" s="17">
        <v>7.2178107077499984E-2</v>
      </c>
      <c r="AP84" s="17">
        <v>4.7776928223499987E-5</v>
      </c>
      <c r="AQ84" s="17">
        <v>0</v>
      </c>
      <c r="AR84" s="17">
        <v>0</v>
      </c>
      <c r="AS84" s="17">
        <v>0</v>
      </c>
      <c r="AT84" s="17">
        <v>0</v>
      </c>
      <c r="AU84" s="17">
        <v>0</v>
      </c>
      <c r="AV84" s="17">
        <v>0</v>
      </c>
      <c r="AW84" s="17">
        <v>0</v>
      </c>
    </row>
    <row r="85" spans="1:49" ht="17" customHeight="1">
      <c r="A85" s="11" t="s">
        <v>2997</v>
      </c>
      <c r="B85" s="11" t="s">
        <v>2997</v>
      </c>
      <c r="C85" s="14" t="s">
        <v>2867</v>
      </c>
      <c r="D85" s="14" t="s">
        <v>2982</v>
      </c>
      <c r="E85" s="14" t="s">
        <v>2927</v>
      </c>
      <c r="F85" s="14" t="s">
        <v>2984</v>
      </c>
      <c r="G85" s="14"/>
      <c r="H85" s="14" t="s">
        <v>2985</v>
      </c>
      <c r="I85" s="14"/>
      <c r="J85" s="14"/>
      <c r="K85" s="14"/>
      <c r="L85" s="14">
        <v>44</v>
      </c>
      <c r="M85" s="14">
        <v>50</v>
      </c>
      <c r="N85" s="14">
        <v>5</v>
      </c>
      <c r="O85" s="14">
        <v>240</v>
      </c>
      <c r="P85" s="14"/>
      <c r="Q85" s="14">
        <v>200</v>
      </c>
      <c r="R85" s="14" t="s">
        <v>2995</v>
      </c>
      <c r="S85" s="14">
        <v>3.1415926535897931</v>
      </c>
      <c r="T85" s="14"/>
      <c r="U85" s="14"/>
      <c r="V85" s="15"/>
      <c r="W85" s="14"/>
      <c r="X85" s="14"/>
      <c r="Y85" s="14"/>
      <c r="Z85" s="14"/>
      <c r="AA85" s="14"/>
      <c r="AB85" s="14"/>
      <c r="AC85" s="14"/>
      <c r="AD85" s="14"/>
      <c r="AE85" s="14"/>
      <c r="AF85" s="14"/>
      <c r="AG85" s="14"/>
      <c r="AH85" s="14" t="s">
        <v>2994</v>
      </c>
      <c r="AI85" s="14"/>
      <c r="AJ85" s="16">
        <v>7.478499999999999E-2</v>
      </c>
      <c r="AK85" s="14">
        <v>1</v>
      </c>
      <c r="AL85" s="14">
        <v>0</v>
      </c>
      <c r="AM85" s="14">
        <v>5</v>
      </c>
      <c r="AN85" s="17">
        <v>2.9578364919999999E-3</v>
      </c>
      <c r="AO85" s="17">
        <v>7.2178107077499984E-2</v>
      </c>
      <c r="AP85" s="17">
        <v>4.7776928223499987E-5</v>
      </c>
      <c r="AQ85" s="17">
        <v>0</v>
      </c>
      <c r="AR85" s="17">
        <v>0</v>
      </c>
      <c r="AS85" s="17">
        <v>0</v>
      </c>
      <c r="AT85" s="17">
        <v>0</v>
      </c>
      <c r="AU85" s="17">
        <v>0</v>
      </c>
      <c r="AV85" s="17">
        <v>0</v>
      </c>
      <c r="AW85" s="17">
        <v>0</v>
      </c>
    </row>
    <row r="86" spans="1:49" ht="17" customHeight="1">
      <c r="A86" s="11" t="s">
        <v>2998</v>
      </c>
      <c r="B86" s="11" t="s">
        <v>2998</v>
      </c>
      <c r="C86" s="14" t="s">
        <v>2867</v>
      </c>
      <c r="D86" s="14" t="s">
        <v>2982</v>
      </c>
      <c r="E86" s="14" t="s">
        <v>2927</v>
      </c>
      <c r="F86" s="14" t="s">
        <v>2984</v>
      </c>
      <c r="G86" s="14"/>
      <c r="H86" s="14" t="s">
        <v>2985</v>
      </c>
      <c r="I86" s="14"/>
      <c r="J86" s="14"/>
      <c r="K86" s="14"/>
      <c r="L86" s="14">
        <v>44</v>
      </c>
      <c r="M86" s="14">
        <v>50</v>
      </c>
      <c r="N86" s="14">
        <v>5</v>
      </c>
      <c r="O86" s="14">
        <v>240</v>
      </c>
      <c r="P86" s="14"/>
      <c r="Q86" s="14">
        <v>200</v>
      </c>
      <c r="R86" s="14" t="s">
        <v>2995</v>
      </c>
      <c r="S86" s="14">
        <v>3.1415926535897931</v>
      </c>
      <c r="T86" s="14"/>
      <c r="U86" s="14"/>
      <c r="V86" s="15"/>
      <c r="W86" s="14"/>
      <c r="X86" s="14"/>
      <c r="Y86" s="14"/>
      <c r="Z86" s="14"/>
      <c r="AA86" s="14"/>
      <c r="AB86" s="14"/>
      <c r="AC86" s="14"/>
      <c r="AD86" s="14"/>
      <c r="AE86" s="14"/>
      <c r="AF86" s="14"/>
      <c r="AG86" s="14"/>
      <c r="AH86" s="14" t="s">
        <v>2994</v>
      </c>
      <c r="AI86" s="14"/>
      <c r="AJ86" s="16">
        <v>7.478499999999999E-2</v>
      </c>
      <c r="AK86" s="14">
        <v>1</v>
      </c>
      <c r="AL86" s="14">
        <v>0</v>
      </c>
      <c r="AM86" s="14">
        <v>5</v>
      </c>
      <c r="AN86" s="17">
        <v>2.9578364919999999E-3</v>
      </c>
      <c r="AO86" s="17">
        <v>7.2178107077499984E-2</v>
      </c>
      <c r="AP86" s="17">
        <v>4.7776928223499987E-5</v>
      </c>
      <c r="AQ86" s="17">
        <v>0</v>
      </c>
      <c r="AR86" s="17">
        <v>0</v>
      </c>
      <c r="AS86" s="17">
        <v>0</v>
      </c>
      <c r="AT86" s="17">
        <v>0</v>
      </c>
      <c r="AU86" s="17">
        <v>0</v>
      </c>
      <c r="AV86" s="17">
        <v>0</v>
      </c>
      <c r="AW86" s="17">
        <v>0</v>
      </c>
    </row>
    <row r="87" spans="1:49" ht="17" customHeight="1">
      <c r="A87" s="11" t="s">
        <v>2999</v>
      </c>
      <c r="B87" s="11" t="s">
        <v>2999</v>
      </c>
      <c r="C87" s="14" t="s">
        <v>2867</v>
      </c>
      <c r="D87" s="14" t="s">
        <v>2982</v>
      </c>
      <c r="E87" s="14" t="s">
        <v>2927</v>
      </c>
      <c r="F87" s="14" t="s">
        <v>2984</v>
      </c>
      <c r="G87" s="14"/>
      <c r="H87" s="14" t="s">
        <v>2985</v>
      </c>
      <c r="I87" s="14"/>
      <c r="J87" s="14"/>
      <c r="K87" s="14"/>
      <c r="L87" s="14">
        <v>44</v>
      </c>
      <c r="M87" s="14">
        <v>50</v>
      </c>
      <c r="N87" s="14">
        <v>5</v>
      </c>
      <c r="O87" s="14">
        <v>240</v>
      </c>
      <c r="P87" s="14"/>
      <c r="Q87" s="14">
        <v>200</v>
      </c>
      <c r="R87" s="14" t="s">
        <v>2995</v>
      </c>
      <c r="S87" s="14">
        <v>3.1415926535897931</v>
      </c>
      <c r="T87" s="14"/>
      <c r="U87" s="14"/>
      <c r="V87" s="15"/>
      <c r="W87" s="14"/>
      <c r="X87" s="14"/>
      <c r="Y87" s="14"/>
      <c r="Z87" s="14"/>
      <c r="AA87" s="14"/>
      <c r="AB87" s="14"/>
      <c r="AC87" s="14"/>
      <c r="AD87" s="14"/>
      <c r="AE87" s="14"/>
      <c r="AF87" s="14"/>
      <c r="AG87" s="14"/>
      <c r="AH87" s="14" t="s">
        <v>2994</v>
      </c>
      <c r="AI87" s="14"/>
      <c r="AJ87" s="16">
        <v>7.478499999999999E-2</v>
      </c>
      <c r="AK87" s="14">
        <v>1</v>
      </c>
      <c r="AL87" s="14">
        <v>0</v>
      </c>
      <c r="AM87" s="14">
        <v>5</v>
      </c>
      <c r="AN87" s="17">
        <v>2.9578364919999999E-3</v>
      </c>
      <c r="AO87" s="17">
        <v>7.2178107077499984E-2</v>
      </c>
      <c r="AP87" s="17">
        <v>4.7776928223499987E-5</v>
      </c>
      <c r="AQ87" s="17">
        <v>0</v>
      </c>
      <c r="AR87" s="17">
        <v>0</v>
      </c>
      <c r="AS87" s="17">
        <v>0</v>
      </c>
      <c r="AT87" s="17">
        <v>0</v>
      </c>
      <c r="AU87" s="17">
        <v>0</v>
      </c>
      <c r="AV87" s="17">
        <v>0</v>
      </c>
      <c r="AW87" s="17">
        <v>0</v>
      </c>
    </row>
    <row r="88" spans="1:49" ht="17" customHeight="1">
      <c r="A88" s="11" t="s">
        <v>3000</v>
      </c>
      <c r="B88" s="11" t="s">
        <v>3000</v>
      </c>
      <c r="C88" s="14" t="s">
        <v>2867</v>
      </c>
      <c r="D88" s="14" t="s">
        <v>2982</v>
      </c>
      <c r="E88" s="14" t="s">
        <v>2927</v>
      </c>
      <c r="F88" s="14" t="s">
        <v>2984</v>
      </c>
      <c r="G88" s="14"/>
      <c r="H88" s="14" t="s">
        <v>2985</v>
      </c>
      <c r="I88" s="14"/>
      <c r="J88" s="14"/>
      <c r="K88" s="14"/>
      <c r="L88" s="14">
        <v>44</v>
      </c>
      <c r="M88" s="14">
        <v>50</v>
      </c>
      <c r="N88" s="14">
        <v>5</v>
      </c>
      <c r="O88" s="14">
        <v>240</v>
      </c>
      <c r="P88" s="14"/>
      <c r="Q88" s="14">
        <v>200</v>
      </c>
      <c r="R88" s="14" t="s">
        <v>2995</v>
      </c>
      <c r="S88" s="14">
        <v>3.1415926535897931</v>
      </c>
      <c r="T88" s="14"/>
      <c r="U88" s="14"/>
      <c r="V88" s="15"/>
      <c r="W88" s="14"/>
      <c r="X88" s="14"/>
      <c r="Y88" s="14"/>
      <c r="Z88" s="14"/>
      <c r="AA88" s="14"/>
      <c r="AB88" s="14"/>
      <c r="AC88" s="14"/>
      <c r="AD88" s="14"/>
      <c r="AE88" s="14"/>
      <c r="AF88" s="14"/>
      <c r="AG88" s="14"/>
      <c r="AH88" s="14" t="s">
        <v>2994</v>
      </c>
      <c r="AI88" s="14"/>
      <c r="AJ88" s="16">
        <v>7.478499999999999E-2</v>
      </c>
      <c r="AK88" s="14">
        <v>1</v>
      </c>
      <c r="AL88" s="14">
        <v>0</v>
      </c>
      <c r="AM88" s="14">
        <v>5</v>
      </c>
      <c r="AN88" s="17">
        <v>2.9578364919999999E-3</v>
      </c>
      <c r="AO88" s="17">
        <v>7.2178107077499984E-2</v>
      </c>
      <c r="AP88" s="17">
        <v>4.7776928223499987E-5</v>
      </c>
      <c r="AQ88" s="17">
        <v>0</v>
      </c>
      <c r="AR88" s="17">
        <v>0</v>
      </c>
      <c r="AS88" s="17">
        <v>0</v>
      </c>
      <c r="AT88" s="17">
        <v>0</v>
      </c>
      <c r="AU88" s="17">
        <v>0</v>
      </c>
      <c r="AV88" s="17">
        <v>0</v>
      </c>
      <c r="AW88" s="17">
        <v>0</v>
      </c>
    </row>
    <row r="89" spans="1:49" ht="17" customHeight="1">
      <c r="A89" s="11" t="s">
        <v>2949</v>
      </c>
      <c r="B89" s="11" t="s">
        <v>2949</v>
      </c>
      <c r="C89" s="18" t="s">
        <v>2867</v>
      </c>
      <c r="D89" s="18" t="s">
        <v>2916</v>
      </c>
      <c r="E89" s="18" t="s">
        <v>2917</v>
      </c>
      <c r="F89" s="18" t="s">
        <v>2918</v>
      </c>
      <c r="G89" s="14"/>
      <c r="H89" s="18" t="s">
        <v>2948</v>
      </c>
      <c r="I89" s="14"/>
      <c r="J89" s="14"/>
      <c r="K89" s="14"/>
      <c r="L89" s="18">
        <v>39</v>
      </c>
      <c r="M89" s="18">
        <v>50</v>
      </c>
      <c r="N89" s="18">
        <v>10</v>
      </c>
      <c r="O89" s="14"/>
      <c r="P89" s="18">
        <v>1.1299999999999999</v>
      </c>
      <c r="Q89" s="18">
        <v>36</v>
      </c>
      <c r="R89" s="18" t="s">
        <v>2936</v>
      </c>
      <c r="S89" s="18"/>
      <c r="T89" s="18">
        <v>1.95</v>
      </c>
      <c r="U89" s="18">
        <v>0.113</v>
      </c>
      <c r="V89" s="20">
        <v>2.264E-2</v>
      </c>
      <c r="W89" s="18" t="s">
        <v>2873</v>
      </c>
      <c r="X89" s="14"/>
      <c r="Y89" s="14"/>
      <c r="Z89" s="14"/>
      <c r="AA89" s="14"/>
      <c r="AB89" s="14"/>
      <c r="AC89" s="14"/>
      <c r="AD89" s="14"/>
      <c r="AE89" s="14"/>
      <c r="AF89" s="14"/>
      <c r="AG89" s="14"/>
      <c r="AH89" s="18" t="s">
        <v>2949</v>
      </c>
      <c r="AI89" s="14"/>
      <c r="AJ89" s="21">
        <v>9.1811000000000004E-2</v>
      </c>
      <c r="AK89" s="18">
        <v>1</v>
      </c>
      <c r="AL89" s="18">
        <v>-10</v>
      </c>
      <c r="AM89" s="18">
        <v>10</v>
      </c>
      <c r="AN89" s="17">
        <v>0</v>
      </c>
      <c r="AO89" s="17">
        <v>2.0786000000000001E-4</v>
      </c>
      <c r="AP89" s="19">
        <v>0</v>
      </c>
      <c r="AQ89" s="19">
        <v>0</v>
      </c>
      <c r="AR89" s="19">
        <v>0</v>
      </c>
      <c r="AS89" s="19">
        <v>0</v>
      </c>
      <c r="AT89" s="19">
        <v>0</v>
      </c>
      <c r="AU89" s="19">
        <v>0</v>
      </c>
      <c r="AV89" s="19">
        <v>0</v>
      </c>
      <c r="AW89" s="19">
        <v>0</v>
      </c>
    </row>
    <row r="90" spans="1:49" ht="17" customHeight="1">
      <c r="A90" s="11" t="s">
        <v>3001</v>
      </c>
      <c r="B90" s="11" t="s">
        <v>3001</v>
      </c>
      <c r="C90" s="18" t="s">
        <v>2867</v>
      </c>
      <c r="D90" s="18" t="s">
        <v>2916</v>
      </c>
      <c r="E90" s="18" t="s">
        <v>2917</v>
      </c>
      <c r="F90" s="18" t="s">
        <v>2918</v>
      </c>
      <c r="G90" s="14"/>
      <c r="H90" s="18" t="s">
        <v>2948</v>
      </c>
      <c r="I90" s="14"/>
      <c r="J90" s="14"/>
      <c r="K90" s="14"/>
      <c r="L90" s="18">
        <v>39</v>
      </c>
      <c r="M90" s="18">
        <v>50</v>
      </c>
      <c r="N90" s="18">
        <v>10</v>
      </c>
      <c r="O90" s="14"/>
      <c r="P90" s="18">
        <v>1.1299999999999999</v>
      </c>
      <c r="Q90" s="18">
        <v>36</v>
      </c>
      <c r="R90" s="18" t="s">
        <v>2936</v>
      </c>
      <c r="S90" s="18"/>
      <c r="T90" s="18">
        <v>1.95</v>
      </c>
      <c r="U90" s="18">
        <v>0.113</v>
      </c>
      <c r="V90" s="20">
        <v>2.264E-2</v>
      </c>
      <c r="W90" s="18" t="s">
        <v>2873</v>
      </c>
      <c r="X90" s="14"/>
      <c r="Y90" s="14"/>
      <c r="Z90" s="14"/>
      <c r="AA90" s="14"/>
      <c r="AB90" s="14"/>
      <c r="AC90" s="14"/>
      <c r="AD90" s="14"/>
      <c r="AE90" s="14"/>
      <c r="AF90" s="14"/>
      <c r="AG90" s="14"/>
      <c r="AH90" s="18" t="s">
        <v>2949</v>
      </c>
      <c r="AI90" s="14"/>
      <c r="AJ90" s="21">
        <v>9.1811000000000004E-2</v>
      </c>
      <c r="AK90" s="18">
        <v>1</v>
      </c>
      <c r="AL90" s="18">
        <v>-10</v>
      </c>
      <c r="AM90" s="18">
        <v>10</v>
      </c>
      <c r="AN90" s="17">
        <v>0</v>
      </c>
      <c r="AO90" s="17">
        <v>2.0786000000000001E-4</v>
      </c>
      <c r="AP90" s="19">
        <v>0</v>
      </c>
      <c r="AQ90" s="19">
        <v>0</v>
      </c>
      <c r="AR90" s="19">
        <v>0</v>
      </c>
      <c r="AS90" s="19">
        <v>0</v>
      </c>
      <c r="AT90" s="19">
        <v>0</v>
      </c>
      <c r="AU90" s="19">
        <v>0</v>
      </c>
      <c r="AV90" s="19">
        <v>0</v>
      </c>
      <c r="AW90" s="19">
        <v>0</v>
      </c>
    </row>
    <row r="91" spans="1:49" ht="17" customHeight="1">
      <c r="A91" s="11" t="s">
        <v>3002</v>
      </c>
      <c r="B91" s="11" t="s">
        <v>3002</v>
      </c>
      <c r="C91" s="14" t="s">
        <v>2867</v>
      </c>
      <c r="D91" s="14" t="s">
        <v>2916</v>
      </c>
      <c r="E91" s="14" t="s">
        <v>2927</v>
      </c>
      <c r="F91" s="14" t="s">
        <v>2918</v>
      </c>
      <c r="G91" s="14"/>
      <c r="H91" s="14" t="s">
        <v>2948</v>
      </c>
      <c r="I91" s="14"/>
      <c r="J91" s="14"/>
      <c r="K91" s="14"/>
      <c r="L91" s="14">
        <v>39</v>
      </c>
      <c r="M91" s="14">
        <v>100</v>
      </c>
      <c r="N91" s="14">
        <v>300</v>
      </c>
      <c r="O91" s="14"/>
      <c r="P91" s="14">
        <v>1.623</v>
      </c>
      <c r="Q91" s="14">
        <v>10</v>
      </c>
      <c r="R91" s="14" t="s">
        <v>3003</v>
      </c>
      <c r="S91" s="14"/>
      <c r="T91" s="14">
        <v>0.76900000000000002</v>
      </c>
      <c r="U91" s="14">
        <v>5.41</v>
      </c>
      <c r="V91" s="15">
        <v>19.82859268537937</v>
      </c>
      <c r="W91" s="14" t="s">
        <v>2954</v>
      </c>
      <c r="X91" s="14"/>
      <c r="Y91" s="14"/>
      <c r="Z91" s="14"/>
      <c r="AA91" s="14"/>
      <c r="AB91" s="14"/>
      <c r="AC91" s="14"/>
      <c r="AD91" s="14"/>
      <c r="AE91" s="14"/>
      <c r="AF91" s="14"/>
      <c r="AG91" s="14"/>
      <c r="AH91" s="14" t="s">
        <v>3002</v>
      </c>
      <c r="AI91" s="14"/>
      <c r="AJ91" s="16">
        <v>0.122352</v>
      </c>
      <c r="AK91" s="14">
        <v>1</v>
      </c>
      <c r="AL91" s="14">
        <v>0</v>
      </c>
      <c r="AM91" s="14">
        <v>300</v>
      </c>
      <c r="AN91" s="19">
        <v>-1.8454000000000001E-8</v>
      </c>
      <c r="AO91" s="19">
        <v>6.5185000000000007E-2</v>
      </c>
      <c r="AP91" s="19">
        <v>-3.3673000000000001E-9</v>
      </c>
      <c r="AQ91" s="19">
        <v>5.5866999999999997E-11</v>
      </c>
      <c r="AR91" s="19">
        <v>-4.3783000000000001E-13</v>
      </c>
      <c r="AS91" s="19">
        <v>1.7780000000000001E-15</v>
      </c>
      <c r="AT91" s="19">
        <v>-3.6405999999999997E-18</v>
      </c>
      <c r="AU91" s="19">
        <v>2.9854000000000001E-21</v>
      </c>
      <c r="AV91" s="19">
        <v>0</v>
      </c>
      <c r="AW91" s="19">
        <v>0</v>
      </c>
    </row>
    <row r="92" spans="1:49" ht="17" customHeight="1">
      <c r="A92" s="11" t="s">
        <v>3004</v>
      </c>
      <c r="B92" s="11" t="s">
        <v>3004</v>
      </c>
      <c r="C92" s="14" t="s">
        <v>2867</v>
      </c>
      <c r="D92" s="14" t="s">
        <v>2916</v>
      </c>
      <c r="E92" s="14" t="s">
        <v>2927</v>
      </c>
      <c r="F92" s="14" t="s">
        <v>2918</v>
      </c>
      <c r="G92" s="14"/>
      <c r="H92" s="14" t="s">
        <v>2948</v>
      </c>
      <c r="I92" s="14"/>
      <c r="J92" s="14"/>
      <c r="K92" s="14"/>
      <c r="L92" s="14">
        <v>39</v>
      </c>
      <c r="M92" s="14">
        <v>100</v>
      </c>
      <c r="N92" s="14">
        <v>300</v>
      </c>
      <c r="O92" s="14"/>
      <c r="P92" s="14">
        <v>1.623</v>
      </c>
      <c r="Q92" s="14">
        <v>10</v>
      </c>
      <c r="R92" s="14" t="s">
        <v>3003</v>
      </c>
      <c r="S92" s="14"/>
      <c r="T92" s="14">
        <v>0.76900000000000002</v>
      </c>
      <c r="U92" s="14">
        <v>5.41</v>
      </c>
      <c r="V92" s="15">
        <v>19.82859268537937</v>
      </c>
      <c r="W92" s="14" t="s">
        <v>2954</v>
      </c>
      <c r="X92" s="14"/>
      <c r="Y92" s="14"/>
      <c r="Z92" s="14"/>
      <c r="AA92" s="14"/>
      <c r="AB92" s="14"/>
      <c r="AC92" s="14"/>
      <c r="AD92" s="14"/>
      <c r="AE92" s="14"/>
      <c r="AF92" s="14"/>
      <c r="AG92" s="14"/>
      <c r="AH92" s="18" t="s">
        <v>3002</v>
      </c>
      <c r="AI92" s="14"/>
      <c r="AJ92" s="16">
        <v>0.122352</v>
      </c>
      <c r="AK92" s="14">
        <v>1</v>
      </c>
      <c r="AL92" s="14">
        <v>0</v>
      </c>
      <c r="AM92" s="14">
        <v>300</v>
      </c>
      <c r="AN92" s="19">
        <v>-1.8454000000000001E-8</v>
      </c>
      <c r="AO92" s="19">
        <v>6.5185000000000007E-2</v>
      </c>
      <c r="AP92" s="19">
        <v>-3.3673000000000001E-9</v>
      </c>
      <c r="AQ92" s="19">
        <v>5.5866999999999997E-11</v>
      </c>
      <c r="AR92" s="19">
        <v>-4.3783000000000001E-13</v>
      </c>
      <c r="AS92" s="19">
        <v>1.7780000000000001E-15</v>
      </c>
      <c r="AT92" s="19">
        <v>-3.6405999999999997E-18</v>
      </c>
      <c r="AU92" s="19">
        <v>2.9854000000000001E-21</v>
      </c>
      <c r="AV92" s="19">
        <v>0</v>
      </c>
      <c r="AW92" s="19">
        <v>0</v>
      </c>
    </row>
    <row r="93" spans="1:49" ht="17" customHeight="1">
      <c r="A93" s="11" t="s">
        <v>3005</v>
      </c>
      <c r="B93" s="11" t="s">
        <v>3005</v>
      </c>
      <c r="C93" s="18" t="s">
        <v>2867</v>
      </c>
      <c r="D93" s="18" t="s">
        <v>2916</v>
      </c>
      <c r="E93" s="18" t="s">
        <v>2917</v>
      </c>
      <c r="F93" s="18" t="s">
        <v>2918</v>
      </c>
      <c r="G93" s="14"/>
      <c r="H93" s="18" t="s">
        <v>2935</v>
      </c>
      <c r="I93" s="14"/>
      <c r="J93" s="14"/>
      <c r="K93" s="14"/>
      <c r="L93" s="18">
        <v>120</v>
      </c>
      <c r="M93" s="18">
        <v>1000</v>
      </c>
      <c r="N93" s="18">
        <v>5</v>
      </c>
      <c r="O93" s="14"/>
      <c r="P93" s="18">
        <v>6.37</v>
      </c>
      <c r="Q93" s="18">
        <v>90</v>
      </c>
      <c r="R93" s="18" t="s">
        <v>2936</v>
      </c>
      <c r="S93" s="18"/>
      <c r="T93" s="18">
        <v>12.9</v>
      </c>
      <c r="U93" s="18">
        <v>1.274</v>
      </c>
      <c r="V93" s="20">
        <v>2.0600000000000002E-3</v>
      </c>
      <c r="W93" s="18" t="s">
        <v>2873</v>
      </c>
      <c r="X93" s="14"/>
      <c r="Y93" s="14"/>
      <c r="Z93" s="14"/>
      <c r="AA93" s="14"/>
      <c r="AB93" s="14"/>
      <c r="AC93" s="14"/>
      <c r="AD93" s="14"/>
      <c r="AE93" s="14"/>
      <c r="AF93" s="14"/>
      <c r="AG93" s="14"/>
      <c r="AH93" s="18" t="s">
        <v>2934</v>
      </c>
      <c r="AI93" s="14"/>
      <c r="AJ93" s="21">
        <v>0.95010000000000006</v>
      </c>
      <c r="AK93" s="18">
        <v>1</v>
      </c>
      <c r="AL93" s="18">
        <v>-5</v>
      </c>
      <c r="AM93" s="18">
        <v>5</v>
      </c>
      <c r="AN93" s="17">
        <v>0</v>
      </c>
      <c r="AO93" s="17">
        <v>3.9144000000000001E-4</v>
      </c>
      <c r="AP93" s="19">
        <v>0</v>
      </c>
      <c r="AQ93" s="19">
        <v>0</v>
      </c>
      <c r="AR93" s="19">
        <v>0</v>
      </c>
      <c r="AS93" s="19">
        <v>0</v>
      </c>
      <c r="AT93" s="19">
        <v>0</v>
      </c>
      <c r="AU93" s="19">
        <v>0</v>
      </c>
      <c r="AV93" s="19">
        <v>0</v>
      </c>
      <c r="AW93" s="19">
        <v>0</v>
      </c>
    </row>
    <row r="94" spans="1:49" ht="17" customHeight="1">
      <c r="A94" s="11" t="s">
        <v>3006</v>
      </c>
      <c r="B94" s="11" t="s">
        <v>3006</v>
      </c>
      <c r="C94" s="18" t="s">
        <v>2867</v>
      </c>
      <c r="D94" s="18" t="s">
        <v>2916</v>
      </c>
      <c r="E94" s="18" t="s">
        <v>2917</v>
      </c>
      <c r="F94" s="18" t="s">
        <v>2918</v>
      </c>
      <c r="G94" s="14"/>
      <c r="H94" s="18" t="s">
        <v>2935</v>
      </c>
      <c r="I94" s="14"/>
      <c r="J94" s="14"/>
      <c r="K94" s="14"/>
      <c r="L94" s="18">
        <v>120</v>
      </c>
      <c r="M94" s="18">
        <v>1000</v>
      </c>
      <c r="N94" s="18">
        <v>5</v>
      </c>
      <c r="O94" s="14"/>
      <c r="P94" s="18">
        <v>6.37</v>
      </c>
      <c r="Q94" s="18">
        <v>90</v>
      </c>
      <c r="R94" s="18" t="s">
        <v>2936</v>
      </c>
      <c r="S94" s="18"/>
      <c r="T94" s="18">
        <v>12.9</v>
      </c>
      <c r="U94" s="18">
        <v>1.274</v>
      </c>
      <c r="V94" s="20">
        <v>2.0600000000000002E-3</v>
      </c>
      <c r="W94" s="18" t="s">
        <v>2873</v>
      </c>
      <c r="X94" s="14"/>
      <c r="Y94" s="14"/>
      <c r="Z94" s="14"/>
      <c r="AA94" s="14"/>
      <c r="AB94" s="14"/>
      <c r="AC94" s="14"/>
      <c r="AD94" s="14"/>
      <c r="AE94" s="14"/>
      <c r="AF94" s="14"/>
      <c r="AG94" s="14"/>
      <c r="AH94" s="18" t="s">
        <v>2934</v>
      </c>
      <c r="AI94" s="14"/>
      <c r="AJ94" s="21">
        <v>0.95010000000000006</v>
      </c>
      <c r="AK94" s="18">
        <v>1</v>
      </c>
      <c r="AL94" s="18">
        <v>-5</v>
      </c>
      <c r="AM94" s="18">
        <v>5</v>
      </c>
      <c r="AN94" s="17">
        <v>0</v>
      </c>
      <c r="AO94" s="17">
        <v>3.9144000000000001E-4</v>
      </c>
      <c r="AP94" s="19">
        <v>0</v>
      </c>
      <c r="AQ94" s="19">
        <v>0</v>
      </c>
      <c r="AR94" s="19">
        <v>0</v>
      </c>
      <c r="AS94" s="19">
        <v>0</v>
      </c>
      <c r="AT94" s="19">
        <v>0</v>
      </c>
      <c r="AU94" s="19">
        <v>0</v>
      </c>
      <c r="AV94" s="19">
        <v>0</v>
      </c>
      <c r="AW94" s="19">
        <v>0</v>
      </c>
    </row>
    <row r="95" spans="1:49" ht="17" customHeight="1">
      <c r="A95" s="11" t="s">
        <v>3007</v>
      </c>
      <c r="B95" s="11" t="s">
        <v>3007</v>
      </c>
      <c r="C95" s="14" t="s">
        <v>2867</v>
      </c>
      <c r="D95" s="14" t="s">
        <v>2916</v>
      </c>
      <c r="E95" s="14" t="s">
        <v>2927</v>
      </c>
      <c r="F95" s="14" t="s">
        <v>2918</v>
      </c>
      <c r="G95" s="14"/>
      <c r="H95" s="14" t="s">
        <v>2948</v>
      </c>
      <c r="I95" s="14"/>
      <c r="J95" s="14"/>
      <c r="K95" s="14"/>
      <c r="L95" s="14">
        <v>39</v>
      </c>
      <c r="M95" s="14">
        <v>100</v>
      </c>
      <c r="N95" s="14">
        <v>300</v>
      </c>
      <c r="O95" s="14"/>
      <c r="P95" s="14">
        <v>1.623</v>
      </c>
      <c r="Q95" s="14">
        <v>10</v>
      </c>
      <c r="R95" s="14" t="s">
        <v>3003</v>
      </c>
      <c r="S95" s="14"/>
      <c r="T95" s="14">
        <v>0.76900000000000002</v>
      </c>
      <c r="U95" s="14">
        <v>5.41</v>
      </c>
      <c r="V95" s="15">
        <v>19.82859268537937</v>
      </c>
      <c r="W95" s="14" t="s">
        <v>2954</v>
      </c>
      <c r="X95" s="14"/>
      <c r="Y95" s="14"/>
      <c r="Z95" s="14"/>
      <c r="AA95" s="14"/>
      <c r="AB95" s="14"/>
      <c r="AC95" s="14"/>
      <c r="AD95" s="14"/>
      <c r="AE95" s="14"/>
      <c r="AF95" s="14"/>
      <c r="AG95" s="14"/>
      <c r="AH95" s="14" t="s">
        <v>3002</v>
      </c>
      <c r="AI95" s="14"/>
      <c r="AJ95" s="16">
        <v>0.122352</v>
      </c>
      <c r="AK95" s="14">
        <v>1</v>
      </c>
      <c r="AL95" s="14">
        <v>0</v>
      </c>
      <c r="AM95" s="14">
        <v>300</v>
      </c>
      <c r="AN95" s="19">
        <v>-1.8454000000000001E-8</v>
      </c>
      <c r="AO95" s="19">
        <v>6.5185000000000007E-2</v>
      </c>
      <c r="AP95" s="19">
        <v>-3.3673000000000001E-9</v>
      </c>
      <c r="AQ95" s="19">
        <v>5.5866999999999997E-11</v>
      </c>
      <c r="AR95" s="19">
        <v>-4.3783000000000001E-13</v>
      </c>
      <c r="AS95" s="19">
        <v>1.7780000000000001E-15</v>
      </c>
      <c r="AT95" s="19">
        <v>-3.6405999999999997E-18</v>
      </c>
      <c r="AU95" s="19">
        <v>2.9854000000000001E-21</v>
      </c>
      <c r="AV95" s="19">
        <v>0</v>
      </c>
      <c r="AW95" s="19">
        <v>0</v>
      </c>
    </row>
    <row r="96" spans="1:49" ht="17" customHeight="1">
      <c r="A96" s="11" t="s">
        <v>3008</v>
      </c>
      <c r="B96" s="11" t="s">
        <v>3008</v>
      </c>
      <c r="C96" s="14" t="s">
        <v>2867</v>
      </c>
      <c r="D96" s="14" t="s">
        <v>2916</v>
      </c>
      <c r="E96" s="14" t="s">
        <v>2927</v>
      </c>
      <c r="F96" s="14" t="s">
        <v>2918</v>
      </c>
      <c r="G96" s="14"/>
      <c r="H96" s="14" t="s">
        <v>2948</v>
      </c>
      <c r="I96" s="14"/>
      <c r="J96" s="14"/>
      <c r="K96" s="14"/>
      <c r="L96" s="14">
        <v>39</v>
      </c>
      <c r="M96" s="14">
        <v>100</v>
      </c>
      <c r="N96" s="14">
        <v>300</v>
      </c>
      <c r="O96" s="14"/>
      <c r="P96" s="14">
        <v>1.623</v>
      </c>
      <c r="Q96" s="14">
        <v>10</v>
      </c>
      <c r="R96" s="14" t="s">
        <v>3003</v>
      </c>
      <c r="S96" s="14"/>
      <c r="T96" s="14">
        <v>0.76900000000000002</v>
      </c>
      <c r="U96" s="14">
        <v>5.41</v>
      </c>
      <c r="V96" s="15">
        <v>19.82859268537937</v>
      </c>
      <c r="W96" s="14" t="s">
        <v>2954</v>
      </c>
      <c r="X96" s="14"/>
      <c r="Y96" s="14"/>
      <c r="Z96" s="14"/>
      <c r="AA96" s="14"/>
      <c r="AB96" s="14"/>
      <c r="AC96" s="14"/>
      <c r="AD96" s="14"/>
      <c r="AE96" s="14"/>
      <c r="AF96" s="14"/>
      <c r="AG96" s="14"/>
      <c r="AH96" s="18" t="s">
        <v>3002</v>
      </c>
      <c r="AI96" s="14"/>
      <c r="AJ96" s="16">
        <v>0.122352</v>
      </c>
      <c r="AK96" s="14">
        <v>1</v>
      </c>
      <c r="AL96" s="14">
        <v>0</v>
      </c>
      <c r="AM96" s="14">
        <v>300</v>
      </c>
      <c r="AN96" s="19">
        <v>-1.8454000000000001E-8</v>
      </c>
      <c r="AO96" s="19">
        <v>6.5185000000000007E-2</v>
      </c>
      <c r="AP96" s="19">
        <v>-3.3673000000000001E-9</v>
      </c>
      <c r="AQ96" s="19">
        <v>5.5866999999999997E-11</v>
      </c>
      <c r="AR96" s="19">
        <v>-4.3783000000000001E-13</v>
      </c>
      <c r="AS96" s="19">
        <v>1.7780000000000001E-15</v>
      </c>
      <c r="AT96" s="19">
        <v>-3.6405999999999997E-18</v>
      </c>
      <c r="AU96" s="19">
        <v>2.9854000000000001E-21</v>
      </c>
      <c r="AV96" s="19">
        <v>0</v>
      </c>
      <c r="AW96" s="19">
        <v>0</v>
      </c>
    </row>
    <row r="97" spans="1:49" ht="17" customHeight="1">
      <c r="A97" s="11" t="s">
        <v>3009</v>
      </c>
      <c r="B97" s="11" t="s">
        <v>3009</v>
      </c>
      <c r="C97" s="18" t="s">
        <v>2867</v>
      </c>
      <c r="D97" s="18" t="s">
        <v>2916</v>
      </c>
      <c r="E97" s="18" t="s">
        <v>2917</v>
      </c>
      <c r="F97" s="18" t="s">
        <v>2918</v>
      </c>
      <c r="G97" s="14"/>
      <c r="H97" s="18" t="s">
        <v>2935</v>
      </c>
      <c r="I97" s="14"/>
      <c r="J97" s="14"/>
      <c r="K97" s="14"/>
      <c r="L97" s="18">
        <v>120</v>
      </c>
      <c r="M97" s="18">
        <v>1000</v>
      </c>
      <c r="N97" s="18">
        <v>5</v>
      </c>
      <c r="O97" s="14"/>
      <c r="P97" s="18">
        <v>6.37</v>
      </c>
      <c r="Q97" s="18">
        <v>90</v>
      </c>
      <c r="R97" s="18" t="s">
        <v>2936</v>
      </c>
      <c r="S97" s="18"/>
      <c r="T97" s="18">
        <v>12.9</v>
      </c>
      <c r="U97" s="18">
        <v>1.274</v>
      </c>
      <c r="V97" s="20">
        <v>2.0600000000000002E-3</v>
      </c>
      <c r="W97" s="18" t="s">
        <v>2873</v>
      </c>
      <c r="X97" s="14"/>
      <c r="Y97" s="14"/>
      <c r="Z97" s="14"/>
      <c r="AA97" s="14"/>
      <c r="AB97" s="14"/>
      <c r="AC97" s="14"/>
      <c r="AD97" s="14"/>
      <c r="AE97" s="14"/>
      <c r="AF97" s="14"/>
      <c r="AG97" s="14"/>
      <c r="AH97" s="18" t="s">
        <v>2934</v>
      </c>
      <c r="AI97" s="14"/>
      <c r="AJ97" s="21">
        <v>0.95010000000000006</v>
      </c>
      <c r="AK97" s="18">
        <v>1</v>
      </c>
      <c r="AL97" s="18">
        <v>-5</v>
      </c>
      <c r="AM97" s="18">
        <v>5</v>
      </c>
      <c r="AN97" s="17">
        <v>0</v>
      </c>
      <c r="AO97" s="17">
        <v>3.9144000000000001E-4</v>
      </c>
      <c r="AP97" s="19">
        <v>0</v>
      </c>
      <c r="AQ97" s="19">
        <v>0</v>
      </c>
      <c r="AR97" s="19">
        <v>0</v>
      </c>
      <c r="AS97" s="19">
        <v>0</v>
      </c>
      <c r="AT97" s="19">
        <v>0</v>
      </c>
      <c r="AU97" s="19">
        <v>0</v>
      </c>
      <c r="AV97" s="19">
        <v>0</v>
      </c>
      <c r="AW97" s="19">
        <v>0</v>
      </c>
    </row>
    <row r="98" spans="1:49" ht="17" customHeight="1">
      <c r="A98" s="11" t="s">
        <v>3010</v>
      </c>
      <c r="B98" s="11" t="s">
        <v>3010</v>
      </c>
      <c r="C98" s="18" t="s">
        <v>2867</v>
      </c>
      <c r="D98" s="18" t="s">
        <v>2916</v>
      </c>
      <c r="E98" s="18" t="s">
        <v>2917</v>
      </c>
      <c r="F98" s="18" t="s">
        <v>2918</v>
      </c>
      <c r="G98" s="14"/>
      <c r="H98" s="18" t="s">
        <v>2935</v>
      </c>
      <c r="I98" s="14"/>
      <c r="J98" s="14"/>
      <c r="K98" s="14"/>
      <c r="L98" s="18">
        <v>120</v>
      </c>
      <c r="M98" s="18">
        <v>1000</v>
      </c>
      <c r="N98" s="18">
        <v>5</v>
      </c>
      <c r="O98" s="14"/>
      <c r="P98" s="18">
        <v>6.37</v>
      </c>
      <c r="Q98" s="18">
        <v>90</v>
      </c>
      <c r="R98" s="18" t="s">
        <v>2936</v>
      </c>
      <c r="S98" s="18"/>
      <c r="T98" s="18">
        <v>12.9</v>
      </c>
      <c r="U98" s="18">
        <v>1.274</v>
      </c>
      <c r="V98" s="20">
        <v>2.0600000000000002E-3</v>
      </c>
      <c r="W98" s="18" t="s">
        <v>2873</v>
      </c>
      <c r="X98" s="14"/>
      <c r="Y98" s="14"/>
      <c r="Z98" s="14"/>
      <c r="AA98" s="14"/>
      <c r="AB98" s="14"/>
      <c r="AC98" s="14"/>
      <c r="AD98" s="14"/>
      <c r="AE98" s="14"/>
      <c r="AF98" s="14"/>
      <c r="AG98" s="14"/>
      <c r="AH98" s="18" t="s">
        <v>2934</v>
      </c>
      <c r="AI98" s="14"/>
      <c r="AJ98" s="21">
        <v>0.95010000000000006</v>
      </c>
      <c r="AK98" s="18">
        <v>1</v>
      </c>
      <c r="AL98" s="18">
        <v>-5</v>
      </c>
      <c r="AM98" s="18">
        <v>5</v>
      </c>
      <c r="AN98" s="17">
        <v>0</v>
      </c>
      <c r="AO98" s="17">
        <v>3.9144000000000001E-4</v>
      </c>
      <c r="AP98" s="19">
        <v>0</v>
      </c>
      <c r="AQ98" s="19">
        <v>0</v>
      </c>
      <c r="AR98" s="19">
        <v>0</v>
      </c>
      <c r="AS98" s="19">
        <v>0</v>
      </c>
      <c r="AT98" s="19">
        <v>0</v>
      </c>
      <c r="AU98" s="19">
        <v>0</v>
      </c>
      <c r="AV98" s="19">
        <v>0</v>
      </c>
      <c r="AW98" s="19">
        <v>0</v>
      </c>
    </row>
    <row r="99" spans="1:49" ht="17" customHeight="1">
      <c r="A99" s="11" t="s">
        <v>3011</v>
      </c>
      <c r="B99" s="11" t="s">
        <v>3011</v>
      </c>
      <c r="C99" s="18" t="s">
        <v>2867</v>
      </c>
      <c r="D99" s="18" t="s">
        <v>2916</v>
      </c>
      <c r="E99" s="18" t="s">
        <v>2917</v>
      </c>
      <c r="F99" s="18" t="s">
        <v>2918</v>
      </c>
      <c r="G99" s="14"/>
      <c r="H99" s="18" t="s">
        <v>2935</v>
      </c>
      <c r="I99" s="14"/>
      <c r="J99" s="14"/>
      <c r="K99" s="14"/>
      <c r="L99" s="18">
        <v>120</v>
      </c>
      <c r="M99" s="18">
        <v>1000</v>
      </c>
      <c r="N99" s="18">
        <v>5</v>
      </c>
      <c r="O99" s="14"/>
      <c r="P99" s="18">
        <v>6.37</v>
      </c>
      <c r="Q99" s="18">
        <v>90</v>
      </c>
      <c r="R99" s="18" t="s">
        <v>2936</v>
      </c>
      <c r="S99" s="18"/>
      <c r="T99" s="18">
        <v>12.9</v>
      </c>
      <c r="U99" s="18">
        <v>1.274</v>
      </c>
      <c r="V99" s="20">
        <v>2.0600000000000002E-3</v>
      </c>
      <c r="W99" s="18" t="s">
        <v>2873</v>
      </c>
      <c r="X99" s="14"/>
      <c r="Y99" s="14"/>
      <c r="Z99" s="14"/>
      <c r="AA99" s="14"/>
      <c r="AB99" s="14"/>
      <c r="AC99" s="14"/>
      <c r="AD99" s="14"/>
      <c r="AE99" s="14"/>
      <c r="AF99" s="14"/>
      <c r="AG99" s="14"/>
      <c r="AH99" s="18" t="s">
        <v>2934</v>
      </c>
      <c r="AI99" s="14"/>
      <c r="AJ99" s="21">
        <v>0.95010000000000006</v>
      </c>
      <c r="AK99" s="18">
        <v>1</v>
      </c>
      <c r="AL99" s="18">
        <v>-5</v>
      </c>
      <c r="AM99" s="18">
        <v>5</v>
      </c>
      <c r="AN99" s="17">
        <v>0</v>
      </c>
      <c r="AO99" s="17">
        <v>3.9144000000000001E-4</v>
      </c>
      <c r="AP99" s="19">
        <v>0</v>
      </c>
      <c r="AQ99" s="19">
        <v>0</v>
      </c>
      <c r="AR99" s="19">
        <v>0</v>
      </c>
      <c r="AS99" s="19">
        <v>0</v>
      </c>
      <c r="AT99" s="19">
        <v>0</v>
      </c>
      <c r="AU99" s="19">
        <v>0</v>
      </c>
      <c r="AV99" s="19">
        <v>0</v>
      </c>
      <c r="AW99" s="19">
        <v>0</v>
      </c>
    </row>
    <row r="100" spans="1:49" ht="17" customHeight="1">
      <c r="A100" s="11" t="s">
        <v>3012</v>
      </c>
      <c r="B100" s="11" t="s">
        <v>3012</v>
      </c>
      <c r="C100" s="18" t="s">
        <v>2867</v>
      </c>
      <c r="D100" s="18" t="s">
        <v>2916</v>
      </c>
      <c r="E100" s="18" t="s">
        <v>2917</v>
      </c>
      <c r="F100" s="18" t="s">
        <v>2918</v>
      </c>
      <c r="G100" s="14"/>
      <c r="H100" s="18" t="s">
        <v>2935</v>
      </c>
      <c r="I100" s="14"/>
      <c r="J100" s="14"/>
      <c r="K100" s="14"/>
      <c r="L100" s="18">
        <v>120</v>
      </c>
      <c r="M100" s="18">
        <v>1000</v>
      </c>
      <c r="N100" s="18">
        <v>5</v>
      </c>
      <c r="O100" s="14"/>
      <c r="P100" s="18">
        <v>6.37</v>
      </c>
      <c r="Q100" s="18">
        <v>90</v>
      </c>
      <c r="R100" s="18" t="s">
        <v>2936</v>
      </c>
      <c r="S100" s="18"/>
      <c r="T100" s="18">
        <v>12.9</v>
      </c>
      <c r="U100" s="18">
        <v>1.274</v>
      </c>
      <c r="V100" s="20">
        <v>2.0600000000000002E-3</v>
      </c>
      <c r="W100" s="18" t="s">
        <v>2873</v>
      </c>
      <c r="X100" s="14"/>
      <c r="Y100" s="14"/>
      <c r="Z100" s="14"/>
      <c r="AA100" s="14"/>
      <c r="AB100" s="14"/>
      <c r="AC100" s="14"/>
      <c r="AD100" s="14"/>
      <c r="AE100" s="14"/>
      <c r="AF100" s="14"/>
      <c r="AG100" s="14"/>
      <c r="AH100" s="18" t="s">
        <v>2934</v>
      </c>
      <c r="AI100" s="14"/>
      <c r="AJ100" s="21">
        <v>0.95010000000000006</v>
      </c>
      <c r="AK100" s="18">
        <v>1</v>
      </c>
      <c r="AL100" s="18">
        <v>-5</v>
      </c>
      <c r="AM100" s="18">
        <v>5</v>
      </c>
      <c r="AN100" s="17">
        <v>0</v>
      </c>
      <c r="AO100" s="17">
        <v>3.9144000000000001E-4</v>
      </c>
      <c r="AP100" s="19">
        <v>0</v>
      </c>
      <c r="AQ100" s="19">
        <v>0</v>
      </c>
      <c r="AR100" s="19">
        <v>0</v>
      </c>
      <c r="AS100" s="19">
        <v>0</v>
      </c>
      <c r="AT100" s="19">
        <v>0</v>
      </c>
      <c r="AU100" s="19">
        <v>0</v>
      </c>
      <c r="AV100" s="19">
        <v>0</v>
      </c>
      <c r="AW100" s="19">
        <v>0</v>
      </c>
    </row>
    <row r="101" spans="1:49" ht="17" customHeight="1">
      <c r="A101" s="11" t="s">
        <v>3013</v>
      </c>
      <c r="B101" s="11" t="s">
        <v>3013</v>
      </c>
      <c r="C101" s="14" t="s">
        <v>2867</v>
      </c>
      <c r="D101" s="14" t="s">
        <v>2916</v>
      </c>
      <c r="E101" s="14" t="s">
        <v>2927</v>
      </c>
      <c r="F101" s="14" t="s">
        <v>2918</v>
      </c>
      <c r="G101" s="14"/>
      <c r="H101" s="14" t="s">
        <v>2928</v>
      </c>
      <c r="I101" s="14"/>
      <c r="J101" s="14"/>
      <c r="K101" s="14"/>
      <c r="L101" s="14">
        <v>44</v>
      </c>
      <c r="M101" s="14">
        <v>50</v>
      </c>
      <c r="N101" s="14">
        <v>30</v>
      </c>
      <c r="O101" s="14"/>
      <c r="P101" s="14">
        <v>12</v>
      </c>
      <c r="Q101" s="14">
        <v>139</v>
      </c>
      <c r="R101" s="14">
        <v>3.2</v>
      </c>
      <c r="S101" s="14"/>
      <c r="T101" s="14" t="s">
        <v>2920</v>
      </c>
      <c r="U101" s="14">
        <v>0.4</v>
      </c>
      <c r="V101" s="15">
        <v>19.8</v>
      </c>
      <c r="W101" s="14" t="s">
        <v>2975</v>
      </c>
      <c r="X101" s="14"/>
      <c r="Y101" s="14"/>
      <c r="Z101" s="14"/>
      <c r="AA101" s="14"/>
      <c r="AB101" s="14"/>
      <c r="AC101" s="14"/>
      <c r="AD101" s="14"/>
      <c r="AE101" s="14"/>
      <c r="AF101" s="14"/>
      <c r="AG101" s="14"/>
      <c r="AH101" s="14" t="s">
        <v>3014</v>
      </c>
      <c r="AI101" s="14"/>
      <c r="AJ101" s="16">
        <v>7.4999999999999997E-2</v>
      </c>
      <c r="AK101" s="14">
        <v>1</v>
      </c>
      <c r="AL101" s="14">
        <v>0</v>
      </c>
      <c r="AM101" s="14">
        <v>30</v>
      </c>
      <c r="AN101" s="19">
        <v>1.41600718E-2</v>
      </c>
      <c r="AO101" s="19">
        <v>5.05061869E-2</v>
      </c>
      <c r="AP101" s="19">
        <v>2.5019795599999999E-4</v>
      </c>
      <c r="AQ101" s="19">
        <v>-1.09836638E-5</v>
      </c>
      <c r="AR101" s="19">
        <v>1.5487514699999999E-7</v>
      </c>
      <c r="AS101" s="19">
        <v>-5.9858918000000001E-9</v>
      </c>
      <c r="AT101" s="19">
        <v>0</v>
      </c>
      <c r="AU101" s="19">
        <v>0</v>
      </c>
      <c r="AV101" s="19">
        <v>0</v>
      </c>
      <c r="AW101" s="19">
        <v>0</v>
      </c>
    </row>
    <row r="102" spans="1:49" ht="17" customHeight="1">
      <c r="A102" s="11" t="s">
        <v>3015</v>
      </c>
      <c r="B102" s="11" t="s">
        <v>3015</v>
      </c>
      <c r="C102" s="14" t="s">
        <v>2867</v>
      </c>
      <c r="D102" s="14" t="s">
        <v>2916</v>
      </c>
      <c r="E102" s="14" t="s">
        <v>2927</v>
      </c>
      <c r="F102" s="14" t="s">
        <v>2918</v>
      </c>
      <c r="G102" s="14"/>
      <c r="H102" s="14" t="s">
        <v>2928</v>
      </c>
      <c r="I102" s="14"/>
      <c r="J102" s="14"/>
      <c r="K102" s="14"/>
      <c r="L102" s="14">
        <v>44</v>
      </c>
      <c r="M102" s="14">
        <v>100</v>
      </c>
      <c r="N102" s="14">
        <v>30</v>
      </c>
      <c r="O102" s="14"/>
      <c r="P102" s="14">
        <v>18</v>
      </c>
      <c r="Q102" s="14">
        <v>139</v>
      </c>
      <c r="R102" s="14">
        <v>3.2</v>
      </c>
      <c r="S102" s="14"/>
      <c r="T102" s="14" t="s">
        <v>2920</v>
      </c>
      <c r="U102" s="14">
        <v>0.6</v>
      </c>
      <c r="V102" s="15">
        <v>21</v>
      </c>
      <c r="W102" s="14" t="s">
        <v>2975</v>
      </c>
      <c r="X102" s="14"/>
      <c r="Y102" s="14"/>
      <c r="Z102" s="14"/>
      <c r="AA102" s="14"/>
      <c r="AB102" s="14"/>
      <c r="AC102" s="14"/>
      <c r="AD102" s="14"/>
      <c r="AE102" s="14"/>
      <c r="AF102" s="14"/>
      <c r="AG102" s="14"/>
      <c r="AH102" s="14" t="s">
        <v>3016</v>
      </c>
      <c r="AI102" s="14"/>
      <c r="AJ102" s="16">
        <v>0.121</v>
      </c>
      <c r="AK102" s="14">
        <v>1</v>
      </c>
      <c r="AL102" s="14">
        <v>0</v>
      </c>
      <c r="AM102" s="14">
        <v>30</v>
      </c>
      <c r="AN102" s="19">
        <v>1.89379431E-2</v>
      </c>
      <c r="AO102" s="19">
        <v>8.5766631900000001E-2</v>
      </c>
      <c r="AP102" s="19">
        <v>3.3899667300000001E-4</v>
      </c>
      <c r="AQ102" s="19">
        <v>-1.23156328E-5</v>
      </c>
      <c r="AR102" s="19">
        <v>0</v>
      </c>
      <c r="AS102" s="19">
        <v>0</v>
      </c>
      <c r="AT102" s="19">
        <v>0</v>
      </c>
      <c r="AU102" s="19">
        <v>0</v>
      </c>
      <c r="AV102" s="19">
        <v>0</v>
      </c>
      <c r="AW102" s="19">
        <v>0</v>
      </c>
    </row>
    <row r="103" spans="1:49" ht="17" customHeight="1">
      <c r="A103" s="11" t="s">
        <v>3017</v>
      </c>
      <c r="B103" s="11" t="s">
        <v>3017</v>
      </c>
      <c r="C103" s="14" t="s">
        <v>2867</v>
      </c>
      <c r="D103" s="14" t="s">
        <v>2916</v>
      </c>
      <c r="E103" s="14" t="s">
        <v>2917</v>
      </c>
      <c r="F103" s="14" t="s">
        <v>2918</v>
      </c>
      <c r="G103" s="14"/>
      <c r="H103" s="14" t="s">
        <v>2935</v>
      </c>
      <c r="I103" s="14"/>
      <c r="J103" s="14"/>
      <c r="K103" s="14"/>
      <c r="L103" s="14">
        <v>120</v>
      </c>
      <c r="M103" s="14">
        <v>1000</v>
      </c>
      <c r="N103" s="14">
        <v>5</v>
      </c>
      <c r="O103" s="14"/>
      <c r="P103" s="14">
        <v>6.37</v>
      </c>
      <c r="Q103" s="14">
        <v>90</v>
      </c>
      <c r="R103" s="14" t="s">
        <v>2936</v>
      </c>
      <c r="S103" s="14"/>
      <c r="T103" s="14">
        <v>12.9</v>
      </c>
      <c r="U103" s="14">
        <v>1.274</v>
      </c>
      <c r="V103" s="15">
        <v>2.0600000000000002E-3</v>
      </c>
      <c r="W103" s="14" t="s">
        <v>2873</v>
      </c>
      <c r="X103" s="14"/>
      <c r="Y103" s="14"/>
      <c r="Z103" s="14"/>
      <c r="AA103" s="14"/>
      <c r="AB103" s="14"/>
      <c r="AC103" s="14"/>
      <c r="AD103" s="14"/>
      <c r="AE103" s="14"/>
      <c r="AF103" s="14"/>
      <c r="AG103" s="14"/>
      <c r="AH103" s="18" t="s">
        <v>2934</v>
      </c>
      <c r="AI103" s="14"/>
      <c r="AJ103" s="16">
        <v>0.95010000000000006</v>
      </c>
      <c r="AK103" s="14">
        <v>1</v>
      </c>
      <c r="AL103" s="14">
        <v>-5</v>
      </c>
      <c r="AM103" s="14">
        <v>5</v>
      </c>
      <c r="AN103" s="19">
        <v>0</v>
      </c>
      <c r="AO103" s="19">
        <v>3.9144000000000001E-4</v>
      </c>
      <c r="AP103" s="19">
        <v>0</v>
      </c>
      <c r="AQ103" s="19">
        <v>0</v>
      </c>
      <c r="AR103" s="19">
        <v>0</v>
      </c>
      <c r="AS103" s="19">
        <v>0</v>
      </c>
      <c r="AT103" s="19">
        <v>0</v>
      </c>
      <c r="AU103" s="19">
        <v>0</v>
      </c>
      <c r="AV103" s="19">
        <v>0</v>
      </c>
      <c r="AW103" s="19">
        <v>0</v>
      </c>
    </row>
    <row r="104" spans="1:49" ht="17" customHeight="1">
      <c r="A104" s="11" t="s">
        <v>3018</v>
      </c>
      <c r="B104" s="11" t="s">
        <v>3018</v>
      </c>
      <c r="C104" s="18" t="s">
        <v>2867</v>
      </c>
      <c r="D104" s="18" t="s">
        <v>2916</v>
      </c>
      <c r="E104" s="18" t="s">
        <v>2917</v>
      </c>
      <c r="F104" s="18" t="s">
        <v>2918</v>
      </c>
      <c r="G104" s="14"/>
      <c r="H104" s="18" t="s">
        <v>2935</v>
      </c>
      <c r="I104" s="14"/>
      <c r="J104" s="14"/>
      <c r="K104" s="14"/>
      <c r="L104" s="18">
        <v>120</v>
      </c>
      <c r="M104" s="18">
        <v>1000</v>
      </c>
      <c r="N104" s="18">
        <v>5</v>
      </c>
      <c r="O104" s="14"/>
      <c r="P104" s="18">
        <v>6.37</v>
      </c>
      <c r="Q104" s="18">
        <v>90</v>
      </c>
      <c r="R104" s="18" t="s">
        <v>2936</v>
      </c>
      <c r="S104" s="18"/>
      <c r="T104" s="18">
        <v>12.9</v>
      </c>
      <c r="U104" s="18">
        <v>1.274</v>
      </c>
      <c r="V104" s="20">
        <v>2.0600000000000002E-3</v>
      </c>
      <c r="W104" s="18" t="s">
        <v>2873</v>
      </c>
      <c r="X104" s="14"/>
      <c r="Y104" s="14"/>
      <c r="Z104" s="14"/>
      <c r="AA104" s="14"/>
      <c r="AB104" s="14"/>
      <c r="AC104" s="14"/>
      <c r="AD104" s="14"/>
      <c r="AE104" s="14"/>
      <c r="AF104" s="14"/>
      <c r="AG104" s="14"/>
      <c r="AH104" s="18" t="s">
        <v>2934</v>
      </c>
      <c r="AI104" s="14"/>
      <c r="AJ104" s="21">
        <v>0.95010000000000006</v>
      </c>
      <c r="AK104" s="18">
        <v>1</v>
      </c>
      <c r="AL104" s="18">
        <v>-5</v>
      </c>
      <c r="AM104" s="18">
        <v>5</v>
      </c>
      <c r="AN104" s="17">
        <v>0</v>
      </c>
      <c r="AO104" s="17">
        <v>3.9144000000000001E-4</v>
      </c>
      <c r="AP104" s="19">
        <v>0</v>
      </c>
      <c r="AQ104" s="19">
        <v>0</v>
      </c>
      <c r="AR104" s="19">
        <v>0</v>
      </c>
      <c r="AS104" s="19">
        <v>0</v>
      </c>
      <c r="AT104" s="19">
        <v>0</v>
      </c>
      <c r="AU104" s="19">
        <v>0</v>
      </c>
      <c r="AV104" s="19">
        <v>0</v>
      </c>
      <c r="AW104" s="19">
        <v>0</v>
      </c>
    </row>
    <row r="105" spans="1:49" ht="17" customHeight="1">
      <c r="A105" s="11" t="s">
        <v>3019</v>
      </c>
      <c r="B105" s="11" t="s">
        <v>3019</v>
      </c>
      <c r="C105" s="18" t="s">
        <v>2867</v>
      </c>
      <c r="D105" s="18" t="s">
        <v>2916</v>
      </c>
      <c r="E105" s="18" t="s">
        <v>2927</v>
      </c>
      <c r="F105" s="18" t="s">
        <v>2918</v>
      </c>
      <c r="G105" s="14"/>
      <c r="H105" s="18" t="s">
        <v>2928</v>
      </c>
      <c r="I105" s="14"/>
      <c r="J105" s="14"/>
      <c r="K105" s="14"/>
      <c r="L105" s="18">
        <v>44</v>
      </c>
      <c r="M105" s="18">
        <v>100</v>
      </c>
      <c r="N105" s="18">
        <v>30</v>
      </c>
      <c r="O105" s="14"/>
      <c r="P105" s="18">
        <v>12</v>
      </c>
      <c r="Q105" s="18">
        <v>115</v>
      </c>
      <c r="R105" s="18" t="s">
        <v>3020</v>
      </c>
      <c r="S105" s="18"/>
      <c r="T105" s="18" t="s">
        <v>2920</v>
      </c>
      <c r="U105" s="18">
        <v>0.4</v>
      </c>
      <c r="V105" s="20">
        <v>19.5</v>
      </c>
      <c r="W105" s="18" t="s">
        <v>2975</v>
      </c>
      <c r="X105" s="14"/>
      <c r="Y105" s="14"/>
      <c r="Z105" s="14"/>
      <c r="AA105" s="14"/>
      <c r="AB105" s="14"/>
      <c r="AC105" s="14"/>
      <c r="AD105" s="14"/>
      <c r="AE105" s="14"/>
      <c r="AF105" s="14"/>
      <c r="AG105" s="14"/>
      <c r="AH105" s="18" t="s">
        <v>3019</v>
      </c>
      <c r="AI105" s="14"/>
      <c r="AJ105" s="21">
        <v>0.121</v>
      </c>
      <c r="AK105" s="18">
        <v>1</v>
      </c>
      <c r="AL105" s="18">
        <v>0</v>
      </c>
      <c r="AM105" s="18">
        <v>30</v>
      </c>
      <c r="AN105" s="17">
        <v>1.4888077499999999E-2</v>
      </c>
      <c r="AO105" s="17">
        <v>7.19485069E-2</v>
      </c>
      <c r="AP105" s="19">
        <v>1.65561223E-4</v>
      </c>
      <c r="AQ105" s="19">
        <v>-5.6924382200000001E-6</v>
      </c>
      <c r="AR105" s="19">
        <v>0</v>
      </c>
      <c r="AS105" s="19">
        <v>0</v>
      </c>
      <c r="AT105" s="19">
        <v>0</v>
      </c>
      <c r="AU105" s="19">
        <v>0</v>
      </c>
      <c r="AV105" s="19">
        <v>0</v>
      </c>
      <c r="AW105" s="19">
        <v>0</v>
      </c>
    </row>
    <row r="106" spans="1:49" ht="17" customHeight="1">
      <c r="A106" s="11" t="s">
        <v>3021</v>
      </c>
      <c r="B106" s="11" t="s">
        <v>3021</v>
      </c>
      <c r="C106" s="14" t="s">
        <v>2867</v>
      </c>
      <c r="D106" s="14" t="s">
        <v>2916</v>
      </c>
      <c r="E106" s="14" t="s">
        <v>2927</v>
      </c>
      <c r="F106" s="14" t="s">
        <v>2918</v>
      </c>
      <c r="G106" s="14"/>
      <c r="H106" s="14" t="s">
        <v>2928</v>
      </c>
      <c r="I106" s="14"/>
      <c r="J106" s="14"/>
      <c r="K106" s="14"/>
      <c r="L106" s="14">
        <v>44</v>
      </c>
      <c r="M106" s="14">
        <v>200</v>
      </c>
      <c r="N106" s="14">
        <v>30</v>
      </c>
      <c r="O106" s="14"/>
      <c r="P106" s="14">
        <v>18</v>
      </c>
      <c r="Q106" s="14">
        <v>115</v>
      </c>
      <c r="R106" s="14" t="s">
        <v>3020</v>
      </c>
      <c r="S106" s="14"/>
      <c r="T106" s="14" t="s">
        <v>2920</v>
      </c>
      <c r="U106" s="14">
        <v>0.6</v>
      </c>
      <c r="V106" s="15">
        <v>19.5</v>
      </c>
      <c r="W106" s="14" t="s">
        <v>2975</v>
      </c>
      <c r="X106" s="14"/>
      <c r="Y106" s="14"/>
      <c r="Z106" s="14"/>
      <c r="AA106" s="14"/>
      <c r="AB106" s="14"/>
      <c r="AC106" s="14"/>
      <c r="AD106" s="14"/>
      <c r="AE106" s="14"/>
      <c r="AF106" s="14"/>
      <c r="AG106" s="14"/>
      <c r="AH106" s="14" t="s">
        <v>3021</v>
      </c>
      <c r="AI106" s="14"/>
      <c r="AJ106" s="16">
        <v>0.222</v>
      </c>
      <c r="AK106" s="14">
        <v>1</v>
      </c>
      <c r="AL106" s="14">
        <v>0</v>
      </c>
      <c r="AM106" s="14">
        <v>30</v>
      </c>
      <c r="AN106" s="19">
        <v>2.95859682E-2</v>
      </c>
      <c r="AO106" s="19">
        <v>0.130120704</v>
      </c>
      <c r="AP106" s="19">
        <v>2.6811662900000003E-4</v>
      </c>
      <c r="AQ106" s="19">
        <v>-7.4663618899999998E-6</v>
      </c>
      <c r="AR106" s="19">
        <v>0</v>
      </c>
      <c r="AS106" s="19">
        <v>0</v>
      </c>
      <c r="AT106" s="19">
        <v>0</v>
      </c>
      <c r="AU106" s="19">
        <v>0</v>
      </c>
      <c r="AV106" s="19">
        <v>0</v>
      </c>
      <c r="AW106" s="19">
        <v>0</v>
      </c>
    </row>
    <row r="107" spans="1:49" ht="17" customHeight="1">
      <c r="A107" s="11" t="s">
        <v>3022</v>
      </c>
      <c r="B107" s="11" t="s">
        <v>3022</v>
      </c>
      <c r="C107" s="14" t="s">
        <v>2867</v>
      </c>
      <c r="D107" s="14" t="s">
        <v>2916</v>
      </c>
      <c r="E107" s="14" t="s">
        <v>2917</v>
      </c>
      <c r="F107" s="14" t="s">
        <v>2918</v>
      </c>
      <c r="G107" s="14"/>
      <c r="H107" s="14" t="s">
        <v>2935</v>
      </c>
      <c r="I107" s="14"/>
      <c r="J107" s="14"/>
      <c r="K107" s="14"/>
      <c r="L107" s="14">
        <v>120</v>
      </c>
      <c r="M107" s="14">
        <v>1000</v>
      </c>
      <c r="N107" s="14">
        <v>5</v>
      </c>
      <c r="O107" s="14"/>
      <c r="P107" s="14">
        <v>6.37</v>
      </c>
      <c r="Q107" s="14">
        <v>90</v>
      </c>
      <c r="R107" s="14" t="s">
        <v>2936</v>
      </c>
      <c r="S107" s="14"/>
      <c r="T107" s="14">
        <v>12.9</v>
      </c>
      <c r="U107" s="14">
        <v>1.274</v>
      </c>
      <c r="V107" s="15">
        <v>2.0600000000000002E-3</v>
      </c>
      <c r="W107" s="14" t="s">
        <v>2873</v>
      </c>
      <c r="X107" s="14"/>
      <c r="Y107" s="14"/>
      <c r="Z107" s="14"/>
      <c r="AA107" s="14"/>
      <c r="AB107" s="14"/>
      <c r="AC107" s="14"/>
      <c r="AD107" s="14"/>
      <c r="AE107" s="14"/>
      <c r="AF107" s="14"/>
      <c r="AG107" s="14"/>
      <c r="AH107" s="14" t="s">
        <v>2934</v>
      </c>
      <c r="AI107" s="14"/>
      <c r="AJ107" s="16">
        <v>0.95010000000000006</v>
      </c>
      <c r="AK107" s="14">
        <v>1</v>
      </c>
      <c r="AL107" s="14">
        <v>-5</v>
      </c>
      <c r="AM107" s="14">
        <v>5</v>
      </c>
      <c r="AN107" s="19">
        <v>0</v>
      </c>
      <c r="AO107" s="19">
        <v>3.9144000000000001E-4</v>
      </c>
      <c r="AP107" s="19">
        <v>0</v>
      </c>
      <c r="AQ107" s="19">
        <v>0</v>
      </c>
      <c r="AR107" s="19">
        <v>0</v>
      </c>
      <c r="AS107" s="19">
        <v>0</v>
      </c>
      <c r="AT107" s="19">
        <v>0</v>
      </c>
      <c r="AU107" s="19">
        <v>0</v>
      </c>
      <c r="AV107" s="19">
        <v>0</v>
      </c>
      <c r="AW107" s="19">
        <v>0</v>
      </c>
    </row>
    <row r="108" spans="1:49" ht="17" customHeight="1">
      <c r="A108" s="11" t="s">
        <v>3023</v>
      </c>
      <c r="B108" s="11" t="s">
        <v>3023</v>
      </c>
      <c r="C108" s="14" t="s">
        <v>2867</v>
      </c>
      <c r="D108" s="14" t="s">
        <v>2916</v>
      </c>
      <c r="E108" s="14" t="s">
        <v>2917</v>
      </c>
      <c r="F108" s="14" t="s">
        <v>2918</v>
      </c>
      <c r="G108" s="14"/>
      <c r="H108" s="14" t="s">
        <v>2935</v>
      </c>
      <c r="I108" s="14"/>
      <c r="J108" s="14"/>
      <c r="K108" s="14"/>
      <c r="L108" s="14">
        <v>120</v>
      </c>
      <c r="M108" s="14">
        <v>1000</v>
      </c>
      <c r="N108" s="14">
        <v>5</v>
      </c>
      <c r="O108" s="14"/>
      <c r="P108" s="14">
        <v>6.37</v>
      </c>
      <c r="Q108" s="14">
        <v>90</v>
      </c>
      <c r="R108" s="14" t="s">
        <v>2936</v>
      </c>
      <c r="S108" s="14"/>
      <c r="T108" s="14">
        <v>12.9</v>
      </c>
      <c r="U108" s="14">
        <v>1.274</v>
      </c>
      <c r="V108" s="15">
        <v>2.0600000000000002E-3</v>
      </c>
      <c r="W108" s="14" t="s">
        <v>2873</v>
      </c>
      <c r="X108" s="14"/>
      <c r="Y108" s="14"/>
      <c r="Z108" s="14"/>
      <c r="AA108" s="14"/>
      <c r="AB108" s="14"/>
      <c r="AC108" s="14"/>
      <c r="AD108" s="14"/>
      <c r="AE108" s="14"/>
      <c r="AF108" s="14"/>
      <c r="AG108" s="14"/>
      <c r="AH108" s="18" t="s">
        <v>2934</v>
      </c>
      <c r="AI108" s="14"/>
      <c r="AJ108" s="16">
        <v>0.95010000000000006</v>
      </c>
      <c r="AK108" s="14">
        <v>1</v>
      </c>
      <c r="AL108" s="14">
        <v>-5</v>
      </c>
      <c r="AM108" s="14">
        <v>5</v>
      </c>
      <c r="AN108" s="19">
        <v>0</v>
      </c>
      <c r="AO108" s="19">
        <v>3.9144000000000001E-4</v>
      </c>
      <c r="AP108" s="19">
        <v>0</v>
      </c>
      <c r="AQ108" s="19">
        <v>0</v>
      </c>
      <c r="AR108" s="19">
        <v>0</v>
      </c>
      <c r="AS108" s="19">
        <v>0</v>
      </c>
      <c r="AT108" s="19">
        <v>0</v>
      </c>
      <c r="AU108" s="19">
        <v>0</v>
      </c>
      <c r="AV108" s="19">
        <v>0</v>
      </c>
      <c r="AW108" s="19">
        <v>0</v>
      </c>
    </row>
    <row r="109" spans="1:49" ht="17" customHeight="1">
      <c r="A109" s="11" t="s">
        <v>3024</v>
      </c>
      <c r="B109" s="11" t="s">
        <v>3024</v>
      </c>
      <c r="C109" s="18" t="s">
        <v>2867</v>
      </c>
      <c r="D109" s="18" t="s">
        <v>2916</v>
      </c>
      <c r="E109" s="18" t="s">
        <v>2917</v>
      </c>
      <c r="F109" s="18" t="s">
        <v>2918</v>
      </c>
      <c r="G109" s="14"/>
      <c r="H109" s="18" t="s">
        <v>2935</v>
      </c>
      <c r="I109" s="14"/>
      <c r="J109" s="14"/>
      <c r="K109" s="14"/>
      <c r="L109" s="18">
        <v>120</v>
      </c>
      <c r="M109" s="18">
        <v>1000</v>
      </c>
      <c r="N109" s="18">
        <v>5</v>
      </c>
      <c r="O109" s="14"/>
      <c r="P109" s="18">
        <v>6.37</v>
      </c>
      <c r="Q109" s="18">
        <v>90</v>
      </c>
      <c r="R109" s="18" t="s">
        <v>2936</v>
      </c>
      <c r="S109" s="18"/>
      <c r="T109" s="18">
        <v>12.9</v>
      </c>
      <c r="U109" s="18">
        <v>1.274</v>
      </c>
      <c r="V109" s="20">
        <v>2.0600000000000002E-3</v>
      </c>
      <c r="W109" s="18" t="s">
        <v>2873</v>
      </c>
      <c r="X109" s="14"/>
      <c r="Y109" s="14"/>
      <c r="Z109" s="14"/>
      <c r="AA109" s="14"/>
      <c r="AB109" s="14"/>
      <c r="AC109" s="14"/>
      <c r="AD109" s="14"/>
      <c r="AE109" s="14"/>
      <c r="AF109" s="14"/>
      <c r="AG109" s="14"/>
      <c r="AH109" s="18" t="s">
        <v>2934</v>
      </c>
      <c r="AI109" s="14"/>
      <c r="AJ109" s="21">
        <v>0.95010000000000006</v>
      </c>
      <c r="AK109" s="18">
        <v>1</v>
      </c>
      <c r="AL109" s="18">
        <v>-5</v>
      </c>
      <c r="AM109" s="18">
        <v>5</v>
      </c>
      <c r="AN109" s="17">
        <v>0</v>
      </c>
      <c r="AO109" s="17">
        <v>3.9144000000000001E-4</v>
      </c>
      <c r="AP109" s="19">
        <v>0</v>
      </c>
      <c r="AQ109" s="19">
        <v>0</v>
      </c>
      <c r="AR109" s="19">
        <v>0</v>
      </c>
      <c r="AS109" s="19">
        <v>0</v>
      </c>
      <c r="AT109" s="19">
        <v>0</v>
      </c>
      <c r="AU109" s="19">
        <v>0</v>
      </c>
      <c r="AV109" s="19">
        <v>0</v>
      </c>
      <c r="AW109" s="19">
        <v>0</v>
      </c>
    </row>
    <row r="110" spans="1:49" ht="17" customHeight="1">
      <c r="A110" s="11" t="s">
        <v>3025</v>
      </c>
      <c r="B110" s="11" t="s">
        <v>3025</v>
      </c>
      <c r="C110" s="18" t="s">
        <v>2867</v>
      </c>
      <c r="D110" s="18" t="s">
        <v>2916</v>
      </c>
      <c r="E110" s="18" t="s">
        <v>2917</v>
      </c>
      <c r="F110" s="18" t="s">
        <v>2918</v>
      </c>
      <c r="G110" s="14"/>
      <c r="H110" s="18" t="s">
        <v>2935</v>
      </c>
      <c r="I110" s="14"/>
      <c r="J110" s="14"/>
      <c r="K110" s="14"/>
      <c r="L110" s="18">
        <v>120</v>
      </c>
      <c r="M110" s="18">
        <v>1000</v>
      </c>
      <c r="N110" s="18">
        <v>5</v>
      </c>
      <c r="O110" s="14"/>
      <c r="P110" s="18">
        <v>6.37</v>
      </c>
      <c r="Q110" s="18">
        <v>90</v>
      </c>
      <c r="R110" s="18" t="s">
        <v>2936</v>
      </c>
      <c r="S110" s="18"/>
      <c r="T110" s="18">
        <v>12.9</v>
      </c>
      <c r="U110" s="18">
        <v>1.274</v>
      </c>
      <c r="V110" s="20">
        <v>2.0600000000000002E-3</v>
      </c>
      <c r="W110" s="18" t="s">
        <v>2873</v>
      </c>
      <c r="X110" s="14"/>
      <c r="Y110" s="14"/>
      <c r="Z110" s="14"/>
      <c r="AA110" s="14"/>
      <c r="AB110" s="14"/>
      <c r="AC110" s="14"/>
      <c r="AD110" s="14"/>
      <c r="AE110" s="14"/>
      <c r="AF110" s="14"/>
      <c r="AG110" s="14"/>
      <c r="AH110" s="18" t="s">
        <v>2934</v>
      </c>
      <c r="AI110" s="14"/>
      <c r="AJ110" s="21">
        <v>0.95010000000000006</v>
      </c>
      <c r="AK110" s="18">
        <v>1</v>
      </c>
      <c r="AL110" s="18">
        <v>-5</v>
      </c>
      <c r="AM110" s="18">
        <v>5</v>
      </c>
      <c r="AN110" s="17">
        <v>0</v>
      </c>
      <c r="AO110" s="17">
        <v>3.9144000000000001E-4</v>
      </c>
      <c r="AP110" s="19">
        <v>0</v>
      </c>
      <c r="AQ110" s="19">
        <v>0</v>
      </c>
      <c r="AR110" s="19">
        <v>0</v>
      </c>
      <c r="AS110" s="19">
        <v>0</v>
      </c>
      <c r="AT110" s="19">
        <v>0</v>
      </c>
      <c r="AU110" s="19">
        <v>0</v>
      </c>
      <c r="AV110" s="19">
        <v>0</v>
      </c>
      <c r="AW110" s="19">
        <v>0</v>
      </c>
    </row>
    <row r="111" spans="1:49" ht="17" customHeight="1">
      <c r="A111" s="11" t="s">
        <v>3026</v>
      </c>
      <c r="B111" s="11" t="s">
        <v>3026</v>
      </c>
      <c r="C111" s="18" t="s">
        <v>2867</v>
      </c>
      <c r="D111" s="18" t="s">
        <v>2916</v>
      </c>
      <c r="E111" s="18" t="s">
        <v>2927</v>
      </c>
      <c r="F111" s="18" t="s">
        <v>2918</v>
      </c>
      <c r="G111" s="14"/>
      <c r="H111" s="18" t="s">
        <v>2928</v>
      </c>
      <c r="I111" s="14"/>
      <c r="J111" s="14"/>
      <c r="K111" s="14"/>
      <c r="L111" s="18">
        <v>44</v>
      </c>
      <c r="M111" s="18">
        <v>100</v>
      </c>
      <c r="N111" s="18">
        <v>30</v>
      </c>
      <c r="O111" s="14"/>
      <c r="P111" s="18">
        <v>12</v>
      </c>
      <c r="Q111" s="18">
        <v>115</v>
      </c>
      <c r="R111" s="18" t="s">
        <v>3020</v>
      </c>
      <c r="S111" s="18"/>
      <c r="T111" s="18" t="s">
        <v>2920</v>
      </c>
      <c r="U111" s="18">
        <v>0.4</v>
      </c>
      <c r="V111" s="20">
        <v>19.5</v>
      </c>
      <c r="W111" s="18" t="s">
        <v>2975</v>
      </c>
      <c r="X111" s="14"/>
      <c r="Y111" s="14"/>
      <c r="Z111" s="14"/>
      <c r="AA111" s="14"/>
      <c r="AB111" s="14"/>
      <c r="AC111" s="14"/>
      <c r="AD111" s="14"/>
      <c r="AE111" s="14"/>
      <c r="AF111" s="14"/>
      <c r="AG111" s="14"/>
      <c r="AH111" s="18" t="s">
        <v>3019</v>
      </c>
      <c r="AI111" s="14"/>
      <c r="AJ111" s="21">
        <v>0.121</v>
      </c>
      <c r="AK111" s="18">
        <v>1</v>
      </c>
      <c r="AL111" s="18">
        <v>0</v>
      </c>
      <c r="AM111" s="18">
        <v>30</v>
      </c>
      <c r="AN111" s="17">
        <v>1.4888077499999999E-2</v>
      </c>
      <c r="AO111" s="17">
        <v>7.19485069E-2</v>
      </c>
      <c r="AP111" s="19">
        <v>1.65561223E-4</v>
      </c>
      <c r="AQ111" s="19">
        <v>-5.6924382200000001E-6</v>
      </c>
      <c r="AR111" s="19">
        <v>0</v>
      </c>
      <c r="AS111" s="19">
        <v>0</v>
      </c>
      <c r="AT111" s="19">
        <v>0</v>
      </c>
      <c r="AU111" s="19">
        <v>0</v>
      </c>
      <c r="AV111" s="19">
        <v>0</v>
      </c>
      <c r="AW111" s="19">
        <v>0</v>
      </c>
    </row>
    <row r="112" spans="1:49" ht="17" customHeight="1">
      <c r="A112" s="11" t="s">
        <v>3027</v>
      </c>
      <c r="B112" s="11" t="s">
        <v>3027</v>
      </c>
      <c r="C112" s="18" t="s">
        <v>2867</v>
      </c>
      <c r="D112" s="18" t="s">
        <v>2916</v>
      </c>
      <c r="E112" s="18" t="s">
        <v>2927</v>
      </c>
      <c r="F112" s="18" t="s">
        <v>2918</v>
      </c>
      <c r="G112" s="14"/>
      <c r="H112" s="18" t="s">
        <v>2928</v>
      </c>
      <c r="I112" s="14"/>
      <c r="J112" s="14"/>
      <c r="K112" s="14"/>
      <c r="L112" s="18">
        <v>44</v>
      </c>
      <c r="M112" s="18">
        <v>200</v>
      </c>
      <c r="N112" s="18">
        <v>30</v>
      </c>
      <c r="O112" s="14"/>
      <c r="P112" s="18">
        <v>18</v>
      </c>
      <c r="Q112" s="18">
        <v>115</v>
      </c>
      <c r="R112" s="18" t="s">
        <v>3020</v>
      </c>
      <c r="S112" s="18"/>
      <c r="T112" s="18" t="s">
        <v>2920</v>
      </c>
      <c r="U112" s="18">
        <v>0.6</v>
      </c>
      <c r="V112" s="20">
        <v>19.5</v>
      </c>
      <c r="W112" s="18" t="s">
        <v>2975</v>
      </c>
      <c r="X112" s="14"/>
      <c r="Y112" s="14"/>
      <c r="Z112" s="14"/>
      <c r="AA112" s="14"/>
      <c r="AB112" s="14"/>
      <c r="AC112" s="14"/>
      <c r="AD112" s="14"/>
      <c r="AE112" s="14"/>
      <c r="AF112" s="14"/>
      <c r="AG112" s="14"/>
      <c r="AH112" s="18" t="s">
        <v>3021</v>
      </c>
      <c r="AI112" s="14"/>
      <c r="AJ112" s="21">
        <v>0.222</v>
      </c>
      <c r="AK112" s="18">
        <v>1</v>
      </c>
      <c r="AL112" s="18">
        <v>0</v>
      </c>
      <c r="AM112" s="18">
        <v>30</v>
      </c>
      <c r="AN112" s="17">
        <v>2.95859682E-2</v>
      </c>
      <c r="AO112" s="17">
        <v>0.130120704</v>
      </c>
      <c r="AP112" s="19">
        <v>2.6811662900000003E-4</v>
      </c>
      <c r="AQ112" s="19">
        <v>-7.4663618899999998E-6</v>
      </c>
      <c r="AR112" s="19">
        <v>0</v>
      </c>
      <c r="AS112" s="19">
        <v>0</v>
      </c>
      <c r="AT112" s="19">
        <v>0</v>
      </c>
      <c r="AU112" s="19">
        <v>0</v>
      </c>
      <c r="AV112" s="19">
        <v>0</v>
      </c>
      <c r="AW112" s="19">
        <v>0</v>
      </c>
    </row>
    <row r="113" spans="1:49" ht="17" customHeight="1">
      <c r="A113" s="11" t="s">
        <v>3028</v>
      </c>
      <c r="B113" s="11" t="s">
        <v>3028</v>
      </c>
      <c r="C113" s="14" t="s">
        <v>2867</v>
      </c>
      <c r="D113" s="14" t="s">
        <v>2916</v>
      </c>
      <c r="E113" s="14" t="s">
        <v>2917</v>
      </c>
      <c r="F113" s="14" t="s">
        <v>2918</v>
      </c>
      <c r="G113" s="14"/>
      <c r="H113" s="14" t="s">
        <v>2935</v>
      </c>
      <c r="I113" s="14"/>
      <c r="J113" s="14"/>
      <c r="K113" s="14"/>
      <c r="L113" s="14">
        <v>120</v>
      </c>
      <c r="M113" s="14">
        <v>1000</v>
      </c>
      <c r="N113" s="14">
        <v>5</v>
      </c>
      <c r="O113" s="14"/>
      <c r="P113" s="14">
        <v>6.37</v>
      </c>
      <c r="Q113" s="14">
        <v>90</v>
      </c>
      <c r="R113" s="14" t="s">
        <v>2936</v>
      </c>
      <c r="S113" s="14"/>
      <c r="T113" s="14">
        <v>12.9</v>
      </c>
      <c r="U113" s="14">
        <v>1.274</v>
      </c>
      <c r="V113" s="15">
        <v>2.0600000000000002E-3</v>
      </c>
      <c r="W113" s="14" t="s">
        <v>2873</v>
      </c>
      <c r="X113" s="14"/>
      <c r="Y113" s="14"/>
      <c r="Z113" s="14"/>
      <c r="AA113" s="14"/>
      <c r="AB113" s="14"/>
      <c r="AC113" s="14"/>
      <c r="AD113" s="14"/>
      <c r="AE113" s="14"/>
      <c r="AF113" s="14"/>
      <c r="AG113" s="14"/>
      <c r="AH113" s="14" t="s">
        <v>2934</v>
      </c>
      <c r="AI113" s="14"/>
      <c r="AJ113" s="16">
        <v>0.95010000000000006</v>
      </c>
      <c r="AK113" s="14">
        <v>1</v>
      </c>
      <c r="AL113" s="14">
        <v>-5</v>
      </c>
      <c r="AM113" s="14">
        <v>5</v>
      </c>
      <c r="AN113" s="19">
        <v>0</v>
      </c>
      <c r="AO113" s="19">
        <v>3.9144000000000001E-4</v>
      </c>
      <c r="AP113" s="19">
        <v>0</v>
      </c>
      <c r="AQ113" s="19">
        <v>0</v>
      </c>
      <c r="AR113" s="19">
        <v>0</v>
      </c>
      <c r="AS113" s="19">
        <v>0</v>
      </c>
      <c r="AT113" s="19">
        <v>0</v>
      </c>
      <c r="AU113" s="19">
        <v>0</v>
      </c>
      <c r="AV113" s="19">
        <v>0</v>
      </c>
      <c r="AW113" s="19">
        <v>0</v>
      </c>
    </row>
    <row r="114" spans="1:49" ht="17" customHeight="1">
      <c r="A114" s="11" t="s">
        <v>3029</v>
      </c>
      <c r="B114" s="11" t="s">
        <v>3029</v>
      </c>
      <c r="C114" s="14" t="s">
        <v>2867</v>
      </c>
      <c r="D114" s="14" t="s">
        <v>2916</v>
      </c>
      <c r="E114" s="14" t="s">
        <v>2917</v>
      </c>
      <c r="F114" s="14" t="s">
        <v>2918</v>
      </c>
      <c r="G114" s="14"/>
      <c r="H114" s="14" t="s">
        <v>2935</v>
      </c>
      <c r="I114" s="14"/>
      <c r="J114" s="14"/>
      <c r="K114" s="14"/>
      <c r="L114" s="14">
        <v>120</v>
      </c>
      <c r="M114" s="14">
        <v>1000</v>
      </c>
      <c r="N114" s="14">
        <v>5</v>
      </c>
      <c r="O114" s="14"/>
      <c r="P114" s="14">
        <v>6.37</v>
      </c>
      <c r="Q114" s="14">
        <v>90</v>
      </c>
      <c r="R114" s="14" t="s">
        <v>2936</v>
      </c>
      <c r="S114" s="14"/>
      <c r="T114" s="14">
        <v>12.9</v>
      </c>
      <c r="U114" s="14">
        <v>1.274</v>
      </c>
      <c r="V114" s="15">
        <v>2.0600000000000002E-3</v>
      </c>
      <c r="W114" s="14" t="s">
        <v>2873</v>
      </c>
      <c r="X114" s="14"/>
      <c r="Y114" s="14"/>
      <c r="Z114" s="14"/>
      <c r="AA114" s="14"/>
      <c r="AB114" s="14"/>
      <c r="AC114" s="14"/>
      <c r="AD114" s="14"/>
      <c r="AE114" s="14"/>
      <c r="AF114" s="14"/>
      <c r="AG114" s="14"/>
      <c r="AH114" s="14" t="s">
        <v>2934</v>
      </c>
      <c r="AI114" s="14"/>
      <c r="AJ114" s="16">
        <v>0.95010000000000006</v>
      </c>
      <c r="AK114" s="14">
        <v>1</v>
      </c>
      <c r="AL114" s="14">
        <v>-5</v>
      </c>
      <c r="AM114" s="14">
        <v>5</v>
      </c>
      <c r="AN114" s="19">
        <v>0</v>
      </c>
      <c r="AO114" s="19">
        <v>3.9144000000000001E-4</v>
      </c>
      <c r="AP114" s="19">
        <v>0</v>
      </c>
      <c r="AQ114" s="19">
        <v>0</v>
      </c>
      <c r="AR114" s="19">
        <v>0</v>
      </c>
      <c r="AS114" s="19">
        <v>0</v>
      </c>
      <c r="AT114" s="19">
        <v>0</v>
      </c>
      <c r="AU114" s="19">
        <v>0</v>
      </c>
      <c r="AV114" s="19">
        <v>0</v>
      </c>
      <c r="AW114" s="19">
        <v>0</v>
      </c>
    </row>
    <row r="115" spans="1:49" ht="17" customHeight="1">
      <c r="A115" s="11" t="s">
        <v>3030</v>
      </c>
      <c r="B115" s="11" t="s">
        <v>3030</v>
      </c>
      <c r="C115" s="14" t="s">
        <v>2867</v>
      </c>
      <c r="D115" s="14" t="s">
        <v>2916</v>
      </c>
      <c r="E115" s="14" t="s">
        <v>2917</v>
      </c>
      <c r="F115" s="14" t="s">
        <v>2918</v>
      </c>
      <c r="G115" s="14"/>
      <c r="H115" s="14" t="s">
        <v>2935</v>
      </c>
      <c r="I115" s="14"/>
      <c r="J115" s="14"/>
      <c r="K115" s="14"/>
      <c r="L115" s="14">
        <v>120</v>
      </c>
      <c r="M115" s="14">
        <v>1000</v>
      </c>
      <c r="N115" s="14">
        <v>5</v>
      </c>
      <c r="O115" s="14"/>
      <c r="P115" s="14">
        <v>6.37</v>
      </c>
      <c r="Q115" s="14">
        <v>90</v>
      </c>
      <c r="R115" s="14" t="s">
        <v>2936</v>
      </c>
      <c r="S115" s="14"/>
      <c r="T115" s="14">
        <v>12.9</v>
      </c>
      <c r="U115" s="14">
        <v>1.274</v>
      </c>
      <c r="V115" s="15">
        <v>2.0600000000000002E-3</v>
      </c>
      <c r="W115" s="14" t="s">
        <v>2873</v>
      </c>
      <c r="X115" s="14"/>
      <c r="Y115" s="14"/>
      <c r="Z115" s="14"/>
      <c r="AA115" s="14"/>
      <c r="AB115" s="14"/>
      <c r="AC115" s="14"/>
      <c r="AD115" s="14"/>
      <c r="AE115" s="14"/>
      <c r="AF115" s="14"/>
      <c r="AG115" s="14"/>
      <c r="AH115" s="18" t="s">
        <v>2934</v>
      </c>
      <c r="AI115" s="14"/>
      <c r="AJ115" s="16">
        <v>0.95010000000000006</v>
      </c>
      <c r="AK115" s="14">
        <v>1</v>
      </c>
      <c r="AL115" s="14">
        <v>-5</v>
      </c>
      <c r="AM115" s="14">
        <v>5</v>
      </c>
      <c r="AN115" s="19">
        <v>0</v>
      </c>
      <c r="AO115" s="19">
        <v>3.9144000000000001E-4</v>
      </c>
      <c r="AP115" s="19">
        <v>0</v>
      </c>
      <c r="AQ115" s="19">
        <v>0</v>
      </c>
      <c r="AR115" s="19">
        <v>0</v>
      </c>
      <c r="AS115" s="19">
        <v>0</v>
      </c>
      <c r="AT115" s="19">
        <v>0</v>
      </c>
      <c r="AU115" s="19">
        <v>0</v>
      </c>
      <c r="AV115" s="19">
        <v>0</v>
      </c>
      <c r="AW115" s="19">
        <v>0</v>
      </c>
    </row>
    <row r="116" spans="1:49" ht="17" customHeight="1">
      <c r="A116" s="11" t="s">
        <v>3031</v>
      </c>
      <c r="B116" s="11" t="s">
        <v>3031</v>
      </c>
      <c r="C116" s="18" t="s">
        <v>2867</v>
      </c>
      <c r="D116" s="18" t="s">
        <v>2916</v>
      </c>
      <c r="E116" s="18" t="s">
        <v>2917</v>
      </c>
      <c r="F116" s="18" t="s">
        <v>2918</v>
      </c>
      <c r="G116" s="14"/>
      <c r="H116" s="18" t="s">
        <v>2935</v>
      </c>
      <c r="I116" s="14"/>
      <c r="J116" s="14"/>
      <c r="K116" s="14"/>
      <c r="L116" s="18">
        <v>120</v>
      </c>
      <c r="M116" s="18">
        <v>1000</v>
      </c>
      <c r="N116" s="18">
        <v>5</v>
      </c>
      <c r="O116" s="14"/>
      <c r="P116" s="18">
        <v>6.37</v>
      </c>
      <c r="Q116" s="18">
        <v>90</v>
      </c>
      <c r="R116" s="18" t="s">
        <v>2936</v>
      </c>
      <c r="S116" s="18"/>
      <c r="T116" s="18">
        <v>12.9</v>
      </c>
      <c r="U116" s="18">
        <v>1.274</v>
      </c>
      <c r="V116" s="20">
        <v>2.0600000000000002E-3</v>
      </c>
      <c r="W116" s="18" t="s">
        <v>2873</v>
      </c>
      <c r="X116" s="14"/>
      <c r="Y116" s="14"/>
      <c r="Z116" s="14"/>
      <c r="AA116" s="14"/>
      <c r="AB116" s="14"/>
      <c r="AC116" s="14"/>
      <c r="AD116" s="14"/>
      <c r="AE116" s="14"/>
      <c r="AF116" s="14"/>
      <c r="AG116" s="14"/>
      <c r="AH116" s="18" t="s">
        <v>2934</v>
      </c>
      <c r="AI116" s="14"/>
      <c r="AJ116" s="21">
        <v>0.95010000000000006</v>
      </c>
      <c r="AK116" s="18">
        <v>1</v>
      </c>
      <c r="AL116" s="18">
        <v>-5</v>
      </c>
      <c r="AM116" s="18">
        <v>5</v>
      </c>
      <c r="AN116" s="17">
        <v>0</v>
      </c>
      <c r="AO116" s="17">
        <v>3.9144000000000001E-4</v>
      </c>
      <c r="AP116" s="19">
        <v>0</v>
      </c>
      <c r="AQ116" s="19">
        <v>0</v>
      </c>
      <c r="AR116" s="19">
        <v>0</v>
      </c>
      <c r="AS116" s="19">
        <v>0</v>
      </c>
      <c r="AT116" s="19">
        <v>0</v>
      </c>
      <c r="AU116" s="19">
        <v>0</v>
      </c>
      <c r="AV116" s="19">
        <v>0</v>
      </c>
      <c r="AW116" s="19">
        <v>0</v>
      </c>
    </row>
    <row r="117" spans="1:49" ht="17" customHeight="1">
      <c r="A117" s="11" t="s">
        <v>3032</v>
      </c>
      <c r="B117" s="11" t="s">
        <v>3032</v>
      </c>
      <c r="C117" s="18" t="s">
        <v>2867</v>
      </c>
      <c r="D117" s="18" t="s">
        <v>2916</v>
      </c>
      <c r="E117" s="18" t="s">
        <v>2927</v>
      </c>
      <c r="F117" s="18" t="s">
        <v>2918</v>
      </c>
      <c r="G117" s="14"/>
      <c r="H117" s="18" t="s">
        <v>2928</v>
      </c>
      <c r="I117" s="14"/>
      <c r="J117" s="14"/>
      <c r="K117" s="14"/>
      <c r="L117" s="18">
        <v>44</v>
      </c>
      <c r="M117" s="18">
        <v>100</v>
      </c>
      <c r="N117" s="18">
        <v>30</v>
      </c>
      <c r="O117" s="14"/>
      <c r="P117" s="18">
        <v>12</v>
      </c>
      <c r="Q117" s="18">
        <v>115</v>
      </c>
      <c r="R117" s="18" t="s">
        <v>3020</v>
      </c>
      <c r="S117" s="18"/>
      <c r="T117" s="18" t="s">
        <v>2920</v>
      </c>
      <c r="U117" s="18">
        <v>0.4</v>
      </c>
      <c r="V117" s="20">
        <v>19.5</v>
      </c>
      <c r="W117" s="18" t="s">
        <v>2975</v>
      </c>
      <c r="X117" s="14"/>
      <c r="Y117" s="14"/>
      <c r="Z117" s="14"/>
      <c r="AA117" s="14"/>
      <c r="AB117" s="14"/>
      <c r="AC117" s="14"/>
      <c r="AD117" s="14"/>
      <c r="AE117" s="14"/>
      <c r="AF117" s="14"/>
      <c r="AG117" s="14"/>
      <c r="AH117" s="18" t="s">
        <v>3019</v>
      </c>
      <c r="AI117" s="14"/>
      <c r="AJ117" s="21">
        <v>0.121</v>
      </c>
      <c r="AK117" s="18">
        <v>1</v>
      </c>
      <c r="AL117" s="18">
        <v>0</v>
      </c>
      <c r="AM117" s="18">
        <v>30</v>
      </c>
      <c r="AN117" s="17">
        <v>1.4888077499999999E-2</v>
      </c>
      <c r="AO117" s="17">
        <v>7.19485069E-2</v>
      </c>
      <c r="AP117" s="19">
        <v>1.65561223E-4</v>
      </c>
      <c r="AQ117" s="19">
        <v>-5.6924382200000001E-6</v>
      </c>
      <c r="AR117" s="19">
        <v>0</v>
      </c>
      <c r="AS117" s="19">
        <v>0</v>
      </c>
      <c r="AT117" s="19">
        <v>0</v>
      </c>
      <c r="AU117" s="19">
        <v>0</v>
      </c>
      <c r="AV117" s="19">
        <v>0</v>
      </c>
      <c r="AW117" s="19">
        <v>0</v>
      </c>
    </row>
    <row r="118" spans="1:49" ht="17" customHeight="1">
      <c r="A118" s="11" t="s">
        <v>3033</v>
      </c>
      <c r="B118" s="11" t="s">
        <v>3033</v>
      </c>
      <c r="C118" s="18" t="s">
        <v>2867</v>
      </c>
      <c r="D118" s="18" t="s">
        <v>2916</v>
      </c>
      <c r="E118" s="18" t="s">
        <v>2927</v>
      </c>
      <c r="F118" s="18" t="s">
        <v>2918</v>
      </c>
      <c r="G118" s="14"/>
      <c r="H118" s="18" t="s">
        <v>2928</v>
      </c>
      <c r="I118" s="14"/>
      <c r="J118" s="14"/>
      <c r="K118" s="14"/>
      <c r="L118" s="18">
        <v>44</v>
      </c>
      <c r="M118" s="18">
        <v>200</v>
      </c>
      <c r="N118" s="18">
        <v>30</v>
      </c>
      <c r="O118" s="14"/>
      <c r="P118" s="18">
        <v>18</v>
      </c>
      <c r="Q118" s="18">
        <v>115</v>
      </c>
      <c r="R118" s="18" t="s">
        <v>3020</v>
      </c>
      <c r="S118" s="18"/>
      <c r="T118" s="18" t="s">
        <v>2920</v>
      </c>
      <c r="U118" s="18">
        <v>0.6</v>
      </c>
      <c r="V118" s="20">
        <v>19.5</v>
      </c>
      <c r="W118" s="18" t="s">
        <v>2975</v>
      </c>
      <c r="X118" s="14"/>
      <c r="Y118" s="14"/>
      <c r="Z118" s="14"/>
      <c r="AA118" s="14"/>
      <c r="AB118" s="14"/>
      <c r="AC118" s="14"/>
      <c r="AD118" s="14"/>
      <c r="AE118" s="14"/>
      <c r="AF118" s="14"/>
      <c r="AG118" s="14"/>
      <c r="AH118" s="18" t="s">
        <v>3021</v>
      </c>
      <c r="AI118" s="14"/>
      <c r="AJ118" s="21">
        <v>0.222</v>
      </c>
      <c r="AK118" s="18">
        <v>1</v>
      </c>
      <c r="AL118" s="18">
        <v>0</v>
      </c>
      <c r="AM118" s="18">
        <v>30</v>
      </c>
      <c r="AN118" s="17">
        <v>2.95859682E-2</v>
      </c>
      <c r="AO118" s="17">
        <v>0.130120704</v>
      </c>
      <c r="AP118" s="19">
        <v>2.6811662900000003E-4</v>
      </c>
      <c r="AQ118" s="19">
        <v>-7.4663618899999998E-6</v>
      </c>
      <c r="AR118" s="19">
        <v>0</v>
      </c>
      <c r="AS118" s="19">
        <v>0</v>
      </c>
      <c r="AT118" s="19">
        <v>0</v>
      </c>
      <c r="AU118" s="19">
        <v>0</v>
      </c>
      <c r="AV118" s="19">
        <v>0</v>
      </c>
      <c r="AW118" s="19">
        <v>0</v>
      </c>
    </row>
    <row r="119" spans="1:49" ht="17" customHeight="1">
      <c r="A119" s="11" t="s">
        <v>3034</v>
      </c>
      <c r="B119" s="11" t="s">
        <v>3034</v>
      </c>
      <c r="C119" s="18" t="s">
        <v>2867</v>
      </c>
      <c r="D119" s="18" t="s">
        <v>2916</v>
      </c>
      <c r="E119" s="18" t="s">
        <v>2917</v>
      </c>
      <c r="F119" s="18" t="s">
        <v>2918</v>
      </c>
      <c r="G119" s="14"/>
      <c r="H119" s="18" t="s">
        <v>2935</v>
      </c>
      <c r="I119" s="14"/>
      <c r="J119" s="14"/>
      <c r="K119" s="14"/>
      <c r="L119" s="18">
        <v>120</v>
      </c>
      <c r="M119" s="18">
        <v>1000</v>
      </c>
      <c r="N119" s="18">
        <v>5</v>
      </c>
      <c r="O119" s="14"/>
      <c r="P119" s="18">
        <v>6.37</v>
      </c>
      <c r="Q119" s="18">
        <v>90</v>
      </c>
      <c r="R119" s="18" t="s">
        <v>2936</v>
      </c>
      <c r="S119" s="18"/>
      <c r="T119" s="18">
        <v>12.9</v>
      </c>
      <c r="U119" s="18">
        <v>1.274</v>
      </c>
      <c r="V119" s="20">
        <v>2.0600000000000002E-3</v>
      </c>
      <c r="W119" s="18" t="s">
        <v>2873</v>
      </c>
      <c r="X119" s="14"/>
      <c r="Y119" s="14"/>
      <c r="Z119" s="14"/>
      <c r="AA119" s="14"/>
      <c r="AB119" s="14"/>
      <c r="AC119" s="14"/>
      <c r="AD119" s="14"/>
      <c r="AE119" s="14"/>
      <c r="AF119" s="14"/>
      <c r="AG119" s="14"/>
      <c r="AH119" s="18" t="s">
        <v>2934</v>
      </c>
      <c r="AI119" s="14"/>
      <c r="AJ119" s="21">
        <v>0.95010000000000006</v>
      </c>
      <c r="AK119" s="18">
        <v>1</v>
      </c>
      <c r="AL119" s="18">
        <v>-5</v>
      </c>
      <c r="AM119" s="18">
        <v>5</v>
      </c>
      <c r="AN119" s="17">
        <v>0</v>
      </c>
      <c r="AO119" s="17">
        <v>3.9144000000000001E-4</v>
      </c>
      <c r="AP119" s="19">
        <v>0</v>
      </c>
      <c r="AQ119" s="19">
        <v>0</v>
      </c>
      <c r="AR119" s="19">
        <v>0</v>
      </c>
      <c r="AS119" s="19">
        <v>0</v>
      </c>
      <c r="AT119" s="19">
        <v>0</v>
      </c>
      <c r="AU119" s="19">
        <v>0</v>
      </c>
      <c r="AV119" s="19">
        <v>0</v>
      </c>
      <c r="AW119" s="19">
        <v>0</v>
      </c>
    </row>
    <row r="120" spans="1:49" ht="17" customHeight="1">
      <c r="A120" s="11" t="s">
        <v>3035</v>
      </c>
      <c r="B120" s="11" t="s">
        <v>3035</v>
      </c>
      <c r="C120" s="14" t="s">
        <v>2867</v>
      </c>
      <c r="D120" s="14" t="s">
        <v>2916</v>
      </c>
      <c r="E120" s="14" t="s">
        <v>2917</v>
      </c>
      <c r="F120" s="14" t="s">
        <v>2918</v>
      </c>
      <c r="G120" s="14"/>
      <c r="H120" s="14" t="s">
        <v>2935</v>
      </c>
      <c r="I120" s="14"/>
      <c r="J120" s="14"/>
      <c r="K120" s="14"/>
      <c r="L120" s="14">
        <v>120</v>
      </c>
      <c r="M120" s="14">
        <v>1000</v>
      </c>
      <c r="N120" s="14">
        <v>5</v>
      </c>
      <c r="O120" s="14"/>
      <c r="P120" s="14">
        <v>6.37</v>
      </c>
      <c r="Q120" s="14">
        <v>90</v>
      </c>
      <c r="R120" s="14" t="s">
        <v>2936</v>
      </c>
      <c r="S120" s="14"/>
      <c r="T120" s="14">
        <v>12.9</v>
      </c>
      <c r="U120" s="14">
        <v>1.274</v>
      </c>
      <c r="V120" s="15">
        <v>2.0600000000000002E-3</v>
      </c>
      <c r="W120" s="14" t="s">
        <v>2873</v>
      </c>
      <c r="X120" s="14"/>
      <c r="Y120" s="14"/>
      <c r="Z120" s="14"/>
      <c r="AA120" s="14"/>
      <c r="AB120" s="14"/>
      <c r="AC120" s="14"/>
      <c r="AD120" s="14"/>
      <c r="AE120" s="14"/>
      <c r="AF120" s="14"/>
      <c r="AG120" s="14"/>
      <c r="AH120" s="14" t="s">
        <v>2934</v>
      </c>
      <c r="AI120" s="14"/>
      <c r="AJ120" s="16">
        <v>0.95010000000000006</v>
      </c>
      <c r="AK120" s="14">
        <v>1</v>
      </c>
      <c r="AL120" s="14">
        <v>-5</v>
      </c>
      <c r="AM120" s="14">
        <v>5</v>
      </c>
      <c r="AN120" s="19">
        <v>0</v>
      </c>
      <c r="AO120" s="19">
        <v>3.9144000000000001E-4</v>
      </c>
      <c r="AP120" s="19">
        <v>0</v>
      </c>
      <c r="AQ120" s="19">
        <v>0</v>
      </c>
      <c r="AR120" s="19">
        <v>0</v>
      </c>
      <c r="AS120" s="19">
        <v>0</v>
      </c>
      <c r="AT120" s="19">
        <v>0</v>
      </c>
      <c r="AU120" s="19">
        <v>0</v>
      </c>
      <c r="AV120" s="19">
        <v>0</v>
      </c>
      <c r="AW120" s="19">
        <v>0</v>
      </c>
    </row>
    <row r="121" spans="1:49" ht="17" customHeight="1">
      <c r="A121" s="11" t="s">
        <v>3036</v>
      </c>
      <c r="B121" s="11" t="s">
        <v>3036</v>
      </c>
      <c r="C121" s="14" t="s">
        <v>2867</v>
      </c>
      <c r="D121" s="14" t="s">
        <v>2916</v>
      </c>
      <c r="E121" s="14" t="s">
        <v>2917</v>
      </c>
      <c r="F121" s="14" t="s">
        <v>2918</v>
      </c>
      <c r="G121" s="14"/>
      <c r="H121" s="14" t="s">
        <v>2935</v>
      </c>
      <c r="I121" s="14"/>
      <c r="J121" s="14"/>
      <c r="K121" s="14"/>
      <c r="L121" s="14">
        <v>120</v>
      </c>
      <c r="M121" s="14">
        <v>1000</v>
      </c>
      <c r="N121" s="14">
        <v>5</v>
      </c>
      <c r="O121" s="14"/>
      <c r="P121" s="14">
        <v>6.37</v>
      </c>
      <c r="Q121" s="14">
        <v>90</v>
      </c>
      <c r="R121" s="14" t="s">
        <v>2936</v>
      </c>
      <c r="S121" s="14"/>
      <c r="T121" s="14">
        <v>12.9</v>
      </c>
      <c r="U121" s="14">
        <v>1.274</v>
      </c>
      <c r="V121" s="15">
        <v>2.0600000000000002E-3</v>
      </c>
      <c r="W121" s="14" t="s">
        <v>2873</v>
      </c>
      <c r="X121" s="14"/>
      <c r="Y121" s="14"/>
      <c r="Z121" s="14"/>
      <c r="AA121" s="14"/>
      <c r="AB121" s="14"/>
      <c r="AC121" s="14"/>
      <c r="AD121" s="14"/>
      <c r="AE121" s="14"/>
      <c r="AF121" s="14"/>
      <c r="AG121" s="14"/>
      <c r="AH121" s="14" t="s">
        <v>2934</v>
      </c>
      <c r="AI121" s="14"/>
      <c r="AJ121" s="16">
        <v>0.95010000000000006</v>
      </c>
      <c r="AK121" s="14">
        <v>1</v>
      </c>
      <c r="AL121" s="14">
        <v>-5</v>
      </c>
      <c r="AM121" s="14">
        <v>5</v>
      </c>
      <c r="AN121" s="19">
        <v>0</v>
      </c>
      <c r="AO121" s="19">
        <v>3.9144000000000001E-4</v>
      </c>
      <c r="AP121" s="19">
        <v>0</v>
      </c>
      <c r="AQ121" s="19">
        <v>0</v>
      </c>
      <c r="AR121" s="19">
        <v>0</v>
      </c>
      <c r="AS121" s="19">
        <v>0</v>
      </c>
      <c r="AT121" s="19">
        <v>0</v>
      </c>
      <c r="AU121" s="19">
        <v>0</v>
      </c>
      <c r="AV121" s="19">
        <v>0</v>
      </c>
      <c r="AW121" s="19">
        <v>0</v>
      </c>
    </row>
    <row r="122" spans="1:49" ht="17" customHeight="1">
      <c r="A122" s="11" t="s">
        <v>3037</v>
      </c>
      <c r="B122" s="11" t="s">
        <v>3037</v>
      </c>
      <c r="C122" s="14" t="s">
        <v>2867</v>
      </c>
      <c r="D122" s="14" t="s">
        <v>2916</v>
      </c>
      <c r="E122" s="14" t="s">
        <v>2917</v>
      </c>
      <c r="F122" s="14" t="s">
        <v>2918</v>
      </c>
      <c r="G122" s="14"/>
      <c r="H122" s="14" t="s">
        <v>2935</v>
      </c>
      <c r="I122" s="14"/>
      <c r="J122" s="14"/>
      <c r="K122" s="14"/>
      <c r="L122" s="14">
        <v>120</v>
      </c>
      <c r="M122" s="14">
        <v>1000</v>
      </c>
      <c r="N122" s="14">
        <v>5</v>
      </c>
      <c r="O122" s="14"/>
      <c r="P122" s="14">
        <v>6.37</v>
      </c>
      <c r="Q122" s="14">
        <v>90</v>
      </c>
      <c r="R122" s="14" t="s">
        <v>2936</v>
      </c>
      <c r="S122" s="14"/>
      <c r="T122" s="14">
        <v>12.9</v>
      </c>
      <c r="U122" s="14">
        <v>1.274</v>
      </c>
      <c r="V122" s="15">
        <v>2.0600000000000002E-3</v>
      </c>
      <c r="W122" s="14" t="s">
        <v>2873</v>
      </c>
      <c r="X122" s="14"/>
      <c r="Y122" s="14"/>
      <c r="Z122" s="14"/>
      <c r="AA122" s="14"/>
      <c r="AB122" s="14"/>
      <c r="AC122" s="14"/>
      <c r="AD122" s="14"/>
      <c r="AE122" s="14"/>
      <c r="AF122" s="14"/>
      <c r="AG122" s="14"/>
      <c r="AH122" s="18" t="s">
        <v>2934</v>
      </c>
      <c r="AI122" s="14"/>
      <c r="AJ122" s="16">
        <v>0.95010000000000006</v>
      </c>
      <c r="AK122" s="14">
        <v>1</v>
      </c>
      <c r="AL122" s="14">
        <v>-5</v>
      </c>
      <c r="AM122" s="14">
        <v>5</v>
      </c>
      <c r="AN122" s="19">
        <v>0</v>
      </c>
      <c r="AO122" s="19">
        <v>3.9144000000000001E-4</v>
      </c>
      <c r="AP122" s="19">
        <v>0</v>
      </c>
      <c r="AQ122" s="19">
        <v>0</v>
      </c>
      <c r="AR122" s="19">
        <v>0</v>
      </c>
      <c r="AS122" s="19">
        <v>0</v>
      </c>
      <c r="AT122" s="19">
        <v>0</v>
      </c>
      <c r="AU122" s="19">
        <v>0</v>
      </c>
      <c r="AV122" s="19">
        <v>0</v>
      </c>
      <c r="AW122" s="19">
        <v>0</v>
      </c>
    </row>
    <row r="123" spans="1:49" ht="17" customHeight="1">
      <c r="A123" s="11" t="s">
        <v>3038</v>
      </c>
      <c r="B123" s="11" t="s">
        <v>3038</v>
      </c>
      <c r="C123" s="18" t="s">
        <v>2867</v>
      </c>
      <c r="D123" s="18" t="s">
        <v>2916</v>
      </c>
      <c r="E123" s="18" t="s">
        <v>2927</v>
      </c>
      <c r="F123" s="18" t="s">
        <v>2918</v>
      </c>
      <c r="G123" s="14"/>
      <c r="H123" s="18" t="s">
        <v>2928</v>
      </c>
      <c r="I123" s="14"/>
      <c r="J123" s="14"/>
      <c r="K123" s="14"/>
      <c r="L123" s="18">
        <v>44</v>
      </c>
      <c r="M123" s="18">
        <v>100</v>
      </c>
      <c r="N123" s="18">
        <v>30</v>
      </c>
      <c r="O123" s="14"/>
      <c r="P123" s="18">
        <v>12</v>
      </c>
      <c r="Q123" s="18">
        <v>115</v>
      </c>
      <c r="R123" s="18" t="s">
        <v>3020</v>
      </c>
      <c r="S123" s="18"/>
      <c r="T123" s="18" t="s">
        <v>2920</v>
      </c>
      <c r="U123" s="18">
        <v>0.4</v>
      </c>
      <c r="V123" s="20">
        <v>19.5</v>
      </c>
      <c r="W123" s="18" t="s">
        <v>2975</v>
      </c>
      <c r="X123" s="14"/>
      <c r="Y123" s="14"/>
      <c r="Z123" s="14"/>
      <c r="AA123" s="14"/>
      <c r="AB123" s="14"/>
      <c r="AC123" s="14"/>
      <c r="AD123" s="14"/>
      <c r="AE123" s="14"/>
      <c r="AF123" s="14"/>
      <c r="AG123" s="14"/>
      <c r="AH123" s="18" t="s">
        <v>3019</v>
      </c>
      <c r="AI123" s="14"/>
      <c r="AJ123" s="21">
        <v>0.121</v>
      </c>
      <c r="AK123" s="18">
        <v>1</v>
      </c>
      <c r="AL123" s="18">
        <v>0</v>
      </c>
      <c r="AM123" s="18">
        <v>30</v>
      </c>
      <c r="AN123" s="17">
        <v>1.4888077499999999E-2</v>
      </c>
      <c r="AO123" s="17">
        <v>7.19485069E-2</v>
      </c>
      <c r="AP123" s="19">
        <v>1.65561223E-4</v>
      </c>
      <c r="AQ123" s="19">
        <v>-5.6924382200000001E-6</v>
      </c>
      <c r="AR123" s="19">
        <v>0</v>
      </c>
      <c r="AS123" s="19">
        <v>0</v>
      </c>
      <c r="AT123" s="19">
        <v>0</v>
      </c>
      <c r="AU123" s="19">
        <v>0</v>
      </c>
      <c r="AV123" s="19">
        <v>0</v>
      </c>
      <c r="AW123" s="19">
        <v>0</v>
      </c>
    </row>
    <row r="124" spans="1:49" ht="17" customHeight="1">
      <c r="A124" s="11" t="s">
        <v>3039</v>
      </c>
      <c r="B124" s="11" t="s">
        <v>3039</v>
      </c>
      <c r="C124" s="18" t="s">
        <v>2867</v>
      </c>
      <c r="D124" s="18" t="s">
        <v>2916</v>
      </c>
      <c r="E124" s="18" t="s">
        <v>2927</v>
      </c>
      <c r="F124" s="18" t="s">
        <v>2918</v>
      </c>
      <c r="G124" s="14"/>
      <c r="H124" s="18" t="s">
        <v>2928</v>
      </c>
      <c r="I124" s="14"/>
      <c r="J124" s="14"/>
      <c r="K124" s="14"/>
      <c r="L124" s="18">
        <v>44</v>
      </c>
      <c r="M124" s="18">
        <v>200</v>
      </c>
      <c r="N124" s="18">
        <v>30</v>
      </c>
      <c r="O124" s="14"/>
      <c r="P124" s="18">
        <v>18</v>
      </c>
      <c r="Q124" s="18">
        <v>115</v>
      </c>
      <c r="R124" s="18" t="s">
        <v>3020</v>
      </c>
      <c r="S124" s="18"/>
      <c r="T124" s="18" t="s">
        <v>2920</v>
      </c>
      <c r="U124" s="18">
        <v>0.6</v>
      </c>
      <c r="V124" s="20">
        <v>19.5</v>
      </c>
      <c r="W124" s="18" t="s">
        <v>2975</v>
      </c>
      <c r="X124" s="14"/>
      <c r="Y124" s="14"/>
      <c r="Z124" s="14"/>
      <c r="AA124" s="14"/>
      <c r="AB124" s="14"/>
      <c r="AC124" s="14"/>
      <c r="AD124" s="14"/>
      <c r="AE124" s="14"/>
      <c r="AF124" s="14"/>
      <c r="AG124" s="14"/>
      <c r="AH124" s="18" t="s">
        <v>3021</v>
      </c>
      <c r="AI124" s="14"/>
      <c r="AJ124" s="21">
        <v>0.222</v>
      </c>
      <c r="AK124" s="18">
        <v>1</v>
      </c>
      <c r="AL124" s="18">
        <v>0</v>
      </c>
      <c r="AM124" s="18">
        <v>30</v>
      </c>
      <c r="AN124" s="17">
        <v>2.95859682E-2</v>
      </c>
      <c r="AO124" s="17">
        <v>0.130120704</v>
      </c>
      <c r="AP124" s="19">
        <v>2.6811662900000003E-4</v>
      </c>
      <c r="AQ124" s="19">
        <v>-7.4663618899999998E-6</v>
      </c>
      <c r="AR124" s="19">
        <v>0</v>
      </c>
      <c r="AS124" s="19">
        <v>0</v>
      </c>
      <c r="AT124" s="19">
        <v>0</v>
      </c>
      <c r="AU124" s="19">
        <v>0</v>
      </c>
      <c r="AV124" s="19">
        <v>0</v>
      </c>
      <c r="AW124" s="19">
        <v>0</v>
      </c>
    </row>
    <row r="125" spans="1:49" ht="17" customHeight="1">
      <c r="A125" s="11" t="s">
        <v>3040</v>
      </c>
      <c r="B125" s="11" t="s">
        <v>3040</v>
      </c>
      <c r="C125" s="18" t="s">
        <v>2867</v>
      </c>
      <c r="D125" s="18" t="s">
        <v>2916</v>
      </c>
      <c r="E125" s="18" t="s">
        <v>2917</v>
      </c>
      <c r="F125" s="18" t="s">
        <v>2918</v>
      </c>
      <c r="G125" s="14"/>
      <c r="H125" s="18" t="s">
        <v>2935</v>
      </c>
      <c r="I125" s="14"/>
      <c r="J125" s="14"/>
      <c r="K125" s="14"/>
      <c r="L125" s="18">
        <v>120</v>
      </c>
      <c r="M125" s="18">
        <v>1000</v>
      </c>
      <c r="N125" s="18">
        <v>5</v>
      </c>
      <c r="O125" s="14"/>
      <c r="P125" s="18">
        <v>6.37</v>
      </c>
      <c r="Q125" s="18">
        <v>90</v>
      </c>
      <c r="R125" s="18" t="s">
        <v>2936</v>
      </c>
      <c r="S125" s="18"/>
      <c r="T125" s="18">
        <v>12.9</v>
      </c>
      <c r="U125" s="18">
        <v>1.274</v>
      </c>
      <c r="V125" s="20">
        <v>2.0600000000000002E-3</v>
      </c>
      <c r="W125" s="18" t="s">
        <v>2873</v>
      </c>
      <c r="X125" s="14"/>
      <c r="Y125" s="14"/>
      <c r="Z125" s="14"/>
      <c r="AA125" s="14"/>
      <c r="AB125" s="14"/>
      <c r="AC125" s="14"/>
      <c r="AD125" s="14"/>
      <c r="AE125" s="14"/>
      <c r="AF125" s="14"/>
      <c r="AG125" s="14"/>
      <c r="AH125" s="18" t="s">
        <v>2934</v>
      </c>
      <c r="AI125" s="14"/>
      <c r="AJ125" s="21">
        <v>0.95010000000000006</v>
      </c>
      <c r="AK125" s="18">
        <v>1</v>
      </c>
      <c r="AL125" s="18">
        <v>-5</v>
      </c>
      <c r="AM125" s="18">
        <v>5</v>
      </c>
      <c r="AN125" s="17">
        <v>0</v>
      </c>
      <c r="AO125" s="17">
        <v>3.9144000000000001E-4</v>
      </c>
      <c r="AP125" s="19">
        <v>0</v>
      </c>
      <c r="AQ125" s="19">
        <v>0</v>
      </c>
      <c r="AR125" s="19">
        <v>0</v>
      </c>
      <c r="AS125" s="19">
        <v>0</v>
      </c>
      <c r="AT125" s="19">
        <v>0</v>
      </c>
      <c r="AU125" s="19">
        <v>0</v>
      </c>
      <c r="AV125" s="19">
        <v>0</v>
      </c>
      <c r="AW125" s="19">
        <v>0</v>
      </c>
    </row>
    <row r="126" spans="1:49" ht="17" customHeight="1">
      <c r="A126" s="11" t="s">
        <v>3041</v>
      </c>
      <c r="B126" s="11" t="s">
        <v>3041</v>
      </c>
      <c r="C126" s="18" t="s">
        <v>2867</v>
      </c>
      <c r="D126" s="18" t="s">
        <v>2916</v>
      </c>
      <c r="E126" s="18" t="s">
        <v>2917</v>
      </c>
      <c r="F126" s="18" t="s">
        <v>2918</v>
      </c>
      <c r="G126" s="14"/>
      <c r="H126" s="18" t="s">
        <v>2935</v>
      </c>
      <c r="I126" s="14"/>
      <c r="J126" s="14"/>
      <c r="K126" s="14"/>
      <c r="L126" s="18">
        <v>120</v>
      </c>
      <c r="M126" s="18">
        <v>1000</v>
      </c>
      <c r="N126" s="18">
        <v>5</v>
      </c>
      <c r="O126" s="14"/>
      <c r="P126" s="18">
        <v>6.37</v>
      </c>
      <c r="Q126" s="18">
        <v>90</v>
      </c>
      <c r="R126" s="18" t="s">
        <v>2936</v>
      </c>
      <c r="S126" s="18"/>
      <c r="T126" s="18">
        <v>12.9</v>
      </c>
      <c r="U126" s="18">
        <v>1.274</v>
      </c>
      <c r="V126" s="20">
        <v>2.0600000000000002E-3</v>
      </c>
      <c r="W126" s="18" t="s">
        <v>2873</v>
      </c>
      <c r="X126" s="14"/>
      <c r="Y126" s="14"/>
      <c r="Z126" s="14"/>
      <c r="AA126" s="14"/>
      <c r="AB126" s="14"/>
      <c r="AC126" s="14"/>
      <c r="AD126" s="14"/>
      <c r="AE126" s="14"/>
      <c r="AF126" s="14"/>
      <c r="AG126" s="14"/>
      <c r="AH126" s="18" t="s">
        <v>2934</v>
      </c>
      <c r="AI126" s="14"/>
      <c r="AJ126" s="21">
        <v>0.95010000000000006</v>
      </c>
      <c r="AK126" s="18">
        <v>1</v>
      </c>
      <c r="AL126" s="18">
        <v>-5</v>
      </c>
      <c r="AM126" s="18">
        <v>5</v>
      </c>
      <c r="AN126" s="17">
        <v>0</v>
      </c>
      <c r="AO126" s="17">
        <v>3.9144000000000001E-4</v>
      </c>
      <c r="AP126" s="19">
        <v>0</v>
      </c>
      <c r="AQ126" s="19">
        <v>0</v>
      </c>
      <c r="AR126" s="19">
        <v>0</v>
      </c>
      <c r="AS126" s="19">
        <v>0</v>
      </c>
      <c r="AT126" s="19">
        <v>0</v>
      </c>
      <c r="AU126" s="19">
        <v>0</v>
      </c>
      <c r="AV126" s="19">
        <v>0</v>
      </c>
      <c r="AW126" s="19">
        <v>0</v>
      </c>
    </row>
    <row r="127" spans="1:49" ht="17" customHeight="1">
      <c r="A127" s="11" t="s">
        <v>3042</v>
      </c>
      <c r="B127" s="11" t="s">
        <v>3042</v>
      </c>
      <c r="C127" s="14" t="s">
        <v>2867</v>
      </c>
      <c r="D127" s="14" t="s">
        <v>2916</v>
      </c>
      <c r="E127" s="14" t="s">
        <v>2917</v>
      </c>
      <c r="F127" s="14" t="s">
        <v>2918</v>
      </c>
      <c r="G127" s="14"/>
      <c r="H127" s="14" t="s">
        <v>2935</v>
      </c>
      <c r="I127" s="14"/>
      <c r="J127" s="14"/>
      <c r="K127" s="14"/>
      <c r="L127" s="14">
        <v>120</v>
      </c>
      <c r="M127" s="14">
        <v>1000</v>
      </c>
      <c r="N127" s="14">
        <v>5</v>
      </c>
      <c r="O127" s="14"/>
      <c r="P127" s="14">
        <v>6.37</v>
      </c>
      <c r="Q127" s="14">
        <v>90</v>
      </c>
      <c r="R127" s="14" t="s">
        <v>2936</v>
      </c>
      <c r="S127" s="14"/>
      <c r="T127" s="14">
        <v>12.9</v>
      </c>
      <c r="U127" s="14">
        <v>1.274</v>
      </c>
      <c r="V127" s="15">
        <v>2.0600000000000002E-3</v>
      </c>
      <c r="W127" s="14" t="s">
        <v>2873</v>
      </c>
      <c r="X127" s="14"/>
      <c r="Y127" s="14"/>
      <c r="Z127" s="14"/>
      <c r="AA127" s="14"/>
      <c r="AB127" s="14"/>
      <c r="AC127" s="14"/>
      <c r="AD127" s="14"/>
      <c r="AE127" s="14"/>
      <c r="AF127" s="14"/>
      <c r="AG127" s="14"/>
      <c r="AH127" s="14" t="s">
        <v>2934</v>
      </c>
      <c r="AI127" s="14"/>
      <c r="AJ127" s="16">
        <v>0.95010000000000006</v>
      </c>
      <c r="AK127" s="14">
        <v>1</v>
      </c>
      <c r="AL127" s="14">
        <v>-5</v>
      </c>
      <c r="AM127" s="14">
        <v>5</v>
      </c>
      <c r="AN127" s="19">
        <v>0</v>
      </c>
      <c r="AO127" s="19">
        <v>3.9144000000000001E-4</v>
      </c>
      <c r="AP127" s="19">
        <v>0</v>
      </c>
      <c r="AQ127" s="19">
        <v>0</v>
      </c>
      <c r="AR127" s="19">
        <v>0</v>
      </c>
      <c r="AS127" s="19">
        <v>0</v>
      </c>
      <c r="AT127" s="19">
        <v>0</v>
      </c>
      <c r="AU127" s="19">
        <v>0</v>
      </c>
      <c r="AV127" s="19">
        <v>0</v>
      </c>
      <c r="AW127" s="19">
        <v>0</v>
      </c>
    </row>
    <row r="128" spans="1:49" ht="17" customHeight="1">
      <c r="A128" s="11" t="s">
        <v>3043</v>
      </c>
      <c r="B128" s="11" t="s">
        <v>3043</v>
      </c>
      <c r="C128" s="14" t="s">
        <v>2867</v>
      </c>
      <c r="D128" s="14" t="s">
        <v>2916</v>
      </c>
      <c r="E128" s="14" t="s">
        <v>2917</v>
      </c>
      <c r="F128" s="14" t="s">
        <v>2918</v>
      </c>
      <c r="G128" s="14"/>
      <c r="H128" s="14" t="s">
        <v>2935</v>
      </c>
      <c r="I128" s="14"/>
      <c r="J128" s="14"/>
      <c r="K128" s="14"/>
      <c r="L128" s="14">
        <v>120</v>
      </c>
      <c r="M128" s="14">
        <v>1000</v>
      </c>
      <c r="N128" s="14">
        <v>5</v>
      </c>
      <c r="O128" s="14"/>
      <c r="P128" s="14">
        <v>6.37</v>
      </c>
      <c r="Q128" s="14">
        <v>90</v>
      </c>
      <c r="R128" s="14" t="s">
        <v>2936</v>
      </c>
      <c r="S128" s="14"/>
      <c r="T128" s="14">
        <v>12.9</v>
      </c>
      <c r="U128" s="14">
        <v>1.274</v>
      </c>
      <c r="V128" s="15">
        <v>2.0600000000000002E-3</v>
      </c>
      <c r="W128" s="14" t="s">
        <v>2873</v>
      </c>
      <c r="X128" s="14"/>
      <c r="Y128" s="14"/>
      <c r="Z128" s="14"/>
      <c r="AA128" s="14"/>
      <c r="AB128" s="14"/>
      <c r="AC128" s="14"/>
      <c r="AD128" s="14"/>
      <c r="AE128" s="14"/>
      <c r="AF128" s="14"/>
      <c r="AG128" s="14"/>
      <c r="AH128" s="14" t="s">
        <v>2934</v>
      </c>
      <c r="AI128" s="14"/>
      <c r="AJ128" s="16">
        <v>0.95010000000000006</v>
      </c>
      <c r="AK128" s="14">
        <v>1</v>
      </c>
      <c r="AL128" s="14">
        <v>-5</v>
      </c>
      <c r="AM128" s="14">
        <v>5</v>
      </c>
      <c r="AN128" s="19">
        <v>0</v>
      </c>
      <c r="AO128" s="19">
        <v>3.9144000000000001E-4</v>
      </c>
      <c r="AP128" s="19">
        <v>0</v>
      </c>
      <c r="AQ128" s="19">
        <v>0</v>
      </c>
      <c r="AR128" s="19">
        <v>0</v>
      </c>
      <c r="AS128" s="19">
        <v>0</v>
      </c>
      <c r="AT128" s="19">
        <v>0</v>
      </c>
      <c r="AU128" s="19">
        <v>0</v>
      </c>
      <c r="AV128" s="19">
        <v>0</v>
      </c>
      <c r="AW128" s="19">
        <v>0</v>
      </c>
    </row>
    <row r="129" spans="1:49" ht="17" customHeight="1">
      <c r="A129" s="11" t="s">
        <v>3044</v>
      </c>
      <c r="B129" s="11" t="s">
        <v>3044</v>
      </c>
      <c r="C129" s="14" t="s">
        <v>2867</v>
      </c>
      <c r="D129" s="14" t="s">
        <v>2916</v>
      </c>
      <c r="E129" s="14" t="s">
        <v>2927</v>
      </c>
      <c r="F129" s="14" t="s">
        <v>2918</v>
      </c>
      <c r="G129" s="14"/>
      <c r="H129" s="14" t="s">
        <v>2928</v>
      </c>
      <c r="I129" s="14"/>
      <c r="J129" s="14"/>
      <c r="K129" s="14"/>
      <c r="L129" s="14">
        <v>44</v>
      </c>
      <c r="M129" s="14">
        <v>100</v>
      </c>
      <c r="N129" s="14">
        <v>30</v>
      </c>
      <c r="O129" s="14"/>
      <c r="P129" s="14">
        <v>12</v>
      </c>
      <c r="Q129" s="14">
        <v>115</v>
      </c>
      <c r="R129" s="14" t="s">
        <v>3020</v>
      </c>
      <c r="S129" s="14"/>
      <c r="T129" s="14" t="s">
        <v>2920</v>
      </c>
      <c r="U129" s="14">
        <v>0.4</v>
      </c>
      <c r="V129" s="15">
        <v>19.5</v>
      </c>
      <c r="W129" s="14" t="s">
        <v>2975</v>
      </c>
      <c r="X129" s="14"/>
      <c r="Y129" s="14"/>
      <c r="Z129" s="14"/>
      <c r="AA129" s="14"/>
      <c r="AB129" s="14"/>
      <c r="AC129" s="14"/>
      <c r="AD129" s="14"/>
      <c r="AE129" s="14"/>
      <c r="AF129" s="14"/>
      <c r="AG129" s="14"/>
      <c r="AH129" s="18" t="s">
        <v>3019</v>
      </c>
      <c r="AI129" s="14"/>
      <c r="AJ129" s="16">
        <v>0.121</v>
      </c>
      <c r="AK129" s="14">
        <v>1</v>
      </c>
      <c r="AL129" s="14">
        <v>0</v>
      </c>
      <c r="AM129" s="14">
        <v>30</v>
      </c>
      <c r="AN129" s="19">
        <v>1.4888077499999999E-2</v>
      </c>
      <c r="AO129" s="19">
        <v>7.19485069E-2</v>
      </c>
      <c r="AP129" s="19">
        <v>1.65561223E-4</v>
      </c>
      <c r="AQ129" s="19">
        <v>-5.6924382200000001E-6</v>
      </c>
      <c r="AR129" s="19">
        <v>0</v>
      </c>
      <c r="AS129" s="19">
        <v>0</v>
      </c>
      <c r="AT129" s="19">
        <v>0</v>
      </c>
      <c r="AU129" s="19">
        <v>0</v>
      </c>
      <c r="AV129" s="19">
        <v>0</v>
      </c>
      <c r="AW129" s="19">
        <v>0</v>
      </c>
    </row>
    <row r="130" spans="1:49" ht="17" customHeight="1">
      <c r="A130" s="11" t="s">
        <v>3045</v>
      </c>
      <c r="B130" s="11" t="s">
        <v>3045</v>
      </c>
      <c r="C130" s="18" t="s">
        <v>2867</v>
      </c>
      <c r="D130" s="18" t="s">
        <v>2916</v>
      </c>
      <c r="E130" s="18" t="s">
        <v>2927</v>
      </c>
      <c r="F130" s="18" t="s">
        <v>2918</v>
      </c>
      <c r="G130" s="14"/>
      <c r="H130" s="18" t="s">
        <v>2928</v>
      </c>
      <c r="I130" s="14"/>
      <c r="J130" s="14"/>
      <c r="K130" s="14"/>
      <c r="L130" s="18">
        <v>44</v>
      </c>
      <c r="M130" s="18">
        <v>200</v>
      </c>
      <c r="N130" s="18">
        <v>30</v>
      </c>
      <c r="O130" s="14"/>
      <c r="P130" s="18">
        <v>18</v>
      </c>
      <c r="Q130" s="18">
        <v>115</v>
      </c>
      <c r="R130" s="18" t="s">
        <v>3020</v>
      </c>
      <c r="S130" s="18"/>
      <c r="T130" s="18" t="s">
        <v>2920</v>
      </c>
      <c r="U130" s="18">
        <v>0.6</v>
      </c>
      <c r="V130" s="20">
        <v>19.5</v>
      </c>
      <c r="W130" s="18" t="s">
        <v>2975</v>
      </c>
      <c r="X130" s="14"/>
      <c r="Y130" s="14"/>
      <c r="Z130" s="14"/>
      <c r="AA130" s="14"/>
      <c r="AB130" s="14"/>
      <c r="AC130" s="14"/>
      <c r="AD130" s="14"/>
      <c r="AE130" s="14"/>
      <c r="AF130" s="14"/>
      <c r="AG130" s="14"/>
      <c r="AH130" s="18" t="s">
        <v>3021</v>
      </c>
      <c r="AI130" s="14"/>
      <c r="AJ130" s="21">
        <v>0.222</v>
      </c>
      <c r="AK130" s="18">
        <v>1</v>
      </c>
      <c r="AL130" s="18">
        <v>0</v>
      </c>
      <c r="AM130" s="18">
        <v>30</v>
      </c>
      <c r="AN130" s="17">
        <v>2.95859682E-2</v>
      </c>
      <c r="AO130" s="17">
        <v>0.130120704</v>
      </c>
      <c r="AP130" s="19">
        <v>2.6811662900000003E-4</v>
      </c>
      <c r="AQ130" s="19">
        <v>-7.4663618899999998E-6</v>
      </c>
      <c r="AR130" s="19">
        <v>0</v>
      </c>
      <c r="AS130" s="19">
        <v>0</v>
      </c>
      <c r="AT130" s="19">
        <v>0</v>
      </c>
      <c r="AU130" s="19">
        <v>0</v>
      </c>
      <c r="AV130" s="19">
        <v>0</v>
      </c>
      <c r="AW130" s="19">
        <v>0</v>
      </c>
    </row>
    <row r="131" spans="1:49" ht="17" customHeight="1">
      <c r="A131" s="11" t="s">
        <v>3046</v>
      </c>
      <c r="B131" s="11" t="s">
        <v>3046</v>
      </c>
      <c r="C131" s="18" t="s">
        <v>2867</v>
      </c>
      <c r="D131" s="18" t="s">
        <v>2916</v>
      </c>
      <c r="E131" s="18" t="s">
        <v>2917</v>
      </c>
      <c r="F131" s="18" t="s">
        <v>2918</v>
      </c>
      <c r="G131" s="14"/>
      <c r="H131" s="18" t="s">
        <v>2948</v>
      </c>
      <c r="I131" s="14"/>
      <c r="J131" s="14"/>
      <c r="K131" s="14"/>
      <c r="L131" s="18">
        <v>44</v>
      </c>
      <c r="M131" s="18">
        <v>100</v>
      </c>
      <c r="N131" s="18">
        <v>20</v>
      </c>
      <c r="O131" s="14"/>
      <c r="P131" s="18">
        <v>11.6</v>
      </c>
      <c r="Q131" s="18">
        <v>123</v>
      </c>
      <c r="R131" s="18" t="s">
        <v>3047</v>
      </c>
      <c r="S131" s="18"/>
      <c r="T131" s="18">
        <v>29.04</v>
      </c>
      <c r="U131" s="18">
        <v>0.57999999999999996</v>
      </c>
      <c r="V131" s="20">
        <v>6.9816000000000003E-2</v>
      </c>
      <c r="W131" s="18" t="s">
        <v>2873</v>
      </c>
      <c r="X131" s="14"/>
      <c r="Y131" s="14"/>
      <c r="Z131" s="14"/>
      <c r="AA131" s="14"/>
      <c r="AB131" s="14"/>
      <c r="AC131" s="14"/>
      <c r="AD131" s="14"/>
      <c r="AE131" s="14"/>
      <c r="AF131" s="14"/>
      <c r="AG131" s="14"/>
      <c r="AH131" s="18" t="s">
        <v>3046</v>
      </c>
      <c r="AI131" s="14"/>
      <c r="AJ131" s="21">
        <v>0.1415535</v>
      </c>
      <c r="AK131" s="18">
        <v>1</v>
      </c>
      <c r="AL131" s="18">
        <v>-20</v>
      </c>
      <c r="AM131" s="18">
        <v>20</v>
      </c>
      <c r="AN131" s="17">
        <v>0</v>
      </c>
      <c r="AO131" s="17">
        <v>4.9412999999999996E-4</v>
      </c>
      <c r="AP131" s="19">
        <v>0</v>
      </c>
      <c r="AQ131" s="19">
        <v>0</v>
      </c>
      <c r="AR131" s="19">
        <v>0</v>
      </c>
      <c r="AS131" s="19">
        <v>0</v>
      </c>
      <c r="AT131" s="19">
        <v>0</v>
      </c>
      <c r="AU131" s="19">
        <v>0</v>
      </c>
      <c r="AV131" s="19">
        <v>0</v>
      </c>
      <c r="AW131" s="19">
        <v>0</v>
      </c>
    </row>
    <row r="132" spans="1:49" ht="17" customHeight="1">
      <c r="A132" s="11" t="s">
        <v>3048</v>
      </c>
      <c r="B132" s="11" t="s">
        <v>3048</v>
      </c>
      <c r="C132" s="18" t="s">
        <v>2867</v>
      </c>
      <c r="D132" s="18" t="s">
        <v>2916</v>
      </c>
      <c r="E132" s="18" t="s">
        <v>2917</v>
      </c>
      <c r="F132" s="18" t="s">
        <v>2918</v>
      </c>
      <c r="G132" s="14"/>
      <c r="H132" s="18" t="s">
        <v>2948</v>
      </c>
      <c r="I132" s="14"/>
      <c r="J132" s="14"/>
      <c r="K132" s="14"/>
      <c r="L132" s="18">
        <v>44</v>
      </c>
      <c r="M132" s="18">
        <v>100</v>
      </c>
      <c r="N132" s="18">
        <v>20</v>
      </c>
      <c r="O132" s="14"/>
      <c r="P132" s="18">
        <v>11.6</v>
      </c>
      <c r="Q132" s="18">
        <v>123</v>
      </c>
      <c r="R132" s="18" t="s">
        <v>3047</v>
      </c>
      <c r="S132" s="18"/>
      <c r="T132" s="18">
        <v>29.04</v>
      </c>
      <c r="U132" s="18">
        <v>0.57999999999999996</v>
      </c>
      <c r="V132" s="20">
        <v>6.9816000000000003E-2</v>
      </c>
      <c r="W132" s="18" t="s">
        <v>2873</v>
      </c>
      <c r="X132" s="14"/>
      <c r="Y132" s="14"/>
      <c r="Z132" s="14"/>
      <c r="AA132" s="14"/>
      <c r="AB132" s="14"/>
      <c r="AC132" s="14"/>
      <c r="AD132" s="14"/>
      <c r="AE132" s="14"/>
      <c r="AF132" s="14"/>
      <c r="AG132" s="14"/>
      <c r="AH132" s="18" t="s">
        <v>3046</v>
      </c>
      <c r="AI132" s="14"/>
      <c r="AJ132" s="21">
        <v>0.1415535</v>
      </c>
      <c r="AK132" s="18">
        <v>1</v>
      </c>
      <c r="AL132" s="18">
        <v>-20</v>
      </c>
      <c r="AM132" s="18">
        <v>20</v>
      </c>
      <c r="AN132" s="17">
        <v>0</v>
      </c>
      <c r="AO132" s="17">
        <v>4.9412999999999996E-4</v>
      </c>
      <c r="AP132" s="19">
        <v>0</v>
      </c>
      <c r="AQ132" s="19">
        <v>0</v>
      </c>
      <c r="AR132" s="19">
        <v>0</v>
      </c>
      <c r="AS132" s="19">
        <v>0</v>
      </c>
      <c r="AT132" s="19">
        <v>0</v>
      </c>
      <c r="AU132" s="19">
        <v>0</v>
      </c>
      <c r="AV132" s="19">
        <v>0</v>
      </c>
      <c r="AW132" s="19">
        <v>0</v>
      </c>
    </row>
    <row r="133" spans="1:49" ht="17" customHeight="1">
      <c r="A133" s="11" t="s">
        <v>3049</v>
      </c>
      <c r="B133" s="11" t="s">
        <v>3049</v>
      </c>
      <c r="C133" s="18" t="s">
        <v>2867</v>
      </c>
      <c r="D133" s="18" t="s">
        <v>2916</v>
      </c>
      <c r="E133" s="18" t="s">
        <v>2927</v>
      </c>
      <c r="F133" s="18" t="s">
        <v>2918</v>
      </c>
      <c r="G133" s="14"/>
      <c r="H133" s="18" t="s">
        <v>3050</v>
      </c>
      <c r="I133" s="14"/>
      <c r="J133" s="14"/>
      <c r="K133" s="14"/>
      <c r="L133" s="18">
        <v>23</v>
      </c>
      <c r="M133" s="18">
        <v>120</v>
      </c>
      <c r="N133" s="18">
        <v>20</v>
      </c>
      <c r="O133" s="14"/>
      <c r="P133" s="18">
        <v>17</v>
      </c>
      <c r="Q133" s="18">
        <v>183</v>
      </c>
      <c r="R133" s="18">
        <v>3</v>
      </c>
      <c r="S133" s="18"/>
      <c r="T133" s="18">
        <v>24</v>
      </c>
      <c r="U133" s="18">
        <v>0.85</v>
      </c>
      <c r="V133" s="20">
        <v>57.6</v>
      </c>
      <c r="W133" s="18" t="s">
        <v>2975</v>
      </c>
      <c r="X133" s="14"/>
      <c r="Y133" s="14"/>
      <c r="Z133" s="14"/>
      <c r="AA133" s="14"/>
      <c r="AB133" s="14"/>
      <c r="AC133" s="14"/>
      <c r="AD133" s="14"/>
      <c r="AE133" s="14"/>
      <c r="AF133" s="14"/>
      <c r="AG133" s="14"/>
      <c r="AH133" s="18" t="s">
        <v>3049</v>
      </c>
      <c r="AI133" s="14"/>
      <c r="AJ133" s="21">
        <v>0.1333</v>
      </c>
      <c r="AK133" s="18">
        <v>1</v>
      </c>
      <c r="AL133" s="18">
        <v>0</v>
      </c>
      <c r="AM133" s="18">
        <v>20</v>
      </c>
      <c r="AN133" s="17">
        <v>-2.8198695230000001E-3</v>
      </c>
      <c r="AO133" s="17">
        <v>0.51651450575000002</v>
      </c>
      <c r="AP133" s="19">
        <v>-6.8785152745000008E-2</v>
      </c>
      <c r="AQ133" s="19">
        <v>2.9945863662E-2</v>
      </c>
      <c r="AR133" s="19">
        <v>-6.2236950204999997E-3</v>
      </c>
      <c r="AS133" s="19">
        <v>6.8614969968000007E-4</v>
      </c>
      <c r="AT133" s="19">
        <v>-4.1043276615000003E-5</v>
      </c>
      <c r="AU133" s="19">
        <v>1.2523765609E-6</v>
      </c>
      <c r="AV133" s="19">
        <v>-1.5267979383999999E-8</v>
      </c>
      <c r="AW133" s="19">
        <v>0</v>
      </c>
    </row>
    <row r="134" spans="1:49" ht="17" customHeight="1">
      <c r="A134" s="11" t="s">
        <v>3051</v>
      </c>
      <c r="B134" s="11" t="s">
        <v>3051</v>
      </c>
      <c r="C134" s="14" t="s">
        <v>2867</v>
      </c>
      <c r="D134" s="14" t="s">
        <v>2916</v>
      </c>
      <c r="E134" s="14" t="s">
        <v>2927</v>
      </c>
      <c r="F134" s="14" t="s">
        <v>2918</v>
      </c>
      <c r="G134" s="14"/>
      <c r="H134" s="14" t="s">
        <v>3050</v>
      </c>
      <c r="I134" s="14"/>
      <c r="J134" s="14"/>
      <c r="K134" s="14"/>
      <c r="L134" s="14">
        <v>23</v>
      </c>
      <c r="M134" s="14">
        <v>240</v>
      </c>
      <c r="N134" s="14">
        <v>20</v>
      </c>
      <c r="O134" s="14"/>
      <c r="P134" s="14">
        <v>25.8</v>
      </c>
      <c r="Q134" s="14">
        <v>183</v>
      </c>
      <c r="R134" s="14">
        <v>3</v>
      </c>
      <c r="S134" s="14"/>
      <c r="T134" s="14">
        <v>34</v>
      </c>
      <c r="U134" s="14">
        <v>1.29</v>
      </c>
      <c r="V134" s="15">
        <v>60.2</v>
      </c>
      <c r="W134" s="14" t="s">
        <v>2975</v>
      </c>
      <c r="X134" s="14"/>
      <c r="Y134" s="14"/>
      <c r="Z134" s="14"/>
      <c r="AA134" s="14"/>
      <c r="AB134" s="14"/>
      <c r="AC134" s="14"/>
      <c r="AD134" s="14"/>
      <c r="AE134" s="14"/>
      <c r="AF134" s="14"/>
      <c r="AG134" s="14"/>
      <c r="AH134" s="14" t="s">
        <v>3051</v>
      </c>
      <c r="AI134" s="14"/>
      <c r="AJ134" s="16">
        <v>0.25219999999999998</v>
      </c>
      <c r="AK134" s="14">
        <v>1</v>
      </c>
      <c r="AL134" s="14">
        <v>0</v>
      </c>
      <c r="AM134" s="14">
        <v>20</v>
      </c>
      <c r="AN134" s="19">
        <v>3.0090879831999998E-3</v>
      </c>
      <c r="AO134" s="19">
        <v>0.86278724635999993</v>
      </c>
      <c r="AP134" s="19">
        <v>-1.03519792532E-2</v>
      </c>
      <c r="AQ134" s="19">
        <v>3.7909604408000001E-3</v>
      </c>
      <c r="AR134" s="19">
        <v>-4.2047227872000001E-4</v>
      </c>
      <c r="AS134" s="19">
        <v>-7.1765066073999992E-6</v>
      </c>
      <c r="AT134" s="19">
        <v>4.375403928999999E-6</v>
      </c>
      <c r="AU134" s="19">
        <v>-2.7862589429999999E-7</v>
      </c>
      <c r="AV134" s="19">
        <v>5.4157443131999992E-9</v>
      </c>
      <c r="AW134" s="19">
        <v>0</v>
      </c>
    </row>
    <row r="135" spans="1:49" ht="17" customHeight="1">
      <c r="A135" s="11" t="s">
        <v>3052</v>
      </c>
      <c r="B135" s="11" t="s">
        <v>3052</v>
      </c>
      <c r="C135" s="14" t="s">
        <v>2867</v>
      </c>
      <c r="D135" s="14" t="s">
        <v>2916</v>
      </c>
      <c r="E135" s="14" t="s">
        <v>2927</v>
      </c>
      <c r="F135" s="14" t="s">
        <v>2918</v>
      </c>
      <c r="G135" s="14"/>
      <c r="H135" s="14" t="s">
        <v>3050</v>
      </c>
      <c r="I135" s="14"/>
      <c r="J135" s="14"/>
      <c r="K135" s="14"/>
      <c r="L135" s="14">
        <v>23</v>
      </c>
      <c r="M135" s="14">
        <v>120</v>
      </c>
      <c r="N135" s="14">
        <v>20</v>
      </c>
      <c r="O135" s="14"/>
      <c r="P135" s="14">
        <v>17</v>
      </c>
      <c r="Q135" s="14">
        <v>183</v>
      </c>
      <c r="R135" s="14">
        <v>3</v>
      </c>
      <c r="S135" s="14"/>
      <c r="T135" s="14">
        <v>24</v>
      </c>
      <c r="U135" s="14">
        <v>0.85</v>
      </c>
      <c r="V135" s="15">
        <v>57.6</v>
      </c>
      <c r="W135" s="14" t="s">
        <v>2975</v>
      </c>
      <c r="X135" s="14"/>
      <c r="Y135" s="14"/>
      <c r="Z135" s="14"/>
      <c r="AA135" s="14"/>
      <c r="AB135" s="14"/>
      <c r="AC135" s="14"/>
      <c r="AD135" s="14"/>
      <c r="AE135" s="14"/>
      <c r="AF135" s="14"/>
      <c r="AG135" s="14"/>
      <c r="AH135" s="14" t="s">
        <v>3049</v>
      </c>
      <c r="AI135" s="14"/>
      <c r="AJ135" s="16">
        <v>0.1333</v>
      </c>
      <c r="AK135" s="14">
        <v>1</v>
      </c>
      <c r="AL135" s="14">
        <v>0</v>
      </c>
      <c r="AM135" s="14">
        <v>20</v>
      </c>
      <c r="AN135" s="19">
        <v>-2.8198695230000001E-3</v>
      </c>
      <c r="AO135" s="19">
        <v>0.51651450575000002</v>
      </c>
      <c r="AP135" s="19">
        <v>-6.8785152745000008E-2</v>
      </c>
      <c r="AQ135" s="19">
        <v>2.9945863662E-2</v>
      </c>
      <c r="AR135" s="19">
        <v>-6.2236950204999997E-3</v>
      </c>
      <c r="AS135" s="19">
        <v>6.8614969968000007E-4</v>
      </c>
      <c r="AT135" s="19">
        <v>-4.1043276615000003E-5</v>
      </c>
      <c r="AU135" s="19">
        <v>1.2523765609E-6</v>
      </c>
      <c r="AV135" s="19">
        <v>-1.5267979383999999E-8</v>
      </c>
      <c r="AW135" s="19">
        <v>0</v>
      </c>
    </row>
    <row r="136" spans="1:49" ht="17" customHeight="1">
      <c r="A136" s="11" t="s">
        <v>3053</v>
      </c>
      <c r="B136" s="11" t="s">
        <v>3053</v>
      </c>
      <c r="C136" s="14" t="s">
        <v>2867</v>
      </c>
      <c r="D136" s="14" t="s">
        <v>2916</v>
      </c>
      <c r="E136" s="14" t="s">
        <v>2927</v>
      </c>
      <c r="F136" s="14" t="s">
        <v>2918</v>
      </c>
      <c r="G136" s="14"/>
      <c r="H136" s="14" t="s">
        <v>3050</v>
      </c>
      <c r="I136" s="14"/>
      <c r="J136" s="14"/>
      <c r="K136" s="14"/>
      <c r="L136" s="14">
        <v>23</v>
      </c>
      <c r="M136" s="14">
        <v>240</v>
      </c>
      <c r="N136" s="14">
        <v>20</v>
      </c>
      <c r="O136" s="14"/>
      <c r="P136" s="14">
        <v>25.8</v>
      </c>
      <c r="Q136" s="14">
        <v>183</v>
      </c>
      <c r="R136" s="14">
        <v>3</v>
      </c>
      <c r="S136" s="14"/>
      <c r="T136" s="14">
        <v>34</v>
      </c>
      <c r="U136" s="14">
        <v>1.29</v>
      </c>
      <c r="V136" s="15">
        <v>60.2</v>
      </c>
      <c r="W136" s="14" t="s">
        <v>2975</v>
      </c>
      <c r="X136" s="14"/>
      <c r="Y136" s="14"/>
      <c r="Z136" s="14"/>
      <c r="AA136" s="14"/>
      <c r="AB136" s="14"/>
      <c r="AC136" s="14"/>
      <c r="AD136" s="14"/>
      <c r="AE136" s="14"/>
      <c r="AF136" s="14"/>
      <c r="AG136" s="14"/>
      <c r="AH136" s="14" t="s">
        <v>3051</v>
      </c>
      <c r="AI136" s="14"/>
      <c r="AJ136" s="16">
        <v>0.25219999999999998</v>
      </c>
      <c r="AK136" s="14">
        <v>1</v>
      </c>
      <c r="AL136" s="14">
        <v>0</v>
      </c>
      <c r="AM136" s="14">
        <v>20</v>
      </c>
      <c r="AN136" s="19">
        <v>3.0090879831999998E-3</v>
      </c>
      <c r="AO136" s="19">
        <v>0.86278724635999993</v>
      </c>
      <c r="AP136" s="19">
        <v>-1.03519792532E-2</v>
      </c>
      <c r="AQ136" s="19">
        <v>3.7909604408000001E-3</v>
      </c>
      <c r="AR136" s="19">
        <v>-4.2047227872000001E-4</v>
      </c>
      <c r="AS136" s="19">
        <v>-7.1765066073999992E-6</v>
      </c>
      <c r="AT136" s="19">
        <v>4.375403928999999E-6</v>
      </c>
      <c r="AU136" s="19">
        <v>-2.7862589429999999E-7</v>
      </c>
      <c r="AV136" s="19">
        <v>5.4157443131999992E-9</v>
      </c>
      <c r="AW136" s="19">
        <v>0</v>
      </c>
    </row>
    <row r="137" spans="1:49" ht="17" customHeight="1">
      <c r="A137" s="11" t="s">
        <v>3054</v>
      </c>
      <c r="B137" s="11" t="s">
        <v>3054</v>
      </c>
      <c r="C137" s="14" t="s">
        <v>2867</v>
      </c>
      <c r="D137" s="14" t="s">
        <v>2916</v>
      </c>
      <c r="E137" s="14" t="s">
        <v>2927</v>
      </c>
      <c r="F137" s="14" t="s">
        <v>2918</v>
      </c>
      <c r="G137" s="14"/>
      <c r="H137" s="14" t="s">
        <v>3050</v>
      </c>
      <c r="I137" s="14"/>
      <c r="J137" s="14"/>
      <c r="K137" s="14"/>
      <c r="L137" s="14">
        <v>23</v>
      </c>
      <c r="M137" s="14">
        <v>120</v>
      </c>
      <c r="N137" s="14">
        <v>20</v>
      </c>
      <c r="O137" s="14"/>
      <c r="P137" s="14">
        <v>17</v>
      </c>
      <c r="Q137" s="14">
        <v>183</v>
      </c>
      <c r="R137" s="14">
        <v>3</v>
      </c>
      <c r="S137" s="14"/>
      <c r="T137" s="14">
        <v>24</v>
      </c>
      <c r="U137" s="14">
        <v>0.85</v>
      </c>
      <c r="V137" s="15">
        <v>57.6</v>
      </c>
      <c r="W137" s="14" t="s">
        <v>2975</v>
      </c>
      <c r="X137" s="14"/>
      <c r="Y137" s="14"/>
      <c r="Z137" s="14"/>
      <c r="AA137" s="14"/>
      <c r="AB137" s="14"/>
      <c r="AC137" s="14"/>
      <c r="AD137" s="14"/>
      <c r="AE137" s="14"/>
      <c r="AF137" s="14"/>
      <c r="AG137" s="14"/>
      <c r="AH137" s="14" t="s">
        <v>3049</v>
      </c>
      <c r="AI137" s="14"/>
      <c r="AJ137" s="16">
        <v>0.1333</v>
      </c>
      <c r="AK137" s="14">
        <v>1</v>
      </c>
      <c r="AL137" s="14">
        <v>0</v>
      </c>
      <c r="AM137" s="14">
        <v>20</v>
      </c>
      <c r="AN137" s="19">
        <v>-2.8198695230000001E-3</v>
      </c>
      <c r="AO137" s="19">
        <v>0.51651450575000002</v>
      </c>
      <c r="AP137" s="19">
        <v>-6.8785152745000008E-2</v>
      </c>
      <c r="AQ137" s="19">
        <v>2.9945863662E-2</v>
      </c>
      <c r="AR137" s="19">
        <v>-6.2236950204999997E-3</v>
      </c>
      <c r="AS137" s="19">
        <v>6.8614969968000007E-4</v>
      </c>
      <c r="AT137" s="19">
        <v>-4.1043276615000003E-5</v>
      </c>
      <c r="AU137" s="19">
        <v>1.2523765609E-6</v>
      </c>
      <c r="AV137" s="19">
        <v>-1.5267979383999999E-8</v>
      </c>
      <c r="AW137" s="19">
        <v>0</v>
      </c>
    </row>
    <row r="138" spans="1:49" ht="17" customHeight="1">
      <c r="A138" s="11" t="s">
        <v>3055</v>
      </c>
      <c r="B138" s="11" t="s">
        <v>3055</v>
      </c>
      <c r="C138" s="14" t="s">
        <v>2867</v>
      </c>
      <c r="D138" s="14" t="s">
        <v>2916</v>
      </c>
      <c r="E138" s="14" t="s">
        <v>2927</v>
      </c>
      <c r="F138" s="14" t="s">
        <v>2918</v>
      </c>
      <c r="G138" s="14"/>
      <c r="H138" s="14" t="s">
        <v>3050</v>
      </c>
      <c r="I138" s="14"/>
      <c r="J138" s="14"/>
      <c r="K138" s="14"/>
      <c r="L138" s="14">
        <v>23</v>
      </c>
      <c r="M138" s="14">
        <v>240</v>
      </c>
      <c r="N138" s="14">
        <v>20</v>
      </c>
      <c r="O138" s="14"/>
      <c r="P138" s="14">
        <v>25.8</v>
      </c>
      <c r="Q138" s="14">
        <v>183</v>
      </c>
      <c r="R138" s="14">
        <v>3</v>
      </c>
      <c r="S138" s="14"/>
      <c r="T138" s="14">
        <v>34</v>
      </c>
      <c r="U138" s="14">
        <v>1.29</v>
      </c>
      <c r="V138" s="15">
        <v>60.2</v>
      </c>
      <c r="W138" s="14" t="s">
        <v>2975</v>
      </c>
      <c r="X138" s="14"/>
      <c r="Y138" s="14"/>
      <c r="Z138" s="14"/>
      <c r="AA138" s="14"/>
      <c r="AB138" s="14"/>
      <c r="AC138" s="14"/>
      <c r="AD138" s="14"/>
      <c r="AE138" s="14"/>
      <c r="AF138" s="14"/>
      <c r="AG138" s="14"/>
      <c r="AH138" s="14" t="s">
        <v>3051</v>
      </c>
      <c r="AI138" s="14"/>
      <c r="AJ138" s="16">
        <v>0.25219999999999998</v>
      </c>
      <c r="AK138" s="14">
        <v>1</v>
      </c>
      <c r="AL138" s="14">
        <v>0</v>
      </c>
      <c r="AM138" s="14">
        <v>20</v>
      </c>
      <c r="AN138" s="19">
        <v>3.0090879831999998E-3</v>
      </c>
      <c r="AO138" s="19">
        <v>0.86278724635999993</v>
      </c>
      <c r="AP138" s="19">
        <v>-1.03519792532E-2</v>
      </c>
      <c r="AQ138" s="19">
        <v>3.7909604408000001E-3</v>
      </c>
      <c r="AR138" s="19">
        <v>-4.2047227872000001E-4</v>
      </c>
      <c r="AS138" s="19">
        <v>-7.1765066073999992E-6</v>
      </c>
      <c r="AT138" s="19">
        <v>4.375403928999999E-6</v>
      </c>
      <c r="AU138" s="19">
        <v>-2.7862589429999999E-7</v>
      </c>
      <c r="AV138" s="19">
        <v>5.4157443131999992E-9</v>
      </c>
      <c r="AW138" s="19">
        <v>0</v>
      </c>
    </row>
    <row r="139" spans="1:49" ht="17" customHeight="1">
      <c r="A139" s="11" t="s">
        <v>3056</v>
      </c>
      <c r="B139" s="11" t="s">
        <v>3056</v>
      </c>
      <c r="C139" s="14" t="s">
        <v>2867</v>
      </c>
      <c r="D139" s="14" t="s">
        <v>2916</v>
      </c>
      <c r="E139" s="14" t="s">
        <v>2927</v>
      </c>
      <c r="F139" s="14" t="s">
        <v>2918</v>
      </c>
      <c r="G139" s="14"/>
      <c r="H139" s="14" t="s">
        <v>3050</v>
      </c>
      <c r="I139" s="14"/>
      <c r="J139" s="14"/>
      <c r="K139" s="14"/>
      <c r="L139" s="14">
        <v>23</v>
      </c>
      <c r="M139" s="14">
        <v>120</v>
      </c>
      <c r="N139" s="14">
        <v>20</v>
      </c>
      <c r="O139" s="14"/>
      <c r="P139" s="14">
        <v>17</v>
      </c>
      <c r="Q139" s="14">
        <v>183</v>
      </c>
      <c r="R139" s="14">
        <v>3</v>
      </c>
      <c r="S139" s="14"/>
      <c r="T139" s="14">
        <v>24</v>
      </c>
      <c r="U139" s="14">
        <v>0.85</v>
      </c>
      <c r="V139" s="15">
        <v>57.6</v>
      </c>
      <c r="W139" s="14" t="s">
        <v>2975</v>
      </c>
      <c r="X139" s="14"/>
      <c r="Y139" s="14"/>
      <c r="Z139" s="14"/>
      <c r="AA139" s="14"/>
      <c r="AB139" s="14"/>
      <c r="AC139" s="14"/>
      <c r="AD139" s="14"/>
      <c r="AE139" s="14"/>
      <c r="AF139" s="14"/>
      <c r="AG139" s="14"/>
      <c r="AH139" s="14" t="s">
        <v>3049</v>
      </c>
      <c r="AI139" s="14"/>
      <c r="AJ139" s="16">
        <v>0.1333</v>
      </c>
      <c r="AK139" s="14">
        <v>1</v>
      </c>
      <c r="AL139" s="14">
        <v>0</v>
      </c>
      <c r="AM139" s="14">
        <v>20</v>
      </c>
      <c r="AN139" s="19">
        <v>-2.8198695230000001E-3</v>
      </c>
      <c r="AO139" s="19">
        <v>0.51651450575000002</v>
      </c>
      <c r="AP139" s="19">
        <v>-6.8785152745000008E-2</v>
      </c>
      <c r="AQ139" s="19">
        <v>2.9945863662E-2</v>
      </c>
      <c r="AR139" s="19">
        <v>-6.2236950204999997E-3</v>
      </c>
      <c r="AS139" s="19">
        <v>6.8614969968000007E-4</v>
      </c>
      <c r="AT139" s="19">
        <v>-4.1043276615000003E-5</v>
      </c>
      <c r="AU139" s="19">
        <v>1.2523765609E-6</v>
      </c>
      <c r="AV139" s="19">
        <v>-1.5267979383999999E-8</v>
      </c>
      <c r="AW139" s="19">
        <v>0</v>
      </c>
    </row>
    <row r="140" spans="1:49" ht="17" customHeight="1">
      <c r="A140" s="11" t="s">
        <v>3057</v>
      </c>
      <c r="B140" s="11" t="s">
        <v>3057</v>
      </c>
      <c r="C140" s="14" t="s">
        <v>2867</v>
      </c>
      <c r="D140" s="14" t="s">
        <v>2916</v>
      </c>
      <c r="E140" s="14" t="s">
        <v>2927</v>
      </c>
      <c r="F140" s="14" t="s">
        <v>2918</v>
      </c>
      <c r="G140" s="14"/>
      <c r="H140" s="14" t="s">
        <v>3050</v>
      </c>
      <c r="I140" s="14"/>
      <c r="J140" s="14"/>
      <c r="K140" s="14"/>
      <c r="L140" s="14">
        <v>23</v>
      </c>
      <c r="M140" s="14">
        <v>240</v>
      </c>
      <c r="N140" s="14">
        <v>20</v>
      </c>
      <c r="O140" s="14"/>
      <c r="P140" s="14">
        <v>25.8</v>
      </c>
      <c r="Q140" s="14">
        <v>183</v>
      </c>
      <c r="R140" s="14">
        <v>3</v>
      </c>
      <c r="S140" s="14"/>
      <c r="T140" s="14">
        <v>34</v>
      </c>
      <c r="U140" s="14">
        <v>1.29</v>
      </c>
      <c r="V140" s="15">
        <v>60.2</v>
      </c>
      <c r="W140" s="14" t="s">
        <v>2975</v>
      </c>
      <c r="X140" s="14"/>
      <c r="Y140" s="14"/>
      <c r="Z140" s="14"/>
      <c r="AA140" s="14"/>
      <c r="AB140" s="14"/>
      <c r="AC140" s="14"/>
      <c r="AD140" s="14"/>
      <c r="AE140" s="14"/>
      <c r="AF140" s="14"/>
      <c r="AG140" s="14"/>
      <c r="AH140" s="14" t="s">
        <v>3051</v>
      </c>
      <c r="AI140" s="14"/>
      <c r="AJ140" s="16">
        <v>0.25219999999999998</v>
      </c>
      <c r="AK140" s="14">
        <v>1</v>
      </c>
      <c r="AL140" s="14">
        <v>0</v>
      </c>
      <c r="AM140" s="14">
        <v>20</v>
      </c>
      <c r="AN140" s="19">
        <v>3.0090879831999998E-3</v>
      </c>
      <c r="AO140" s="19">
        <v>0.86278724635999993</v>
      </c>
      <c r="AP140" s="19">
        <v>-1.03519792532E-2</v>
      </c>
      <c r="AQ140" s="19">
        <v>3.7909604408000001E-3</v>
      </c>
      <c r="AR140" s="19">
        <v>-4.2047227872000001E-4</v>
      </c>
      <c r="AS140" s="19">
        <v>-7.1765066073999992E-6</v>
      </c>
      <c r="AT140" s="19">
        <v>4.375403928999999E-6</v>
      </c>
      <c r="AU140" s="19">
        <v>-2.7862589429999999E-7</v>
      </c>
      <c r="AV140" s="19">
        <v>5.4157443131999992E-9</v>
      </c>
      <c r="AW140" s="19">
        <v>0</v>
      </c>
    </row>
    <row r="141" spans="1:49" ht="17" customHeight="1">
      <c r="A141" s="11" t="s">
        <v>3058</v>
      </c>
      <c r="B141" s="11" t="s">
        <v>3058</v>
      </c>
      <c r="C141" s="14" t="s">
        <v>2867</v>
      </c>
      <c r="D141" s="14" t="s">
        <v>2916</v>
      </c>
      <c r="E141" s="14" t="s">
        <v>2917</v>
      </c>
      <c r="F141" s="14" t="s">
        <v>2918</v>
      </c>
      <c r="G141" s="14"/>
      <c r="H141" s="14" t="s">
        <v>2935</v>
      </c>
      <c r="I141" s="14"/>
      <c r="J141" s="14"/>
      <c r="K141" s="14"/>
      <c r="L141" s="14">
        <v>120</v>
      </c>
      <c r="M141" s="14">
        <v>1000</v>
      </c>
      <c r="N141" s="14">
        <v>5</v>
      </c>
      <c r="O141" s="14"/>
      <c r="P141" s="14">
        <v>6.37</v>
      </c>
      <c r="Q141" s="14">
        <v>90</v>
      </c>
      <c r="R141" s="14" t="s">
        <v>2936</v>
      </c>
      <c r="S141" s="14"/>
      <c r="T141" s="14">
        <v>12.9</v>
      </c>
      <c r="U141" s="14">
        <v>1.274</v>
      </c>
      <c r="V141" s="15">
        <v>2.0600000000000002E-3</v>
      </c>
      <c r="W141" s="14" t="s">
        <v>2873</v>
      </c>
      <c r="X141" s="14"/>
      <c r="Y141" s="14"/>
      <c r="Z141" s="14"/>
      <c r="AA141" s="14"/>
      <c r="AB141" s="14"/>
      <c r="AC141" s="14"/>
      <c r="AD141" s="14"/>
      <c r="AE141" s="14"/>
      <c r="AF141" s="14"/>
      <c r="AG141" s="14"/>
      <c r="AH141" s="14" t="s">
        <v>2934</v>
      </c>
      <c r="AI141" s="14"/>
      <c r="AJ141" s="16">
        <v>0.95010000000000006</v>
      </c>
      <c r="AK141" s="14">
        <v>1</v>
      </c>
      <c r="AL141" s="14">
        <v>-5</v>
      </c>
      <c r="AM141" s="14">
        <v>5</v>
      </c>
      <c r="AN141" s="19">
        <v>0</v>
      </c>
      <c r="AO141" s="19">
        <v>3.9144000000000001E-4</v>
      </c>
      <c r="AP141" s="19">
        <v>0</v>
      </c>
      <c r="AQ141" s="19">
        <v>0</v>
      </c>
      <c r="AR141" s="19">
        <v>0</v>
      </c>
      <c r="AS141" s="19">
        <v>0</v>
      </c>
      <c r="AT141" s="19">
        <v>0</v>
      </c>
      <c r="AU141" s="19">
        <v>0</v>
      </c>
      <c r="AV141" s="19">
        <v>0</v>
      </c>
      <c r="AW141" s="19">
        <v>0</v>
      </c>
    </row>
    <row r="142" spans="1:49" ht="17" customHeight="1">
      <c r="A142" s="11" t="s">
        <v>3059</v>
      </c>
      <c r="B142" s="11" t="s">
        <v>3059</v>
      </c>
      <c r="C142" s="14" t="s">
        <v>2867</v>
      </c>
      <c r="D142" s="14" t="s">
        <v>2916</v>
      </c>
      <c r="E142" s="14" t="s">
        <v>2917</v>
      </c>
      <c r="F142" s="14" t="s">
        <v>2918</v>
      </c>
      <c r="G142" s="14"/>
      <c r="H142" s="14" t="s">
        <v>2935</v>
      </c>
      <c r="I142" s="14"/>
      <c r="J142" s="14"/>
      <c r="K142" s="14"/>
      <c r="L142" s="14">
        <v>120</v>
      </c>
      <c r="M142" s="14">
        <v>1000</v>
      </c>
      <c r="N142" s="14">
        <v>5</v>
      </c>
      <c r="O142" s="14"/>
      <c r="P142" s="14">
        <v>6.37</v>
      </c>
      <c r="Q142" s="14">
        <v>90</v>
      </c>
      <c r="R142" s="14" t="s">
        <v>2936</v>
      </c>
      <c r="S142" s="14"/>
      <c r="T142" s="14">
        <v>12.9</v>
      </c>
      <c r="U142" s="14">
        <v>1.274</v>
      </c>
      <c r="V142" s="15">
        <v>2.0600000000000002E-3</v>
      </c>
      <c r="W142" s="14" t="s">
        <v>2873</v>
      </c>
      <c r="X142" s="14"/>
      <c r="Y142" s="14"/>
      <c r="Z142" s="14"/>
      <c r="AA142" s="14"/>
      <c r="AB142" s="14"/>
      <c r="AC142" s="14"/>
      <c r="AD142" s="14"/>
      <c r="AE142" s="14"/>
      <c r="AF142" s="14"/>
      <c r="AG142" s="14"/>
      <c r="AH142" s="14" t="s">
        <v>2934</v>
      </c>
      <c r="AI142" s="14"/>
      <c r="AJ142" s="16">
        <v>0.95010000000000006</v>
      </c>
      <c r="AK142" s="14">
        <v>1</v>
      </c>
      <c r="AL142" s="14">
        <v>-5</v>
      </c>
      <c r="AM142" s="14">
        <v>5</v>
      </c>
      <c r="AN142" s="19">
        <v>0</v>
      </c>
      <c r="AO142" s="19">
        <v>3.9144000000000001E-4</v>
      </c>
      <c r="AP142" s="19">
        <v>0</v>
      </c>
      <c r="AQ142" s="19">
        <v>0</v>
      </c>
      <c r="AR142" s="19">
        <v>0</v>
      </c>
      <c r="AS142" s="19">
        <v>0</v>
      </c>
      <c r="AT142" s="19">
        <v>0</v>
      </c>
      <c r="AU142" s="19">
        <v>0</v>
      </c>
      <c r="AV142" s="19">
        <v>0</v>
      </c>
      <c r="AW142" s="19">
        <v>0</v>
      </c>
    </row>
    <row r="143" spans="1:49" ht="17" customHeight="1">
      <c r="A143" s="11" t="s">
        <v>3060</v>
      </c>
      <c r="B143" s="11" t="s">
        <v>3060</v>
      </c>
      <c r="C143" s="14" t="s">
        <v>2867</v>
      </c>
      <c r="D143" s="14" t="s">
        <v>2916</v>
      </c>
      <c r="E143" s="14" t="s">
        <v>2917</v>
      </c>
      <c r="F143" s="14" t="s">
        <v>2918</v>
      </c>
      <c r="G143" s="14"/>
      <c r="H143" s="14" t="s">
        <v>2935</v>
      </c>
      <c r="I143" s="14"/>
      <c r="J143" s="14"/>
      <c r="K143" s="14"/>
      <c r="L143" s="14">
        <v>120</v>
      </c>
      <c r="M143" s="14">
        <v>1000</v>
      </c>
      <c r="N143" s="14">
        <v>5</v>
      </c>
      <c r="O143" s="14"/>
      <c r="P143" s="14">
        <v>6.37</v>
      </c>
      <c r="Q143" s="14">
        <v>90</v>
      </c>
      <c r="R143" s="14" t="s">
        <v>2936</v>
      </c>
      <c r="S143" s="14"/>
      <c r="T143" s="14">
        <v>12.9</v>
      </c>
      <c r="U143" s="14">
        <v>1.274</v>
      </c>
      <c r="V143" s="15">
        <v>2.0600000000000002E-3</v>
      </c>
      <c r="W143" s="14" t="s">
        <v>2873</v>
      </c>
      <c r="X143" s="14"/>
      <c r="Y143" s="14"/>
      <c r="Z143" s="14"/>
      <c r="AA143" s="14"/>
      <c r="AB143" s="14"/>
      <c r="AC143" s="14"/>
      <c r="AD143" s="14"/>
      <c r="AE143" s="14"/>
      <c r="AF143" s="14"/>
      <c r="AG143" s="14"/>
      <c r="AH143" s="14" t="s">
        <v>2934</v>
      </c>
      <c r="AI143" s="14"/>
      <c r="AJ143" s="16">
        <v>0.95010000000000006</v>
      </c>
      <c r="AK143" s="14">
        <v>1</v>
      </c>
      <c r="AL143" s="14">
        <v>-5</v>
      </c>
      <c r="AM143" s="14">
        <v>5</v>
      </c>
      <c r="AN143" s="19">
        <v>0</v>
      </c>
      <c r="AO143" s="19">
        <v>3.9144000000000001E-4</v>
      </c>
      <c r="AP143" s="19">
        <v>0</v>
      </c>
      <c r="AQ143" s="19">
        <v>0</v>
      </c>
      <c r="AR143" s="19">
        <v>0</v>
      </c>
      <c r="AS143" s="19">
        <v>0</v>
      </c>
      <c r="AT143" s="19">
        <v>0</v>
      </c>
      <c r="AU143" s="19">
        <v>0</v>
      </c>
      <c r="AV143" s="19">
        <v>0</v>
      </c>
      <c r="AW143" s="19">
        <v>0</v>
      </c>
    </row>
    <row r="144" spans="1:49" ht="17" customHeight="1">
      <c r="A144" s="11" t="s">
        <v>3061</v>
      </c>
      <c r="B144" s="11" t="s">
        <v>3061</v>
      </c>
      <c r="C144" s="14" t="s">
        <v>2867</v>
      </c>
      <c r="D144" s="14" t="s">
        <v>2916</v>
      </c>
      <c r="E144" s="14" t="s">
        <v>2917</v>
      </c>
      <c r="F144" s="14" t="s">
        <v>2918</v>
      </c>
      <c r="G144" s="14"/>
      <c r="H144" s="14" t="s">
        <v>2935</v>
      </c>
      <c r="I144" s="14"/>
      <c r="J144" s="14"/>
      <c r="K144" s="14"/>
      <c r="L144" s="14">
        <v>120</v>
      </c>
      <c r="M144" s="14">
        <v>1000</v>
      </c>
      <c r="N144" s="14">
        <v>5</v>
      </c>
      <c r="O144" s="14"/>
      <c r="P144" s="14">
        <v>6.37</v>
      </c>
      <c r="Q144" s="14">
        <v>90</v>
      </c>
      <c r="R144" s="14" t="s">
        <v>2936</v>
      </c>
      <c r="S144" s="14"/>
      <c r="T144" s="14">
        <v>12.9</v>
      </c>
      <c r="U144" s="14">
        <v>1.274</v>
      </c>
      <c r="V144" s="15">
        <v>2.0600000000000002E-3</v>
      </c>
      <c r="W144" s="14" t="s">
        <v>2873</v>
      </c>
      <c r="X144" s="14"/>
      <c r="Y144" s="14"/>
      <c r="Z144" s="14"/>
      <c r="AA144" s="14"/>
      <c r="AB144" s="14"/>
      <c r="AC144" s="14"/>
      <c r="AD144" s="14"/>
      <c r="AE144" s="14"/>
      <c r="AF144" s="14"/>
      <c r="AG144" s="14"/>
      <c r="AH144" s="14" t="s">
        <v>2934</v>
      </c>
      <c r="AI144" s="14"/>
      <c r="AJ144" s="16">
        <v>0.95010000000000006</v>
      </c>
      <c r="AK144" s="14">
        <v>1</v>
      </c>
      <c r="AL144" s="14">
        <v>-5</v>
      </c>
      <c r="AM144" s="14">
        <v>5</v>
      </c>
      <c r="AN144" s="19">
        <v>0</v>
      </c>
      <c r="AO144" s="19">
        <v>3.9144000000000001E-4</v>
      </c>
      <c r="AP144" s="19">
        <v>0</v>
      </c>
      <c r="AQ144" s="19">
        <v>0</v>
      </c>
      <c r="AR144" s="19">
        <v>0</v>
      </c>
      <c r="AS144" s="19">
        <v>0</v>
      </c>
      <c r="AT144" s="19">
        <v>0</v>
      </c>
      <c r="AU144" s="19">
        <v>0</v>
      </c>
      <c r="AV144" s="19">
        <v>0</v>
      </c>
      <c r="AW144" s="19">
        <v>0</v>
      </c>
    </row>
    <row r="145" spans="1:49" ht="17" customHeight="1">
      <c r="A145" s="11" t="s">
        <v>3062</v>
      </c>
      <c r="B145" s="11" t="s">
        <v>3062</v>
      </c>
      <c r="C145" s="14" t="s">
        <v>2867</v>
      </c>
      <c r="D145" s="14" t="s">
        <v>2916</v>
      </c>
      <c r="E145" s="14" t="s">
        <v>2917</v>
      </c>
      <c r="F145" s="14" t="s">
        <v>2918</v>
      </c>
      <c r="G145" s="14"/>
      <c r="H145" s="14" t="s">
        <v>2935</v>
      </c>
      <c r="I145" s="14"/>
      <c r="J145" s="14"/>
      <c r="K145" s="14"/>
      <c r="L145" s="14">
        <v>120</v>
      </c>
      <c r="M145" s="14">
        <v>1000</v>
      </c>
      <c r="N145" s="14">
        <v>5</v>
      </c>
      <c r="O145" s="14"/>
      <c r="P145" s="14">
        <v>6.37</v>
      </c>
      <c r="Q145" s="14">
        <v>90</v>
      </c>
      <c r="R145" s="14" t="s">
        <v>2936</v>
      </c>
      <c r="S145" s="14"/>
      <c r="T145" s="14">
        <v>12.9</v>
      </c>
      <c r="U145" s="14">
        <v>1.274</v>
      </c>
      <c r="V145" s="15">
        <v>2.0600000000000002E-3</v>
      </c>
      <c r="W145" s="14" t="s">
        <v>2873</v>
      </c>
      <c r="X145" s="14"/>
      <c r="Y145" s="14"/>
      <c r="Z145" s="14"/>
      <c r="AA145" s="14"/>
      <c r="AB145" s="14"/>
      <c r="AC145" s="14"/>
      <c r="AD145" s="14"/>
      <c r="AE145" s="14"/>
      <c r="AF145" s="14"/>
      <c r="AG145" s="14"/>
      <c r="AH145" s="14" t="s">
        <v>2934</v>
      </c>
      <c r="AI145" s="14"/>
      <c r="AJ145" s="16">
        <v>0.95010000000000006</v>
      </c>
      <c r="AK145" s="14">
        <v>1</v>
      </c>
      <c r="AL145" s="14">
        <v>-5</v>
      </c>
      <c r="AM145" s="14">
        <v>5</v>
      </c>
      <c r="AN145" s="19">
        <v>0</v>
      </c>
      <c r="AO145" s="19">
        <v>3.9144000000000001E-4</v>
      </c>
      <c r="AP145" s="19">
        <v>0</v>
      </c>
      <c r="AQ145" s="19">
        <v>0</v>
      </c>
      <c r="AR145" s="19">
        <v>0</v>
      </c>
      <c r="AS145" s="19">
        <v>0</v>
      </c>
      <c r="AT145" s="19">
        <v>0</v>
      </c>
      <c r="AU145" s="19">
        <v>0</v>
      </c>
      <c r="AV145" s="19">
        <v>0</v>
      </c>
      <c r="AW145" s="19">
        <v>0</v>
      </c>
    </row>
    <row r="146" spans="1:49" ht="17" customHeight="1">
      <c r="A146" s="11" t="s">
        <v>3063</v>
      </c>
      <c r="B146" s="11" t="s">
        <v>3063</v>
      </c>
      <c r="C146" s="14" t="s">
        <v>2867</v>
      </c>
      <c r="D146" s="14" t="s">
        <v>2916</v>
      </c>
      <c r="E146" s="14" t="s">
        <v>2917</v>
      </c>
      <c r="F146" s="14" t="s">
        <v>2918</v>
      </c>
      <c r="G146" s="14"/>
      <c r="H146" s="14" t="s">
        <v>2935</v>
      </c>
      <c r="I146" s="14"/>
      <c r="J146" s="14"/>
      <c r="K146" s="14"/>
      <c r="L146" s="14">
        <v>120</v>
      </c>
      <c r="M146" s="14">
        <v>1000</v>
      </c>
      <c r="N146" s="14">
        <v>5</v>
      </c>
      <c r="O146" s="14"/>
      <c r="P146" s="14">
        <v>6.37</v>
      </c>
      <c r="Q146" s="14">
        <v>90</v>
      </c>
      <c r="R146" s="14" t="s">
        <v>2936</v>
      </c>
      <c r="S146" s="14"/>
      <c r="T146" s="14">
        <v>12.9</v>
      </c>
      <c r="U146" s="14">
        <v>1.274</v>
      </c>
      <c r="V146" s="15">
        <v>2.0600000000000002E-3</v>
      </c>
      <c r="W146" s="14" t="s">
        <v>2873</v>
      </c>
      <c r="X146" s="14"/>
      <c r="Y146" s="14"/>
      <c r="Z146" s="14"/>
      <c r="AA146" s="14"/>
      <c r="AB146" s="14"/>
      <c r="AC146" s="14"/>
      <c r="AD146" s="14"/>
      <c r="AE146" s="14"/>
      <c r="AF146" s="14"/>
      <c r="AG146" s="14"/>
      <c r="AH146" s="14" t="s">
        <v>2934</v>
      </c>
      <c r="AI146" s="14"/>
      <c r="AJ146" s="16">
        <v>0.95010000000000006</v>
      </c>
      <c r="AK146" s="14">
        <v>1</v>
      </c>
      <c r="AL146" s="14">
        <v>-5</v>
      </c>
      <c r="AM146" s="14">
        <v>5</v>
      </c>
      <c r="AN146" s="19">
        <v>0</v>
      </c>
      <c r="AO146" s="19">
        <v>3.9144000000000001E-4</v>
      </c>
      <c r="AP146" s="19">
        <v>0</v>
      </c>
      <c r="AQ146" s="19">
        <v>0</v>
      </c>
      <c r="AR146" s="19">
        <v>0</v>
      </c>
      <c r="AS146" s="19">
        <v>0</v>
      </c>
      <c r="AT146" s="19">
        <v>0</v>
      </c>
      <c r="AU146" s="19">
        <v>0</v>
      </c>
      <c r="AV146" s="19">
        <v>0</v>
      </c>
      <c r="AW146" s="19">
        <v>0</v>
      </c>
    </row>
    <row r="147" spans="1:49" ht="17" customHeight="1">
      <c r="A147" s="11" t="s">
        <v>3064</v>
      </c>
      <c r="B147" s="11" t="s">
        <v>3064</v>
      </c>
      <c r="C147" s="14" t="s">
        <v>2867</v>
      </c>
      <c r="D147" s="14" t="s">
        <v>2916</v>
      </c>
      <c r="E147" s="14" t="s">
        <v>2917</v>
      </c>
      <c r="F147" s="14" t="s">
        <v>2918</v>
      </c>
      <c r="G147" s="14"/>
      <c r="H147" s="14" t="s">
        <v>2935</v>
      </c>
      <c r="I147" s="14"/>
      <c r="J147" s="14"/>
      <c r="K147" s="14"/>
      <c r="L147" s="14">
        <v>120</v>
      </c>
      <c r="M147" s="14">
        <v>1000</v>
      </c>
      <c r="N147" s="14">
        <v>5</v>
      </c>
      <c r="O147" s="14"/>
      <c r="P147" s="14">
        <v>6.37</v>
      </c>
      <c r="Q147" s="14">
        <v>90</v>
      </c>
      <c r="R147" s="14" t="s">
        <v>2936</v>
      </c>
      <c r="S147" s="14"/>
      <c r="T147" s="14">
        <v>12.9</v>
      </c>
      <c r="U147" s="14">
        <v>1.274</v>
      </c>
      <c r="V147" s="15">
        <v>2.0600000000000002E-3</v>
      </c>
      <c r="W147" s="14" t="s">
        <v>2873</v>
      </c>
      <c r="X147" s="14"/>
      <c r="Y147" s="14"/>
      <c r="Z147" s="14"/>
      <c r="AA147" s="14"/>
      <c r="AB147" s="14"/>
      <c r="AC147" s="14"/>
      <c r="AD147" s="14"/>
      <c r="AE147" s="14"/>
      <c r="AF147" s="14"/>
      <c r="AG147" s="14"/>
      <c r="AH147" s="14" t="s">
        <v>2934</v>
      </c>
      <c r="AI147" s="14"/>
      <c r="AJ147" s="16">
        <v>0.95010000000000006</v>
      </c>
      <c r="AK147" s="14">
        <v>1</v>
      </c>
      <c r="AL147" s="14">
        <v>-5</v>
      </c>
      <c r="AM147" s="14">
        <v>5</v>
      </c>
      <c r="AN147" s="19">
        <v>0</v>
      </c>
      <c r="AO147" s="19">
        <v>3.9144000000000001E-4</v>
      </c>
      <c r="AP147" s="19">
        <v>0</v>
      </c>
      <c r="AQ147" s="19">
        <v>0</v>
      </c>
      <c r="AR147" s="19">
        <v>0</v>
      </c>
      <c r="AS147" s="19">
        <v>0</v>
      </c>
      <c r="AT147" s="19">
        <v>0</v>
      </c>
      <c r="AU147" s="19">
        <v>0</v>
      </c>
      <c r="AV147" s="19">
        <v>0</v>
      </c>
      <c r="AW147" s="19">
        <v>0</v>
      </c>
    </row>
    <row r="148" spans="1:49" ht="17" customHeight="1">
      <c r="A148" s="11" t="s">
        <v>3065</v>
      </c>
      <c r="B148" s="11" t="s">
        <v>3065</v>
      </c>
      <c r="C148" s="14" t="s">
        <v>2867</v>
      </c>
      <c r="D148" s="14" t="s">
        <v>2916</v>
      </c>
      <c r="E148" s="14" t="s">
        <v>2917</v>
      </c>
      <c r="F148" s="14" t="s">
        <v>2918</v>
      </c>
      <c r="G148" s="14"/>
      <c r="H148" s="14" t="s">
        <v>2935</v>
      </c>
      <c r="I148" s="14"/>
      <c r="J148" s="14"/>
      <c r="K148" s="14"/>
      <c r="L148" s="14">
        <v>120</v>
      </c>
      <c r="M148" s="14">
        <v>1000</v>
      </c>
      <c r="N148" s="14">
        <v>5</v>
      </c>
      <c r="O148" s="14"/>
      <c r="P148" s="14">
        <v>6.37</v>
      </c>
      <c r="Q148" s="14">
        <v>90</v>
      </c>
      <c r="R148" s="14" t="s">
        <v>2936</v>
      </c>
      <c r="S148" s="14"/>
      <c r="T148" s="14">
        <v>12.9</v>
      </c>
      <c r="U148" s="14">
        <v>1.274</v>
      </c>
      <c r="V148" s="15">
        <v>2.0600000000000002E-3</v>
      </c>
      <c r="W148" s="14" t="s">
        <v>2873</v>
      </c>
      <c r="X148" s="14"/>
      <c r="Y148" s="14"/>
      <c r="Z148" s="14"/>
      <c r="AA148" s="14"/>
      <c r="AB148" s="14"/>
      <c r="AC148" s="14"/>
      <c r="AD148" s="14"/>
      <c r="AE148" s="14"/>
      <c r="AF148" s="14"/>
      <c r="AG148" s="14"/>
      <c r="AH148" s="14" t="s">
        <v>2934</v>
      </c>
      <c r="AI148" s="14"/>
      <c r="AJ148" s="16">
        <v>0.95010000000000006</v>
      </c>
      <c r="AK148" s="14">
        <v>1</v>
      </c>
      <c r="AL148" s="14">
        <v>-5</v>
      </c>
      <c r="AM148" s="14">
        <v>5</v>
      </c>
      <c r="AN148" s="19">
        <v>0</v>
      </c>
      <c r="AO148" s="19">
        <v>3.9144000000000001E-4</v>
      </c>
      <c r="AP148" s="19">
        <v>0</v>
      </c>
      <c r="AQ148" s="19">
        <v>0</v>
      </c>
      <c r="AR148" s="19">
        <v>0</v>
      </c>
      <c r="AS148" s="19">
        <v>0</v>
      </c>
      <c r="AT148" s="19">
        <v>0</v>
      </c>
      <c r="AU148" s="19">
        <v>0</v>
      </c>
      <c r="AV148" s="19">
        <v>0</v>
      </c>
      <c r="AW148" s="19">
        <v>0</v>
      </c>
    </row>
    <row r="149" spans="1:49" ht="17" customHeight="1">
      <c r="A149" s="11" t="s">
        <v>3066</v>
      </c>
      <c r="B149" s="11" t="s">
        <v>3066</v>
      </c>
      <c r="C149" s="14" t="s">
        <v>2867</v>
      </c>
      <c r="D149" s="14" t="s">
        <v>2916</v>
      </c>
      <c r="E149" s="14" t="s">
        <v>2917</v>
      </c>
      <c r="F149" s="14" t="s">
        <v>2918</v>
      </c>
      <c r="G149" s="14"/>
      <c r="H149" s="14" t="s">
        <v>2935</v>
      </c>
      <c r="I149" s="14"/>
      <c r="J149" s="14"/>
      <c r="K149" s="14"/>
      <c r="L149" s="14">
        <v>120</v>
      </c>
      <c r="M149" s="14">
        <v>1000</v>
      </c>
      <c r="N149" s="14">
        <v>5</v>
      </c>
      <c r="O149" s="14"/>
      <c r="P149" s="14">
        <v>6.37</v>
      </c>
      <c r="Q149" s="14">
        <v>90</v>
      </c>
      <c r="R149" s="14" t="s">
        <v>2936</v>
      </c>
      <c r="S149" s="14"/>
      <c r="T149" s="14">
        <v>12.9</v>
      </c>
      <c r="U149" s="14">
        <v>1.274</v>
      </c>
      <c r="V149" s="15">
        <v>2.0600000000000002E-3</v>
      </c>
      <c r="W149" s="14" t="s">
        <v>2873</v>
      </c>
      <c r="X149" s="14"/>
      <c r="Y149" s="14"/>
      <c r="Z149" s="14"/>
      <c r="AA149" s="14"/>
      <c r="AB149" s="14"/>
      <c r="AC149" s="14"/>
      <c r="AD149" s="14"/>
      <c r="AE149" s="14"/>
      <c r="AF149" s="14"/>
      <c r="AG149" s="14"/>
      <c r="AH149" s="14" t="s">
        <v>2934</v>
      </c>
      <c r="AI149" s="14"/>
      <c r="AJ149" s="16">
        <v>0.95010000000000006</v>
      </c>
      <c r="AK149" s="14">
        <v>1</v>
      </c>
      <c r="AL149" s="14">
        <v>-5</v>
      </c>
      <c r="AM149" s="14">
        <v>5</v>
      </c>
      <c r="AN149" s="19">
        <v>0</v>
      </c>
      <c r="AO149" s="19">
        <v>3.9144000000000001E-4</v>
      </c>
      <c r="AP149" s="19">
        <v>0</v>
      </c>
      <c r="AQ149" s="19">
        <v>0</v>
      </c>
      <c r="AR149" s="19">
        <v>0</v>
      </c>
      <c r="AS149" s="19">
        <v>0</v>
      </c>
      <c r="AT149" s="19">
        <v>0</v>
      </c>
      <c r="AU149" s="19">
        <v>0</v>
      </c>
      <c r="AV149" s="19">
        <v>0</v>
      </c>
      <c r="AW149" s="19">
        <v>0</v>
      </c>
    </row>
    <row r="150" spans="1:49" ht="17" customHeight="1">
      <c r="A150" s="11" t="s">
        <v>3067</v>
      </c>
      <c r="B150" s="11" t="s">
        <v>3067</v>
      </c>
      <c r="C150" s="14" t="s">
        <v>2867</v>
      </c>
      <c r="D150" s="14" t="s">
        <v>2916</v>
      </c>
      <c r="E150" s="14" t="s">
        <v>2917</v>
      </c>
      <c r="F150" s="14" t="s">
        <v>2918</v>
      </c>
      <c r="G150" s="14"/>
      <c r="H150" s="14" t="s">
        <v>2935</v>
      </c>
      <c r="I150" s="14"/>
      <c r="J150" s="14"/>
      <c r="K150" s="14"/>
      <c r="L150" s="14">
        <v>120</v>
      </c>
      <c r="M150" s="14">
        <v>1000</v>
      </c>
      <c r="N150" s="14">
        <v>5</v>
      </c>
      <c r="O150" s="14"/>
      <c r="P150" s="14">
        <v>6.37</v>
      </c>
      <c r="Q150" s="14">
        <v>90</v>
      </c>
      <c r="R150" s="14" t="s">
        <v>2936</v>
      </c>
      <c r="S150" s="14"/>
      <c r="T150" s="14">
        <v>12.9</v>
      </c>
      <c r="U150" s="14">
        <v>1.274</v>
      </c>
      <c r="V150" s="15">
        <v>2.0600000000000002E-3</v>
      </c>
      <c r="W150" s="14" t="s">
        <v>2873</v>
      </c>
      <c r="X150" s="14"/>
      <c r="Y150" s="14"/>
      <c r="Z150" s="14"/>
      <c r="AA150" s="14"/>
      <c r="AB150" s="14"/>
      <c r="AC150" s="14"/>
      <c r="AD150" s="14"/>
      <c r="AE150" s="14"/>
      <c r="AF150" s="14"/>
      <c r="AG150" s="14"/>
      <c r="AH150" s="18" t="s">
        <v>2934</v>
      </c>
      <c r="AI150" s="14"/>
      <c r="AJ150" s="16">
        <v>0.95010000000000006</v>
      </c>
      <c r="AK150" s="14">
        <v>1</v>
      </c>
      <c r="AL150" s="14">
        <v>-5</v>
      </c>
      <c r="AM150" s="14">
        <v>5</v>
      </c>
      <c r="AN150" s="19">
        <v>0</v>
      </c>
      <c r="AO150" s="19">
        <v>3.9144000000000001E-4</v>
      </c>
      <c r="AP150" s="19">
        <v>0</v>
      </c>
      <c r="AQ150" s="19">
        <v>0</v>
      </c>
      <c r="AR150" s="19">
        <v>0</v>
      </c>
      <c r="AS150" s="19">
        <v>0</v>
      </c>
      <c r="AT150" s="19">
        <v>0</v>
      </c>
      <c r="AU150" s="19">
        <v>0</v>
      </c>
      <c r="AV150" s="19">
        <v>0</v>
      </c>
      <c r="AW150" s="19">
        <v>0</v>
      </c>
    </row>
    <row r="151" spans="1:49" ht="17" customHeight="1">
      <c r="A151" s="11" t="s">
        <v>3068</v>
      </c>
      <c r="B151" s="11" t="s">
        <v>3068</v>
      </c>
      <c r="C151" s="18" t="s">
        <v>2867</v>
      </c>
      <c r="D151" s="18" t="s">
        <v>2916</v>
      </c>
      <c r="E151" s="18" t="s">
        <v>2917</v>
      </c>
      <c r="F151" s="18" t="s">
        <v>2918</v>
      </c>
      <c r="G151" s="14"/>
      <c r="H151" s="18" t="s">
        <v>2935</v>
      </c>
      <c r="I151" s="14"/>
      <c r="J151" s="14"/>
      <c r="K151" s="14"/>
      <c r="L151" s="18">
        <v>120</v>
      </c>
      <c r="M151" s="18">
        <v>1000</v>
      </c>
      <c r="N151" s="18">
        <v>5</v>
      </c>
      <c r="O151" s="14"/>
      <c r="P151" s="18">
        <v>6.37</v>
      </c>
      <c r="Q151" s="18">
        <v>90</v>
      </c>
      <c r="R151" s="18" t="s">
        <v>2936</v>
      </c>
      <c r="S151" s="18"/>
      <c r="T151" s="18">
        <v>12.9</v>
      </c>
      <c r="U151" s="18">
        <v>1.274</v>
      </c>
      <c r="V151" s="20">
        <v>2.0600000000000002E-3</v>
      </c>
      <c r="W151" s="18" t="s">
        <v>2873</v>
      </c>
      <c r="X151" s="14"/>
      <c r="Y151" s="14"/>
      <c r="Z151" s="14"/>
      <c r="AA151" s="14"/>
      <c r="AB151" s="14"/>
      <c r="AC151" s="14"/>
      <c r="AD151" s="14"/>
      <c r="AE151" s="14"/>
      <c r="AF151" s="14"/>
      <c r="AG151" s="14"/>
      <c r="AH151" s="18" t="s">
        <v>2934</v>
      </c>
      <c r="AI151" s="14"/>
      <c r="AJ151" s="21">
        <v>0.95010000000000006</v>
      </c>
      <c r="AK151" s="18">
        <v>1</v>
      </c>
      <c r="AL151" s="18">
        <v>-5</v>
      </c>
      <c r="AM151" s="18">
        <v>5</v>
      </c>
      <c r="AN151" s="17">
        <v>0</v>
      </c>
      <c r="AO151" s="17">
        <v>3.9144000000000001E-4</v>
      </c>
      <c r="AP151" s="19">
        <v>0</v>
      </c>
      <c r="AQ151" s="19">
        <v>0</v>
      </c>
      <c r="AR151" s="19">
        <v>0</v>
      </c>
      <c r="AS151" s="19">
        <v>0</v>
      </c>
      <c r="AT151" s="19">
        <v>0</v>
      </c>
      <c r="AU151" s="19">
        <v>0</v>
      </c>
      <c r="AV151" s="19">
        <v>0</v>
      </c>
      <c r="AW151" s="19">
        <v>0</v>
      </c>
    </row>
    <row r="152" spans="1:49" ht="17" customHeight="1">
      <c r="A152" s="11" t="s">
        <v>3069</v>
      </c>
      <c r="B152" s="11" t="s">
        <v>3069</v>
      </c>
      <c r="C152" s="18" t="s">
        <v>2867</v>
      </c>
      <c r="D152" s="18" t="s">
        <v>2916</v>
      </c>
      <c r="E152" s="18" t="s">
        <v>2917</v>
      </c>
      <c r="F152" s="18" t="s">
        <v>2918</v>
      </c>
      <c r="G152" s="14"/>
      <c r="H152" s="18" t="s">
        <v>2935</v>
      </c>
      <c r="I152" s="14"/>
      <c r="J152" s="14"/>
      <c r="K152" s="14"/>
      <c r="L152" s="18">
        <v>120</v>
      </c>
      <c r="M152" s="18">
        <v>1000</v>
      </c>
      <c r="N152" s="18">
        <v>5</v>
      </c>
      <c r="O152" s="14"/>
      <c r="P152" s="18">
        <v>6.37</v>
      </c>
      <c r="Q152" s="18">
        <v>90</v>
      </c>
      <c r="R152" s="18" t="s">
        <v>2936</v>
      </c>
      <c r="S152" s="18"/>
      <c r="T152" s="18">
        <v>12.9</v>
      </c>
      <c r="U152" s="18">
        <v>1.274</v>
      </c>
      <c r="V152" s="20">
        <v>2.0600000000000002E-3</v>
      </c>
      <c r="W152" s="18" t="s">
        <v>2873</v>
      </c>
      <c r="X152" s="14"/>
      <c r="Y152" s="14"/>
      <c r="Z152" s="14"/>
      <c r="AA152" s="14"/>
      <c r="AB152" s="14"/>
      <c r="AC152" s="14"/>
      <c r="AD152" s="14"/>
      <c r="AE152" s="14"/>
      <c r="AF152" s="14"/>
      <c r="AG152" s="14"/>
      <c r="AH152" s="18" t="s">
        <v>2934</v>
      </c>
      <c r="AI152" s="14"/>
      <c r="AJ152" s="21">
        <v>0.95010000000000006</v>
      </c>
      <c r="AK152" s="18">
        <v>1</v>
      </c>
      <c r="AL152" s="18">
        <v>-5</v>
      </c>
      <c r="AM152" s="18">
        <v>5</v>
      </c>
      <c r="AN152" s="17">
        <v>0</v>
      </c>
      <c r="AO152" s="17">
        <v>3.9144000000000001E-4</v>
      </c>
      <c r="AP152" s="19">
        <v>0</v>
      </c>
      <c r="AQ152" s="19">
        <v>0</v>
      </c>
      <c r="AR152" s="19">
        <v>0</v>
      </c>
      <c r="AS152" s="19">
        <v>0</v>
      </c>
      <c r="AT152" s="19">
        <v>0</v>
      </c>
      <c r="AU152" s="19">
        <v>0</v>
      </c>
      <c r="AV152" s="19">
        <v>0</v>
      </c>
      <c r="AW152" s="19">
        <v>0</v>
      </c>
    </row>
    <row r="153" spans="1:49" ht="17" customHeight="1">
      <c r="A153" s="11" t="s">
        <v>3070</v>
      </c>
      <c r="B153" s="11" t="s">
        <v>3070</v>
      </c>
      <c r="C153" s="18" t="s">
        <v>2867</v>
      </c>
      <c r="D153" s="18" t="s">
        <v>2916</v>
      </c>
      <c r="E153" s="18" t="s">
        <v>2917</v>
      </c>
      <c r="F153" s="18" t="s">
        <v>2918</v>
      </c>
      <c r="G153" s="14"/>
      <c r="H153" s="18" t="s">
        <v>2935</v>
      </c>
      <c r="I153" s="14"/>
      <c r="J153" s="14"/>
      <c r="K153" s="14"/>
      <c r="L153" s="18">
        <v>120</v>
      </c>
      <c r="M153" s="18">
        <v>1000</v>
      </c>
      <c r="N153" s="18">
        <v>5</v>
      </c>
      <c r="O153" s="14"/>
      <c r="P153" s="18">
        <v>6.37</v>
      </c>
      <c r="Q153" s="18">
        <v>90</v>
      </c>
      <c r="R153" s="18" t="s">
        <v>2936</v>
      </c>
      <c r="S153" s="18"/>
      <c r="T153" s="18">
        <v>12.9</v>
      </c>
      <c r="U153" s="18">
        <v>1.274</v>
      </c>
      <c r="V153" s="20">
        <v>2.0600000000000002E-3</v>
      </c>
      <c r="W153" s="18" t="s">
        <v>2873</v>
      </c>
      <c r="X153" s="14"/>
      <c r="Y153" s="14"/>
      <c r="Z153" s="14"/>
      <c r="AA153" s="14"/>
      <c r="AB153" s="14"/>
      <c r="AC153" s="14"/>
      <c r="AD153" s="14"/>
      <c r="AE153" s="14"/>
      <c r="AF153" s="14"/>
      <c r="AG153" s="14"/>
      <c r="AH153" s="18" t="s">
        <v>2934</v>
      </c>
      <c r="AI153" s="14"/>
      <c r="AJ153" s="21">
        <v>0.95010000000000006</v>
      </c>
      <c r="AK153" s="18">
        <v>1</v>
      </c>
      <c r="AL153" s="18">
        <v>-5</v>
      </c>
      <c r="AM153" s="18">
        <v>5</v>
      </c>
      <c r="AN153" s="17">
        <v>0</v>
      </c>
      <c r="AO153" s="17">
        <v>3.9144000000000001E-4</v>
      </c>
      <c r="AP153" s="19">
        <v>0</v>
      </c>
      <c r="AQ153" s="19">
        <v>0</v>
      </c>
      <c r="AR153" s="19">
        <v>0</v>
      </c>
      <c r="AS153" s="19">
        <v>0</v>
      </c>
      <c r="AT153" s="19">
        <v>0</v>
      </c>
      <c r="AU153" s="19">
        <v>0</v>
      </c>
      <c r="AV153" s="19">
        <v>0</v>
      </c>
      <c r="AW153" s="19">
        <v>0</v>
      </c>
    </row>
    <row r="154" spans="1:49" ht="17" customHeight="1">
      <c r="A154" s="11" t="s">
        <v>3071</v>
      </c>
      <c r="B154" s="11" t="s">
        <v>3071</v>
      </c>
      <c r="C154" s="18" t="s">
        <v>2867</v>
      </c>
      <c r="D154" s="18" t="s">
        <v>2916</v>
      </c>
      <c r="E154" s="18" t="s">
        <v>2917</v>
      </c>
      <c r="F154" s="18" t="s">
        <v>2918</v>
      </c>
      <c r="G154" s="14"/>
      <c r="H154" s="18" t="s">
        <v>2935</v>
      </c>
      <c r="I154" s="14"/>
      <c r="J154" s="14"/>
      <c r="K154" s="14"/>
      <c r="L154" s="18">
        <v>120</v>
      </c>
      <c r="M154" s="18">
        <v>1000</v>
      </c>
      <c r="N154" s="18">
        <v>5</v>
      </c>
      <c r="O154" s="14"/>
      <c r="P154" s="18">
        <v>6.37</v>
      </c>
      <c r="Q154" s="18">
        <v>90</v>
      </c>
      <c r="R154" s="18" t="s">
        <v>2936</v>
      </c>
      <c r="S154" s="18"/>
      <c r="T154" s="18">
        <v>12.9</v>
      </c>
      <c r="U154" s="18">
        <v>1.274</v>
      </c>
      <c r="V154" s="20">
        <v>2.0600000000000002E-3</v>
      </c>
      <c r="W154" s="18" t="s">
        <v>2873</v>
      </c>
      <c r="X154" s="14"/>
      <c r="Y154" s="14"/>
      <c r="Z154" s="14"/>
      <c r="AA154" s="14"/>
      <c r="AB154" s="14"/>
      <c r="AC154" s="14"/>
      <c r="AD154" s="14"/>
      <c r="AE154" s="14"/>
      <c r="AF154" s="14"/>
      <c r="AG154" s="14"/>
      <c r="AH154" s="18" t="s">
        <v>2934</v>
      </c>
      <c r="AI154" s="14"/>
      <c r="AJ154" s="21">
        <v>0.95010000000000006</v>
      </c>
      <c r="AK154" s="18">
        <v>1</v>
      </c>
      <c r="AL154" s="18">
        <v>-5</v>
      </c>
      <c r="AM154" s="18">
        <v>5</v>
      </c>
      <c r="AN154" s="17">
        <v>0</v>
      </c>
      <c r="AO154" s="17">
        <v>3.9144000000000001E-4</v>
      </c>
      <c r="AP154" s="19">
        <v>0</v>
      </c>
      <c r="AQ154" s="19">
        <v>0</v>
      </c>
      <c r="AR154" s="19">
        <v>0</v>
      </c>
      <c r="AS154" s="19">
        <v>0</v>
      </c>
      <c r="AT154" s="19">
        <v>0</v>
      </c>
      <c r="AU154" s="19">
        <v>0</v>
      </c>
      <c r="AV154" s="19">
        <v>0</v>
      </c>
      <c r="AW154" s="19">
        <v>0</v>
      </c>
    </row>
    <row r="155" spans="1:49" ht="17" customHeight="1">
      <c r="A155" s="11" t="s">
        <v>3072</v>
      </c>
      <c r="B155" s="11" t="s">
        <v>3072</v>
      </c>
      <c r="C155" s="18" t="s">
        <v>2867</v>
      </c>
      <c r="D155" s="18" t="s">
        <v>2916</v>
      </c>
      <c r="E155" s="18" t="s">
        <v>2917</v>
      </c>
      <c r="F155" s="18" t="s">
        <v>2918</v>
      </c>
      <c r="G155" s="14"/>
      <c r="H155" s="18" t="s">
        <v>2935</v>
      </c>
      <c r="I155" s="14"/>
      <c r="J155" s="14"/>
      <c r="K155" s="14"/>
      <c r="L155" s="18">
        <v>120</v>
      </c>
      <c r="M155" s="18">
        <v>1000</v>
      </c>
      <c r="N155" s="18">
        <v>5</v>
      </c>
      <c r="O155" s="14"/>
      <c r="P155" s="18">
        <v>6.37</v>
      </c>
      <c r="Q155" s="18">
        <v>90</v>
      </c>
      <c r="R155" s="18" t="s">
        <v>2936</v>
      </c>
      <c r="S155" s="18"/>
      <c r="T155" s="18">
        <v>12.9</v>
      </c>
      <c r="U155" s="18">
        <v>1.274</v>
      </c>
      <c r="V155" s="20">
        <v>2.0600000000000002E-3</v>
      </c>
      <c r="W155" s="18" t="s">
        <v>2873</v>
      </c>
      <c r="X155" s="14"/>
      <c r="Y155" s="14"/>
      <c r="Z155" s="14"/>
      <c r="AA155" s="14"/>
      <c r="AB155" s="14"/>
      <c r="AC155" s="14"/>
      <c r="AD155" s="14"/>
      <c r="AE155" s="14"/>
      <c r="AF155" s="14"/>
      <c r="AG155" s="14"/>
      <c r="AH155" s="18" t="s">
        <v>2934</v>
      </c>
      <c r="AI155" s="14"/>
      <c r="AJ155" s="21">
        <v>0.95010000000000006</v>
      </c>
      <c r="AK155" s="18">
        <v>1</v>
      </c>
      <c r="AL155" s="18">
        <v>-5</v>
      </c>
      <c r="AM155" s="18">
        <v>5</v>
      </c>
      <c r="AN155" s="17">
        <v>0</v>
      </c>
      <c r="AO155" s="17">
        <v>3.9144000000000001E-4</v>
      </c>
      <c r="AP155" s="19">
        <v>0</v>
      </c>
      <c r="AQ155" s="19">
        <v>0</v>
      </c>
      <c r="AR155" s="19">
        <v>0</v>
      </c>
      <c r="AS155" s="19">
        <v>0</v>
      </c>
      <c r="AT155" s="19">
        <v>0</v>
      </c>
      <c r="AU155" s="19">
        <v>0</v>
      </c>
      <c r="AV155" s="19">
        <v>0</v>
      </c>
      <c r="AW155" s="19">
        <v>0</v>
      </c>
    </row>
    <row r="156" spans="1:49" ht="17" customHeight="1">
      <c r="A156" s="11" t="s">
        <v>3073</v>
      </c>
      <c r="B156" s="11" t="s">
        <v>3073</v>
      </c>
      <c r="C156" s="18" t="s">
        <v>2867</v>
      </c>
      <c r="D156" s="18" t="s">
        <v>2916</v>
      </c>
      <c r="E156" s="18" t="s">
        <v>2917</v>
      </c>
      <c r="F156" s="18" t="s">
        <v>2918</v>
      </c>
      <c r="G156" s="14"/>
      <c r="H156" s="18" t="s">
        <v>2935</v>
      </c>
      <c r="I156" s="14"/>
      <c r="J156" s="14"/>
      <c r="K156" s="14"/>
      <c r="L156" s="18">
        <v>120</v>
      </c>
      <c r="M156" s="18">
        <v>1000</v>
      </c>
      <c r="N156" s="18">
        <v>5</v>
      </c>
      <c r="O156" s="14"/>
      <c r="P156" s="18">
        <v>6.37</v>
      </c>
      <c r="Q156" s="18">
        <v>90</v>
      </c>
      <c r="R156" s="18" t="s">
        <v>2936</v>
      </c>
      <c r="S156" s="18"/>
      <c r="T156" s="18">
        <v>12.9</v>
      </c>
      <c r="U156" s="18">
        <v>1.274</v>
      </c>
      <c r="V156" s="20">
        <v>2.0600000000000002E-3</v>
      </c>
      <c r="W156" s="18" t="s">
        <v>2873</v>
      </c>
      <c r="X156" s="14"/>
      <c r="Y156" s="14"/>
      <c r="Z156" s="14"/>
      <c r="AA156" s="14"/>
      <c r="AB156" s="14"/>
      <c r="AC156" s="14"/>
      <c r="AD156" s="14"/>
      <c r="AE156" s="14"/>
      <c r="AF156" s="14"/>
      <c r="AG156" s="14"/>
      <c r="AH156" s="18" t="s">
        <v>2934</v>
      </c>
      <c r="AI156" s="14"/>
      <c r="AJ156" s="21">
        <v>0.95010000000000006</v>
      </c>
      <c r="AK156" s="18">
        <v>1</v>
      </c>
      <c r="AL156" s="18">
        <v>-5</v>
      </c>
      <c r="AM156" s="18">
        <v>5</v>
      </c>
      <c r="AN156" s="17">
        <v>0</v>
      </c>
      <c r="AO156" s="17">
        <v>3.9144000000000001E-4</v>
      </c>
      <c r="AP156" s="19">
        <v>0</v>
      </c>
      <c r="AQ156" s="19">
        <v>0</v>
      </c>
      <c r="AR156" s="19">
        <v>0</v>
      </c>
      <c r="AS156" s="19">
        <v>0</v>
      </c>
      <c r="AT156" s="19">
        <v>0</v>
      </c>
      <c r="AU156" s="19">
        <v>0</v>
      </c>
      <c r="AV156" s="19">
        <v>0</v>
      </c>
      <c r="AW156" s="19">
        <v>0</v>
      </c>
    </row>
    <row r="157" spans="1:49" ht="17" customHeight="1">
      <c r="A157" s="11" t="s">
        <v>3074</v>
      </c>
      <c r="B157" s="11" t="s">
        <v>3074</v>
      </c>
      <c r="C157" s="18" t="s">
        <v>2867</v>
      </c>
      <c r="D157" s="18" t="s">
        <v>2916</v>
      </c>
      <c r="E157" s="18" t="s">
        <v>2927</v>
      </c>
      <c r="F157" s="18" t="s">
        <v>2918</v>
      </c>
      <c r="G157" s="14"/>
      <c r="H157" s="18" t="s">
        <v>3050</v>
      </c>
      <c r="I157" s="14"/>
      <c r="J157" s="14"/>
      <c r="K157" s="14"/>
      <c r="L157" s="18">
        <v>23</v>
      </c>
      <c r="M157" s="18">
        <v>120</v>
      </c>
      <c r="N157" s="18">
        <v>20</v>
      </c>
      <c r="O157" s="14"/>
      <c r="P157" s="18">
        <v>17</v>
      </c>
      <c r="Q157" s="18">
        <v>183</v>
      </c>
      <c r="R157" s="18">
        <v>3</v>
      </c>
      <c r="S157" s="18"/>
      <c r="T157" s="18">
        <v>24</v>
      </c>
      <c r="U157" s="18">
        <v>0.85</v>
      </c>
      <c r="V157" s="20">
        <v>57.6</v>
      </c>
      <c r="W157" s="18" t="s">
        <v>2975</v>
      </c>
      <c r="X157" s="14"/>
      <c r="Y157" s="14"/>
      <c r="Z157" s="14"/>
      <c r="AA157" s="14"/>
      <c r="AB157" s="14"/>
      <c r="AC157" s="14"/>
      <c r="AD157" s="14"/>
      <c r="AE157" s="14"/>
      <c r="AF157" s="14"/>
      <c r="AG157" s="14"/>
      <c r="AH157" s="18" t="s">
        <v>3049</v>
      </c>
      <c r="AI157" s="14"/>
      <c r="AJ157" s="21">
        <v>0.1333</v>
      </c>
      <c r="AK157" s="18">
        <v>1</v>
      </c>
      <c r="AL157" s="18">
        <v>0</v>
      </c>
      <c r="AM157" s="18">
        <v>20</v>
      </c>
      <c r="AN157" s="17">
        <v>-2.8198695230000001E-3</v>
      </c>
      <c r="AO157" s="17">
        <v>0.51651450575000002</v>
      </c>
      <c r="AP157" s="19">
        <v>-6.8785152745000008E-2</v>
      </c>
      <c r="AQ157" s="19">
        <v>2.9945863662E-2</v>
      </c>
      <c r="AR157" s="19">
        <v>-6.2236950204999997E-3</v>
      </c>
      <c r="AS157" s="19">
        <v>6.8614969968000007E-4</v>
      </c>
      <c r="AT157" s="19">
        <v>-4.1043276615000003E-5</v>
      </c>
      <c r="AU157" s="19">
        <v>1.2523765609E-6</v>
      </c>
      <c r="AV157" s="19">
        <v>-1.5267979383999999E-8</v>
      </c>
      <c r="AW157" s="19">
        <v>0</v>
      </c>
    </row>
    <row r="158" spans="1:49" ht="17" customHeight="1">
      <c r="A158" s="11" t="s">
        <v>3075</v>
      </c>
      <c r="B158" s="11" t="s">
        <v>3075</v>
      </c>
      <c r="C158" s="18" t="s">
        <v>2867</v>
      </c>
      <c r="D158" s="18" t="s">
        <v>2916</v>
      </c>
      <c r="E158" s="18" t="s">
        <v>2927</v>
      </c>
      <c r="F158" s="18" t="s">
        <v>2918</v>
      </c>
      <c r="G158" s="14"/>
      <c r="H158" s="18" t="s">
        <v>3050</v>
      </c>
      <c r="I158" s="14"/>
      <c r="J158" s="14"/>
      <c r="K158" s="14"/>
      <c r="L158" s="18">
        <v>23</v>
      </c>
      <c r="M158" s="18">
        <v>240</v>
      </c>
      <c r="N158" s="18">
        <v>20</v>
      </c>
      <c r="O158" s="14"/>
      <c r="P158" s="18">
        <v>25.8</v>
      </c>
      <c r="Q158" s="18">
        <v>183</v>
      </c>
      <c r="R158" s="18">
        <v>3</v>
      </c>
      <c r="S158" s="18"/>
      <c r="T158" s="18">
        <v>34</v>
      </c>
      <c r="U158" s="18">
        <v>1.29</v>
      </c>
      <c r="V158" s="20">
        <v>60.2</v>
      </c>
      <c r="W158" s="18" t="s">
        <v>2975</v>
      </c>
      <c r="X158" s="14"/>
      <c r="Y158" s="14"/>
      <c r="Z158" s="14"/>
      <c r="AA158" s="14"/>
      <c r="AB158" s="14"/>
      <c r="AC158" s="14"/>
      <c r="AD158" s="14"/>
      <c r="AE158" s="14"/>
      <c r="AF158" s="14"/>
      <c r="AG158" s="14"/>
      <c r="AH158" s="18" t="s">
        <v>3051</v>
      </c>
      <c r="AI158" s="14"/>
      <c r="AJ158" s="21">
        <v>0.25219999999999998</v>
      </c>
      <c r="AK158" s="18">
        <v>1</v>
      </c>
      <c r="AL158" s="18">
        <v>0</v>
      </c>
      <c r="AM158" s="18">
        <v>20</v>
      </c>
      <c r="AN158" s="17">
        <v>3.0090879831999998E-3</v>
      </c>
      <c r="AO158" s="17">
        <v>0.86278724635999993</v>
      </c>
      <c r="AP158" s="19">
        <v>-1.03519792532E-2</v>
      </c>
      <c r="AQ158" s="19">
        <v>3.7909604408000001E-3</v>
      </c>
      <c r="AR158" s="19">
        <v>-4.2047227872000001E-4</v>
      </c>
      <c r="AS158" s="19">
        <v>-7.1765066073999992E-6</v>
      </c>
      <c r="AT158" s="19">
        <v>4.375403928999999E-6</v>
      </c>
      <c r="AU158" s="19">
        <v>-2.7862589429999999E-7</v>
      </c>
      <c r="AV158" s="19">
        <v>5.4157443131999992E-9</v>
      </c>
      <c r="AW158" s="19">
        <v>0</v>
      </c>
    </row>
    <row r="159" spans="1:49" ht="17" customHeight="1">
      <c r="A159" s="11" t="s">
        <v>3076</v>
      </c>
      <c r="B159" s="11" t="s">
        <v>3076</v>
      </c>
      <c r="C159" s="18" t="s">
        <v>2867</v>
      </c>
      <c r="D159" s="18" t="s">
        <v>2916</v>
      </c>
      <c r="E159" s="18" t="s">
        <v>2927</v>
      </c>
      <c r="F159" s="18" t="s">
        <v>2918</v>
      </c>
      <c r="G159" s="14"/>
      <c r="H159" s="18" t="s">
        <v>3050</v>
      </c>
      <c r="I159" s="14"/>
      <c r="J159" s="14"/>
      <c r="K159" s="14"/>
      <c r="L159" s="18">
        <v>23</v>
      </c>
      <c r="M159" s="18">
        <v>120</v>
      </c>
      <c r="N159" s="18">
        <v>20</v>
      </c>
      <c r="O159" s="14"/>
      <c r="P159" s="18">
        <v>17</v>
      </c>
      <c r="Q159" s="18">
        <v>183</v>
      </c>
      <c r="R159" s="18">
        <v>3</v>
      </c>
      <c r="S159" s="18"/>
      <c r="T159" s="18">
        <v>24</v>
      </c>
      <c r="U159" s="18">
        <v>0.85</v>
      </c>
      <c r="V159" s="20">
        <v>57.6</v>
      </c>
      <c r="W159" s="18" t="s">
        <v>2975</v>
      </c>
      <c r="X159" s="14"/>
      <c r="Y159" s="14"/>
      <c r="Z159" s="14"/>
      <c r="AA159" s="14"/>
      <c r="AB159" s="14"/>
      <c r="AC159" s="14"/>
      <c r="AD159" s="14"/>
      <c r="AE159" s="14"/>
      <c r="AF159" s="14"/>
      <c r="AG159" s="14"/>
      <c r="AH159" s="18" t="s">
        <v>3049</v>
      </c>
      <c r="AI159" s="14"/>
      <c r="AJ159" s="21">
        <v>0.1333</v>
      </c>
      <c r="AK159" s="18">
        <v>1</v>
      </c>
      <c r="AL159" s="18">
        <v>0</v>
      </c>
      <c r="AM159" s="18">
        <v>20</v>
      </c>
      <c r="AN159" s="17">
        <v>-2.8198695230000001E-3</v>
      </c>
      <c r="AO159" s="17">
        <v>0.51651450575000002</v>
      </c>
      <c r="AP159" s="19">
        <v>-6.8785152745000008E-2</v>
      </c>
      <c r="AQ159" s="19">
        <v>2.9945863662E-2</v>
      </c>
      <c r="AR159" s="19">
        <v>-6.2236950204999997E-3</v>
      </c>
      <c r="AS159" s="19">
        <v>6.8614969968000007E-4</v>
      </c>
      <c r="AT159" s="19">
        <v>-4.1043276615000003E-5</v>
      </c>
      <c r="AU159" s="19">
        <v>1.2523765609E-6</v>
      </c>
      <c r="AV159" s="19">
        <v>-1.5267979383999999E-8</v>
      </c>
      <c r="AW159" s="19">
        <v>0</v>
      </c>
    </row>
    <row r="160" spans="1:49" ht="17" customHeight="1">
      <c r="A160" s="11" t="s">
        <v>3077</v>
      </c>
      <c r="B160" s="11" t="s">
        <v>3077</v>
      </c>
      <c r="C160" s="18" t="s">
        <v>2867</v>
      </c>
      <c r="D160" s="18" t="s">
        <v>2916</v>
      </c>
      <c r="E160" s="18" t="s">
        <v>2927</v>
      </c>
      <c r="F160" s="18" t="s">
        <v>2918</v>
      </c>
      <c r="G160" s="14"/>
      <c r="H160" s="18" t="s">
        <v>3050</v>
      </c>
      <c r="I160" s="14"/>
      <c r="J160" s="14"/>
      <c r="K160" s="14"/>
      <c r="L160" s="18">
        <v>23</v>
      </c>
      <c r="M160" s="18">
        <v>240</v>
      </c>
      <c r="N160" s="18">
        <v>20</v>
      </c>
      <c r="O160" s="14"/>
      <c r="P160" s="18">
        <v>25.8</v>
      </c>
      <c r="Q160" s="18">
        <v>183</v>
      </c>
      <c r="R160" s="18">
        <v>3</v>
      </c>
      <c r="S160" s="18"/>
      <c r="T160" s="18">
        <v>34</v>
      </c>
      <c r="U160" s="18">
        <v>1.29</v>
      </c>
      <c r="V160" s="20">
        <v>60.2</v>
      </c>
      <c r="W160" s="18" t="s">
        <v>2975</v>
      </c>
      <c r="X160" s="14"/>
      <c r="Y160" s="14"/>
      <c r="Z160" s="14"/>
      <c r="AA160" s="14"/>
      <c r="AB160" s="14"/>
      <c r="AC160" s="14"/>
      <c r="AD160" s="14"/>
      <c r="AE160" s="14"/>
      <c r="AF160" s="14"/>
      <c r="AG160" s="14"/>
      <c r="AH160" s="18" t="s">
        <v>3051</v>
      </c>
      <c r="AI160" s="14"/>
      <c r="AJ160" s="21">
        <v>0.25219999999999998</v>
      </c>
      <c r="AK160" s="18">
        <v>1</v>
      </c>
      <c r="AL160" s="18">
        <v>0</v>
      </c>
      <c r="AM160" s="18">
        <v>20</v>
      </c>
      <c r="AN160" s="17">
        <v>3.0090879831999998E-3</v>
      </c>
      <c r="AO160" s="17">
        <v>0.86278724635999993</v>
      </c>
      <c r="AP160" s="19">
        <v>-1.03519792532E-2</v>
      </c>
      <c r="AQ160" s="19">
        <v>3.7909604408000001E-3</v>
      </c>
      <c r="AR160" s="19">
        <v>-4.2047227872000001E-4</v>
      </c>
      <c r="AS160" s="19">
        <v>-7.1765066073999992E-6</v>
      </c>
      <c r="AT160" s="19">
        <v>4.375403928999999E-6</v>
      </c>
      <c r="AU160" s="19">
        <v>-2.7862589429999999E-7</v>
      </c>
      <c r="AV160" s="19">
        <v>5.4157443131999992E-9</v>
      </c>
      <c r="AW160" s="19">
        <v>0</v>
      </c>
    </row>
    <row r="161" spans="1:49" ht="17" customHeight="1">
      <c r="A161" s="11" t="s">
        <v>3078</v>
      </c>
      <c r="B161" s="11" t="s">
        <v>3078</v>
      </c>
      <c r="C161" s="18" t="s">
        <v>2867</v>
      </c>
      <c r="D161" s="18" t="s">
        <v>2916</v>
      </c>
      <c r="E161" s="18" t="s">
        <v>2927</v>
      </c>
      <c r="F161" s="18" t="s">
        <v>2918</v>
      </c>
      <c r="G161" s="14"/>
      <c r="H161" s="18" t="s">
        <v>3050</v>
      </c>
      <c r="I161" s="14"/>
      <c r="J161" s="14"/>
      <c r="K161" s="14"/>
      <c r="L161" s="18">
        <v>23</v>
      </c>
      <c r="M161" s="18">
        <v>120</v>
      </c>
      <c r="N161" s="18">
        <v>20</v>
      </c>
      <c r="O161" s="14"/>
      <c r="P161" s="18">
        <v>17</v>
      </c>
      <c r="Q161" s="18">
        <v>183</v>
      </c>
      <c r="R161" s="18">
        <v>3</v>
      </c>
      <c r="S161" s="18"/>
      <c r="T161" s="18">
        <v>24</v>
      </c>
      <c r="U161" s="18">
        <v>0.85</v>
      </c>
      <c r="V161" s="20">
        <v>57.6</v>
      </c>
      <c r="W161" s="18" t="s">
        <v>2975</v>
      </c>
      <c r="X161" s="14"/>
      <c r="Y161" s="14"/>
      <c r="Z161" s="14"/>
      <c r="AA161" s="14"/>
      <c r="AB161" s="14"/>
      <c r="AC161" s="14"/>
      <c r="AD161" s="14"/>
      <c r="AE161" s="14"/>
      <c r="AF161" s="14"/>
      <c r="AG161" s="14"/>
      <c r="AH161" s="18" t="s">
        <v>3049</v>
      </c>
      <c r="AI161" s="14"/>
      <c r="AJ161" s="21">
        <v>0.1333</v>
      </c>
      <c r="AK161" s="18">
        <v>1</v>
      </c>
      <c r="AL161" s="18">
        <v>0</v>
      </c>
      <c r="AM161" s="18">
        <v>20</v>
      </c>
      <c r="AN161" s="17">
        <v>-2.8198695230000001E-3</v>
      </c>
      <c r="AO161" s="17">
        <v>0.51651450575000002</v>
      </c>
      <c r="AP161" s="19">
        <v>-6.8785152745000008E-2</v>
      </c>
      <c r="AQ161" s="19">
        <v>2.9945863662E-2</v>
      </c>
      <c r="AR161" s="19">
        <v>-6.2236950204999997E-3</v>
      </c>
      <c r="AS161" s="19">
        <v>6.8614969968000007E-4</v>
      </c>
      <c r="AT161" s="19">
        <v>-4.1043276615000003E-5</v>
      </c>
      <c r="AU161" s="19">
        <v>1.2523765609E-6</v>
      </c>
      <c r="AV161" s="19">
        <v>-1.5267979383999999E-8</v>
      </c>
      <c r="AW161" s="19">
        <v>0</v>
      </c>
    </row>
    <row r="162" spans="1:49" ht="17" customHeight="1">
      <c r="A162" s="11" t="s">
        <v>3079</v>
      </c>
      <c r="B162" s="11" t="s">
        <v>3079</v>
      </c>
      <c r="C162" s="18" t="s">
        <v>2867</v>
      </c>
      <c r="D162" s="18" t="s">
        <v>2916</v>
      </c>
      <c r="E162" s="18" t="s">
        <v>2927</v>
      </c>
      <c r="F162" s="18" t="s">
        <v>2918</v>
      </c>
      <c r="G162" s="14"/>
      <c r="H162" s="18" t="s">
        <v>3050</v>
      </c>
      <c r="I162" s="14"/>
      <c r="J162" s="14"/>
      <c r="K162" s="14"/>
      <c r="L162" s="18">
        <v>23</v>
      </c>
      <c r="M162" s="18">
        <v>240</v>
      </c>
      <c r="N162" s="18">
        <v>20</v>
      </c>
      <c r="O162" s="14"/>
      <c r="P162" s="18">
        <v>25.8</v>
      </c>
      <c r="Q162" s="18">
        <v>183</v>
      </c>
      <c r="R162" s="18">
        <v>3</v>
      </c>
      <c r="S162" s="18"/>
      <c r="T162" s="18">
        <v>34</v>
      </c>
      <c r="U162" s="18">
        <v>1.29</v>
      </c>
      <c r="V162" s="20">
        <v>60.2</v>
      </c>
      <c r="W162" s="18" t="s">
        <v>2975</v>
      </c>
      <c r="X162" s="14"/>
      <c r="Y162" s="14"/>
      <c r="Z162" s="14"/>
      <c r="AA162" s="14"/>
      <c r="AB162" s="14"/>
      <c r="AC162" s="14"/>
      <c r="AD162" s="14"/>
      <c r="AE162" s="14"/>
      <c r="AF162" s="14"/>
      <c r="AG162" s="14"/>
      <c r="AH162" s="18" t="s">
        <v>3051</v>
      </c>
      <c r="AI162" s="14"/>
      <c r="AJ162" s="21">
        <v>0.25219999999999998</v>
      </c>
      <c r="AK162" s="18">
        <v>1</v>
      </c>
      <c r="AL162" s="18">
        <v>0</v>
      </c>
      <c r="AM162" s="18">
        <v>20</v>
      </c>
      <c r="AN162" s="17">
        <v>3.0090879831999998E-3</v>
      </c>
      <c r="AO162" s="17">
        <v>0.86278724635999993</v>
      </c>
      <c r="AP162" s="19">
        <v>-1.03519792532E-2</v>
      </c>
      <c r="AQ162" s="19">
        <v>3.7909604408000001E-3</v>
      </c>
      <c r="AR162" s="19">
        <v>-4.2047227872000001E-4</v>
      </c>
      <c r="AS162" s="19">
        <v>-7.1765066073999992E-6</v>
      </c>
      <c r="AT162" s="19">
        <v>4.375403928999999E-6</v>
      </c>
      <c r="AU162" s="19">
        <v>-2.7862589429999999E-7</v>
      </c>
      <c r="AV162" s="19">
        <v>5.4157443131999992E-9</v>
      </c>
      <c r="AW162" s="19">
        <v>0</v>
      </c>
    </row>
    <row r="163" spans="1:49" ht="17" customHeight="1">
      <c r="A163" s="11" t="s">
        <v>3080</v>
      </c>
      <c r="B163" s="11" t="s">
        <v>3080</v>
      </c>
      <c r="C163" s="18" t="s">
        <v>2867</v>
      </c>
      <c r="D163" s="18" t="s">
        <v>2916</v>
      </c>
      <c r="E163" s="18" t="s">
        <v>2917</v>
      </c>
      <c r="F163" s="18" t="s">
        <v>2918</v>
      </c>
      <c r="G163" s="14"/>
      <c r="H163" s="18" t="s">
        <v>2935</v>
      </c>
      <c r="I163" s="14"/>
      <c r="J163" s="14"/>
      <c r="K163" s="14"/>
      <c r="L163" s="18">
        <v>120</v>
      </c>
      <c r="M163" s="18">
        <v>1000</v>
      </c>
      <c r="N163" s="18">
        <v>5</v>
      </c>
      <c r="O163" s="14"/>
      <c r="P163" s="18">
        <v>6.37</v>
      </c>
      <c r="Q163" s="18">
        <v>90</v>
      </c>
      <c r="R163" s="18" t="s">
        <v>2936</v>
      </c>
      <c r="S163" s="18"/>
      <c r="T163" s="18">
        <v>12.9</v>
      </c>
      <c r="U163" s="18">
        <v>1.274</v>
      </c>
      <c r="V163" s="20">
        <v>2.0600000000000002E-3</v>
      </c>
      <c r="W163" s="18" t="s">
        <v>2873</v>
      </c>
      <c r="X163" s="14"/>
      <c r="Y163" s="14"/>
      <c r="Z163" s="14"/>
      <c r="AA163" s="14"/>
      <c r="AB163" s="14"/>
      <c r="AC163" s="14"/>
      <c r="AD163" s="14"/>
      <c r="AE163" s="14"/>
      <c r="AF163" s="14"/>
      <c r="AG163" s="14"/>
      <c r="AH163" s="18" t="s">
        <v>2934</v>
      </c>
      <c r="AI163" s="14"/>
      <c r="AJ163" s="21">
        <v>0.95010000000000006</v>
      </c>
      <c r="AK163" s="18">
        <v>1</v>
      </c>
      <c r="AL163" s="18">
        <v>-5</v>
      </c>
      <c r="AM163" s="18">
        <v>5</v>
      </c>
      <c r="AN163" s="17">
        <v>0</v>
      </c>
      <c r="AO163" s="17">
        <v>3.9144000000000001E-4</v>
      </c>
      <c r="AP163" s="19">
        <v>0</v>
      </c>
      <c r="AQ163" s="19">
        <v>0</v>
      </c>
      <c r="AR163" s="19">
        <v>0</v>
      </c>
      <c r="AS163" s="19">
        <v>0</v>
      </c>
      <c r="AT163" s="19">
        <v>0</v>
      </c>
      <c r="AU163" s="19">
        <v>0</v>
      </c>
      <c r="AV163" s="19">
        <v>0</v>
      </c>
      <c r="AW163" s="19">
        <v>0</v>
      </c>
    </row>
    <row r="164" spans="1:49" ht="17" customHeight="1">
      <c r="A164" s="11" t="s">
        <v>3081</v>
      </c>
      <c r="B164" s="11" t="s">
        <v>3081</v>
      </c>
      <c r="C164" s="18" t="s">
        <v>2867</v>
      </c>
      <c r="D164" s="18" t="s">
        <v>2916</v>
      </c>
      <c r="E164" s="18" t="s">
        <v>2917</v>
      </c>
      <c r="F164" s="18" t="s">
        <v>2918</v>
      </c>
      <c r="G164" s="14"/>
      <c r="H164" s="18" t="s">
        <v>2935</v>
      </c>
      <c r="I164" s="14"/>
      <c r="J164" s="14"/>
      <c r="K164" s="14"/>
      <c r="L164" s="18">
        <v>120</v>
      </c>
      <c r="M164" s="18">
        <v>1000</v>
      </c>
      <c r="N164" s="18">
        <v>5</v>
      </c>
      <c r="O164" s="14"/>
      <c r="P164" s="18">
        <v>6.37</v>
      </c>
      <c r="Q164" s="18">
        <v>90</v>
      </c>
      <c r="R164" s="18" t="s">
        <v>2936</v>
      </c>
      <c r="S164" s="18"/>
      <c r="T164" s="18">
        <v>12.9</v>
      </c>
      <c r="U164" s="18">
        <v>1.274</v>
      </c>
      <c r="V164" s="20">
        <v>2.0600000000000002E-3</v>
      </c>
      <c r="W164" s="18" t="s">
        <v>2873</v>
      </c>
      <c r="X164" s="14"/>
      <c r="Y164" s="14"/>
      <c r="Z164" s="14"/>
      <c r="AA164" s="14"/>
      <c r="AB164" s="14"/>
      <c r="AC164" s="14"/>
      <c r="AD164" s="14"/>
      <c r="AE164" s="14"/>
      <c r="AF164" s="14"/>
      <c r="AG164" s="14"/>
      <c r="AH164" s="18" t="s">
        <v>2934</v>
      </c>
      <c r="AI164" s="14"/>
      <c r="AJ164" s="21">
        <v>0.95010000000000006</v>
      </c>
      <c r="AK164" s="18">
        <v>1</v>
      </c>
      <c r="AL164" s="18">
        <v>-5</v>
      </c>
      <c r="AM164" s="18">
        <v>5</v>
      </c>
      <c r="AN164" s="17">
        <v>0</v>
      </c>
      <c r="AO164" s="17">
        <v>3.9144000000000001E-4</v>
      </c>
      <c r="AP164" s="19">
        <v>0</v>
      </c>
      <c r="AQ164" s="19">
        <v>0</v>
      </c>
      <c r="AR164" s="19">
        <v>0</v>
      </c>
      <c r="AS164" s="19">
        <v>0</v>
      </c>
      <c r="AT164" s="19">
        <v>0</v>
      </c>
      <c r="AU164" s="19">
        <v>0</v>
      </c>
      <c r="AV164" s="19">
        <v>0</v>
      </c>
      <c r="AW164" s="19">
        <v>0</v>
      </c>
    </row>
    <row r="165" spans="1:49" ht="17" customHeight="1">
      <c r="A165" s="11" t="s">
        <v>3082</v>
      </c>
      <c r="B165" s="11" t="s">
        <v>3082</v>
      </c>
      <c r="C165" s="18" t="s">
        <v>2867</v>
      </c>
      <c r="D165" s="18" t="s">
        <v>2916</v>
      </c>
      <c r="E165" s="18" t="s">
        <v>2917</v>
      </c>
      <c r="F165" s="18" t="s">
        <v>2918</v>
      </c>
      <c r="G165" s="14"/>
      <c r="H165" s="18" t="s">
        <v>2935</v>
      </c>
      <c r="I165" s="14"/>
      <c r="J165" s="14"/>
      <c r="K165" s="14"/>
      <c r="L165" s="18">
        <v>120</v>
      </c>
      <c r="M165" s="18">
        <v>1000</v>
      </c>
      <c r="N165" s="18">
        <v>5</v>
      </c>
      <c r="O165" s="14"/>
      <c r="P165" s="18">
        <v>6.37</v>
      </c>
      <c r="Q165" s="18">
        <v>90</v>
      </c>
      <c r="R165" s="18" t="s">
        <v>2936</v>
      </c>
      <c r="S165" s="18"/>
      <c r="T165" s="18">
        <v>12.9</v>
      </c>
      <c r="U165" s="18">
        <v>1.274</v>
      </c>
      <c r="V165" s="20">
        <v>2.0600000000000002E-3</v>
      </c>
      <c r="W165" s="18" t="s">
        <v>2873</v>
      </c>
      <c r="X165" s="14"/>
      <c r="Y165" s="14"/>
      <c r="Z165" s="14"/>
      <c r="AA165" s="14"/>
      <c r="AB165" s="14"/>
      <c r="AC165" s="14"/>
      <c r="AD165" s="14"/>
      <c r="AE165" s="14"/>
      <c r="AF165" s="14"/>
      <c r="AG165" s="14"/>
      <c r="AH165" s="18" t="s">
        <v>2934</v>
      </c>
      <c r="AI165" s="14"/>
      <c r="AJ165" s="21">
        <v>0.95010000000000006</v>
      </c>
      <c r="AK165" s="18">
        <v>1</v>
      </c>
      <c r="AL165" s="18">
        <v>-5</v>
      </c>
      <c r="AM165" s="18">
        <v>5</v>
      </c>
      <c r="AN165" s="17">
        <v>0</v>
      </c>
      <c r="AO165" s="17">
        <v>3.9144000000000001E-4</v>
      </c>
      <c r="AP165" s="19">
        <v>0</v>
      </c>
      <c r="AQ165" s="19">
        <v>0</v>
      </c>
      <c r="AR165" s="19">
        <v>0</v>
      </c>
      <c r="AS165" s="19">
        <v>0</v>
      </c>
      <c r="AT165" s="19">
        <v>0</v>
      </c>
      <c r="AU165" s="19">
        <v>0</v>
      </c>
      <c r="AV165" s="19">
        <v>0</v>
      </c>
      <c r="AW165" s="19">
        <v>0</v>
      </c>
    </row>
    <row r="166" spans="1:49" ht="17" customHeight="1">
      <c r="A166" s="11" t="s">
        <v>3083</v>
      </c>
      <c r="B166" s="11" t="s">
        <v>3083</v>
      </c>
      <c r="C166" s="18" t="s">
        <v>2867</v>
      </c>
      <c r="D166" s="18" t="s">
        <v>2916</v>
      </c>
      <c r="E166" s="18" t="s">
        <v>2917</v>
      </c>
      <c r="F166" s="18" t="s">
        <v>2918</v>
      </c>
      <c r="G166" s="14"/>
      <c r="H166" s="18" t="s">
        <v>2935</v>
      </c>
      <c r="I166" s="14"/>
      <c r="J166" s="14"/>
      <c r="K166" s="14"/>
      <c r="L166" s="18">
        <v>120</v>
      </c>
      <c r="M166" s="18">
        <v>1000</v>
      </c>
      <c r="N166" s="18">
        <v>5</v>
      </c>
      <c r="O166" s="14"/>
      <c r="P166" s="18">
        <v>6.37</v>
      </c>
      <c r="Q166" s="18">
        <v>90</v>
      </c>
      <c r="R166" s="18" t="s">
        <v>2936</v>
      </c>
      <c r="S166" s="18"/>
      <c r="T166" s="18">
        <v>12.9</v>
      </c>
      <c r="U166" s="18">
        <v>1.274</v>
      </c>
      <c r="V166" s="20">
        <v>2.0600000000000002E-3</v>
      </c>
      <c r="W166" s="18" t="s">
        <v>2873</v>
      </c>
      <c r="X166" s="14"/>
      <c r="Y166" s="14"/>
      <c r="Z166" s="14"/>
      <c r="AA166" s="14"/>
      <c r="AB166" s="14"/>
      <c r="AC166" s="14"/>
      <c r="AD166" s="14"/>
      <c r="AE166" s="14"/>
      <c r="AF166" s="14"/>
      <c r="AG166" s="14"/>
      <c r="AH166" s="18" t="s">
        <v>2934</v>
      </c>
      <c r="AI166" s="14"/>
      <c r="AJ166" s="21">
        <v>0.95010000000000006</v>
      </c>
      <c r="AK166" s="18">
        <v>1</v>
      </c>
      <c r="AL166" s="18">
        <v>-5</v>
      </c>
      <c r="AM166" s="18">
        <v>5</v>
      </c>
      <c r="AN166" s="17">
        <v>0</v>
      </c>
      <c r="AO166" s="17">
        <v>3.9144000000000001E-4</v>
      </c>
      <c r="AP166" s="19">
        <v>0</v>
      </c>
      <c r="AQ166" s="19">
        <v>0</v>
      </c>
      <c r="AR166" s="19">
        <v>0</v>
      </c>
      <c r="AS166" s="19">
        <v>0</v>
      </c>
      <c r="AT166" s="19">
        <v>0</v>
      </c>
      <c r="AU166" s="19">
        <v>0</v>
      </c>
      <c r="AV166" s="19">
        <v>0</v>
      </c>
      <c r="AW166" s="19">
        <v>0</v>
      </c>
    </row>
    <row r="167" spans="1:49" ht="17" customHeight="1">
      <c r="A167" s="11" t="s">
        <v>3084</v>
      </c>
      <c r="B167" s="11" t="s">
        <v>3084</v>
      </c>
      <c r="C167" s="14" t="s">
        <v>2867</v>
      </c>
      <c r="D167" s="14" t="s">
        <v>2916</v>
      </c>
      <c r="E167" s="14" t="s">
        <v>2917</v>
      </c>
      <c r="F167" s="14" t="s">
        <v>2918</v>
      </c>
      <c r="G167" s="14"/>
      <c r="H167" s="14" t="s">
        <v>2935</v>
      </c>
      <c r="I167" s="14"/>
      <c r="J167" s="14"/>
      <c r="K167" s="14"/>
      <c r="L167" s="14">
        <v>120</v>
      </c>
      <c r="M167" s="14">
        <v>1000</v>
      </c>
      <c r="N167" s="14">
        <v>5</v>
      </c>
      <c r="O167" s="14"/>
      <c r="P167" s="14">
        <v>6.37</v>
      </c>
      <c r="Q167" s="14">
        <v>90</v>
      </c>
      <c r="R167" s="14" t="s">
        <v>2936</v>
      </c>
      <c r="S167" s="14"/>
      <c r="T167" s="14">
        <v>12.9</v>
      </c>
      <c r="U167" s="14">
        <v>1.274</v>
      </c>
      <c r="V167" s="15">
        <v>2.0600000000000002E-3</v>
      </c>
      <c r="W167" s="14" t="s">
        <v>2873</v>
      </c>
      <c r="X167" s="14"/>
      <c r="Y167" s="14"/>
      <c r="Z167" s="14"/>
      <c r="AA167" s="14"/>
      <c r="AB167" s="14"/>
      <c r="AC167" s="14"/>
      <c r="AD167" s="14"/>
      <c r="AE167" s="14"/>
      <c r="AF167" s="14"/>
      <c r="AG167" s="14"/>
      <c r="AH167" s="14" t="s">
        <v>2934</v>
      </c>
      <c r="AI167" s="14"/>
      <c r="AJ167" s="16">
        <v>0.95010000000000006</v>
      </c>
      <c r="AK167" s="14">
        <v>1</v>
      </c>
      <c r="AL167" s="14">
        <v>-5</v>
      </c>
      <c r="AM167" s="14">
        <v>5</v>
      </c>
      <c r="AN167" s="19">
        <v>0</v>
      </c>
      <c r="AO167" s="19">
        <v>3.9144000000000001E-4</v>
      </c>
      <c r="AP167" s="19">
        <v>0</v>
      </c>
      <c r="AQ167" s="19">
        <v>0</v>
      </c>
      <c r="AR167" s="19">
        <v>0</v>
      </c>
      <c r="AS167" s="19">
        <v>0</v>
      </c>
      <c r="AT167" s="19">
        <v>0</v>
      </c>
      <c r="AU167" s="19">
        <v>0</v>
      </c>
      <c r="AV167" s="19">
        <v>0</v>
      </c>
      <c r="AW167" s="19">
        <v>0</v>
      </c>
    </row>
    <row r="168" spans="1:49" ht="17" customHeight="1">
      <c r="A168" s="11" t="s">
        <v>3085</v>
      </c>
      <c r="B168" s="11" t="s">
        <v>3085</v>
      </c>
      <c r="C168" s="14" t="s">
        <v>2867</v>
      </c>
      <c r="D168" s="14" t="s">
        <v>2916</v>
      </c>
      <c r="E168" s="14" t="s">
        <v>2917</v>
      </c>
      <c r="F168" s="14" t="s">
        <v>2918</v>
      </c>
      <c r="G168" s="14"/>
      <c r="H168" s="14" t="s">
        <v>2935</v>
      </c>
      <c r="I168" s="14"/>
      <c r="J168" s="14"/>
      <c r="K168" s="14"/>
      <c r="L168" s="14">
        <v>120</v>
      </c>
      <c r="M168" s="14">
        <v>1000</v>
      </c>
      <c r="N168" s="14">
        <v>5</v>
      </c>
      <c r="O168" s="14"/>
      <c r="P168" s="14">
        <v>6.37</v>
      </c>
      <c r="Q168" s="14">
        <v>90</v>
      </c>
      <c r="R168" s="14" t="s">
        <v>2936</v>
      </c>
      <c r="S168" s="14"/>
      <c r="T168" s="14">
        <v>12.9</v>
      </c>
      <c r="U168" s="14">
        <v>1.274</v>
      </c>
      <c r="V168" s="15">
        <v>2.0600000000000002E-3</v>
      </c>
      <c r="W168" s="14" t="s">
        <v>2873</v>
      </c>
      <c r="X168" s="14"/>
      <c r="Y168" s="14"/>
      <c r="Z168" s="14"/>
      <c r="AA168" s="14"/>
      <c r="AB168" s="14"/>
      <c r="AC168" s="14"/>
      <c r="AD168" s="14"/>
      <c r="AE168" s="14"/>
      <c r="AF168" s="14"/>
      <c r="AG168" s="14"/>
      <c r="AH168" s="14" t="s">
        <v>2934</v>
      </c>
      <c r="AI168" s="14"/>
      <c r="AJ168" s="16">
        <v>0.95010000000000006</v>
      </c>
      <c r="AK168" s="14">
        <v>1</v>
      </c>
      <c r="AL168" s="14">
        <v>-5</v>
      </c>
      <c r="AM168" s="14">
        <v>5</v>
      </c>
      <c r="AN168" s="19">
        <v>0</v>
      </c>
      <c r="AO168" s="19">
        <v>3.9144000000000001E-4</v>
      </c>
      <c r="AP168" s="19">
        <v>0</v>
      </c>
      <c r="AQ168" s="19">
        <v>0</v>
      </c>
      <c r="AR168" s="19">
        <v>0</v>
      </c>
      <c r="AS168" s="19">
        <v>0</v>
      </c>
      <c r="AT168" s="19">
        <v>0</v>
      </c>
      <c r="AU168" s="19">
        <v>0</v>
      </c>
      <c r="AV168" s="19">
        <v>0</v>
      </c>
      <c r="AW168" s="19">
        <v>0</v>
      </c>
    </row>
    <row r="169" spans="1:49" ht="17" customHeight="1">
      <c r="A169" s="11" t="s">
        <v>3086</v>
      </c>
      <c r="B169" s="11" t="s">
        <v>3086</v>
      </c>
      <c r="C169" s="14" t="s">
        <v>2867</v>
      </c>
      <c r="D169" s="14" t="s">
        <v>2916</v>
      </c>
      <c r="E169" s="14" t="s">
        <v>2917</v>
      </c>
      <c r="F169" s="14" t="s">
        <v>2918</v>
      </c>
      <c r="G169" s="14"/>
      <c r="H169" s="14" t="s">
        <v>2935</v>
      </c>
      <c r="I169" s="14"/>
      <c r="J169" s="14"/>
      <c r="K169" s="14"/>
      <c r="L169" s="14">
        <v>120</v>
      </c>
      <c r="M169" s="14">
        <v>1000</v>
      </c>
      <c r="N169" s="14">
        <v>5</v>
      </c>
      <c r="O169" s="14"/>
      <c r="P169" s="14">
        <v>6.37</v>
      </c>
      <c r="Q169" s="14">
        <v>90</v>
      </c>
      <c r="R169" s="14" t="s">
        <v>2936</v>
      </c>
      <c r="S169" s="14"/>
      <c r="T169" s="14">
        <v>12.9</v>
      </c>
      <c r="U169" s="14">
        <v>1.274</v>
      </c>
      <c r="V169" s="15">
        <v>2.0600000000000002E-3</v>
      </c>
      <c r="W169" s="14" t="s">
        <v>2873</v>
      </c>
      <c r="X169" s="14"/>
      <c r="Y169" s="14"/>
      <c r="Z169" s="14"/>
      <c r="AA169" s="14"/>
      <c r="AB169" s="14"/>
      <c r="AC169" s="14"/>
      <c r="AD169" s="14"/>
      <c r="AE169" s="14"/>
      <c r="AF169" s="14"/>
      <c r="AG169" s="14"/>
      <c r="AH169" s="14" t="s">
        <v>2934</v>
      </c>
      <c r="AI169" s="14"/>
      <c r="AJ169" s="16">
        <v>0.95010000000000006</v>
      </c>
      <c r="AK169" s="14">
        <v>1</v>
      </c>
      <c r="AL169" s="14">
        <v>-5</v>
      </c>
      <c r="AM169" s="14">
        <v>5</v>
      </c>
      <c r="AN169" s="19">
        <v>0</v>
      </c>
      <c r="AO169" s="19">
        <v>3.9144000000000001E-4</v>
      </c>
      <c r="AP169" s="19">
        <v>0</v>
      </c>
      <c r="AQ169" s="19">
        <v>0</v>
      </c>
      <c r="AR169" s="19">
        <v>0</v>
      </c>
      <c r="AS169" s="19">
        <v>0</v>
      </c>
      <c r="AT169" s="19">
        <v>0</v>
      </c>
      <c r="AU169" s="19">
        <v>0</v>
      </c>
      <c r="AV169" s="19">
        <v>0</v>
      </c>
      <c r="AW169" s="19">
        <v>0</v>
      </c>
    </row>
    <row r="170" spans="1:49" ht="17" customHeight="1">
      <c r="A170" s="11" t="s">
        <v>3087</v>
      </c>
      <c r="B170" s="11" t="s">
        <v>3087</v>
      </c>
      <c r="C170" s="14" t="s">
        <v>2867</v>
      </c>
      <c r="D170" s="14" t="s">
        <v>2916</v>
      </c>
      <c r="E170" s="14" t="s">
        <v>2917</v>
      </c>
      <c r="F170" s="14" t="s">
        <v>2918</v>
      </c>
      <c r="G170" s="14"/>
      <c r="H170" s="14" t="s">
        <v>2935</v>
      </c>
      <c r="I170" s="14"/>
      <c r="J170" s="14"/>
      <c r="K170" s="14"/>
      <c r="L170" s="14">
        <v>120</v>
      </c>
      <c r="M170" s="14">
        <v>1000</v>
      </c>
      <c r="N170" s="14">
        <v>5</v>
      </c>
      <c r="O170" s="14"/>
      <c r="P170" s="14">
        <v>6.37</v>
      </c>
      <c r="Q170" s="14">
        <v>90</v>
      </c>
      <c r="R170" s="14" t="s">
        <v>2936</v>
      </c>
      <c r="S170" s="14"/>
      <c r="T170" s="14">
        <v>12.9</v>
      </c>
      <c r="U170" s="14">
        <v>1.274</v>
      </c>
      <c r="V170" s="15">
        <v>2.0600000000000002E-3</v>
      </c>
      <c r="W170" s="14" t="s">
        <v>2873</v>
      </c>
      <c r="X170" s="14"/>
      <c r="Y170" s="14"/>
      <c r="Z170" s="14"/>
      <c r="AA170" s="14"/>
      <c r="AB170" s="14"/>
      <c r="AC170" s="14"/>
      <c r="AD170" s="14"/>
      <c r="AE170" s="14"/>
      <c r="AF170" s="14"/>
      <c r="AG170" s="14"/>
      <c r="AH170" s="14" t="s">
        <v>2934</v>
      </c>
      <c r="AI170" s="14"/>
      <c r="AJ170" s="16">
        <v>0.95010000000000006</v>
      </c>
      <c r="AK170" s="14">
        <v>1</v>
      </c>
      <c r="AL170" s="14">
        <v>-5</v>
      </c>
      <c r="AM170" s="14">
        <v>5</v>
      </c>
      <c r="AN170" s="19">
        <v>0</v>
      </c>
      <c r="AO170" s="19">
        <v>3.9144000000000001E-4</v>
      </c>
      <c r="AP170" s="19">
        <v>0</v>
      </c>
      <c r="AQ170" s="19">
        <v>0</v>
      </c>
      <c r="AR170" s="19">
        <v>0</v>
      </c>
      <c r="AS170" s="19">
        <v>0</v>
      </c>
      <c r="AT170" s="19">
        <v>0</v>
      </c>
      <c r="AU170" s="19">
        <v>0</v>
      </c>
      <c r="AV170" s="19">
        <v>0</v>
      </c>
      <c r="AW170" s="19">
        <v>0</v>
      </c>
    </row>
    <row r="171" spans="1:49" ht="17" customHeight="1">
      <c r="A171" s="11" t="s">
        <v>3088</v>
      </c>
      <c r="B171" s="11" t="s">
        <v>3088</v>
      </c>
      <c r="C171" s="14" t="s">
        <v>2867</v>
      </c>
      <c r="D171" s="14" t="s">
        <v>2916</v>
      </c>
      <c r="E171" s="14" t="s">
        <v>2917</v>
      </c>
      <c r="F171" s="14" t="s">
        <v>2918</v>
      </c>
      <c r="G171" s="14"/>
      <c r="H171" s="14" t="s">
        <v>2935</v>
      </c>
      <c r="I171" s="14"/>
      <c r="J171" s="14"/>
      <c r="K171" s="14"/>
      <c r="L171" s="14">
        <v>120</v>
      </c>
      <c r="M171" s="14">
        <v>1000</v>
      </c>
      <c r="N171" s="14">
        <v>5</v>
      </c>
      <c r="O171" s="14"/>
      <c r="P171" s="14">
        <v>6.37</v>
      </c>
      <c r="Q171" s="14">
        <v>90</v>
      </c>
      <c r="R171" s="14" t="s">
        <v>2936</v>
      </c>
      <c r="S171" s="14"/>
      <c r="T171" s="14">
        <v>12.9</v>
      </c>
      <c r="U171" s="14">
        <v>1.274</v>
      </c>
      <c r="V171" s="15">
        <v>2.0600000000000002E-3</v>
      </c>
      <c r="W171" s="14" t="s">
        <v>2873</v>
      </c>
      <c r="X171" s="14"/>
      <c r="Y171" s="14"/>
      <c r="Z171" s="14"/>
      <c r="AA171" s="14"/>
      <c r="AB171" s="14"/>
      <c r="AC171" s="14"/>
      <c r="AD171" s="14"/>
      <c r="AE171" s="14"/>
      <c r="AF171" s="14"/>
      <c r="AG171" s="14"/>
      <c r="AH171" s="14" t="s">
        <v>2934</v>
      </c>
      <c r="AI171" s="14"/>
      <c r="AJ171" s="16">
        <v>0.95010000000000006</v>
      </c>
      <c r="AK171" s="14">
        <v>1</v>
      </c>
      <c r="AL171" s="14">
        <v>-5</v>
      </c>
      <c r="AM171" s="14">
        <v>5</v>
      </c>
      <c r="AN171" s="19">
        <v>0</v>
      </c>
      <c r="AO171" s="19">
        <v>3.9144000000000001E-4</v>
      </c>
      <c r="AP171" s="19">
        <v>0</v>
      </c>
      <c r="AQ171" s="19">
        <v>0</v>
      </c>
      <c r="AR171" s="19">
        <v>0</v>
      </c>
      <c r="AS171" s="19">
        <v>0</v>
      </c>
      <c r="AT171" s="19">
        <v>0</v>
      </c>
      <c r="AU171" s="19">
        <v>0</v>
      </c>
      <c r="AV171" s="19">
        <v>0</v>
      </c>
      <c r="AW171" s="19">
        <v>0</v>
      </c>
    </row>
    <row r="172" spans="1:49" ht="17" customHeight="1">
      <c r="A172" s="11" t="s">
        <v>3089</v>
      </c>
      <c r="B172" s="11" t="s">
        <v>3089</v>
      </c>
      <c r="C172" s="14" t="s">
        <v>2867</v>
      </c>
      <c r="D172" s="14" t="s">
        <v>2916</v>
      </c>
      <c r="E172" s="14" t="s">
        <v>2917</v>
      </c>
      <c r="F172" s="14" t="s">
        <v>2918</v>
      </c>
      <c r="G172" s="14"/>
      <c r="H172" s="14" t="s">
        <v>2935</v>
      </c>
      <c r="I172" s="14"/>
      <c r="J172" s="14"/>
      <c r="K172" s="14"/>
      <c r="L172" s="14">
        <v>120</v>
      </c>
      <c r="M172" s="14">
        <v>1000</v>
      </c>
      <c r="N172" s="14">
        <v>5</v>
      </c>
      <c r="O172" s="14"/>
      <c r="P172" s="14">
        <v>6.37</v>
      </c>
      <c r="Q172" s="14">
        <v>90</v>
      </c>
      <c r="R172" s="14" t="s">
        <v>2936</v>
      </c>
      <c r="S172" s="14"/>
      <c r="T172" s="14">
        <v>12.9</v>
      </c>
      <c r="U172" s="14">
        <v>1.274</v>
      </c>
      <c r="V172" s="15">
        <v>2.0600000000000002E-3</v>
      </c>
      <c r="W172" s="14" t="s">
        <v>2873</v>
      </c>
      <c r="X172" s="14"/>
      <c r="Y172" s="14"/>
      <c r="Z172" s="14"/>
      <c r="AA172" s="14"/>
      <c r="AB172" s="14"/>
      <c r="AC172" s="14"/>
      <c r="AD172" s="14"/>
      <c r="AE172" s="14"/>
      <c r="AF172" s="14"/>
      <c r="AG172" s="14"/>
      <c r="AH172" s="14" t="s">
        <v>2934</v>
      </c>
      <c r="AI172" s="14"/>
      <c r="AJ172" s="16">
        <v>0.95010000000000006</v>
      </c>
      <c r="AK172" s="14">
        <v>1</v>
      </c>
      <c r="AL172" s="14">
        <v>-5</v>
      </c>
      <c r="AM172" s="14">
        <v>5</v>
      </c>
      <c r="AN172" s="19">
        <v>0</v>
      </c>
      <c r="AO172" s="19">
        <v>3.9144000000000001E-4</v>
      </c>
      <c r="AP172" s="19">
        <v>0</v>
      </c>
      <c r="AQ172" s="19">
        <v>0</v>
      </c>
      <c r="AR172" s="19">
        <v>0</v>
      </c>
      <c r="AS172" s="19">
        <v>0</v>
      </c>
      <c r="AT172" s="19">
        <v>0</v>
      </c>
      <c r="AU172" s="19">
        <v>0</v>
      </c>
      <c r="AV172" s="19">
        <v>0</v>
      </c>
      <c r="AW172" s="19">
        <v>0</v>
      </c>
    </row>
    <row r="173" spans="1:49" ht="17" customHeight="1">
      <c r="A173" s="11" t="s">
        <v>3090</v>
      </c>
      <c r="B173" s="11" t="s">
        <v>3090</v>
      </c>
      <c r="C173" s="14" t="s">
        <v>2867</v>
      </c>
      <c r="D173" s="14" t="s">
        <v>2916</v>
      </c>
      <c r="E173" s="14" t="s">
        <v>2917</v>
      </c>
      <c r="F173" s="14" t="s">
        <v>2918</v>
      </c>
      <c r="G173" s="14"/>
      <c r="H173" s="14" t="s">
        <v>2935</v>
      </c>
      <c r="I173" s="14"/>
      <c r="J173" s="14"/>
      <c r="K173" s="14"/>
      <c r="L173" s="14">
        <v>120</v>
      </c>
      <c r="M173" s="14">
        <v>1000</v>
      </c>
      <c r="N173" s="14">
        <v>5</v>
      </c>
      <c r="O173" s="14"/>
      <c r="P173" s="14">
        <v>6.37</v>
      </c>
      <c r="Q173" s="14">
        <v>90</v>
      </c>
      <c r="R173" s="14" t="s">
        <v>2936</v>
      </c>
      <c r="S173" s="14"/>
      <c r="T173" s="14">
        <v>12.9</v>
      </c>
      <c r="U173" s="14">
        <v>1.274</v>
      </c>
      <c r="V173" s="15">
        <v>2.0600000000000002E-3</v>
      </c>
      <c r="W173" s="14" t="s">
        <v>2873</v>
      </c>
      <c r="X173" s="14"/>
      <c r="Y173" s="14"/>
      <c r="Z173" s="14"/>
      <c r="AA173" s="14"/>
      <c r="AB173" s="14"/>
      <c r="AC173" s="14"/>
      <c r="AD173" s="14"/>
      <c r="AE173" s="14"/>
      <c r="AF173" s="14"/>
      <c r="AG173" s="14"/>
      <c r="AH173" s="14" t="s">
        <v>2934</v>
      </c>
      <c r="AI173" s="14"/>
      <c r="AJ173" s="16">
        <v>0.95010000000000006</v>
      </c>
      <c r="AK173" s="14">
        <v>1</v>
      </c>
      <c r="AL173" s="14">
        <v>-5</v>
      </c>
      <c r="AM173" s="14">
        <v>5</v>
      </c>
      <c r="AN173" s="19">
        <v>0</v>
      </c>
      <c r="AO173" s="19">
        <v>3.9144000000000001E-4</v>
      </c>
      <c r="AP173" s="19">
        <v>0</v>
      </c>
      <c r="AQ173" s="19">
        <v>0</v>
      </c>
      <c r="AR173" s="19">
        <v>0</v>
      </c>
      <c r="AS173" s="19">
        <v>0</v>
      </c>
      <c r="AT173" s="19">
        <v>0</v>
      </c>
      <c r="AU173" s="19">
        <v>0</v>
      </c>
      <c r="AV173" s="19">
        <v>0</v>
      </c>
      <c r="AW173" s="19">
        <v>0</v>
      </c>
    </row>
    <row r="174" spans="1:49" ht="17" customHeight="1">
      <c r="A174" s="11" t="s">
        <v>3091</v>
      </c>
      <c r="B174" s="11" t="s">
        <v>3091</v>
      </c>
      <c r="C174" s="14" t="s">
        <v>2867</v>
      </c>
      <c r="D174" s="14" t="s">
        <v>2916</v>
      </c>
      <c r="E174" s="14" t="s">
        <v>2917</v>
      </c>
      <c r="F174" s="14" t="s">
        <v>2918</v>
      </c>
      <c r="G174" s="14"/>
      <c r="H174" s="14" t="s">
        <v>2935</v>
      </c>
      <c r="I174" s="14"/>
      <c r="J174" s="14"/>
      <c r="K174" s="14"/>
      <c r="L174" s="14">
        <v>120</v>
      </c>
      <c r="M174" s="14">
        <v>1000</v>
      </c>
      <c r="N174" s="14">
        <v>5</v>
      </c>
      <c r="O174" s="14"/>
      <c r="P174" s="14">
        <v>6.37</v>
      </c>
      <c r="Q174" s="14">
        <v>90</v>
      </c>
      <c r="R174" s="14" t="s">
        <v>2936</v>
      </c>
      <c r="S174" s="14"/>
      <c r="T174" s="14">
        <v>12.9</v>
      </c>
      <c r="U174" s="14">
        <v>1.274</v>
      </c>
      <c r="V174" s="15">
        <v>2.0600000000000002E-3</v>
      </c>
      <c r="W174" s="14" t="s">
        <v>2873</v>
      </c>
      <c r="X174" s="14"/>
      <c r="Y174" s="14"/>
      <c r="Z174" s="14"/>
      <c r="AA174" s="14"/>
      <c r="AB174" s="14"/>
      <c r="AC174" s="14"/>
      <c r="AD174" s="14"/>
      <c r="AE174" s="14"/>
      <c r="AF174" s="14"/>
      <c r="AG174" s="14"/>
      <c r="AH174" s="14" t="s">
        <v>2934</v>
      </c>
      <c r="AI174" s="14"/>
      <c r="AJ174" s="16">
        <v>0.95010000000000006</v>
      </c>
      <c r="AK174" s="14">
        <v>1</v>
      </c>
      <c r="AL174" s="14">
        <v>-5</v>
      </c>
      <c r="AM174" s="14">
        <v>5</v>
      </c>
      <c r="AN174" s="19">
        <v>0</v>
      </c>
      <c r="AO174" s="19">
        <v>3.9144000000000001E-4</v>
      </c>
      <c r="AP174" s="19">
        <v>0</v>
      </c>
      <c r="AQ174" s="19">
        <v>0</v>
      </c>
      <c r="AR174" s="19">
        <v>0</v>
      </c>
      <c r="AS174" s="19">
        <v>0</v>
      </c>
      <c r="AT174" s="19">
        <v>0</v>
      </c>
      <c r="AU174" s="19">
        <v>0</v>
      </c>
      <c r="AV174" s="19">
        <v>0</v>
      </c>
      <c r="AW174" s="19">
        <v>0</v>
      </c>
    </row>
    <row r="175" spans="1:49" ht="17" customHeight="1">
      <c r="A175" s="11" t="s">
        <v>3092</v>
      </c>
      <c r="B175" s="11" t="s">
        <v>3092</v>
      </c>
      <c r="C175" s="14" t="s">
        <v>2867</v>
      </c>
      <c r="D175" s="14" t="s">
        <v>2916</v>
      </c>
      <c r="E175" s="14" t="s">
        <v>2917</v>
      </c>
      <c r="F175" s="14" t="s">
        <v>2918</v>
      </c>
      <c r="G175" s="14"/>
      <c r="H175" s="14" t="s">
        <v>2935</v>
      </c>
      <c r="I175" s="14"/>
      <c r="J175" s="14"/>
      <c r="K175" s="14"/>
      <c r="L175" s="14">
        <v>120</v>
      </c>
      <c r="M175" s="14">
        <v>1000</v>
      </c>
      <c r="N175" s="14">
        <v>5</v>
      </c>
      <c r="O175" s="14"/>
      <c r="P175" s="14">
        <v>6.37</v>
      </c>
      <c r="Q175" s="14">
        <v>90</v>
      </c>
      <c r="R175" s="14" t="s">
        <v>2936</v>
      </c>
      <c r="S175" s="14"/>
      <c r="T175" s="14">
        <v>12.9</v>
      </c>
      <c r="U175" s="14">
        <v>1.274</v>
      </c>
      <c r="V175" s="15">
        <v>2.0600000000000002E-3</v>
      </c>
      <c r="W175" s="14" t="s">
        <v>2873</v>
      </c>
      <c r="X175" s="14"/>
      <c r="Y175" s="14"/>
      <c r="Z175" s="14"/>
      <c r="AA175" s="14"/>
      <c r="AB175" s="14"/>
      <c r="AC175" s="14"/>
      <c r="AD175" s="14"/>
      <c r="AE175" s="14"/>
      <c r="AF175" s="14"/>
      <c r="AG175" s="14"/>
      <c r="AH175" s="18" t="s">
        <v>2934</v>
      </c>
      <c r="AI175" s="14"/>
      <c r="AJ175" s="16">
        <v>0.95010000000000006</v>
      </c>
      <c r="AK175" s="14">
        <v>1</v>
      </c>
      <c r="AL175" s="14">
        <v>-5</v>
      </c>
      <c r="AM175" s="14">
        <v>5</v>
      </c>
      <c r="AN175" s="19">
        <v>0</v>
      </c>
      <c r="AO175" s="19">
        <v>3.9144000000000001E-4</v>
      </c>
      <c r="AP175" s="19">
        <v>0</v>
      </c>
      <c r="AQ175" s="19">
        <v>0</v>
      </c>
      <c r="AR175" s="19">
        <v>0</v>
      </c>
      <c r="AS175" s="19">
        <v>0</v>
      </c>
      <c r="AT175" s="19">
        <v>0</v>
      </c>
      <c r="AU175" s="19">
        <v>0</v>
      </c>
      <c r="AV175" s="19">
        <v>0</v>
      </c>
      <c r="AW175" s="19">
        <v>0</v>
      </c>
    </row>
    <row r="176" spans="1:49" ht="17" customHeight="1">
      <c r="A176" s="11" t="s">
        <v>3093</v>
      </c>
      <c r="B176" s="11" t="s">
        <v>3093</v>
      </c>
      <c r="C176" s="18" t="s">
        <v>2867</v>
      </c>
      <c r="D176" s="18" t="s">
        <v>2916</v>
      </c>
      <c r="E176" s="18" t="s">
        <v>2917</v>
      </c>
      <c r="F176" s="18" t="s">
        <v>2918</v>
      </c>
      <c r="G176" s="14"/>
      <c r="H176" s="18" t="s">
        <v>2935</v>
      </c>
      <c r="I176" s="14"/>
      <c r="J176" s="14"/>
      <c r="K176" s="14"/>
      <c r="L176" s="18">
        <v>120</v>
      </c>
      <c r="M176" s="18">
        <v>1000</v>
      </c>
      <c r="N176" s="18">
        <v>5</v>
      </c>
      <c r="O176" s="14"/>
      <c r="P176" s="18">
        <v>6.37</v>
      </c>
      <c r="Q176" s="18">
        <v>90</v>
      </c>
      <c r="R176" s="18" t="s">
        <v>2936</v>
      </c>
      <c r="S176" s="18"/>
      <c r="T176" s="18">
        <v>12.9</v>
      </c>
      <c r="U176" s="18">
        <v>1.274</v>
      </c>
      <c r="V176" s="20">
        <v>2.0600000000000002E-3</v>
      </c>
      <c r="W176" s="18" t="s">
        <v>2873</v>
      </c>
      <c r="X176" s="14"/>
      <c r="Y176" s="14"/>
      <c r="Z176" s="14"/>
      <c r="AA176" s="14"/>
      <c r="AB176" s="14"/>
      <c r="AC176" s="14"/>
      <c r="AD176" s="14"/>
      <c r="AE176" s="14"/>
      <c r="AF176" s="14"/>
      <c r="AG176" s="14"/>
      <c r="AH176" s="18" t="s">
        <v>2934</v>
      </c>
      <c r="AI176" s="14"/>
      <c r="AJ176" s="21">
        <v>0.95010000000000006</v>
      </c>
      <c r="AK176" s="18">
        <v>1</v>
      </c>
      <c r="AL176" s="18">
        <v>-5</v>
      </c>
      <c r="AM176" s="18">
        <v>5</v>
      </c>
      <c r="AN176" s="17">
        <v>0</v>
      </c>
      <c r="AO176" s="17">
        <v>3.9144000000000001E-4</v>
      </c>
      <c r="AP176" s="19">
        <v>0</v>
      </c>
      <c r="AQ176" s="19">
        <v>0</v>
      </c>
      <c r="AR176" s="19">
        <v>0</v>
      </c>
      <c r="AS176" s="19">
        <v>0</v>
      </c>
      <c r="AT176" s="19">
        <v>0</v>
      </c>
      <c r="AU176" s="19">
        <v>0</v>
      </c>
      <c r="AV176" s="19">
        <v>0</v>
      </c>
      <c r="AW176" s="19">
        <v>0</v>
      </c>
    </row>
    <row r="177" spans="1:49" ht="17" customHeight="1">
      <c r="A177" s="11" t="s">
        <v>3094</v>
      </c>
      <c r="B177" s="11" t="s">
        <v>3094</v>
      </c>
      <c r="C177" s="18" t="s">
        <v>2867</v>
      </c>
      <c r="D177" s="18" t="s">
        <v>2916</v>
      </c>
      <c r="E177" s="18" t="s">
        <v>2917</v>
      </c>
      <c r="F177" s="18" t="s">
        <v>2918</v>
      </c>
      <c r="G177" s="14"/>
      <c r="H177" s="18" t="s">
        <v>2935</v>
      </c>
      <c r="I177" s="14"/>
      <c r="J177" s="14"/>
      <c r="K177" s="14"/>
      <c r="L177" s="18">
        <v>120</v>
      </c>
      <c r="M177" s="18">
        <v>1000</v>
      </c>
      <c r="N177" s="18">
        <v>5</v>
      </c>
      <c r="O177" s="14"/>
      <c r="P177" s="18">
        <v>6.37</v>
      </c>
      <c r="Q177" s="18">
        <v>90</v>
      </c>
      <c r="R177" s="18" t="s">
        <v>2936</v>
      </c>
      <c r="S177" s="18"/>
      <c r="T177" s="18">
        <v>12.9</v>
      </c>
      <c r="U177" s="18">
        <v>1.274</v>
      </c>
      <c r="V177" s="20">
        <v>2.0600000000000002E-3</v>
      </c>
      <c r="W177" s="18" t="s">
        <v>2873</v>
      </c>
      <c r="X177" s="14"/>
      <c r="Y177" s="14"/>
      <c r="Z177" s="14"/>
      <c r="AA177" s="14"/>
      <c r="AB177" s="14"/>
      <c r="AC177" s="14"/>
      <c r="AD177" s="14"/>
      <c r="AE177" s="14"/>
      <c r="AF177" s="14"/>
      <c r="AG177" s="14"/>
      <c r="AH177" s="18" t="s">
        <v>2934</v>
      </c>
      <c r="AI177" s="14"/>
      <c r="AJ177" s="21">
        <v>0.95010000000000006</v>
      </c>
      <c r="AK177" s="18">
        <v>1</v>
      </c>
      <c r="AL177" s="18">
        <v>-5</v>
      </c>
      <c r="AM177" s="18">
        <v>5</v>
      </c>
      <c r="AN177" s="17">
        <v>0</v>
      </c>
      <c r="AO177" s="17">
        <v>3.9144000000000001E-4</v>
      </c>
      <c r="AP177" s="19">
        <v>0</v>
      </c>
      <c r="AQ177" s="19">
        <v>0</v>
      </c>
      <c r="AR177" s="19">
        <v>0</v>
      </c>
      <c r="AS177" s="19">
        <v>0</v>
      </c>
      <c r="AT177" s="19">
        <v>0</v>
      </c>
      <c r="AU177" s="19">
        <v>0</v>
      </c>
      <c r="AV177" s="19">
        <v>0</v>
      </c>
      <c r="AW177" s="19">
        <v>0</v>
      </c>
    </row>
    <row r="178" spans="1:49" ht="17" customHeight="1">
      <c r="A178" s="11" t="s">
        <v>3095</v>
      </c>
      <c r="B178" s="11" t="s">
        <v>3095</v>
      </c>
      <c r="C178" s="18" t="s">
        <v>2867</v>
      </c>
      <c r="D178" s="18" t="s">
        <v>2916</v>
      </c>
      <c r="E178" s="18" t="s">
        <v>2917</v>
      </c>
      <c r="F178" s="18" t="s">
        <v>2918</v>
      </c>
      <c r="G178" s="14"/>
      <c r="H178" s="18" t="s">
        <v>2935</v>
      </c>
      <c r="I178" s="14"/>
      <c r="J178" s="14"/>
      <c r="K178" s="14"/>
      <c r="L178" s="18">
        <v>120</v>
      </c>
      <c r="M178" s="18">
        <v>1000</v>
      </c>
      <c r="N178" s="18">
        <v>5</v>
      </c>
      <c r="O178" s="14"/>
      <c r="P178" s="18">
        <v>6.37</v>
      </c>
      <c r="Q178" s="18">
        <v>90</v>
      </c>
      <c r="R178" s="18" t="s">
        <v>2936</v>
      </c>
      <c r="S178" s="18"/>
      <c r="T178" s="18">
        <v>12.9</v>
      </c>
      <c r="U178" s="18">
        <v>1.274</v>
      </c>
      <c r="V178" s="20">
        <v>2.0600000000000002E-3</v>
      </c>
      <c r="W178" s="18" t="s">
        <v>2873</v>
      </c>
      <c r="X178" s="14"/>
      <c r="Y178" s="14"/>
      <c r="Z178" s="14"/>
      <c r="AA178" s="14"/>
      <c r="AB178" s="14"/>
      <c r="AC178" s="14"/>
      <c r="AD178" s="14"/>
      <c r="AE178" s="14"/>
      <c r="AF178" s="14"/>
      <c r="AG178" s="14"/>
      <c r="AH178" s="18" t="s">
        <v>2934</v>
      </c>
      <c r="AI178" s="14"/>
      <c r="AJ178" s="21">
        <v>0.95010000000000006</v>
      </c>
      <c r="AK178" s="18">
        <v>1</v>
      </c>
      <c r="AL178" s="18">
        <v>-5</v>
      </c>
      <c r="AM178" s="18">
        <v>5</v>
      </c>
      <c r="AN178" s="17">
        <v>0</v>
      </c>
      <c r="AO178" s="17">
        <v>3.9144000000000001E-4</v>
      </c>
      <c r="AP178" s="19">
        <v>0</v>
      </c>
      <c r="AQ178" s="19">
        <v>0</v>
      </c>
      <c r="AR178" s="19">
        <v>0</v>
      </c>
      <c r="AS178" s="19">
        <v>0</v>
      </c>
      <c r="AT178" s="19">
        <v>0</v>
      </c>
      <c r="AU178" s="19">
        <v>0</v>
      </c>
      <c r="AV178" s="19">
        <v>0</v>
      </c>
      <c r="AW178" s="19">
        <v>0</v>
      </c>
    </row>
    <row r="179" spans="1:49" ht="17" customHeight="1">
      <c r="A179" s="11" t="s">
        <v>3096</v>
      </c>
      <c r="B179" s="11" t="s">
        <v>3096</v>
      </c>
      <c r="C179" s="18" t="s">
        <v>2867</v>
      </c>
      <c r="D179" s="18" t="s">
        <v>2916</v>
      </c>
      <c r="E179" s="18" t="s">
        <v>2927</v>
      </c>
      <c r="F179" s="18" t="s">
        <v>2918</v>
      </c>
      <c r="G179" s="14"/>
      <c r="H179" s="18" t="s">
        <v>2919</v>
      </c>
      <c r="I179" s="14"/>
      <c r="J179" s="14"/>
      <c r="K179" s="14"/>
      <c r="L179" s="18">
        <v>44</v>
      </c>
      <c r="M179" s="18">
        <v>300</v>
      </c>
      <c r="N179" s="18">
        <v>56</v>
      </c>
      <c r="O179" s="14"/>
      <c r="P179" s="18">
        <v>10.08</v>
      </c>
      <c r="Q179" s="18">
        <v>90</v>
      </c>
      <c r="R179" s="18" t="s">
        <v>3097</v>
      </c>
      <c r="S179" s="18"/>
      <c r="T179" s="18" t="s">
        <v>2920</v>
      </c>
      <c r="U179" s="18">
        <v>0.18</v>
      </c>
      <c r="V179" s="20">
        <v>20</v>
      </c>
      <c r="W179" s="18" t="s">
        <v>2873</v>
      </c>
      <c r="X179" s="14"/>
      <c r="Y179" s="14"/>
      <c r="Z179" s="14"/>
      <c r="AA179" s="14"/>
      <c r="AB179" s="14"/>
      <c r="AC179" s="14"/>
      <c r="AD179" s="14"/>
      <c r="AE179" s="14"/>
      <c r="AF179" s="14"/>
      <c r="AG179" s="14"/>
      <c r="AH179" s="18" t="s">
        <v>3096</v>
      </c>
      <c r="AI179" s="14"/>
      <c r="AJ179" s="21">
        <v>0.3231</v>
      </c>
      <c r="AK179" s="18">
        <v>1</v>
      </c>
      <c r="AL179" s="18">
        <v>0</v>
      </c>
      <c r="AM179" s="18">
        <v>56</v>
      </c>
      <c r="AN179" s="17">
        <v>7.864714831068001E-2</v>
      </c>
      <c r="AO179" s="17">
        <v>0.15171051127419</v>
      </c>
      <c r="AP179" s="19">
        <v>1.8774713139156E-4</v>
      </c>
      <c r="AQ179" s="19">
        <v>-4.1320196711820006E-6</v>
      </c>
      <c r="AR179" s="19">
        <v>0</v>
      </c>
      <c r="AS179" s="19">
        <v>0</v>
      </c>
      <c r="AT179" s="19">
        <v>0</v>
      </c>
      <c r="AU179" s="19">
        <v>0</v>
      </c>
      <c r="AV179" s="19">
        <v>0</v>
      </c>
      <c r="AW179" s="19">
        <v>0</v>
      </c>
    </row>
    <row r="180" spans="1:49" ht="17" customHeight="1">
      <c r="A180" s="11" t="s">
        <v>3098</v>
      </c>
      <c r="B180" s="11" t="s">
        <v>3098</v>
      </c>
      <c r="C180" s="18" t="s">
        <v>2867</v>
      </c>
      <c r="D180" s="18" t="s">
        <v>2916</v>
      </c>
      <c r="E180" s="18" t="s">
        <v>2927</v>
      </c>
      <c r="F180" s="18" t="s">
        <v>2918</v>
      </c>
      <c r="G180" s="14"/>
      <c r="H180" s="18" t="s">
        <v>2919</v>
      </c>
      <c r="I180" s="14"/>
      <c r="J180" s="14"/>
      <c r="K180" s="14"/>
      <c r="L180" s="18">
        <v>44</v>
      </c>
      <c r="M180" s="18">
        <v>300</v>
      </c>
      <c r="N180" s="18">
        <v>56</v>
      </c>
      <c r="O180" s="14"/>
      <c r="P180" s="18">
        <v>10.08</v>
      </c>
      <c r="Q180" s="18">
        <v>90</v>
      </c>
      <c r="R180" s="18" t="s">
        <v>3097</v>
      </c>
      <c r="S180" s="18"/>
      <c r="T180" s="18" t="s">
        <v>2920</v>
      </c>
      <c r="U180" s="18">
        <v>0.18</v>
      </c>
      <c r="V180" s="20">
        <v>20</v>
      </c>
      <c r="W180" s="18" t="s">
        <v>2873</v>
      </c>
      <c r="X180" s="14"/>
      <c r="Y180" s="14"/>
      <c r="Z180" s="14"/>
      <c r="AA180" s="14"/>
      <c r="AB180" s="14"/>
      <c r="AC180" s="14"/>
      <c r="AD180" s="14"/>
      <c r="AE180" s="14"/>
      <c r="AF180" s="14"/>
      <c r="AG180" s="14"/>
      <c r="AH180" s="18" t="s">
        <v>3096</v>
      </c>
      <c r="AI180" s="14"/>
      <c r="AJ180" s="21">
        <v>0.3231</v>
      </c>
      <c r="AK180" s="18">
        <v>1</v>
      </c>
      <c r="AL180" s="18">
        <v>0</v>
      </c>
      <c r="AM180" s="18">
        <v>56</v>
      </c>
      <c r="AN180" s="17">
        <v>7.864714831068001E-2</v>
      </c>
      <c r="AO180" s="17">
        <v>0.15171051127419</v>
      </c>
      <c r="AP180" s="19">
        <v>1.8774713139156E-4</v>
      </c>
      <c r="AQ180" s="19">
        <v>-4.1320196711820006E-6</v>
      </c>
      <c r="AR180" s="19">
        <v>0</v>
      </c>
      <c r="AS180" s="19">
        <v>0</v>
      </c>
      <c r="AT180" s="19">
        <v>0</v>
      </c>
      <c r="AU180" s="19">
        <v>0</v>
      </c>
      <c r="AV180" s="19">
        <v>0</v>
      </c>
      <c r="AW180" s="19">
        <v>0</v>
      </c>
    </row>
    <row r="181" spans="1:49" ht="17" customHeight="1">
      <c r="A181" s="11" t="s">
        <v>3099</v>
      </c>
      <c r="B181" s="11" t="s">
        <v>3099</v>
      </c>
      <c r="C181" s="18" t="s">
        <v>2867</v>
      </c>
      <c r="D181" s="18" t="s">
        <v>2916</v>
      </c>
      <c r="E181" s="18" t="s">
        <v>2927</v>
      </c>
      <c r="F181" s="18" t="s">
        <v>2918</v>
      </c>
      <c r="G181" s="14"/>
      <c r="H181" s="18" t="s">
        <v>2919</v>
      </c>
      <c r="I181" s="14"/>
      <c r="J181" s="14"/>
      <c r="K181" s="14"/>
      <c r="L181" s="18">
        <v>44</v>
      </c>
      <c r="M181" s="18">
        <v>300</v>
      </c>
      <c r="N181" s="18">
        <v>56</v>
      </c>
      <c r="O181" s="14"/>
      <c r="P181" s="18">
        <v>10.08</v>
      </c>
      <c r="Q181" s="18">
        <v>90</v>
      </c>
      <c r="R181" s="18" t="s">
        <v>3097</v>
      </c>
      <c r="S181" s="18"/>
      <c r="T181" s="18" t="s">
        <v>2920</v>
      </c>
      <c r="U181" s="18">
        <v>0.18</v>
      </c>
      <c r="V181" s="20">
        <v>20</v>
      </c>
      <c r="W181" s="18" t="s">
        <v>2873</v>
      </c>
      <c r="X181" s="14"/>
      <c r="Y181" s="14"/>
      <c r="Z181" s="14"/>
      <c r="AA181" s="14"/>
      <c r="AB181" s="14"/>
      <c r="AC181" s="14"/>
      <c r="AD181" s="14"/>
      <c r="AE181" s="14"/>
      <c r="AF181" s="14"/>
      <c r="AG181" s="14"/>
      <c r="AH181" s="18" t="s">
        <v>3096</v>
      </c>
      <c r="AI181" s="14"/>
      <c r="AJ181" s="21">
        <v>0.3231</v>
      </c>
      <c r="AK181" s="18">
        <v>1</v>
      </c>
      <c r="AL181" s="18">
        <v>0</v>
      </c>
      <c r="AM181" s="18">
        <v>56</v>
      </c>
      <c r="AN181" s="17">
        <v>7.864714831068001E-2</v>
      </c>
      <c r="AO181" s="17">
        <v>0.15171051127419</v>
      </c>
      <c r="AP181" s="19">
        <v>1.8774713139156E-4</v>
      </c>
      <c r="AQ181" s="19">
        <v>-4.1320196711820006E-6</v>
      </c>
      <c r="AR181" s="19">
        <v>0</v>
      </c>
      <c r="AS181" s="19">
        <v>0</v>
      </c>
      <c r="AT181" s="19">
        <v>0</v>
      </c>
      <c r="AU181" s="19">
        <v>0</v>
      </c>
      <c r="AV181" s="19">
        <v>0</v>
      </c>
      <c r="AW181" s="19">
        <v>0</v>
      </c>
    </row>
    <row r="182" spans="1:49" ht="17" customHeight="1">
      <c r="A182" s="11" t="s">
        <v>3100</v>
      </c>
      <c r="B182" s="11" t="s">
        <v>3100</v>
      </c>
      <c r="C182" s="18" t="s">
        <v>2867</v>
      </c>
      <c r="D182" s="18" t="s">
        <v>2916</v>
      </c>
      <c r="E182" s="18" t="s">
        <v>2927</v>
      </c>
      <c r="F182" s="18" t="s">
        <v>2918</v>
      </c>
      <c r="G182" s="14"/>
      <c r="H182" s="18" t="s">
        <v>2919</v>
      </c>
      <c r="I182" s="14"/>
      <c r="J182" s="14"/>
      <c r="K182" s="14"/>
      <c r="L182" s="18">
        <v>44</v>
      </c>
      <c r="M182" s="18">
        <v>300</v>
      </c>
      <c r="N182" s="18">
        <v>56</v>
      </c>
      <c r="O182" s="14"/>
      <c r="P182" s="18">
        <v>10.08</v>
      </c>
      <c r="Q182" s="18">
        <v>90</v>
      </c>
      <c r="R182" s="18" t="s">
        <v>3097</v>
      </c>
      <c r="S182" s="18"/>
      <c r="T182" s="18" t="s">
        <v>2920</v>
      </c>
      <c r="U182" s="18">
        <v>0.18</v>
      </c>
      <c r="V182" s="20">
        <v>20</v>
      </c>
      <c r="W182" s="18" t="s">
        <v>2873</v>
      </c>
      <c r="X182" s="14"/>
      <c r="Y182" s="14"/>
      <c r="Z182" s="14"/>
      <c r="AA182" s="14"/>
      <c r="AB182" s="14"/>
      <c r="AC182" s="14"/>
      <c r="AD182" s="14"/>
      <c r="AE182" s="14"/>
      <c r="AF182" s="14"/>
      <c r="AG182" s="14"/>
      <c r="AH182" s="18" t="s">
        <v>3096</v>
      </c>
      <c r="AI182" s="14"/>
      <c r="AJ182" s="21">
        <v>0.3231</v>
      </c>
      <c r="AK182" s="18">
        <v>1</v>
      </c>
      <c r="AL182" s="18">
        <v>0</v>
      </c>
      <c r="AM182" s="18">
        <v>56</v>
      </c>
      <c r="AN182" s="17">
        <v>7.864714831068001E-2</v>
      </c>
      <c r="AO182" s="17">
        <v>0.15171051127419</v>
      </c>
      <c r="AP182" s="19">
        <v>1.8774713139156E-4</v>
      </c>
      <c r="AQ182" s="19">
        <v>-4.1320196711820006E-6</v>
      </c>
      <c r="AR182" s="19">
        <v>0</v>
      </c>
      <c r="AS182" s="19">
        <v>0</v>
      </c>
      <c r="AT182" s="19">
        <v>0</v>
      </c>
      <c r="AU182" s="19">
        <v>0</v>
      </c>
      <c r="AV182" s="19">
        <v>0</v>
      </c>
      <c r="AW182" s="19">
        <v>0</v>
      </c>
    </row>
    <row r="183" spans="1:49" ht="17" customHeight="1">
      <c r="A183" s="11" t="s">
        <v>3101</v>
      </c>
      <c r="B183" s="11" t="s">
        <v>3101</v>
      </c>
      <c r="C183" s="18" t="s">
        <v>2867</v>
      </c>
      <c r="D183" s="18" t="s">
        <v>2916</v>
      </c>
      <c r="E183" s="18" t="s">
        <v>2927</v>
      </c>
      <c r="F183" s="18" t="s">
        <v>2918</v>
      </c>
      <c r="G183" s="14"/>
      <c r="H183" s="18" t="s">
        <v>2919</v>
      </c>
      <c r="I183" s="14"/>
      <c r="J183" s="14"/>
      <c r="K183" s="14"/>
      <c r="L183" s="18">
        <v>44</v>
      </c>
      <c r="M183" s="18">
        <v>300</v>
      </c>
      <c r="N183" s="18">
        <v>56</v>
      </c>
      <c r="O183" s="14"/>
      <c r="P183" s="18">
        <v>10.08</v>
      </c>
      <c r="Q183" s="18">
        <v>90</v>
      </c>
      <c r="R183" s="18" t="s">
        <v>3097</v>
      </c>
      <c r="S183" s="18"/>
      <c r="T183" s="18" t="s">
        <v>2920</v>
      </c>
      <c r="U183" s="18">
        <v>0.18</v>
      </c>
      <c r="V183" s="20">
        <v>20</v>
      </c>
      <c r="W183" s="18" t="s">
        <v>2873</v>
      </c>
      <c r="X183" s="14"/>
      <c r="Y183" s="14"/>
      <c r="Z183" s="14"/>
      <c r="AA183" s="14"/>
      <c r="AB183" s="14"/>
      <c r="AC183" s="14"/>
      <c r="AD183" s="14"/>
      <c r="AE183" s="14"/>
      <c r="AF183" s="14"/>
      <c r="AG183" s="14"/>
      <c r="AH183" s="18" t="s">
        <v>3096</v>
      </c>
      <c r="AI183" s="14"/>
      <c r="AJ183" s="21">
        <v>0.3231</v>
      </c>
      <c r="AK183" s="18">
        <v>1</v>
      </c>
      <c r="AL183" s="18">
        <v>0</v>
      </c>
      <c r="AM183" s="18">
        <v>56</v>
      </c>
      <c r="AN183" s="17">
        <v>7.864714831068001E-2</v>
      </c>
      <c r="AO183" s="17">
        <v>0.15171051127419</v>
      </c>
      <c r="AP183" s="19">
        <v>1.8774713139156E-4</v>
      </c>
      <c r="AQ183" s="19">
        <v>-4.1320196711820006E-6</v>
      </c>
      <c r="AR183" s="19">
        <v>0</v>
      </c>
      <c r="AS183" s="19">
        <v>0</v>
      </c>
      <c r="AT183" s="19">
        <v>0</v>
      </c>
      <c r="AU183" s="19">
        <v>0</v>
      </c>
      <c r="AV183" s="19">
        <v>0</v>
      </c>
      <c r="AW183" s="19">
        <v>0</v>
      </c>
    </row>
    <row r="184" spans="1:49" ht="17" customHeight="1">
      <c r="A184" s="11" t="s">
        <v>3102</v>
      </c>
      <c r="B184" s="11" t="s">
        <v>3102</v>
      </c>
      <c r="C184" s="18" t="s">
        <v>2867</v>
      </c>
      <c r="D184" s="18" t="s">
        <v>2916</v>
      </c>
      <c r="E184" s="18" t="s">
        <v>2927</v>
      </c>
      <c r="F184" s="18" t="s">
        <v>2918</v>
      </c>
      <c r="G184" s="14"/>
      <c r="H184" s="18" t="s">
        <v>2919</v>
      </c>
      <c r="I184" s="14"/>
      <c r="J184" s="14"/>
      <c r="K184" s="14"/>
      <c r="L184" s="18">
        <v>44</v>
      </c>
      <c r="M184" s="18">
        <v>300</v>
      </c>
      <c r="N184" s="18">
        <v>56</v>
      </c>
      <c r="O184" s="14"/>
      <c r="P184" s="18">
        <v>10.08</v>
      </c>
      <c r="Q184" s="18">
        <v>90</v>
      </c>
      <c r="R184" s="18" t="s">
        <v>3097</v>
      </c>
      <c r="S184" s="18"/>
      <c r="T184" s="18" t="s">
        <v>2920</v>
      </c>
      <c r="U184" s="18">
        <v>0.18</v>
      </c>
      <c r="V184" s="20">
        <v>20</v>
      </c>
      <c r="W184" s="18" t="s">
        <v>2873</v>
      </c>
      <c r="X184" s="14"/>
      <c r="Y184" s="14"/>
      <c r="Z184" s="14"/>
      <c r="AA184" s="14"/>
      <c r="AB184" s="14"/>
      <c r="AC184" s="14"/>
      <c r="AD184" s="14"/>
      <c r="AE184" s="14"/>
      <c r="AF184" s="14"/>
      <c r="AG184" s="14"/>
      <c r="AH184" s="18" t="s">
        <v>3096</v>
      </c>
      <c r="AI184" s="14"/>
      <c r="AJ184" s="21">
        <v>0.3231</v>
      </c>
      <c r="AK184" s="18">
        <v>1</v>
      </c>
      <c r="AL184" s="18">
        <v>0</v>
      </c>
      <c r="AM184" s="18">
        <v>56</v>
      </c>
      <c r="AN184" s="17">
        <v>7.864714831068001E-2</v>
      </c>
      <c r="AO184" s="17">
        <v>0.15171051127419</v>
      </c>
      <c r="AP184" s="19">
        <v>1.8774713139156E-4</v>
      </c>
      <c r="AQ184" s="19">
        <v>-4.1320196711820006E-6</v>
      </c>
      <c r="AR184" s="19">
        <v>0</v>
      </c>
      <c r="AS184" s="19">
        <v>0</v>
      </c>
      <c r="AT184" s="19">
        <v>0</v>
      </c>
      <c r="AU184" s="19">
        <v>0</v>
      </c>
      <c r="AV184" s="19">
        <v>0</v>
      </c>
      <c r="AW184" s="19">
        <v>0</v>
      </c>
    </row>
    <row r="185" spans="1:49" ht="17" customHeight="1">
      <c r="A185" s="11" t="s">
        <v>3103</v>
      </c>
      <c r="B185" s="11" t="s">
        <v>3103</v>
      </c>
      <c r="C185" s="18" t="s">
        <v>2867</v>
      </c>
      <c r="D185" s="18" t="s">
        <v>2916</v>
      </c>
      <c r="E185" s="18" t="s">
        <v>2927</v>
      </c>
      <c r="F185" s="18" t="s">
        <v>2918</v>
      </c>
      <c r="G185" s="14"/>
      <c r="H185" s="18" t="s">
        <v>2919</v>
      </c>
      <c r="I185" s="14"/>
      <c r="J185" s="14"/>
      <c r="K185" s="14"/>
      <c r="L185" s="18">
        <v>52</v>
      </c>
      <c r="M185" s="18">
        <v>300</v>
      </c>
      <c r="N185" s="18">
        <v>95</v>
      </c>
      <c r="O185" s="14"/>
      <c r="P185" s="18">
        <v>27.55</v>
      </c>
      <c r="Q185" s="18">
        <v>90</v>
      </c>
      <c r="R185" s="18" t="s">
        <v>3104</v>
      </c>
      <c r="S185" s="18"/>
      <c r="T185" s="18" t="s">
        <v>2920</v>
      </c>
      <c r="U185" s="18">
        <v>0.28999999999999998</v>
      </c>
      <c r="V185" s="20">
        <v>24</v>
      </c>
      <c r="W185" s="18" t="s">
        <v>2954</v>
      </c>
      <c r="X185" s="14"/>
      <c r="Y185" s="14"/>
      <c r="Z185" s="14"/>
      <c r="AA185" s="14"/>
      <c r="AB185" s="14"/>
      <c r="AC185" s="14"/>
      <c r="AD185" s="14"/>
      <c r="AE185" s="14"/>
      <c r="AF185" s="14"/>
      <c r="AG185" s="14"/>
      <c r="AH185" s="18" t="s">
        <v>3103</v>
      </c>
      <c r="AI185" s="14"/>
      <c r="AJ185" s="21">
        <v>0.3266</v>
      </c>
      <c r="AK185" s="18">
        <v>1</v>
      </c>
      <c r="AL185" s="18">
        <v>0</v>
      </c>
      <c r="AM185" s="18">
        <v>95</v>
      </c>
      <c r="AN185" s="17">
        <v>-0.23658455411634</v>
      </c>
      <c r="AO185" s="17">
        <v>0.16314750882699999</v>
      </c>
      <c r="AP185" s="19">
        <v>-2.9601323524440001E-3</v>
      </c>
      <c r="AQ185" s="19">
        <v>7.1620099433640001E-5</v>
      </c>
      <c r="AR185" s="19">
        <v>-7.503156495074E-7</v>
      </c>
      <c r="AS185" s="19">
        <v>2.6228276060054009E-9</v>
      </c>
      <c r="AT185" s="19">
        <v>0</v>
      </c>
      <c r="AU185" s="19">
        <v>0</v>
      </c>
      <c r="AV185" s="19">
        <v>0</v>
      </c>
      <c r="AW185" s="19">
        <v>0</v>
      </c>
    </row>
    <row r="186" spans="1:49" ht="17" customHeight="1">
      <c r="A186" s="11" t="s">
        <v>3105</v>
      </c>
      <c r="B186" s="11" t="s">
        <v>3105</v>
      </c>
      <c r="C186" s="18" t="s">
        <v>2867</v>
      </c>
      <c r="D186" s="18" t="s">
        <v>2916</v>
      </c>
      <c r="E186" s="18" t="s">
        <v>2927</v>
      </c>
      <c r="F186" s="18" t="s">
        <v>2918</v>
      </c>
      <c r="G186" s="14"/>
      <c r="H186" s="18" t="s">
        <v>2919</v>
      </c>
      <c r="I186" s="14"/>
      <c r="J186" s="14"/>
      <c r="K186" s="14"/>
      <c r="L186" s="18">
        <v>44</v>
      </c>
      <c r="M186" s="18">
        <v>300</v>
      </c>
      <c r="N186" s="18">
        <v>56</v>
      </c>
      <c r="O186" s="14"/>
      <c r="P186" s="18">
        <v>10.08</v>
      </c>
      <c r="Q186" s="18">
        <v>90</v>
      </c>
      <c r="R186" s="18" t="s">
        <v>3097</v>
      </c>
      <c r="S186" s="18"/>
      <c r="T186" s="18" t="s">
        <v>2920</v>
      </c>
      <c r="U186" s="18">
        <v>0.18</v>
      </c>
      <c r="V186" s="20">
        <v>20</v>
      </c>
      <c r="W186" s="18" t="s">
        <v>2873</v>
      </c>
      <c r="X186" s="14"/>
      <c r="Y186" s="14"/>
      <c r="Z186" s="14"/>
      <c r="AA186" s="14"/>
      <c r="AB186" s="14"/>
      <c r="AC186" s="14"/>
      <c r="AD186" s="14"/>
      <c r="AE186" s="14"/>
      <c r="AF186" s="14"/>
      <c r="AG186" s="14"/>
      <c r="AH186" s="18" t="s">
        <v>3096</v>
      </c>
      <c r="AI186" s="14"/>
      <c r="AJ186" s="21">
        <v>0.3231</v>
      </c>
      <c r="AK186" s="18">
        <v>1</v>
      </c>
      <c r="AL186" s="18">
        <v>0</v>
      </c>
      <c r="AM186" s="18">
        <v>56</v>
      </c>
      <c r="AN186" s="17">
        <v>7.864714831068001E-2</v>
      </c>
      <c r="AO186" s="17">
        <v>0.15171051127419</v>
      </c>
      <c r="AP186" s="19">
        <v>1.8774713139156E-4</v>
      </c>
      <c r="AQ186" s="19">
        <v>-4.1320196711820006E-6</v>
      </c>
      <c r="AR186" s="19">
        <v>0</v>
      </c>
      <c r="AS186" s="19">
        <v>0</v>
      </c>
      <c r="AT186" s="19">
        <v>0</v>
      </c>
      <c r="AU186" s="19">
        <v>0</v>
      </c>
      <c r="AV186" s="19">
        <v>0</v>
      </c>
      <c r="AW186" s="19">
        <v>0</v>
      </c>
    </row>
    <row r="187" spans="1:49" ht="17" customHeight="1">
      <c r="A187" s="11" t="s">
        <v>3106</v>
      </c>
      <c r="B187" s="11" t="s">
        <v>3106</v>
      </c>
      <c r="C187" s="18" t="s">
        <v>2867</v>
      </c>
      <c r="D187" s="18" t="s">
        <v>2916</v>
      </c>
      <c r="E187" s="18" t="s">
        <v>2927</v>
      </c>
      <c r="F187" s="18" t="s">
        <v>2918</v>
      </c>
      <c r="G187" s="14"/>
      <c r="H187" s="18" t="s">
        <v>2919</v>
      </c>
      <c r="I187" s="14"/>
      <c r="J187" s="14"/>
      <c r="K187" s="14"/>
      <c r="L187" s="18">
        <v>44</v>
      </c>
      <c r="M187" s="18">
        <v>300</v>
      </c>
      <c r="N187" s="18">
        <v>56</v>
      </c>
      <c r="O187" s="14"/>
      <c r="P187" s="18">
        <v>10.08</v>
      </c>
      <c r="Q187" s="18">
        <v>90</v>
      </c>
      <c r="R187" s="18" t="s">
        <v>3097</v>
      </c>
      <c r="S187" s="18"/>
      <c r="T187" s="18" t="s">
        <v>2920</v>
      </c>
      <c r="U187" s="18">
        <v>0.18</v>
      </c>
      <c r="V187" s="20">
        <v>20</v>
      </c>
      <c r="W187" s="18" t="s">
        <v>2873</v>
      </c>
      <c r="X187" s="14"/>
      <c r="Y187" s="14"/>
      <c r="Z187" s="14"/>
      <c r="AA187" s="14"/>
      <c r="AB187" s="14"/>
      <c r="AC187" s="14"/>
      <c r="AD187" s="14"/>
      <c r="AE187" s="14"/>
      <c r="AF187" s="14"/>
      <c r="AG187" s="14"/>
      <c r="AH187" s="18" t="s">
        <v>3096</v>
      </c>
      <c r="AI187" s="14"/>
      <c r="AJ187" s="21">
        <v>0.3231</v>
      </c>
      <c r="AK187" s="18">
        <v>1</v>
      </c>
      <c r="AL187" s="18">
        <v>0</v>
      </c>
      <c r="AM187" s="18">
        <v>56</v>
      </c>
      <c r="AN187" s="17">
        <v>7.864714831068001E-2</v>
      </c>
      <c r="AO187" s="17">
        <v>0.15171051127419</v>
      </c>
      <c r="AP187" s="19">
        <v>1.8774713139156E-4</v>
      </c>
      <c r="AQ187" s="19">
        <v>-4.1320196711820006E-6</v>
      </c>
      <c r="AR187" s="19">
        <v>0</v>
      </c>
      <c r="AS187" s="19">
        <v>0</v>
      </c>
      <c r="AT187" s="19">
        <v>0</v>
      </c>
      <c r="AU187" s="19">
        <v>0</v>
      </c>
      <c r="AV187" s="19">
        <v>0</v>
      </c>
      <c r="AW187" s="19">
        <v>0</v>
      </c>
    </row>
    <row r="188" spans="1:49" ht="17" customHeight="1">
      <c r="A188" s="11" t="s">
        <v>3107</v>
      </c>
      <c r="B188" s="11" t="s">
        <v>3107</v>
      </c>
      <c r="C188" s="18" t="s">
        <v>2867</v>
      </c>
      <c r="D188" s="18" t="s">
        <v>2916</v>
      </c>
      <c r="E188" s="18" t="s">
        <v>2927</v>
      </c>
      <c r="F188" s="18" t="s">
        <v>2918</v>
      </c>
      <c r="G188" s="14"/>
      <c r="H188" s="18" t="s">
        <v>2919</v>
      </c>
      <c r="I188" s="14"/>
      <c r="J188" s="14"/>
      <c r="K188" s="14"/>
      <c r="L188" s="18">
        <v>44</v>
      </c>
      <c r="M188" s="18">
        <v>300</v>
      </c>
      <c r="N188" s="18">
        <v>56</v>
      </c>
      <c r="O188" s="14"/>
      <c r="P188" s="18">
        <v>10.08</v>
      </c>
      <c r="Q188" s="18">
        <v>90</v>
      </c>
      <c r="R188" s="18" t="s">
        <v>3097</v>
      </c>
      <c r="S188" s="18"/>
      <c r="T188" s="18" t="s">
        <v>2920</v>
      </c>
      <c r="U188" s="18">
        <v>0.18</v>
      </c>
      <c r="V188" s="20">
        <v>20</v>
      </c>
      <c r="W188" s="18" t="s">
        <v>2873</v>
      </c>
      <c r="X188" s="14"/>
      <c r="Y188" s="14"/>
      <c r="Z188" s="14"/>
      <c r="AA188" s="14"/>
      <c r="AB188" s="14"/>
      <c r="AC188" s="14"/>
      <c r="AD188" s="14"/>
      <c r="AE188" s="14"/>
      <c r="AF188" s="14"/>
      <c r="AG188" s="14"/>
      <c r="AH188" s="18" t="s">
        <v>3096</v>
      </c>
      <c r="AI188" s="14"/>
      <c r="AJ188" s="21">
        <v>0.3231</v>
      </c>
      <c r="AK188" s="18">
        <v>1</v>
      </c>
      <c r="AL188" s="18">
        <v>0</v>
      </c>
      <c r="AM188" s="18">
        <v>56</v>
      </c>
      <c r="AN188" s="17">
        <v>7.864714831068001E-2</v>
      </c>
      <c r="AO188" s="17">
        <v>0.15171051127419</v>
      </c>
      <c r="AP188" s="19">
        <v>1.8774713139156E-4</v>
      </c>
      <c r="AQ188" s="19">
        <v>-4.1320196711820006E-6</v>
      </c>
      <c r="AR188" s="19">
        <v>0</v>
      </c>
      <c r="AS188" s="19">
        <v>0</v>
      </c>
      <c r="AT188" s="19">
        <v>0</v>
      </c>
      <c r="AU188" s="19">
        <v>0</v>
      </c>
      <c r="AV188" s="19">
        <v>0</v>
      </c>
      <c r="AW188" s="19">
        <v>0</v>
      </c>
    </row>
    <row r="189" spans="1:49" ht="17" customHeight="1">
      <c r="A189" s="11" t="s">
        <v>3108</v>
      </c>
      <c r="B189" s="11" t="s">
        <v>3108</v>
      </c>
      <c r="C189" s="18" t="s">
        <v>2867</v>
      </c>
      <c r="D189" s="18" t="s">
        <v>3109</v>
      </c>
      <c r="E189" s="18" t="s">
        <v>3110</v>
      </c>
      <c r="F189" s="18" t="s">
        <v>3111</v>
      </c>
      <c r="G189" s="14"/>
      <c r="H189" s="18" t="s">
        <v>3112</v>
      </c>
      <c r="I189" s="14">
        <v>34115</v>
      </c>
      <c r="J189" s="14"/>
      <c r="K189" s="14" t="s">
        <v>3113</v>
      </c>
      <c r="L189" s="18">
        <v>52</v>
      </c>
      <c r="M189" s="18">
        <v>100</v>
      </c>
      <c r="N189" s="18">
        <v>25</v>
      </c>
      <c r="O189" s="14">
        <v>400</v>
      </c>
      <c r="P189" s="18">
        <v>3.2</v>
      </c>
      <c r="Q189" s="18">
        <v>53</v>
      </c>
      <c r="R189" s="18" t="s">
        <v>3114</v>
      </c>
      <c r="S189" s="18"/>
      <c r="T189" s="18"/>
      <c r="U189" s="18">
        <v>0.14000000000000001</v>
      </c>
      <c r="V189" s="20">
        <v>568.28193832599118</v>
      </c>
      <c r="W189" s="18" t="s">
        <v>2873</v>
      </c>
      <c r="X189" s="14"/>
      <c r="Y189" s="14">
        <v>150</v>
      </c>
      <c r="Z189" s="14"/>
      <c r="AA189" s="14"/>
      <c r="AB189" s="14"/>
      <c r="AC189" s="14" t="s">
        <v>3115</v>
      </c>
      <c r="AD189" s="14"/>
      <c r="AE189" s="14"/>
      <c r="AF189" s="14"/>
      <c r="AG189" s="14"/>
      <c r="AH189" s="18" t="s">
        <v>3108</v>
      </c>
      <c r="AI189" s="14"/>
      <c r="AJ189" s="21">
        <v>0.11679</v>
      </c>
      <c r="AK189" s="18">
        <v>1</v>
      </c>
      <c r="AL189" s="18">
        <v>0</v>
      </c>
      <c r="AM189" s="18">
        <v>25</v>
      </c>
      <c r="AN189" s="17">
        <v>0.67024873247938699</v>
      </c>
      <c r="AO189" s="17">
        <v>2.78859485845051</v>
      </c>
      <c r="AP189" s="19">
        <v>-6.64226097081984E-3</v>
      </c>
      <c r="AQ189" s="19">
        <v>1.42647538049742E-5</v>
      </c>
      <c r="AR189" s="19">
        <v>0</v>
      </c>
      <c r="AS189" s="19">
        <v>0</v>
      </c>
      <c r="AT189" s="19">
        <v>0</v>
      </c>
      <c r="AU189" s="19">
        <v>0</v>
      </c>
      <c r="AV189" s="19">
        <v>0</v>
      </c>
      <c r="AW189" s="19">
        <v>0</v>
      </c>
    </row>
    <row r="190" spans="1:49" ht="17" customHeight="1">
      <c r="A190" s="11" t="s">
        <v>3116</v>
      </c>
      <c r="B190" s="11" t="s">
        <v>3116</v>
      </c>
      <c r="C190" s="18" t="s">
        <v>2867</v>
      </c>
      <c r="D190" s="18" t="s">
        <v>3109</v>
      </c>
      <c r="E190" s="18" t="s">
        <v>3110</v>
      </c>
      <c r="F190" s="18" t="s">
        <v>3111</v>
      </c>
      <c r="G190" s="14"/>
      <c r="H190" s="18" t="s">
        <v>3112</v>
      </c>
      <c r="I190" s="14">
        <v>34115</v>
      </c>
      <c r="J190" s="14"/>
      <c r="K190" s="14" t="s">
        <v>3113</v>
      </c>
      <c r="L190" s="18">
        <v>52</v>
      </c>
      <c r="M190" s="18">
        <v>100</v>
      </c>
      <c r="N190" s="18">
        <v>25</v>
      </c>
      <c r="O190" s="14">
        <v>400</v>
      </c>
      <c r="P190" s="18">
        <v>3.2</v>
      </c>
      <c r="Q190" s="18">
        <v>53</v>
      </c>
      <c r="R190" s="18" t="s">
        <v>3114</v>
      </c>
      <c r="S190" s="18"/>
      <c r="T190" s="18"/>
      <c r="U190" s="18">
        <v>0.14000000000000001</v>
      </c>
      <c r="V190" s="20">
        <v>568.28193832599118</v>
      </c>
      <c r="W190" s="18" t="s">
        <v>2873</v>
      </c>
      <c r="X190" s="14"/>
      <c r="Y190" s="14">
        <v>150</v>
      </c>
      <c r="Z190" s="14"/>
      <c r="AA190" s="14"/>
      <c r="AB190" s="14"/>
      <c r="AC190" s="14" t="s">
        <v>3115</v>
      </c>
      <c r="AD190" s="14"/>
      <c r="AE190" s="14"/>
      <c r="AF190" s="14"/>
      <c r="AG190" s="14"/>
      <c r="AH190" s="18" t="s">
        <v>3116</v>
      </c>
      <c r="AI190" s="14"/>
      <c r="AJ190" s="21">
        <v>0.11679</v>
      </c>
      <c r="AK190" s="18">
        <v>1</v>
      </c>
      <c r="AL190" s="18">
        <v>0</v>
      </c>
      <c r="AM190" s="18">
        <v>25</v>
      </c>
      <c r="AN190" s="17">
        <v>0.67024873247938699</v>
      </c>
      <c r="AO190" s="17">
        <v>2.78859485845051</v>
      </c>
      <c r="AP190" s="19">
        <v>-6.64226097081984E-3</v>
      </c>
      <c r="AQ190" s="19">
        <v>1.42647538049742E-5</v>
      </c>
      <c r="AR190" s="19">
        <v>0</v>
      </c>
      <c r="AS190" s="19">
        <v>0</v>
      </c>
      <c r="AT190" s="19">
        <v>0</v>
      </c>
      <c r="AU190" s="19">
        <v>0</v>
      </c>
      <c r="AV190" s="19">
        <v>0</v>
      </c>
      <c r="AW190" s="19">
        <v>0</v>
      </c>
    </row>
    <row r="191" spans="1:49" ht="17" customHeight="1">
      <c r="A191" s="11" t="s">
        <v>3117</v>
      </c>
      <c r="B191" s="11" t="s">
        <v>3117</v>
      </c>
      <c r="C191" s="18" t="s">
        <v>2867</v>
      </c>
      <c r="D191" s="18" t="s">
        <v>3109</v>
      </c>
      <c r="E191" s="18" t="s">
        <v>3110</v>
      </c>
      <c r="F191" s="18" t="s">
        <v>3111</v>
      </c>
      <c r="G191" s="14"/>
      <c r="H191" s="18" t="s">
        <v>3112</v>
      </c>
      <c r="I191" s="14">
        <v>34115</v>
      </c>
      <c r="J191" s="14"/>
      <c r="K191" s="14" t="s">
        <v>3113</v>
      </c>
      <c r="L191" s="18">
        <v>52</v>
      </c>
      <c r="M191" s="18">
        <v>100</v>
      </c>
      <c r="N191" s="18">
        <v>25</v>
      </c>
      <c r="O191" s="14">
        <v>400</v>
      </c>
      <c r="P191" s="18">
        <v>3.2</v>
      </c>
      <c r="Q191" s="18">
        <v>53</v>
      </c>
      <c r="R191" s="18" t="s">
        <v>3114</v>
      </c>
      <c r="S191" s="18"/>
      <c r="T191" s="18"/>
      <c r="U191" s="18">
        <v>0.14000000000000001</v>
      </c>
      <c r="V191" s="20">
        <v>568.28193832599118</v>
      </c>
      <c r="W191" s="18" t="s">
        <v>2873</v>
      </c>
      <c r="X191" s="14"/>
      <c r="Y191" s="14">
        <v>150</v>
      </c>
      <c r="Z191" s="14"/>
      <c r="AA191" s="14"/>
      <c r="AB191" s="14"/>
      <c r="AC191" s="14" t="s">
        <v>3115</v>
      </c>
      <c r="AD191" s="14"/>
      <c r="AE191" s="14"/>
      <c r="AF191" s="14"/>
      <c r="AG191" s="14"/>
      <c r="AH191" s="18" t="s">
        <v>3117</v>
      </c>
      <c r="AI191" s="14"/>
      <c r="AJ191" s="21">
        <v>0.11679</v>
      </c>
      <c r="AK191" s="18">
        <v>1</v>
      </c>
      <c r="AL191" s="18">
        <v>0</v>
      </c>
      <c r="AM191" s="18">
        <v>25</v>
      </c>
      <c r="AN191" s="17">
        <v>0.67024873247938699</v>
      </c>
      <c r="AO191" s="17">
        <v>2.78859485845051</v>
      </c>
      <c r="AP191" s="19">
        <v>-6.64226097081984E-3</v>
      </c>
      <c r="AQ191" s="19">
        <v>1.42647538049742E-5</v>
      </c>
      <c r="AR191" s="19">
        <v>0</v>
      </c>
      <c r="AS191" s="19">
        <v>0</v>
      </c>
      <c r="AT191" s="19">
        <v>0</v>
      </c>
      <c r="AU191" s="19">
        <v>0</v>
      </c>
      <c r="AV191" s="19">
        <v>0</v>
      </c>
      <c r="AW191" s="19">
        <v>0</v>
      </c>
    </row>
    <row r="192" spans="1:49" ht="17" customHeight="1">
      <c r="A192" s="11" t="s">
        <v>3118</v>
      </c>
      <c r="B192" s="11" t="s">
        <v>3119</v>
      </c>
      <c r="C192" s="14" t="s">
        <v>2867</v>
      </c>
      <c r="D192" s="14" t="s">
        <v>3109</v>
      </c>
      <c r="E192" s="14" t="s">
        <v>2983</v>
      </c>
      <c r="F192" s="14" t="s">
        <v>3111</v>
      </c>
      <c r="G192" s="14"/>
      <c r="H192" s="14" t="s">
        <v>3112</v>
      </c>
      <c r="I192" s="14">
        <v>34027</v>
      </c>
      <c r="J192" s="14"/>
      <c r="K192" s="14" t="s">
        <v>3120</v>
      </c>
      <c r="L192" s="14">
        <v>25</v>
      </c>
      <c r="M192" s="14">
        <v>1869.25</v>
      </c>
      <c r="N192" s="14">
        <v>350</v>
      </c>
      <c r="O192" s="14"/>
      <c r="P192" s="14">
        <v>40.9</v>
      </c>
      <c r="Q192" s="14">
        <v>54</v>
      </c>
      <c r="R192" s="14" t="s">
        <v>3121</v>
      </c>
      <c r="S192" s="14">
        <v>92.725999999999999</v>
      </c>
      <c r="T192" s="14"/>
      <c r="U192" s="14">
        <v>0.1168</v>
      </c>
      <c r="V192" s="15">
        <v>1.4</v>
      </c>
      <c r="W192" s="14" t="s">
        <v>3122</v>
      </c>
      <c r="X192" s="14">
        <v>7.83</v>
      </c>
      <c r="Y192" s="14">
        <v>2900</v>
      </c>
      <c r="Z192" s="14"/>
      <c r="AA192" s="14"/>
      <c r="AB192" s="14"/>
      <c r="AC192" s="14" t="s">
        <v>3115</v>
      </c>
      <c r="AD192" s="14"/>
      <c r="AE192" s="14" t="s">
        <v>3123</v>
      </c>
      <c r="AF192" s="14"/>
      <c r="AG192" s="14"/>
      <c r="AH192" s="14" t="s">
        <v>3118</v>
      </c>
      <c r="AI192" s="14"/>
      <c r="AJ192" s="16">
        <v>1.90757</v>
      </c>
      <c r="AK192" s="14">
        <v>1</v>
      </c>
      <c r="AL192" s="14">
        <v>0</v>
      </c>
      <c r="AM192" s="14">
        <v>350</v>
      </c>
      <c r="AN192" s="19">
        <v>-1.4970369819947699E-4</v>
      </c>
      <c r="AO192" s="19">
        <v>1.1234409634395801E-2</v>
      </c>
      <c r="AP192" s="19">
        <v>-2.5376268410603401E-5</v>
      </c>
      <c r="AQ192" s="19">
        <v>2.2784916436420101E-7</v>
      </c>
      <c r="AR192" s="19">
        <v>-7.9857872990940602E-10</v>
      </c>
      <c r="AS192" s="19">
        <v>8.5204921518197E-13</v>
      </c>
      <c r="AT192" s="19">
        <v>0</v>
      </c>
      <c r="AU192" s="19">
        <v>0</v>
      </c>
      <c r="AV192" s="19">
        <v>0</v>
      </c>
      <c r="AW192" s="19">
        <v>0</v>
      </c>
    </row>
    <row r="193" spans="1:49" ht="17" customHeight="1">
      <c r="A193" s="11" t="s">
        <v>3124</v>
      </c>
      <c r="B193" s="11" t="s">
        <v>3119</v>
      </c>
      <c r="C193" s="14" t="s">
        <v>2867</v>
      </c>
      <c r="D193" s="14" t="s">
        <v>3109</v>
      </c>
      <c r="E193" s="14" t="s">
        <v>2983</v>
      </c>
      <c r="F193" s="14" t="s">
        <v>3111</v>
      </c>
      <c r="G193" s="14"/>
      <c r="H193" s="14" t="s">
        <v>3112</v>
      </c>
      <c r="I193" s="14">
        <v>34027</v>
      </c>
      <c r="J193" s="14"/>
      <c r="K193" s="14" t="s">
        <v>3120</v>
      </c>
      <c r="L193" s="14">
        <v>25</v>
      </c>
      <c r="M193" s="14">
        <v>1869.25</v>
      </c>
      <c r="N193" s="14">
        <v>350</v>
      </c>
      <c r="O193" s="14"/>
      <c r="P193" s="14">
        <v>40.9</v>
      </c>
      <c r="Q193" s="14">
        <v>54</v>
      </c>
      <c r="R193" s="14" t="s">
        <v>3121</v>
      </c>
      <c r="S193" s="14">
        <v>92.725999999999999</v>
      </c>
      <c r="T193" s="14"/>
      <c r="U193" s="14">
        <v>0.1168</v>
      </c>
      <c r="V193" s="15">
        <v>1.4</v>
      </c>
      <c r="W193" s="14" t="s">
        <v>3122</v>
      </c>
      <c r="X193" s="14">
        <v>7.83</v>
      </c>
      <c r="Y193" s="14">
        <v>2900</v>
      </c>
      <c r="Z193" s="14"/>
      <c r="AA193" s="14"/>
      <c r="AB193" s="14"/>
      <c r="AC193" s="14" t="s">
        <v>3115</v>
      </c>
      <c r="AD193" s="14"/>
      <c r="AE193" s="14" t="s">
        <v>3123</v>
      </c>
      <c r="AF193" s="14"/>
      <c r="AG193" s="14"/>
      <c r="AH193" s="14" t="s">
        <v>3124</v>
      </c>
      <c r="AI193" s="14"/>
      <c r="AJ193" s="16">
        <v>1.90757</v>
      </c>
      <c r="AK193" s="14">
        <v>1</v>
      </c>
      <c r="AL193" s="14">
        <v>0</v>
      </c>
      <c r="AM193" s="14">
        <v>350</v>
      </c>
      <c r="AN193" s="19">
        <v>-1.4970369819947699E-4</v>
      </c>
      <c r="AO193" s="19">
        <v>1.1234409634395801E-2</v>
      </c>
      <c r="AP193" s="19">
        <v>-2.5376268410603401E-5</v>
      </c>
      <c r="AQ193" s="19">
        <v>2.2784916436420101E-7</v>
      </c>
      <c r="AR193" s="19">
        <v>-7.9857872990940602E-10</v>
      </c>
      <c r="AS193" s="19">
        <v>8.5204921518197E-13</v>
      </c>
      <c r="AT193" s="19">
        <v>0</v>
      </c>
      <c r="AU193" s="19">
        <v>0</v>
      </c>
      <c r="AV193" s="19">
        <v>0</v>
      </c>
      <c r="AW193" s="19">
        <v>0</v>
      </c>
    </row>
    <row r="194" spans="1:49" ht="17" customHeight="1">
      <c r="A194" s="11" t="s">
        <v>3125</v>
      </c>
      <c r="B194" s="11" t="s">
        <v>3126</v>
      </c>
      <c r="C194" s="14" t="s">
        <v>2867</v>
      </c>
      <c r="D194" s="14" t="s">
        <v>3109</v>
      </c>
      <c r="E194" s="14" t="s">
        <v>2983</v>
      </c>
      <c r="F194" s="14" t="s">
        <v>3111</v>
      </c>
      <c r="G194" s="14"/>
      <c r="H194" s="14" t="s">
        <v>3112</v>
      </c>
      <c r="I194" s="14">
        <v>34027</v>
      </c>
      <c r="J194" s="14"/>
      <c r="K194" s="14" t="s">
        <v>3127</v>
      </c>
      <c r="L194" s="14">
        <v>25</v>
      </c>
      <c r="M194" s="14">
        <v>1869.25</v>
      </c>
      <c r="N194" s="14">
        <v>350</v>
      </c>
      <c r="O194" s="14"/>
      <c r="P194" s="14">
        <v>39.1</v>
      </c>
      <c r="Q194" s="14">
        <v>54</v>
      </c>
      <c r="R194" s="14" t="s">
        <v>3121</v>
      </c>
      <c r="S194" s="14">
        <v>92.725999999999999</v>
      </c>
      <c r="T194" s="14"/>
      <c r="U194" s="14">
        <v>0.1118</v>
      </c>
      <c r="V194" s="15">
        <v>1.4</v>
      </c>
      <c r="W194" s="14" t="s">
        <v>3122</v>
      </c>
      <c r="X194" s="14">
        <v>7.83</v>
      </c>
      <c r="Y194" s="14">
        <v>3300</v>
      </c>
      <c r="Z194" s="14"/>
      <c r="AA194" s="14"/>
      <c r="AB194" s="14"/>
      <c r="AC194" s="14" t="s">
        <v>3115</v>
      </c>
      <c r="AD194" s="14"/>
      <c r="AE194" s="14" t="s">
        <v>3123</v>
      </c>
      <c r="AF194" s="14"/>
      <c r="AG194" s="14"/>
      <c r="AH194" s="14" t="s">
        <v>3125</v>
      </c>
      <c r="AI194" s="14"/>
      <c r="AJ194" s="16">
        <v>1.9092</v>
      </c>
      <c r="AK194" s="14">
        <v>1</v>
      </c>
      <c r="AL194" s="14">
        <v>0</v>
      </c>
      <c r="AM194" s="14">
        <v>350</v>
      </c>
      <c r="AN194" s="19">
        <v>-7.8986651590238403E-4</v>
      </c>
      <c r="AO194" s="19">
        <v>1.12082344448729E-2</v>
      </c>
      <c r="AP194" s="19">
        <v>-2.6896538673957499E-5</v>
      </c>
      <c r="AQ194" s="19">
        <v>2.6608834182134401E-7</v>
      </c>
      <c r="AR194" s="19">
        <v>-1.0050793520196401E-9</v>
      </c>
      <c r="AS194" s="19">
        <v>1.1715299381408399E-12</v>
      </c>
      <c r="AT194" s="19">
        <v>0</v>
      </c>
      <c r="AU194" s="19">
        <v>0</v>
      </c>
      <c r="AV194" s="19">
        <v>0</v>
      </c>
      <c r="AW194" s="19">
        <v>0</v>
      </c>
    </row>
    <row r="195" spans="1:49" ht="17" customHeight="1">
      <c r="A195" s="11" t="s">
        <v>3128</v>
      </c>
      <c r="B195" s="11" t="s">
        <v>3126</v>
      </c>
      <c r="C195" s="14" t="s">
        <v>2867</v>
      </c>
      <c r="D195" s="14" t="s">
        <v>3109</v>
      </c>
      <c r="E195" s="14" t="s">
        <v>2983</v>
      </c>
      <c r="F195" s="14" t="s">
        <v>3111</v>
      </c>
      <c r="G195" s="14"/>
      <c r="H195" s="14" t="s">
        <v>3112</v>
      </c>
      <c r="I195" s="14">
        <v>34027</v>
      </c>
      <c r="J195" s="14"/>
      <c r="K195" s="14" t="s">
        <v>3127</v>
      </c>
      <c r="L195" s="14">
        <v>25</v>
      </c>
      <c r="M195" s="14">
        <v>1869.25</v>
      </c>
      <c r="N195" s="14">
        <v>350</v>
      </c>
      <c r="O195" s="14"/>
      <c r="P195" s="14">
        <v>39.1</v>
      </c>
      <c r="Q195" s="14">
        <v>54</v>
      </c>
      <c r="R195" s="14" t="s">
        <v>3121</v>
      </c>
      <c r="S195" s="14">
        <v>92.725999999999999</v>
      </c>
      <c r="T195" s="14"/>
      <c r="U195" s="14">
        <v>0.1118</v>
      </c>
      <c r="V195" s="15">
        <v>1.4</v>
      </c>
      <c r="W195" s="14" t="s">
        <v>3122</v>
      </c>
      <c r="X195" s="14">
        <v>7.83</v>
      </c>
      <c r="Y195" s="14">
        <v>3300</v>
      </c>
      <c r="Z195" s="14"/>
      <c r="AA195" s="14"/>
      <c r="AB195" s="14"/>
      <c r="AC195" s="14" t="s">
        <v>3115</v>
      </c>
      <c r="AD195" s="14"/>
      <c r="AE195" s="14" t="s">
        <v>3123</v>
      </c>
      <c r="AF195" s="14"/>
      <c r="AG195" s="14"/>
      <c r="AH195" s="14" t="s">
        <v>3128</v>
      </c>
      <c r="AI195" s="14"/>
      <c r="AJ195" s="16">
        <v>1.9092</v>
      </c>
      <c r="AK195" s="14">
        <v>1</v>
      </c>
      <c r="AL195" s="14">
        <v>0</v>
      </c>
      <c r="AM195" s="14">
        <v>350</v>
      </c>
      <c r="AN195" s="19">
        <v>-7.8986651590238403E-4</v>
      </c>
      <c r="AO195" s="19">
        <v>1.12082344448729E-2</v>
      </c>
      <c r="AP195" s="19">
        <v>-2.6896538673957499E-5</v>
      </c>
      <c r="AQ195" s="19">
        <v>2.6608834182134401E-7</v>
      </c>
      <c r="AR195" s="19">
        <v>-1.0050793520196401E-9</v>
      </c>
      <c r="AS195" s="19">
        <v>1.1715299381408399E-12</v>
      </c>
      <c r="AT195" s="19">
        <v>0</v>
      </c>
      <c r="AU195" s="19">
        <v>0</v>
      </c>
      <c r="AV195" s="19">
        <v>0</v>
      </c>
      <c r="AW195" s="19">
        <v>0</v>
      </c>
    </row>
    <row r="196" spans="1:49" ht="17" customHeight="1">
      <c r="A196" s="11" t="s">
        <v>3129</v>
      </c>
      <c r="B196" s="11" t="s">
        <v>3126</v>
      </c>
      <c r="C196" s="14" t="s">
        <v>2867</v>
      </c>
      <c r="D196" s="14" t="s">
        <v>3109</v>
      </c>
      <c r="E196" s="14" t="s">
        <v>2983</v>
      </c>
      <c r="F196" s="14" t="s">
        <v>3111</v>
      </c>
      <c r="G196" s="14"/>
      <c r="H196" s="14" t="s">
        <v>3112</v>
      </c>
      <c r="I196" s="14">
        <v>34027</v>
      </c>
      <c r="J196" s="14"/>
      <c r="K196" s="14" t="s">
        <v>3127</v>
      </c>
      <c r="L196" s="14">
        <v>25</v>
      </c>
      <c r="M196" s="14">
        <v>1869.25</v>
      </c>
      <c r="N196" s="14">
        <v>350</v>
      </c>
      <c r="O196" s="14"/>
      <c r="P196" s="14">
        <v>39.1</v>
      </c>
      <c r="Q196" s="14">
        <v>54</v>
      </c>
      <c r="R196" s="14" t="s">
        <v>3121</v>
      </c>
      <c r="S196" s="14">
        <v>92.725999999999999</v>
      </c>
      <c r="T196" s="14"/>
      <c r="U196" s="14">
        <v>0.1118</v>
      </c>
      <c r="V196" s="15">
        <v>1.4</v>
      </c>
      <c r="W196" s="14" t="s">
        <v>3122</v>
      </c>
      <c r="X196" s="14">
        <v>7.83</v>
      </c>
      <c r="Y196" s="14">
        <v>3300</v>
      </c>
      <c r="Z196" s="14"/>
      <c r="AA196" s="14"/>
      <c r="AB196" s="14"/>
      <c r="AC196" s="14" t="s">
        <v>3115</v>
      </c>
      <c r="AD196" s="14"/>
      <c r="AE196" s="14" t="s">
        <v>3123</v>
      </c>
      <c r="AF196" s="14"/>
      <c r="AG196" s="14"/>
      <c r="AH196" s="14" t="s">
        <v>3129</v>
      </c>
      <c r="AI196" s="14"/>
      <c r="AJ196" s="16">
        <v>1.9092</v>
      </c>
      <c r="AK196" s="14">
        <v>1</v>
      </c>
      <c r="AL196" s="14">
        <v>0</v>
      </c>
      <c r="AM196" s="14">
        <v>350</v>
      </c>
      <c r="AN196" s="19">
        <v>-7.8986651590238403E-4</v>
      </c>
      <c r="AO196" s="19">
        <v>1.12082344448729E-2</v>
      </c>
      <c r="AP196" s="19">
        <v>-2.6896538673957499E-5</v>
      </c>
      <c r="AQ196" s="19">
        <v>2.6608834182134401E-7</v>
      </c>
      <c r="AR196" s="19">
        <v>-1.0050793520196401E-9</v>
      </c>
      <c r="AS196" s="19">
        <v>1.1715299381408399E-12</v>
      </c>
      <c r="AT196" s="19">
        <v>0</v>
      </c>
      <c r="AU196" s="19">
        <v>0</v>
      </c>
      <c r="AV196" s="19">
        <v>0</v>
      </c>
      <c r="AW196" s="19">
        <v>0</v>
      </c>
    </row>
    <row r="197" spans="1:49" ht="17" customHeight="1">
      <c r="A197" s="11" t="s">
        <v>3130</v>
      </c>
      <c r="B197" s="11" t="s">
        <v>3126</v>
      </c>
      <c r="C197" s="14" t="s">
        <v>2867</v>
      </c>
      <c r="D197" s="14" t="s">
        <v>3109</v>
      </c>
      <c r="E197" s="14" t="s">
        <v>2983</v>
      </c>
      <c r="F197" s="14" t="s">
        <v>3111</v>
      </c>
      <c r="G197" s="14"/>
      <c r="H197" s="14" t="s">
        <v>3112</v>
      </c>
      <c r="I197" s="14">
        <v>34027</v>
      </c>
      <c r="J197" s="14"/>
      <c r="K197" s="14" t="s">
        <v>3127</v>
      </c>
      <c r="L197" s="14">
        <v>25</v>
      </c>
      <c r="M197" s="14">
        <v>1869.25</v>
      </c>
      <c r="N197" s="14">
        <v>350</v>
      </c>
      <c r="O197" s="14"/>
      <c r="P197" s="14">
        <v>39.1</v>
      </c>
      <c r="Q197" s="14">
        <v>54</v>
      </c>
      <c r="R197" s="14" t="s">
        <v>3121</v>
      </c>
      <c r="S197" s="14">
        <v>92.725999999999999</v>
      </c>
      <c r="T197" s="14"/>
      <c r="U197" s="14">
        <v>0.1118</v>
      </c>
      <c r="V197" s="15">
        <v>1.4</v>
      </c>
      <c r="W197" s="14" t="s">
        <v>3122</v>
      </c>
      <c r="X197" s="14">
        <v>7.83</v>
      </c>
      <c r="Y197" s="14">
        <v>3300</v>
      </c>
      <c r="Z197" s="14"/>
      <c r="AA197" s="14"/>
      <c r="AB197" s="14"/>
      <c r="AC197" s="14" t="s">
        <v>3115</v>
      </c>
      <c r="AD197" s="14"/>
      <c r="AE197" s="14" t="s">
        <v>3123</v>
      </c>
      <c r="AF197" s="14"/>
      <c r="AG197" s="14"/>
      <c r="AH197" s="14" t="s">
        <v>3130</v>
      </c>
      <c r="AI197" s="14"/>
      <c r="AJ197" s="16">
        <v>1.9092</v>
      </c>
      <c r="AK197" s="14">
        <v>1</v>
      </c>
      <c r="AL197" s="14">
        <v>0</v>
      </c>
      <c r="AM197" s="14">
        <v>350</v>
      </c>
      <c r="AN197" s="19">
        <v>-7.8986651590238403E-4</v>
      </c>
      <c r="AO197" s="19">
        <v>1.12082344448729E-2</v>
      </c>
      <c r="AP197" s="19">
        <v>-2.6896538673957499E-5</v>
      </c>
      <c r="AQ197" s="19">
        <v>2.6608834182134401E-7</v>
      </c>
      <c r="AR197" s="19">
        <v>-1.0050793520196401E-9</v>
      </c>
      <c r="AS197" s="19">
        <v>1.1715299381408399E-12</v>
      </c>
      <c r="AT197" s="19">
        <v>0</v>
      </c>
      <c r="AU197" s="19">
        <v>0</v>
      </c>
      <c r="AV197" s="19">
        <v>0</v>
      </c>
      <c r="AW197" s="19">
        <v>0</v>
      </c>
    </row>
    <row r="198" spans="1:49" ht="17" customHeight="1">
      <c r="A198" s="11" t="s">
        <v>3131</v>
      </c>
      <c r="B198" s="11" t="s">
        <v>3131</v>
      </c>
      <c r="C198" s="14" t="s">
        <v>2867</v>
      </c>
      <c r="D198" s="14" t="s">
        <v>2916</v>
      </c>
      <c r="E198" s="14" t="s">
        <v>2917</v>
      </c>
      <c r="F198" s="14" t="s">
        <v>2918</v>
      </c>
      <c r="G198" s="14"/>
      <c r="H198" s="14" t="s">
        <v>2948</v>
      </c>
      <c r="I198" s="14"/>
      <c r="J198" s="14"/>
      <c r="K198" s="14"/>
      <c r="L198" s="14">
        <v>44</v>
      </c>
      <c r="M198" s="14">
        <v>100</v>
      </c>
      <c r="N198" s="14">
        <v>20</v>
      </c>
      <c r="O198" s="14"/>
      <c r="P198" s="14">
        <v>11.2</v>
      </c>
      <c r="Q198" s="14">
        <v>123</v>
      </c>
      <c r="R198" s="14" t="s">
        <v>3047</v>
      </c>
      <c r="S198" s="14"/>
      <c r="T198" s="14">
        <v>29.42</v>
      </c>
      <c r="U198" s="14">
        <v>0.56000000000000005</v>
      </c>
      <c r="V198" s="15">
        <v>7.0072499999999996E-2</v>
      </c>
      <c r="W198" s="14" t="s">
        <v>2873</v>
      </c>
      <c r="X198" s="14"/>
      <c r="Y198" s="14"/>
      <c r="Z198" s="14"/>
      <c r="AA198" s="14"/>
      <c r="AB198" s="14"/>
      <c r="AC198" s="14"/>
      <c r="AD198" s="14"/>
      <c r="AE198" s="14"/>
      <c r="AF198" s="14"/>
      <c r="AG198" s="14"/>
      <c r="AH198" s="14" t="s">
        <v>3131</v>
      </c>
      <c r="AI198" s="14"/>
      <c r="AJ198" s="16">
        <v>0.1415265</v>
      </c>
      <c r="AK198" s="14">
        <v>1</v>
      </c>
      <c r="AL198" s="14">
        <v>-20</v>
      </c>
      <c r="AM198" s="14">
        <v>20</v>
      </c>
      <c r="AN198" s="19">
        <v>0</v>
      </c>
      <c r="AO198" s="19">
        <v>4.9585999999999999E-4</v>
      </c>
      <c r="AP198" s="19">
        <v>0</v>
      </c>
      <c r="AQ198" s="19">
        <v>0</v>
      </c>
      <c r="AR198" s="19">
        <v>0</v>
      </c>
      <c r="AS198" s="19">
        <v>0</v>
      </c>
      <c r="AT198" s="19">
        <v>0</v>
      </c>
      <c r="AU198" s="19">
        <v>0</v>
      </c>
      <c r="AV198" s="19">
        <v>0</v>
      </c>
      <c r="AW198" s="19">
        <v>0</v>
      </c>
    </row>
    <row r="199" spans="1:49" ht="17" customHeight="1">
      <c r="A199" s="11" t="s">
        <v>3132</v>
      </c>
      <c r="B199" s="11" t="s">
        <v>3132</v>
      </c>
      <c r="C199" s="14" t="s">
        <v>2867</v>
      </c>
      <c r="D199" s="14" t="s">
        <v>2916</v>
      </c>
      <c r="E199" s="14" t="s">
        <v>2917</v>
      </c>
      <c r="F199" s="14" t="s">
        <v>2918</v>
      </c>
      <c r="G199" s="14"/>
      <c r="H199" s="14" t="s">
        <v>2948</v>
      </c>
      <c r="I199" s="14"/>
      <c r="J199" s="14"/>
      <c r="K199" s="14"/>
      <c r="L199" s="14">
        <v>44</v>
      </c>
      <c r="M199" s="14">
        <v>100</v>
      </c>
      <c r="N199" s="14">
        <v>20</v>
      </c>
      <c r="O199" s="14"/>
      <c r="P199" s="14">
        <v>11.2</v>
      </c>
      <c r="Q199" s="14">
        <v>123</v>
      </c>
      <c r="R199" s="14" t="s">
        <v>3047</v>
      </c>
      <c r="S199" s="14"/>
      <c r="T199" s="14">
        <v>29.42</v>
      </c>
      <c r="U199" s="14">
        <v>0.56000000000000005</v>
      </c>
      <c r="V199" s="15">
        <v>7.0072499999999996E-2</v>
      </c>
      <c r="W199" s="14" t="s">
        <v>2873</v>
      </c>
      <c r="X199" s="14"/>
      <c r="Y199" s="14"/>
      <c r="Z199" s="14"/>
      <c r="AA199" s="14"/>
      <c r="AB199" s="14"/>
      <c r="AC199" s="14"/>
      <c r="AD199" s="14"/>
      <c r="AE199" s="14"/>
      <c r="AF199" s="14"/>
      <c r="AG199" s="14"/>
      <c r="AH199" s="14" t="s">
        <v>3131</v>
      </c>
      <c r="AI199" s="14"/>
      <c r="AJ199" s="16">
        <v>0.1415265</v>
      </c>
      <c r="AK199" s="14">
        <v>1</v>
      </c>
      <c r="AL199" s="14">
        <v>-20</v>
      </c>
      <c r="AM199" s="14">
        <v>20</v>
      </c>
      <c r="AN199" s="19">
        <v>0</v>
      </c>
      <c r="AO199" s="19">
        <v>4.9585999999999999E-4</v>
      </c>
      <c r="AP199" s="19">
        <v>0</v>
      </c>
      <c r="AQ199" s="19">
        <v>0</v>
      </c>
      <c r="AR199" s="19">
        <v>0</v>
      </c>
      <c r="AS199" s="19">
        <v>0</v>
      </c>
      <c r="AT199" s="19">
        <v>0</v>
      </c>
      <c r="AU199" s="19">
        <v>0</v>
      </c>
      <c r="AV199" s="19">
        <v>0</v>
      </c>
      <c r="AW199" s="19">
        <v>0</v>
      </c>
    </row>
    <row r="200" spans="1:49" ht="17" customHeight="1">
      <c r="A200" s="11" t="s">
        <v>3133</v>
      </c>
      <c r="B200" s="11" t="s">
        <v>3133</v>
      </c>
      <c r="C200" s="14" t="s">
        <v>2867</v>
      </c>
      <c r="D200" s="14" t="s">
        <v>2916</v>
      </c>
      <c r="E200" s="14" t="s">
        <v>2917</v>
      </c>
      <c r="F200" s="14" t="s">
        <v>2918</v>
      </c>
      <c r="G200" s="14"/>
      <c r="H200" s="14" t="s">
        <v>2948</v>
      </c>
      <c r="I200" s="14"/>
      <c r="J200" s="14"/>
      <c r="K200" s="14"/>
      <c r="L200" s="14">
        <v>44</v>
      </c>
      <c r="M200" s="14">
        <v>100</v>
      </c>
      <c r="N200" s="14">
        <v>20</v>
      </c>
      <c r="O200" s="14"/>
      <c r="P200" s="14">
        <v>11.2</v>
      </c>
      <c r="Q200" s="14">
        <v>123</v>
      </c>
      <c r="R200" s="14" t="s">
        <v>3047</v>
      </c>
      <c r="S200" s="14"/>
      <c r="T200" s="14">
        <v>29.42</v>
      </c>
      <c r="U200" s="14">
        <v>0.56000000000000005</v>
      </c>
      <c r="V200" s="15">
        <v>7.0072499999999996E-2</v>
      </c>
      <c r="W200" s="14" t="s">
        <v>2873</v>
      </c>
      <c r="X200" s="14"/>
      <c r="Y200" s="14"/>
      <c r="Z200" s="14"/>
      <c r="AA200" s="14"/>
      <c r="AB200" s="14"/>
      <c r="AC200" s="14"/>
      <c r="AD200" s="14"/>
      <c r="AE200" s="14"/>
      <c r="AF200" s="14"/>
      <c r="AG200" s="14"/>
      <c r="AH200" s="14" t="s">
        <v>3131</v>
      </c>
      <c r="AI200" s="14"/>
      <c r="AJ200" s="16">
        <v>0.1415265</v>
      </c>
      <c r="AK200" s="14">
        <v>1</v>
      </c>
      <c r="AL200" s="14">
        <v>-20</v>
      </c>
      <c r="AM200" s="14">
        <v>20</v>
      </c>
      <c r="AN200" s="19">
        <v>0</v>
      </c>
      <c r="AO200" s="19">
        <v>4.9585999999999999E-4</v>
      </c>
      <c r="AP200" s="19">
        <v>0</v>
      </c>
      <c r="AQ200" s="19">
        <v>0</v>
      </c>
      <c r="AR200" s="19">
        <v>0</v>
      </c>
      <c r="AS200" s="19">
        <v>0</v>
      </c>
      <c r="AT200" s="19">
        <v>0</v>
      </c>
      <c r="AU200" s="19">
        <v>0</v>
      </c>
      <c r="AV200" s="19">
        <v>0</v>
      </c>
      <c r="AW200" s="19">
        <v>0</v>
      </c>
    </row>
    <row r="201" spans="1:49" ht="17" customHeight="1">
      <c r="A201" s="11" t="s">
        <v>3134</v>
      </c>
      <c r="B201" s="11" t="s">
        <v>3134</v>
      </c>
      <c r="C201" s="14" t="s">
        <v>2867</v>
      </c>
      <c r="D201" s="14" t="s">
        <v>2916</v>
      </c>
      <c r="E201" s="14" t="s">
        <v>2917</v>
      </c>
      <c r="F201" s="14" t="s">
        <v>2918</v>
      </c>
      <c r="G201" s="14"/>
      <c r="H201" s="14" t="s">
        <v>2948</v>
      </c>
      <c r="I201" s="14"/>
      <c r="J201" s="14"/>
      <c r="K201" s="14"/>
      <c r="L201" s="14">
        <v>44</v>
      </c>
      <c r="M201" s="14">
        <v>100</v>
      </c>
      <c r="N201" s="14">
        <v>20</v>
      </c>
      <c r="O201" s="14"/>
      <c r="P201" s="14">
        <v>11.2</v>
      </c>
      <c r="Q201" s="14">
        <v>123</v>
      </c>
      <c r="R201" s="14" t="s">
        <v>3047</v>
      </c>
      <c r="S201" s="14"/>
      <c r="T201" s="14">
        <v>29.42</v>
      </c>
      <c r="U201" s="14">
        <v>0.56000000000000005</v>
      </c>
      <c r="V201" s="15">
        <v>7.0072499999999996E-2</v>
      </c>
      <c r="W201" s="14" t="s">
        <v>2873</v>
      </c>
      <c r="X201" s="14"/>
      <c r="Y201" s="14"/>
      <c r="Z201" s="14"/>
      <c r="AA201" s="14"/>
      <c r="AB201" s="14"/>
      <c r="AC201" s="14"/>
      <c r="AD201" s="14"/>
      <c r="AE201" s="14"/>
      <c r="AF201" s="14"/>
      <c r="AG201" s="14"/>
      <c r="AH201" s="14" t="s">
        <v>3131</v>
      </c>
      <c r="AI201" s="14"/>
      <c r="AJ201" s="16">
        <v>0.1415265</v>
      </c>
      <c r="AK201" s="14">
        <v>1</v>
      </c>
      <c r="AL201" s="14">
        <v>-20</v>
      </c>
      <c r="AM201" s="14">
        <v>20</v>
      </c>
      <c r="AN201" s="19">
        <v>0</v>
      </c>
      <c r="AO201" s="19">
        <v>4.9585999999999999E-4</v>
      </c>
      <c r="AP201" s="19">
        <v>0</v>
      </c>
      <c r="AQ201" s="19">
        <v>0</v>
      </c>
      <c r="AR201" s="19">
        <v>0</v>
      </c>
      <c r="AS201" s="19">
        <v>0</v>
      </c>
      <c r="AT201" s="19">
        <v>0</v>
      </c>
      <c r="AU201" s="19">
        <v>0</v>
      </c>
      <c r="AV201" s="19">
        <v>0</v>
      </c>
      <c r="AW201" s="19">
        <v>0</v>
      </c>
    </row>
    <row r="202" spans="1:49" ht="17" customHeight="1">
      <c r="A202" s="11" t="s">
        <v>3135</v>
      </c>
      <c r="B202" s="11" t="s">
        <v>3135</v>
      </c>
      <c r="C202" s="14" t="s">
        <v>2867</v>
      </c>
      <c r="D202" s="14" t="s">
        <v>2916</v>
      </c>
      <c r="E202" s="14" t="s">
        <v>2917</v>
      </c>
      <c r="F202" s="14" t="s">
        <v>2918</v>
      </c>
      <c r="G202" s="14"/>
      <c r="H202" s="14" t="s">
        <v>2935</v>
      </c>
      <c r="I202" s="14"/>
      <c r="J202" s="14"/>
      <c r="K202" s="14"/>
      <c r="L202" s="14">
        <v>44</v>
      </c>
      <c r="M202" s="14">
        <v>100</v>
      </c>
      <c r="N202" s="14">
        <v>5</v>
      </c>
      <c r="O202" s="14"/>
      <c r="P202" s="14">
        <v>0.86</v>
      </c>
      <c r="Q202" s="14">
        <v>360</v>
      </c>
      <c r="R202" s="14">
        <v>2.1</v>
      </c>
      <c r="S202" s="14"/>
      <c r="T202" s="14" t="s">
        <v>2920</v>
      </c>
      <c r="U202" s="14">
        <v>0.17199999999999999</v>
      </c>
      <c r="V202" s="15">
        <v>0.115</v>
      </c>
      <c r="W202" s="14" t="s">
        <v>2873</v>
      </c>
      <c r="X202" s="14"/>
      <c r="Y202" s="14"/>
      <c r="Z202" s="14"/>
      <c r="AA202" s="14"/>
      <c r="AB202" s="14"/>
      <c r="AC202" s="14"/>
      <c r="AD202" s="14"/>
      <c r="AE202" s="14"/>
      <c r="AF202" s="14"/>
      <c r="AG202" s="14"/>
      <c r="AH202" s="14" t="s">
        <v>3136</v>
      </c>
      <c r="AI202" s="14"/>
      <c r="AJ202" s="16">
        <v>0.14260890000000001</v>
      </c>
      <c r="AK202" s="14">
        <v>1</v>
      </c>
      <c r="AL202" s="14">
        <v>-5</v>
      </c>
      <c r="AM202" s="14">
        <v>5</v>
      </c>
      <c r="AN202" s="17">
        <v>0</v>
      </c>
      <c r="AO202" s="17">
        <v>3.2799999999999999E-3</v>
      </c>
      <c r="AP202" s="17">
        <v>0</v>
      </c>
      <c r="AQ202" s="17">
        <v>0</v>
      </c>
      <c r="AR202" s="17">
        <v>0</v>
      </c>
      <c r="AS202" s="17">
        <v>0</v>
      </c>
      <c r="AT202" s="17">
        <v>0</v>
      </c>
      <c r="AU202" s="17">
        <v>0</v>
      </c>
      <c r="AV202" s="17">
        <v>0</v>
      </c>
      <c r="AW202" s="17">
        <v>0</v>
      </c>
    </row>
    <row r="203" spans="1:49" ht="17" customHeight="1">
      <c r="A203" s="11" t="s">
        <v>3137</v>
      </c>
      <c r="B203" s="11" t="s">
        <v>3137</v>
      </c>
      <c r="C203" s="14" t="s">
        <v>2867</v>
      </c>
      <c r="D203" s="14" t="s">
        <v>2916</v>
      </c>
      <c r="E203" s="14" t="s">
        <v>2917</v>
      </c>
      <c r="F203" s="14" t="s">
        <v>2918</v>
      </c>
      <c r="G203" s="14"/>
      <c r="H203" s="14" t="s">
        <v>2935</v>
      </c>
      <c r="I203" s="14"/>
      <c r="J203" s="14"/>
      <c r="K203" s="14"/>
      <c r="L203" s="14">
        <v>44</v>
      </c>
      <c r="M203" s="14">
        <v>100</v>
      </c>
      <c r="N203" s="14">
        <v>5</v>
      </c>
      <c r="O203" s="14"/>
      <c r="P203" s="14">
        <v>0.86</v>
      </c>
      <c r="Q203" s="14">
        <v>360</v>
      </c>
      <c r="R203" s="14">
        <v>2.1</v>
      </c>
      <c r="S203" s="14"/>
      <c r="T203" s="14" t="s">
        <v>2920</v>
      </c>
      <c r="U203" s="14">
        <v>0.17199999999999999</v>
      </c>
      <c r="V203" s="15">
        <v>0.115</v>
      </c>
      <c r="W203" s="14" t="s">
        <v>2873</v>
      </c>
      <c r="X203" s="14"/>
      <c r="Y203" s="14"/>
      <c r="Z203" s="14"/>
      <c r="AA203" s="14"/>
      <c r="AB203" s="14"/>
      <c r="AC203" s="14"/>
      <c r="AD203" s="14"/>
      <c r="AE203" s="14"/>
      <c r="AF203" s="14"/>
      <c r="AG203" s="14"/>
      <c r="AH203" s="14" t="s">
        <v>3136</v>
      </c>
      <c r="AI203" s="14"/>
      <c r="AJ203" s="16">
        <v>0.14260890000000001</v>
      </c>
      <c r="AK203" s="14">
        <v>1</v>
      </c>
      <c r="AL203" s="14">
        <v>-5</v>
      </c>
      <c r="AM203" s="14">
        <v>5</v>
      </c>
      <c r="AN203" s="17">
        <v>0</v>
      </c>
      <c r="AO203" s="17">
        <v>3.2799999999999999E-3</v>
      </c>
      <c r="AP203" s="17">
        <v>0</v>
      </c>
      <c r="AQ203" s="17">
        <v>0</v>
      </c>
      <c r="AR203" s="17">
        <v>0</v>
      </c>
      <c r="AS203" s="17">
        <v>0</v>
      </c>
      <c r="AT203" s="17">
        <v>0</v>
      </c>
      <c r="AU203" s="17">
        <v>0</v>
      </c>
      <c r="AV203" s="17">
        <v>0</v>
      </c>
      <c r="AW203" s="17">
        <v>0</v>
      </c>
    </row>
    <row r="204" spans="1:49" ht="17" customHeight="1">
      <c r="A204" s="11" t="s">
        <v>3138</v>
      </c>
      <c r="B204" s="11" t="s">
        <v>3138</v>
      </c>
      <c r="C204" s="14" t="s">
        <v>2867</v>
      </c>
      <c r="D204" s="14" t="s">
        <v>2916</v>
      </c>
      <c r="E204" s="14" t="s">
        <v>2917</v>
      </c>
      <c r="F204" s="14" t="s">
        <v>2918</v>
      </c>
      <c r="G204" s="14"/>
      <c r="H204" s="14" t="s">
        <v>2948</v>
      </c>
      <c r="I204" s="14"/>
      <c r="J204" s="14"/>
      <c r="K204" s="14"/>
      <c r="L204" s="14">
        <v>44</v>
      </c>
      <c r="M204" s="14">
        <v>100</v>
      </c>
      <c r="N204" s="14">
        <v>20</v>
      </c>
      <c r="O204" s="14"/>
      <c r="P204" s="14">
        <v>11.2</v>
      </c>
      <c r="Q204" s="14">
        <v>123</v>
      </c>
      <c r="R204" s="14" t="s">
        <v>3047</v>
      </c>
      <c r="S204" s="14"/>
      <c r="T204" s="14">
        <v>29.42</v>
      </c>
      <c r="U204" s="14">
        <v>0.56000000000000005</v>
      </c>
      <c r="V204" s="15">
        <v>7.0072499999999996E-2</v>
      </c>
      <c r="W204" s="14" t="s">
        <v>2873</v>
      </c>
      <c r="X204" s="14"/>
      <c r="Y204" s="14"/>
      <c r="Z204" s="14"/>
      <c r="AA204" s="14"/>
      <c r="AB204" s="14"/>
      <c r="AC204" s="14"/>
      <c r="AD204" s="14"/>
      <c r="AE204" s="14"/>
      <c r="AF204" s="14"/>
      <c r="AG204" s="14"/>
      <c r="AH204" s="14" t="s">
        <v>3131</v>
      </c>
      <c r="AI204" s="14"/>
      <c r="AJ204" s="16">
        <v>0.1415265</v>
      </c>
      <c r="AK204" s="14">
        <v>1</v>
      </c>
      <c r="AL204" s="14">
        <v>-20</v>
      </c>
      <c r="AM204" s="14">
        <v>20</v>
      </c>
      <c r="AN204" s="19">
        <v>0</v>
      </c>
      <c r="AO204" s="19">
        <v>4.9585999999999999E-4</v>
      </c>
      <c r="AP204" s="19">
        <v>0</v>
      </c>
      <c r="AQ204" s="19">
        <v>0</v>
      </c>
      <c r="AR204" s="19">
        <v>0</v>
      </c>
      <c r="AS204" s="19">
        <v>0</v>
      </c>
      <c r="AT204" s="19">
        <v>0</v>
      </c>
      <c r="AU204" s="19">
        <v>0</v>
      </c>
      <c r="AV204" s="19">
        <v>0</v>
      </c>
      <c r="AW204" s="19">
        <v>0</v>
      </c>
    </row>
    <row r="205" spans="1:49" ht="17" customHeight="1">
      <c r="A205" s="11" t="s">
        <v>3139</v>
      </c>
      <c r="B205" s="11" t="s">
        <v>3139</v>
      </c>
      <c r="C205" s="14" t="s">
        <v>2867</v>
      </c>
      <c r="D205" s="14" t="s">
        <v>2916</v>
      </c>
      <c r="E205" s="14" t="s">
        <v>2917</v>
      </c>
      <c r="F205" s="14" t="s">
        <v>2918</v>
      </c>
      <c r="G205" s="14"/>
      <c r="H205" s="14" t="s">
        <v>2948</v>
      </c>
      <c r="I205" s="14"/>
      <c r="J205" s="14"/>
      <c r="K205" s="14"/>
      <c r="L205" s="14">
        <v>44</v>
      </c>
      <c r="M205" s="14">
        <v>100</v>
      </c>
      <c r="N205" s="14">
        <v>20</v>
      </c>
      <c r="O205" s="14"/>
      <c r="P205" s="14">
        <v>11.2</v>
      </c>
      <c r="Q205" s="14">
        <v>123</v>
      </c>
      <c r="R205" s="14" t="s">
        <v>3047</v>
      </c>
      <c r="S205" s="14"/>
      <c r="T205" s="14">
        <v>29.42</v>
      </c>
      <c r="U205" s="14">
        <v>0.56000000000000005</v>
      </c>
      <c r="V205" s="15">
        <v>7.0072499999999996E-2</v>
      </c>
      <c r="W205" s="14" t="s">
        <v>2873</v>
      </c>
      <c r="X205" s="14"/>
      <c r="Y205" s="14"/>
      <c r="Z205" s="14"/>
      <c r="AA205" s="14"/>
      <c r="AB205" s="14"/>
      <c r="AC205" s="14"/>
      <c r="AD205" s="14"/>
      <c r="AE205" s="14"/>
      <c r="AF205" s="14"/>
      <c r="AG205" s="14"/>
      <c r="AH205" s="14" t="s">
        <v>3131</v>
      </c>
      <c r="AI205" s="14"/>
      <c r="AJ205" s="16">
        <v>0.1415265</v>
      </c>
      <c r="AK205" s="14">
        <v>1</v>
      </c>
      <c r="AL205" s="14">
        <v>-20</v>
      </c>
      <c r="AM205" s="14">
        <v>20</v>
      </c>
      <c r="AN205" s="19">
        <v>0</v>
      </c>
      <c r="AO205" s="19">
        <v>4.9585999999999999E-4</v>
      </c>
      <c r="AP205" s="19">
        <v>0</v>
      </c>
      <c r="AQ205" s="19">
        <v>0</v>
      </c>
      <c r="AR205" s="19">
        <v>0</v>
      </c>
      <c r="AS205" s="19">
        <v>0</v>
      </c>
      <c r="AT205" s="19">
        <v>0</v>
      </c>
      <c r="AU205" s="19">
        <v>0</v>
      </c>
      <c r="AV205" s="19">
        <v>0</v>
      </c>
      <c r="AW205" s="19">
        <v>0</v>
      </c>
    </row>
    <row r="206" spans="1:49" ht="17" customHeight="1">
      <c r="A206" s="11" t="s">
        <v>3140</v>
      </c>
      <c r="B206" s="11" t="s">
        <v>3140</v>
      </c>
      <c r="C206" s="14" t="s">
        <v>2867</v>
      </c>
      <c r="D206" s="14" t="s">
        <v>2916</v>
      </c>
      <c r="E206" s="14" t="s">
        <v>2917</v>
      </c>
      <c r="F206" s="14" t="s">
        <v>2918</v>
      </c>
      <c r="G206" s="14"/>
      <c r="H206" s="14" t="s">
        <v>2948</v>
      </c>
      <c r="I206" s="14"/>
      <c r="J206" s="14"/>
      <c r="K206" s="14"/>
      <c r="L206" s="14">
        <v>44</v>
      </c>
      <c r="M206" s="14">
        <v>100</v>
      </c>
      <c r="N206" s="14">
        <v>20</v>
      </c>
      <c r="O206" s="14"/>
      <c r="P206" s="14">
        <v>11.2</v>
      </c>
      <c r="Q206" s="14">
        <v>123</v>
      </c>
      <c r="R206" s="14" t="s">
        <v>3047</v>
      </c>
      <c r="S206" s="14"/>
      <c r="T206" s="14">
        <v>29.42</v>
      </c>
      <c r="U206" s="14">
        <v>0.56000000000000005</v>
      </c>
      <c r="V206" s="15">
        <v>7.0072499999999996E-2</v>
      </c>
      <c r="W206" s="14" t="s">
        <v>2873</v>
      </c>
      <c r="X206" s="14"/>
      <c r="Y206" s="14"/>
      <c r="Z206" s="14"/>
      <c r="AA206" s="14"/>
      <c r="AB206" s="14"/>
      <c r="AC206" s="14"/>
      <c r="AD206" s="14"/>
      <c r="AE206" s="14"/>
      <c r="AF206" s="14"/>
      <c r="AG206" s="14"/>
      <c r="AH206" s="14" t="s">
        <v>3131</v>
      </c>
      <c r="AI206" s="14"/>
      <c r="AJ206" s="16">
        <v>0.1415265</v>
      </c>
      <c r="AK206" s="14">
        <v>1</v>
      </c>
      <c r="AL206" s="14">
        <v>-20</v>
      </c>
      <c r="AM206" s="14">
        <v>20</v>
      </c>
      <c r="AN206" s="19">
        <v>0</v>
      </c>
      <c r="AO206" s="19">
        <v>4.9585999999999999E-4</v>
      </c>
      <c r="AP206" s="19">
        <v>0</v>
      </c>
      <c r="AQ206" s="19">
        <v>0</v>
      </c>
      <c r="AR206" s="19">
        <v>0</v>
      </c>
      <c r="AS206" s="19">
        <v>0</v>
      </c>
      <c r="AT206" s="19">
        <v>0</v>
      </c>
      <c r="AU206" s="19">
        <v>0</v>
      </c>
      <c r="AV206" s="19">
        <v>0</v>
      </c>
      <c r="AW206" s="19">
        <v>0</v>
      </c>
    </row>
    <row r="207" spans="1:49" ht="17" customHeight="1">
      <c r="A207" s="11" t="s">
        <v>3141</v>
      </c>
      <c r="B207" s="11" t="s">
        <v>3141</v>
      </c>
      <c r="C207" s="14" t="s">
        <v>2867</v>
      </c>
      <c r="D207" s="14" t="s">
        <v>2916</v>
      </c>
      <c r="E207" s="14" t="s">
        <v>2917</v>
      </c>
      <c r="F207" s="14" t="s">
        <v>2918</v>
      </c>
      <c r="G207" s="14"/>
      <c r="H207" s="14" t="s">
        <v>2948</v>
      </c>
      <c r="I207" s="14"/>
      <c r="J207" s="14"/>
      <c r="K207" s="14"/>
      <c r="L207" s="14">
        <v>44</v>
      </c>
      <c r="M207" s="14">
        <v>100</v>
      </c>
      <c r="N207" s="14">
        <v>20</v>
      </c>
      <c r="O207" s="14"/>
      <c r="P207" s="14">
        <v>11.2</v>
      </c>
      <c r="Q207" s="14">
        <v>123</v>
      </c>
      <c r="R207" s="14" t="s">
        <v>3047</v>
      </c>
      <c r="S207" s="14"/>
      <c r="T207" s="14">
        <v>29.42</v>
      </c>
      <c r="U207" s="14">
        <v>0.56000000000000005</v>
      </c>
      <c r="V207" s="15">
        <v>7.0072499999999996E-2</v>
      </c>
      <c r="W207" s="14" t="s">
        <v>2873</v>
      </c>
      <c r="X207" s="14"/>
      <c r="Y207" s="14"/>
      <c r="Z207" s="14"/>
      <c r="AA207" s="14"/>
      <c r="AB207" s="14"/>
      <c r="AC207" s="14"/>
      <c r="AD207" s="14"/>
      <c r="AE207" s="14"/>
      <c r="AF207" s="14"/>
      <c r="AG207" s="14"/>
      <c r="AH207" s="14" t="s">
        <v>3131</v>
      </c>
      <c r="AI207" s="14"/>
      <c r="AJ207" s="16">
        <v>0.1415265</v>
      </c>
      <c r="AK207" s="14">
        <v>1</v>
      </c>
      <c r="AL207" s="14">
        <v>-20</v>
      </c>
      <c r="AM207" s="14">
        <v>20</v>
      </c>
      <c r="AN207" s="19">
        <v>0</v>
      </c>
      <c r="AO207" s="19">
        <v>4.9585999999999999E-4</v>
      </c>
      <c r="AP207" s="19">
        <v>0</v>
      </c>
      <c r="AQ207" s="19">
        <v>0</v>
      </c>
      <c r="AR207" s="19">
        <v>0</v>
      </c>
      <c r="AS207" s="19">
        <v>0</v>
      </c>
      <c r="AT207" s="19">
        <v>0</v>
      </c>
      <c r="AU207" s="19">
        <v>0</v>
      </c>
      <c r="AV207" s="19">
        <v>0</v>
      </c>
      <c r="AW207" s="19">
        <v>0</v>
      </c>
    </row>
    <row r="208" spans="1:49" ht="17" customHeight="1">
      <c r="A208" s="11" t="s">
        <v>3142</v>
      </c>
      <c r="B208" s="11" t="s">
        <v>3142</v>
      </c>
      <c r="C208" s="14" t="s">
        <v>2867</v>
      </c>
      <c r="D208" s="14" t="s">
        <v>3109</v>
      </c>
      <c r="E208" s="14" t="s">
        <v>3143</v>
      </c>
      <c r="F208" s="14" t="s">
        <v>3111</v>
      </c>
      <c r="G208" s="14"/>
      <c r="H208" s="14" t="s">
        <v>3112</v>
      </c>
      <c r="I208" s="14">
        <v>34027</v>
      </c>
      <c r="J208" s="14"/>
      <c r="K208" s="14" t="s">
        <v>3120</v>
      </c>
      <c r="L208" s="14">
        <v>25</v>
      </c>
      <c r="M208" s="14">
        <v>1869.25</v>
      </c>
      <c r="N208" s="14">
        <v>5</v>
      </c>
      <c r="O208" s="14"/>
      <c r="P208" s="14"/>
      <c r="Q208" s="14">
        <v>155</v>
      </c>
      <c r="R208" s="14" t="s">
        <v>3144</v>
      </c>
      <c r="S208" s="14"/>
      <c r="T208" s="14"/>
      <c r="U208" s="14">
        <v>3.2</v>
      </c>
      <c r="V208" s="15"/>
      <c r="W208" s="14" t="s">
        <v>2873</v>
      </c>
      <c r="X208" s="14"/>
      <c r="Y208" s="14">
        <v>23</v>
      </c>
      <c r="Z208" s="14"/>
      <c r="AA208" s="14"/>
      <c r="AB208" s="14"/>
      <c r="AC208" s="14"/>
      <c r="AD208" s="14"/>
      <c r="AE208" s="14"/>
      <c r="AF208" s="14"/>
      <c r="AG208" s="14"/>
      <c r="AH208" s="14" t="s">
        <v>3142</v>
      </c>
      <c r="AI208" s="14"/>
      <c r="AJ208" s="16">
        <v>1.90757</v>
      </c>
      <c r="AK208" s="14">
        <v>1</v>
      </c>
      <c r="AL208" s="14">
        <v>-5</v>
      </c>
      <c r="AM208" s="14">
        <v>5</v>
      </c>
      <c r="AN208" s="17">
        <v>0</v>
      </c>
      <c r="AO208" s="17">
        <v>7.7911497809026869E-3</v>
      </c>
      <c r="AP208" s="17">
        <v>0</v>
      </c>
      <c r="AQ208" s="17">
        <v>0</v>
      </c>
      <c r="AR208" s="17">
        <v>0</v>
      </c>
      <c r="AS208" s="17">
        <v>0</v>
      </c>
      <c r="AT208" s="17">
        <v>0</v>
      </c>
      <c r="AU208" s="17">
        <v>0</v>
      </c>
      <c r="AV208" s="17">
        <v>0</v>
      </c>
      <c r="AW208" s="17">
        <v>0</v>
      </c>
    </row>
    <row r="209" spans="1:49" ht="17" customHeight="1">
      <c r="A209" s="11" t="s">
        <v>3145</v>
      </c>
      <c r="B209" s="11" t="s">
        <v>3145</v>
      </c>
      <c r="C209" s="14" t="s">
        <v>2867</v>
      </c>
      <c r="D209" s="14" t="s">
        <v>3109</v>
      </c>
      <c r="E209" s="14" t="s">
        <v>3143</v>
      </c>
      <c r="F209" s="14" t="s">
        <v>3111</v>
      </c>
      <c r="G209" s="14"/>
      <c r="H209" s="14" t="s">
        <v>3112</v>
      </c>
      <c r="I209" s="14">
        <v>34027</v>
      </c>
      <c r="J209" s="14"/>
      <c r="K209" s="14" t="s">
        <v>3120</v>
      </c>
      <c r="L209" s="14">
        <v>25</v>
      </c>
      <c r="M209" s="14">
        <v>1869.25</v>
      </c>
      <c r="N209" s="14">
        <v>5</v>
      </c>
      <c r="O209" s="14"/>
      <c r="P209" s="14"/>
      <c r="Q209" s="14">
        <v>156</v>
      </c>
      <c r="R209" s="14" t="s">
        <v>3144</v>
      </c>
      <c r="S209" s="14"/>
      <c r="T209" s="14"/>
      <c r="U209" s="14">
        <v>3.3</v>
      </c>
      <c r="V209" s="15"/>
      <c r="W209" s="14" t="s">
        <v>2873</v>
      </c>
      <c r="X209" s="14"/>
      <c r="Y209" s="14">
        <v>24</v>
      </c>
      <c r="Z209" s="14"/>
      <c r="AA209" s="14"/>
      <c r="AB209" s="14"/>
      <c r="AC209" s="14"/>
      <c r="AD209" s="14"/>
      <c r="AE209" s="14"/>
      <c r="AF209" s="14"/>
      <c r="AG209" s="14"/>
      <c r="AH209" s="14" t="s">
        <v>3145</v>
      </c>
      <c r="AI209" s="14"/>
      <c r="AJ209" s="16">
        <v>1.9092</v>
      </c>
      <c r="AK209" s="14">
        <v>1</v>
      </c>
      <c r="AL209" s="14">
        <v>-5</v>
      </c>
      <c r="AM209" s="14">
        <v>5</v>
      </c>
      <c r="AN209" s="17">
        <v>0</v>
      </c>
      <c r="AO209" s="17">
        <v>7.8414152633601228E-3</v>
      </c>
      <c r="AP209" s="17">
        <v>0</v>
      </c>
      <c r="AQ209" s="17">
        <v>0</v>
      </c>
      <c r="AR209" s="17">
        <v>0</v>
      </c>
      <c r="AS209" s="17">
        <v>0</v>
      </c>
      <c r="AT209" s="17">
        <v>0</v>
      </c>
      <c r="AU209" s="17">
        <v>0</v>
      </c>
      <c r="AV209" s="17">
        <v>0</v>
      </c>
      <c r="AW209" s="17">
        <v>0</v>
      </c>
    </row>
    <row r="210" spans="1:49" ht="17" customHeight="1">
      <c r="A210" s="11" t="s">
        <v>3146</v>
      </c>
      <c r="B210" s="11" t="s">
        <v>3146</v>
      </c>
      <c r="C210" s="14" t="s">
        <v>2867</v>
      </c>
      <c r="D210" s="14" t="s">
        <v>3109</v>
      </c>
      <c r="E210" s="14" t="s">
        <v>3143</v>
      </c>
      <c r="F210" s="14" t="s">
        <v>3111</v>
      </c>
      <c r="G210" s="14"/>
      <c r="H210" s="14" t="s">
        <v>3112</v>
      </c>
      <c r="I210" s="14">
        <v>34027</v>
      </c>
      <c r="J210" s="14"/>
      <c r="K210" s="14" t="s">
        <v>3120</v>
      </c>
      <c r="L210" s="14">
        <v>25</v>
      </c>
      <c r="M210" s="14">
        <v>1869.25</v>
      </c>
      <c r="N210" s="14">
        <v>5</v>
      </c>
      <c r="O210" s="14"/>
      <c r="P210" s="14"/>
      <c r="Q210" s="14">
        <v>156</v>
      </c>
      <c r="R210" s="14" t="s">
        <v>3144</v>
      </c>
      <c r="S210" s="14"/>
      <c r="T210" s="14"/>
      <c r="U210" s="14">
        <v>3.3</v>
      </c>
      <c r="V210" s="15"/>
      <c r="W210" s="14" t="s">
        <v>2873</v>
      </c>
      <c r="X210" s="14"/>
      <c r="Y210" s="14">
        <v>24</v>
      </c>
      <c r="Z210" s="14"/>
      <c r="AA210" s="14"/>
      <c r="AB210" s="14"/>
      <c r="AC210" s="14"/>
      <c r="AD210" s="14"/>
      <c r="AE210" s="14"/>
      <c r="AF210" s="14"/>
      <c r="AG210" s="14"/>
      <c r="AH210" s="14" t="s">
        <v>3146</v>
      </c>
      <c r="AI210" s="14"/>
      <c r="AJ210" s="16">
        <v>1.9092</v>
      </c>
      <c r="AK210" s="14">
        <v>1</v>
      </c>
      <c r="AL210" s="14">
        <v>-5</v>
      </c>
      <c r="AM210" s="14">
        <v>5</v>
      </c>
      <c r="AN210" s="17">
        <v>0</v>
      </c>
      <c r="AO210" s="17">
        <v>7.8414152633601228E-3</v>
      </c>
      <c r="AP210" s="17">
        <v>0</v>
      </c>
      <c r="AQ210" s="17">
        <v>0</v>
      </c>
      <c r="AR210" s="17">
        <v>0</v>
      </c>
      <c r="AS210" s="17">
        <v>0</v>
      </c>
      <c r="AT210" s="17">
        <v>0</v>
      </c>
      <c r="AU210" s="17">
        <v>0</v>
      </c>
      <c r="AV210" s="17">
        <v>0</v>
      </c>
      <c r="AW210" s="17">
        <v>0</v>
      </c>
    </row>
    <row r="211" spans="1:49" ht="17" customHeight="1">
      <c r="A211" s="11" t="s">
        <v>3147</v>
      </c>
      <c r="B211" s="11" t="s">
        <v>3147</v>
      </c>
      <c r="C211" s="18" t="s">
        <v>2867</v>
      </c>
      <c r="D211" s="18" t="s">
        <v>3109</v>
      </c>
      <c r="E211" s="18" t="s">
        <v>3143</v>
      </c>
      <c r="F211" s="18" t="s">
        <v>3111</v>
      </c>
      <c r="G211" s="14"/>
      <c r="H211" s="18" t="s">
        <v>3112</v>
      </c>
      <c r="I211" s="14">
        <v>34027</v>
      </c>
      <c r="J211" s="14"/>
      <c r="K211" s="14" t="s">
        <v>3120</v>
      </c>
      <c r="L211" s="18">
        <v>25</v>
      </c>
      <c r="M211" s="18">
        <v>1869.25</v>
      </c>
      <c r="N211" s="18">
        <v>5</v>
      </c>
      <c r="O211" s="14"/>
      <c r="P211" s="18"/>
      <c r="Q211" s="18">
        <v>156</v>
      </c>
      <c r="R211" s="18" t="s">
        <v>3144</v>
      </c>
      <c r="S211" s="18"/>
      <c r="T211" s="18"/>
      <c r="U211" s="18">
        <v>3.3</v>
      </c>
      <c r="V211" s="20"/>
      <c r="W211" s="18" t="s">
        <v>2873</v>
      </c>
      <c r="X211" s="14"/>
      <c r="Y211" s="14">
        <v>24</v>
      </c>
      <c r="Z211" s="14"/>
      <c r="AA211" s="14"/>
      <c r="AB211" s="14"/>
      <c r="AC211" s="14"/>
      <c r="AD211" s="14"/>
      <c r="AE211" s="14"/>
      <c r="AF211" s="14"/>
      <c r="AG211" s="14"/>
      <c r="AH211" s="18" t="s">
        <v>3147</v>
      </c>
      <c r="AI211" s="14"/>
      <c r="AJ211" s="21">
        <v>1.9092</v>
      </c>
      <c r="AK211" s="18">
        <v>1</v>
      </c>
      <c r="AL211" s="18">
        <v>-5</v>
      </c>
      <c r="AM211" s="18">
        <v>5</v>
      </c>
      <c r="AN211" s="17">
        <v>0</v>
      </c>
      <c r="AO211" s="17">
        <v>7.8414152633601228E-3</v>
      </c>
      <c r="AP211" s="19">
        <v>0</v>
      </c>
      <c r="AQ211" s="19">
        <v>0</v>
      </c>
      <c r="AR211" s="19">
        <v>0</v>
      </c>
      <c r="AS211" s="19">
        <v>0</v>
      </c>
      <c r="AT211" s="19">
        <v>0</v>
      </c>
      <c r="AU211" s="19">
        <v>0</v>
      </c>
      <c r="AV211" s="19">
        <v>0</v>
      </c>
      <c r="AW211" s="19">
        <v>0</v>
      </c>
    </row>
    <row r="212" spans="1:49" ht="17" customHeight="1">
      <c r="A212" s="11" t="s">
        <v>3148</v>
      </c>
      <c r="B212" s="11" t="s">
        <v>3148</v>
      </c>
      <c r="C212" s="18" t="s">
        <v>2867</v>
      </c>
      <c r="D212" s="18" t="s">
        <v>3109</v>
      </c>
      <c r="E212" s="18" t="s">
        <v>3143</v>
      </c>
      <c r="F212" s="18" t="s">
        <v>3111</v>
      </c>
      <c r="G212" s="14"/>
      <c r="H212" s="18" t="s">
        <v>3112</v>
      </c>
      <c r="I212" s="14">
        <v>34027</v>
      </c>
      <c r="J212" s="14"/>
      <c r="K212" s="14" t="s">
        <v>3120</v>
      </c>
      <c r="L212" s="18">
        <v>25</v>
      </c>
      <c r="M212" s="18">
        <v>1869.25</v>
      </c>
      <c r="N212" s="18">
        <v>5</v>
      </c>
      <c r="O212" s="14"/>
      <c r="P212" s="18"/>
      <c r="Q212" s="18">
        <v>156</v>
      </c>
      <c r="R212" s="18" t="s">
        <v>3144</v>
      </c>
      <c r="S212" s="18"/>
      <c r="T212" s="18"/>
      <c r="U212" s="18">
        <v>3.3</v>
      </c>
      <c r="V212" s="20"/>
      <c r="W212" s="18" t="s">
        <v>2873</v>
      </c>
      <c r="X212" s="14"/>
      <c r="Y212" s="14">
        <v>24</v>
      </c>
      <c r="Z212" s="14"/>
      <c r="AA212" s="14"/>
      <c r="AB212" s="14"/>
      <c r="AC212" s="14"/>
      <c r="AD212" s="14"/>
      <c r="AE212" s="14"/>
      <c r="AF212" s="14"/>
      <c r="AG212" s="14"/>
      <c r="AH212" s="18" t="s">
        <v>3148</v>
      </c>
      <c r="AI212" s="14"/>
      <c r="AJ212" s="21">
        <v>1.9092</v>
      </c>
      <c r="AK212" s="18">
        <v>1</v>
      </c>
      <c r="AL212" s="18">
        <v>-5</v>
      </c>
      <c r="AM212" s="18">
        <v>5</v>
      </c>
      <c r="AN212" s="17">
        <v>0</v>
      </c>
      <c r="AO212" s="17">
        <v>7.8414152633601228E-3</v>
      </c>
      <c r="AP212" s="19">
        <v>0</v>
      </c>
      <c r="AQ212" s="19">
        <v>0</v>
      </c>
      <c r="AR212" s="19">
        <v>0</v>
      </c>
      <c r="AS212" s="19">
        <v>0</v>
      </c>
      <c r="AT212" s="19">
        <v>0</v>
      </c>
      <c r="AU212" s="19">
        <v>0</v>
      </c>
      <c r="AV212" s="19">
        <v>0</v>
      </c>
      <c r="AW212" s="19">
        <v>0</v>
      </c>
    </row>
    <row r="213" spans="1:49" ht="17" customHeight="1">
      <c r="A213" s="11" t="s">
        <v>3149</v>
      </c>
      <c r="B213" s="11" t="s">
        <v>3149</v>
      </c>
      <c r="C213" s="18" t="s">
        <v>2867</v>
      </c>
      <c r="D213" s="18" t="s">
        <v>3109</v>
      </c>
      <c r="E213" s="18" t="s">
        <v>3143</v>
      </c>
      <c r="F213" s="18" t="s">
        <v>3111</v>
      </c>
      <c r="G213" s="14"/>
      <c r="H213" s="18" t="s">
        <v>3112</v>
      </c>
      <c r="I213" s="14">
        <v>34027</v>
      </c>
      <c r="J213" s="14"/>
      <c r="K213" s="14" t="s">
        <v>3120</v>
      </c>
      <c r="L213" s="18">
        <v>25</v>
      </c>
      <c r="M213" s="18">
        <v>1869.25</v>
      </c>
      <c r="N213" s="18">
        <v>5</v>
      </c>
      <c r="O213" s="14"/>
      <c r="P213" s="18"/>
      <c r="Q213" s="18">
        <v>155</v>
      </c>
      <c r="R213" s="18" t="s">
        <v>3144</v>
      </c>
      <c r="S213" s="18"/>
      <c r="T213" s="18"/>
      <c r="U213" s="18">
        <v>3.2</v>
      </c>
      <c r="V213" s="20"/>
      <c r="W213" s="18" t="s">
        <v>2873</v>
      </c>
      <c r="X213" s="14"/>
      <c r="Y213" s="14">
        <v>23</v>
      </c>
      <c r="Z213" s="14"/>
      <c r="AA213" s="14"/>
      <c r="AB213" s="14"/>
      <c r="AC213" s="14"/>
      <c r="AD213" s="14"/>
      <c r="AE213" s="14"/>
      <c r="AF213" s="14"/>
      <c r="AG213" s="14"/>
      <c r="AH213" s="18" t="s">
        <v>3149</v>
      </c>
      <c r="AI213" s="14"/>
      <c r="AJ213" s="21">
        <v>1.90757</v>
      </c>
      <c r="AK213" s="18">
        <v>1</v>
      </c>
      <c r="AL213" s="18">
        <v>-5</v>
      </c>
      <c r="AM213" s="18">
        <v>5</v>
      </c>
      <c r="AN213" s="17">
        <v>0</v>
      </c>
      <c r="AO213" s="17">
        <v>7.7911497809026869E-3</v>
      </c>
      <c r="AP213" s="19">
        <v>0</v>
      </c>
      <c r="AQ213" s="19">
        <v>0</v>
      </c>
      <c r="AR213" s="19">
        <v>0</v>
      </c>
      <c r="AS213" s="19">
        <v>0</v>
      </c>
      <c r="AT213" s="19">
        <v>0</v>
      </c>
      <c r="AU213" s="19">
        <v>0</v>
      </c>
      <c r="AV213" s="19">
        <v>0</v>
      </c>
      <c r="AW213" s="19">
        <v>0</v>
      </c>
    </row>
    <row r="214" spans="1:49" ht="17" customHeight="1">
      <c r="A214" s="11" t="s">
        <v>3150</v>
      </c>
      <c r="B214" s="11" t="s">
        <v>3150</v>
      </c>
      <c r="C214" s="18" t="s">
        <v>2867</v>
      </c>
      <c r="D214" s="18" t="s">
        <v>2916</v>
      </c>
      <c r="E214" s="18" t="s">
        <v>2927</v>
      </c>
      <c r="F214" s="18" t="s">
        <v>2918</v>
      </c>
      <c r="G214" s="14"/>
      <c r="H214" s="18" t="s">
        <v>2919</v>
      </c>
      <c r="I214" s="14"/>
      <c r="J214" s="14"/>
      <c r="K214" s="14"/>
      <c r="L214" s="18">
        <v>44</v>
      </c>
      <c r="M214" s="18">
        <v>300</v>
      </c>
      <c r="N214" s="18">
        <v>56</v>
      </c>
      <c r="O214" s="14"/>
      <c r="P214" s="18">
        <v>10.08</v>
      </c>
      <c r="Q214" s="18">
        <v>90</v>
      </c>
      <c r="R214" s="18" t="s">
        <v>3097</v>
      </c>
      <c r="S214" s="18"/>
      <c r="T214" s="18" t="s">
        <v>2920</v>
      </c>
      <c r="U214" s="18">
        <v>0.18</v>
      </c>
      <c r="V214" s="20">
        <v>20</v>
      </c>
      <c r="W214" s="18" t="s">
        <v>2873</v>
      </c>
      <c r="X214" s="14"/>
      <c r="Y214" s="14"/>
      <c r="Z214" s="14"/>
      <c r="AA214" s="14"/>
      <c r="AB214" s="14"/>
      <c r="AC214" s="14"/>
      <c r="AD214" s="14"/>
      <c r="AE214" s="14"/>
      <c r="AF214" s="14"/>
      <c r="AG214" s="14"/>
      <c r="AH214" s="18" t="s">
        <v>3096</v>
      </c>
      <c r="AI214" s="14"/>
      <c r="AJ214" s="21">
        <v>0.3231</v>
      </c>
      <c r="AK214" s="18">
        <v>1</v>
      </c>
      <c r="AL214" s="18">
        <v>0</v>
      </c>
      <c r="AM214" s="18">
        <v>56</v>
      </c>
      <c r="AN214" s="17">
        <v>7.864714831068001E-2</v>
      </c>
      <c r="AO214" s="17">
        <v>0.15171051127419</v>
      </c>
      <c r="AP214" s="19">
        <v>1.8774713139156E-4</v>
      </c>
      <c r="AQ214" s="19">
        <v>-4.1320196711820006E-6</v>
      </c>
      <c r="AR214" s="19">
        <v>0</v>
      </c>
      <c r="AS214" s="19">
        <v>0</v>
      </c>
      <c r="AT214" s="19">
        <v>0</v>
      </c>
      <c r="AU214" s="19">
        <v>0</v>
      </c>
      <c r="AV214" s="19">
        <v>0</v>
      </c>
      <c r="AW214" s="19">
        <v>0</v>
      </c>
    </row>
    <row r="215" spans="1:49" ht="17" customHeight="1">
      <c r="A215" s="11" t="s">
        <v>3151</v>
      </c>
      <c r="B215" s="11" t="s">
        <v>3151</v>
      </c>
      <c r="C215" s="14" t="s">
        <v>2867</v>
      </c>
      <c r="D215" s="14" t="s">
        <v>2916</v>
      </c>
      <c r="E215" s="14" t="s">
        <v>2927</v>
      </c>
      <c r="F215" s="14" t="s">
        <v>2918</v>
      </c>
      <c r="G215" s="14"/>
      <c r="H215" s="14" t="s">
        <v>2919</v>
      </c>
      <c r="I215" s="14"/>
      <c r="J215" s="14"/>
      <c r="K215" s="14"/>
      <c r="L215" s="14">
        <v>44</v>
      </c>
      <c r="M215" s="14">
        <v>300</v>
      </c>
      <c r="N215" s="14">
        <v>56</v>
      </c>
      <c r="O215" s="14"/>
      <c r="P215" s="14">
        <v>10.08</v>
      </c>
      <c r="Q215" s="14">
        <v>90</v>
      </c>
      <c r="R215" s="14" t="s">
        <v>3097</v>
      </c>
      <c r="S215" s="14"/>
      <c r="T215" s="14" t="s">
        <v>2920</v>
      </c>
      <c r="U215" s="14">
        <v>0.18</v>
      </c>
      <c r="V215" s="15">
        <v>20</v>
      </c>
      <c r="W215" s="14" t="s">
        <v>2873</v>
      </c>
      <c r="X215" s="14"/>
      <c r="Y215" s="14"/>
      <c r="Z215" s="14"/>
      <c r="AA215" s="14"/>
      <c r="AB215" s="14"/>
      <c r="AC215" s="14"/>
      <c r="AD215" s="14"/>
      <c r="AE215" s="14"/>
      <c r="AF215" s="14"/>
      <c r="AG215" s="14"/>
      <c r="AH215" s="14" t="s">
        <v>3096</v>
      </c>
      <c r="AI215" s="14"/>
      <c r="AJ215" s="16">
        <v>0.3231</v>
      </c>
      <c r="AK215" s="14">
        <v>1</v>
      </c>
      <c r="AL215" s="14">
        <v>0</v>
      </c>
      <c r="AM215" s="14">
        <v>56</v>
      </c>
      <c r="AN215" s="19">
        <v>7.864714831068001E-2</v>
      </c>
      <c r="AO215" s="19">
        <v>0.15171051127419</v>
      </c>
      <c r="AP215" s="19">
        <v>1.8774713139156E-4</v>
      </c>
      <c r="AQ215" s="19">
        <v>-4.1320196711820006E-6</v>
      </c>
      <c r="AR215" s="19">
        <v>0</v>
      </c>
      <c r="AS215" s="19">
        <v>0</v>
      </c>
      <c r="AT215" s="19">
        <v>0</v>
      </c>
      <c r="AU215" s="19">
        <v>0</v>
      </c>
      <c r="AV215" s="19">
        <v>0</v>
      </c>
      <c r="AW215" s="19">
        <v>0</v>
      </c>
    </row>
    <row r="216" spans="1:49" ht="17" customHeight="1">
      <c r="A216" s="11" t="s">
        <v>3152</v>
      </c>
      <c r="B216" s="11" t="s">
        <v>3152</v>
      </c>
      <c r="C216" s="14" t="s">
        <v>2867</v>
      </c>
      <c r="D216" s="14" t="s">
        <v>2916</v>
      </c>
      <c r="E216" s="14" t="s">
        <v>2927</v>
      </c>
      <c r="F216" s="14" t="s">
        <v>2918</v>
      </c>
      <c r="G216" s="14"/>
      <c r="H216" s="14" t="s">
        <v>2919</v>
      </c>
      <c r="I216" s="14"/>
      <c r="J216" s="14"/>
      <c r="K216" s="14"/>
      <c r="L216" s="14">
        <v>44</v>
      </c>
      <c r="M216" s="14">
        <v>300</v>
      </c>
      <c r="N216" s="14">
        <v>56</v>
      </c>
      <c r="O216" s="14"/>
      <c r="P216" s="14">
        <v>10.08</v>
      </c>
      <c r="Q216" s="14">
        <v>90</v>
      </c>
      <c r="R216" s="14" t="s">
        <v>3097</v>
      </c>
      <c r="S216" s="14"/>
      <c r="T216" s="14" t="s">
        <v>2920</v>
      </c>
      <c r="U216" s="14">
        <v>0.18</v>
      </c>
      <c r="V216" s="15">
        <v>20</v>
      </c>
      <c r="W216" s="14" t="s">
        <v>2873</v>
      </c>
      <c r="X216" s="14"/>
      <c r="Y216" s="14"/>
      <c r="Z216" s="14"/>
      <c r="AA216" s="14"/>
      <c r="AB216" s="14"/>
      <c r="AC216" s="14"/>
      <c r="AD216" s="14"/>
      <c r="AE216" s="14"/>
      <c r="AF216" s="14"/>
      <c r="AG216" s="14"/>
      <c r="AH216" s="14" t="s">
        <v>3096</v>
      </c>
      <c r="AI216" s="14"/>
      <c r="AJ216" s="16">
        <v>0.3231</v>
      </c>
      <c r="AK216" s="14">
        <v>1</v>
      </c>
      <c r="AL216" s="14">
        <v>0</v>
      </c>
      <c r="AM216" s="14">
        <v>56</v>
      </c>
      <c r="AN216" s="19">
        <v>7.864714831068001E-2</v>
      </c>
      <c r="AO216" s="19">
        <v>0.15171051127419</v>
      </c>
      <c r="AP216" s="19">
        <v>1.8774713139156E-4</v>
      </c>
      <c r="AQ216" s="19">
        <v>-4.1320196711820006E-6</v>
      </c>
      <c r="AR216" s="19">
        <v>0</v>
      </c>
      <c r="AS216" s="19">
        <v>0</v>
      </c>
      <c r="AT216" s="19">
        <v>0</v>
      </c>
      <c r="AU216" s="19">
        <v>0</v>
      </c>
      <c r="AV216" s="19">
        <v>0</v>
      </c>
      <c r="AW216" s="19">
        <v>0</v>
      </c>
    </row>
    <row r="217" spans="1:49" ht="17" customHeight="1">
      <c r="A217" s="11" t="s">
        <v>3153</v>
      </c>
      <c r="B217" s="11" t="s">
        <v>3153</v>
      </c>
      <c r="C217" s="18" t="s">
        <v>2867</v>
      </c>
      <c r="D217" s="18" t="s">
        <v>3109</v>
      </c>
      <c r="E217" s="18" t="s">
        <v>3110</v>
      </c>
      <c r="F217" s="18" t="s">
        <v>3111</v>
      </c>
      <c r="G217" s="14"/>
      <c r="H217" s="18" t="s">
        <v>3112</v>
      </c>
      <c r="I217" s="14">
        <v>34115</v>
      </c>
      <c r="J217" s="14"/>
      <c r="K217" s="14" t="s">
        <v>3113</v>
      </c>
      <c r="L217" s="18">
        <v>52</v>
      </c>
      <c r="M217" s="18">
        <v>100</v>
      </c>
      <c r="N217" s="18">
        <v>25</v>
      </c>
      <c r="O217" s="14">
        <v>400</v>
      </c>
      <c r="P217" s="18">
        <v>3.2</v>
      </c>
      <c r="Q217" s="18">
        <v>53</v>
      </c>
      <c r="R217" s="18" t="s">
        <v>3114</v>
      </c>
      <c r="S217" s="18"/>
      <c r="T217" s="18"/>
      <c r="U217" s="18">
        <v>0.14000000000000001</v>
      </c>
      <c r="V217" s="20">
        <v>568.28193832599118</v>
      </c>
      <c r="W217" s="18" t="s">
        <v>2873</v>
      </c>
      <c r="X217" s="14"/>
      <c r="Y217" s="14">
        <v>150</v>
      </c>
      <c r="Z217" s="14"/>
      <c r="AA217" s="14"/>
      <c r="AB217" s="14"/>
      <c r="AC217" s="14" t="s">
        <v>3115</v>
      </c>
      <c r="AD217" s="14"/>
      <c r="AE217" s="14"/>
      <c r="AF217" s="14"/>
      <c r="AG217" s="14"/>
      <c r="AH217" s="18" t="s">
        <v>3153</v>
      </c>
      <c r="AI217" s="14"/>
      <c r="AJ217" s="21">
        <v>0.11679</v>
      </c>
      <c r="AK217" s="18">
        <v>1</v>
      </c>
      <c r="AL217" s="18">
        <v>0</v>
      </c>
      <c r="AM217" s="18">
        <v>25</v>
      </c>
      <c r="AN217" s="17">
        <v>0.67024873247938699</v>
      </c>
      <c r="AO217" s="17">
        <v>2.78859485845051</v>
      </c>
      <c r="AP217" s="19">
        <v>-6.64226097081984E-3</v>
      </c>
      <c r="AQ217" s="19">
        <v>1.42647538049742E-5</v>
      </c>
      <c r="AR217" s="19">
        <v>0</v>
      </c>
      <c r="AS217" s="19">
        <v>0</v>
      </c>
      <c r="AT217" s="19">
        <v>0</v>
      </c>
      <c r="AU217" s="19">
        <v>0</v>
      </c>
      <c r="AV217" s="19">
        <v>0</v>
      </c>
      <c r="AW217" s="19">
        <v>0</v>
      </c>
    </row>
    <row r="218" spans="1:49" ht="17" customHeight="1">
      <c r="A218" s="11" t="s">
        <v>3154</v>
      </c>
      <c r="B218" s="11" t="s">
        <v>3154</v>
      </c>
      <c r="C218" s="18" t="s">
        <v>2867</v>
      </c>
      <c r="D218" s="18" t="s">
        <v>3109</v>
      </c>
      <c r="E218" s="18" t="s">
        <v>3110</v>
      </c>
      <c r="F218" s="18" t="s">
        <v>3111</v>
      </c>
      <c r="G218" s="14"/>
      <c r="H218" s="18" t="s">
        <v>3112</v>
      </c>
      <c r="I218" s="14">
        <v>34115</v>
      </c>
      <c r="J218" s="14"/>
      <c r="K218" s="14" t="s">
        <v>3113</v>
      </c>
      <c r="L218" s="18">
        <v>52</v>
      </c>
      <c r="M218" s="18">
        <v>100</v>
      </c>
      <c r="N218" s="18">
        <v>25</v>
      </c>
      <c r="O218" s="14">
        <v>400</v>
      </c>
      <c r="P218" s="18">
        <v>3.2</v>
      </c>
      <c r="Q218" s="18">
        <v>53</v>
      </c>
      <c r="R218" s="18" t="s">
        <v>3114</v>
      </c>
      <c r="S218" s="18"/>
      <c r="T218" s="18"/>
      <c r="U218" s="18">
        <v>0.14000000000000001</v>
      </c>
      <c r="V218" s="20">
        <v>568.28193832599118</v>
      </c>
      <c r="W218" s="18" t="s">
        <v>2873</v>
      </c>
      <c r="X218" s="14"/>
      <c r="Y218" s="14">
        <v>150</v>
      </c>
      <c r="Z218" s="14"/>
      <c r="AA218" s="14"/>
      <c r="AB218" s="14"/>
      <c r="AC218" s="14" t="s">
        <v>3115</v>
      </c>
      <c r="AD218" s="14"/>
      <c r="AE218" s="14"/>
      <c r="AF218" s="14"/>
      <c r="AG218" s="14"/>
      <c r="AH218" s="18" t="s">
        <v>3154</v>
      </c>
      <c r="AI218" s="14"/>
      <c r="AJ218" s="21">
        <v>0.11679</v>
      </c>
      <c r="AK218" s="18">
        <v>1</v>
      </c>
      <c r="AL218" s="18">
        <v>0</v>
      </c>
      <c r="AM218" s="18">
        <v>25</v>
      </c>
      <c r="AN218" s="17">
        <v>0.67024873247938699</v>
      </c>
      <c r="AO218" s="17">
        <v>2.78859485845051</v>
      </c>
      <c r="AP218" s="19">
        <v>-6.64226097081984E-3</v>
      </c>
      <c r="AQ218" s="19">
        <v>1.42647538049742E-5</v>
      </c>
      <c r="AR218" s="19">
        <v>0</v>
      </c>
      <c r="AS218" s="19">
        <v>0</v>
      </c>
      <c r="AT218" s="19">
        <v>0</v>
      </c>
      <c r="AU218" s="19">
        <v>0</v>
      </c>
      <c r="AV218" s="19">
        <v>0</v>
      </c>
      <c r="AW218" s="19">
        <v>0</v>
      </c>
    </row>
    <row r="219" spans="1:49" ht="17" customHeight="1">
      <c r="A219" s="11" t="s">
        <v>3155</v>
      </c>
      <c r="B219" s="11" t="s">
        <v>3155</v>
      </c>
      <c r="C219" s="18" t="s">
        <v>2867</v>
      </c>
      <c r="D219" s="18" t="s">
        <v>3109</v>
      </c>
      <c r="E219" s="18" t="s">
        <v>3110</v>
      </c>
      <c r="F219" s="18" t="s">
        <v>3111</v>
      </c>
      <c r="G219" s="14"/>
      <c r="H219" s="18" t="s">
        <v>3112</v>
      </c>
      <c r="I219" s="14">
        <v>34115</v>
      </c>
      <c r="J219" s="14"/>
      <c r="K219" s="14" t="s">
        <v>3113</v>
      </c>
      <c r="L219" s="18">
        <v>52</v>
      </c>
      <c r="M219" s="18">
        <v>100</v>
      </c>
      <c r="N219" s="18">
        <v>25</v>
      </c>
      <c r="O219" s="14">
        <v>400</v>
      </c>
      <c r="P219" s="18">
        <v>3.2</v>
      </c>
      <c r="Q219" s="18">
        <v>53</v>
      </c>
      <c r="R219" s="18" t="s">
        <v>3114</v>
      </c>
      <c r="S219" s="18"/>
      <c r="T219" s="18"/>
      <c r="U219" s="18">
        <v>0.14000000000000001</v>
      </c>
      <c r="V219" s="20">
        <v>568.28193832599118</v>
      </c>
      <c r="W219" s="18" t="s">
        <v>2873</v>
      </c>
      <c r="X219" s="14"/>
      <c r="Y219" s="14">
        <v>150</v>
      </c>
      <c r="Z219" s="14"/>
      <c r="AA219" s="14"/>
      <c r="AB219" s="14"/>
      <c r="AC219" s="14" t="s">
        <v>3115</v>
      </c>
      <c r="AD219" s="14"/>
      <c r="AE219" s="14"/>
      <c r="AF219" s="14"/>
      <c r="AG219" s="14"/>
      <c r="AH219" s="18" t="s">
        <v>3155</v>
      </c>
      <c r="AI219" s="14"/>
      <c r="AJ219" s="21">
        <v>0.11679</v>
      </c>
      <c r="AK219" s="18">
        <v>1</v>
      </c>
      <c r="AL219" s="18">
        <v>0</v>
      </c>
      <c r="AM219" s="18">
        <v>25</v>
      </c>
      <c r="AN219" s="17">
        <v>0.67024873247938699</v>
      </c>
      <c r="AO219" s="17">
        <v>2.78859485845051</v>
      </c>
      <c r="AP219" s="19">
        <v>-6.64226097081984E-3</v>
      </c>
      <c r="AQ219" s="19">
        <v>1.42647538049742E-5</v>
      </c>
      <c r="AR219" s="19">
        <v>0</v>
      </c>
      <c r="AS219" s="19">
        <v>0</v>
      </c>
      <c r="AT219" s="19">
        <v>0</v>
      </c>
      <c r="AU219" s="19">
        <v>0</v>
      </c>
      <c r="AV219" s="19">
        <v>0</v>
      </c>
      <c r="AW219" s="19">
        <v>0</v>
      </c>
    </row>
    <row r="220" spans="1:49" ht="17" customHeight="1">
      <c r="A220" s="11" t="s">
        <v>3156</v>
      </c>
      <c r="B220" s="11" t="s">
        <v>3156</v>
      </c>
      <c r="C220" s="18" t="s">
        <v>2867</v>
      </c>
      <c r="D220" s="18" t="s">
        <v>2916</v>
      </c>
      <c r="E220" s="18" t="s">
        <v>2927</v>
      </c>
      <c r="F220" s="18" t="s">
        <v>2918</v>
      </c>
      <c r="G220" s="14"/>
      <c r="H220" s="18" t="s">
        <v>3050</v>
      </c>
      <c r="I220" s="14"/>
      <c r="J220" s="14"/>
      <c r="K220" s="14"/>
      <c r="L220" s="18">
        <v>23</v>
      </c>
      <c r="M220" s="18">
        <v>190</v>
      </c>
      <c r="N220" s="18">
        <v>20</v>
      </c>
      <c r="O220" s="14"/>
      <c r="P220" s="18">
        <v>17.559999999999999</v>
      </c>
      <c r="Q220" s="18">
        <v>190</v>
      </c>
      <c r="R220" s="18" t="s">
        <v>3157</v>
      </c>
      <c r="S220" s="18"/>
      <c r="T220" s="18">
        <v>33</v>
      </c>
      <c r="U220" s="18">
        <v>0.878</v>
      </c>
      <c r="V220" s="20">
        <v>62.8</v>
      </c>
      <c r="W220" s="18" t="s">
        <v>2975</v>
      </c>
      <c r="X220" s="14"/>
      <c r="Y220" s="14"/>
      <c r="Z220" s="14"/>
      <c r="AA220" s="14"/>
      <c r="AB220" s="14"/>
      <c r="AC220" s="14"/>
      <c r="AD220" s="14"/>
      <c r="AE220" s="14"/>
      <c r="AF220" s="14"/>
      <c r="AG220" s="14"/>
      <c r="AH220" s="18" t="s">
        <v>3158</v>
      </c>
      <c r="AI220" s="14"/>
      <c r="AJ220" s="21">
        <v>0.2039</v>
      </c>
      <c r="AK220" s="18">
        <v>1</v>
      </c>
      <c r="AL220" s="18">
        <v>0</v>
      </c>
      <c r="AM220" s="18">
        <v>20</v>
      </c>
      <c r="AN220" s="17">
        <v>1.03172009402E-3</v>
      </c>
      <c r="AO220" s="17">
        <v>0.69092436627999998</v>
      </c>
      <c r="AP220" s="19">
        <v>6.0568939501999999E-2</v>
      </c>
      <c r="AQ220" s="19">
        <v>-3.2754445025000002E-2</v>
      </c>
      <c r="AR220" s="19">
        <v>8.8291195736000007E-3</v>
      </c>
      <c r="AS220" s="19">
        <v>-1.3147337425999999E-3</v>
      </c>
      <c r="AT220" s="19">
        <v>1.12608140499E-4</v>
      </c>
      <c r="AU220" s="19">
        <v>-5.4956465584000004E-6</v>
      </c>
      <c r="AV220" s="19">
        <v>1.41242215104E-7</v>
      </c>
      <c r="AW220" s="19">
        <v>-1.4783517683500001E-9</v>
      </c>
    </row>
    <row r="221" spans="1:49" ht="17" customHeight="1">
      <c r="A221" s="11" t="s">
        <v>3159</v>
      </c>
      <c r="B221" s="11" t="s">
        <v>3159</v>
      </c>
      <c r="C221" s="14" t="s">
        <v>2867</v>
      </c>
      <c r="D221" s="14" t="s">
        <v>2916</v>
      </c>
      <c r="E221" s="14" t="s">
        <v>2927</v>
      </c>
      <c r="F221" s="14" t="s">
        <v>2918</v>
      </c>
      <c r="G221" s="14"/>
      <c r="H221" s="14" t="s">
        <v>3050</v>
      </c>
      <c r="I221" s="14"/>
      <c r="J221" s="14"/>
      <c r="K221" s="14"/>
      <c r="L221" s="14">
        <v>23</v>
      </c>
      <c r="M221" s="14">
        <v>190</v>
      </c>
      <c r="N221" s="14">
        <v>20</v>
      </c>
      <c r="O221" s="14"/>
      <c r="P221" s="14">
        <v>17.559999999999999</v>
      </c>
      <c r="Q221" s="14">
        <v>190</v>
      </c>
      <c r="R221" s="14" t="s">
        <v>3157</v>
      </c>
      <c r="S221" s="14"/>
      <c r="T221" s="14">
        <v>33</v>
      </c>
      <c r="U221" s="14">
        <v>0.878</v>
      </c>
      <c r="V221" s="15">
        <v>62.8</v>
      </c>
      <c r="W221" s="14" t="s">
        <v>2975</v>
      </c>
      <c r="X221" s="14"/>
      <c r="Y221" s="14"/>
      <c r="Z221" s="14"/>
      <c r="AA221" s="14"/>
      <c r="AB221" s="14"/>
      <c r="AC221" s="14"/>
      <c r="AD221" s="14"/>
      <c r="AE221" s="14"/>
      <c r="AF221" s="14"/>
      <c r="AG221" s="14"/>
      <c r="AH221" s="14" t="s">
        <v>3158</v>
      </c>
      <c r="AI221" s="14"/>
      <c r="AJ221" s="16">
        <v>0.2039</v>
      </c>
      <c r="AK221" s="14">
        <v>1</v>
      </c>
      <c r="AL221" s="14">
        <v>0</v>
      </c>
      <c r="AM221" s="14">
        <v>20</v>
      </c>
      <c r="AN221" s="19">
        <v>1.03172009402E-3</v>
      </c>
      <c r="AO221" s="19">
        <v>0.69092436627999998</v>
      </c>
      <c r="AP221" s="19">
        <v>6.0568939501999999E-2</v>
      </c>
      <c r="AQ221" s="19">
        <v>-3.2754445025000002E-2</v>
      </c>
      <c r="AR221" s="19">
        <v>8.8291195736000007E-3</v>
      </c>
      <c r="AS221" s="19">
        <v>-1.3147337425999999E-3</v>
      </c>
      <c r="AT221" s="19">
        <v>1.12608140499E-4</v>
      </c>
      <c r="AU221" s="19">
        <v>-5.4956465584000004E-6</v>
      </c>
      <c r="AV221" s="19">
        <v>1.41242215104E-7</v>
      </c>
      <c r="AW221" s="19">
        <v>-1.4783517683500001E-9</v>
      </c>
    </row>
    <row r="222" spans="1:49" ht="17" customHeight="1">
      <c r="A222" s="11" t="s">
        <v>3160</v>
      </c>
      <c r="B222" s="11" t="s">
        <v>3160</v>
      </c>
      <c r="C222" s="14" t="s">
        <v>2867</v>
      </c>
      <c r="D222" s="14" t="s">
        <v>2916</v>
      </c>
      <c r="E222" s="14" t="s">
        <v>2927</v>
      </c>
      <c r="F222" s="14" t="s">
        <v>2918</v>
      </c>
      <c r="G222" s="14"/>
      <c r="H222" s="14" t="s">
        <v>3050</v>
      </c>
      <c r="I222" s="14"/>
      <c r="J222" s="14"/>
      <c r="K222" s="14"/>
      <c r="L222" s="14">
        <v>23</v>
      </c>
      <c r="M222" s="14">
        <v>190</v>
      </c>
      <c r="N222" s="14">
        <v>20</v>
      </c>
      <c r="O222" s="14"/>
      <c r="P222" s="14">
        <v>17.559999999999999</v>
      </c>
      <c r="Q222" s="14">
        <v>190</v>
      </c>
      <c r="R222" s="14" t="s">
        <v>3157</v>
      </c>
      <c r="S222" s="14"/>
      <c r="T222" s="14">
        <v>33</v>
      </c>
      <c r="U222" s="14">
        <v>0.878</v>
      </c>
      <c r="V222" s="15">
        <v>62.8</v>
      </c>
      <c r="W222" s="14" t="s">
        <v>2975</v>
      </c>
      <c r="X222" s="14"/>
      <c r="Y222" s="14"/>
      <c r="Z222" s="14"/>
      <c r="AA222" s="14"/>
      <c r="AB222" s="14"/>
      <c r="AC222" s="14"/>
      <c r="AD222" s="14"/>
      <c r="AE222" s="14"/>
      <c r="AF222" s="14"/>
      <c r="AG222" s="14"/>
      <c r="AH222" s="14" t="s">
        <v>3158</v>
      </c>
      <c r="AI222" s="14"/>
      <c r="AJ222" s="16">
        <v>0.2039</v>
      </c>
      <c r="AK222" s="14">
        <v>1</v>
      </c>
      <c r="AL222" s="14">
        <v>0</v>
      </c>
      <c r="AM222" s="14">
        <v>20</v>
      </c>
      <c r="AN222" s="19">
        <v>1.03172009402E-3</v>
      </c>
      <c r="AO222" s="19">
        <v>0.69092436627999998</v>
      </c>
      <c r="AP222" s="19">
        <v>6.0568939501999999E-2</v>
      </c>
      <c r="AQ222" s="19">
        <v>-3.2754445025000002E-2</v>
      </c>
      <c r="AR222" s="19">
        <v>8.8291195736000007E-3</v>
      </c>
      <c r="AS222" s="19">
        <v>-1.3147337425999999E-3</v>
      </c>
      <c r="AT222" s="19">
        <v>1.12608140499E-4</v>
      </c>
      <c r="AU222" s="19">
        <v>-5.4956465584000004E-6</v>
      </c>
      <c r="AV222" s="19">
        <v>1.41242215104E-7</v>
      </c>
      <c r="AW222" s="19">
        <v>-1.4783517683500001E-9</v>
      </c>
    </row>
    <row r="223" spans="1:49" ht="17" customHeight="1">
      <c r="A223" s="11" t="s">
        <v>3161</v>
      </c>
      <c r="B223" s="11" t="s">
        <v>3161</v>
      </c>
      <c r="C223" s="14" t="s">
        <v>2867</v>
      </c>
      <c r="D223" s="14" t="s">
        <v>2916</v>
      </c>
      <c r="E223" s="14" t="s">
        <v>2927</v>
      </c>
      <c r="F223" s="14" t="s">
        <v>2918</v>
      </c>
      <c r="G223" s="14"/>
      <c r="H223" s="14" t="s">
        <v>3050</v>
      </c>
      <c r="I223" s="14"/>
      <c r="J223" s="14"/>
      <c r="K223" s="14"/>
      <c r="L223" s="14">
        <v>23</v>
      </c>
      <c r="M223" s="14">
        <v>190</v>
      </c>
      <c r="N223" s="14">
        <v>20</v>
      </c>
      <c r="O223" s="14"/>
      <c r="P223" s="14">
        <v>17.559999999999999</v>
      </c>
      <c r="Q223" s="14">
        <v>190</v>
      </c>
      <c r="R223" s="14" t="s">
        <v>3157</v>
      </c>
      <c r="S223" s="14"/>
      <c r="T223" s="14">
        <v>33</v>
      </c>
      <c r="U223" s="14">
        <v>0.878</v>
      </c>
      <c r="V223" s="15">
        <v>62.8</v>
      </c>
      <c r="W223" s="14" t="s">
        <v>2975</v>
      </c>
      <c r="X223" s="14"/>
      <c r="Y223" s="14"/>
      <c r="Z223" s="14"/>
      <c r="AA223" s="14"/>
      <c r="AB223" s="14"/>
      <c r="AC223" s="14"/>
      <c r="AD223" s="14"/>
      <c r="AE223" s="14"/>
      <c r="AF223" s="14"/>
      <c r="AG223" s="14"/>
      <c r="AH223" s="14" t="s">
        <v>3158</v>
      </c>
      <c r="AI223" s="14"/>
      <c r="AJ223" s="16">
        <v>0.2039</v>
      </c>
      <c r="AK223" s="14">
        <v>1</v>
      </c>
      <c r="AL223" s="14">
        <v>0</v>
      </c>
      <c r="AM223" s="14">
        <v>20</v>
      </c>
      <c r="AN223" s="19">
        <v>1.03172009402E-3</v>
      </c>
      <c r="AO223" s="19">
        <v>0.69092436627999998</v>
      </c>
      <c r="AP223" s="19">
        <v>6.0568939501999999E-2</v>
      </c>
      <c r="AQ223" s="19">
        <v>-3.2754445025000002E-2</v>
      </c>
      <c r="AR223" s="19">
        <v>8.8291195736000007E-3</v>
      </c>
      <c r="AS223" s="19">
        <v>-1.3147337425999999E-3</v>
      </c>
      <c r="AT223" s="19">
        <v>1.12608140499E-4</v>
      </c>
      <c r="AU223" s="19">
        <v>-5.4956465584000004E-6</v>
      </c>
      <c r="AV223" s="19">
        <v>1.41242215104E-7</v>
      </c>
      <c r="AW223" s="19">
        <v>-1.4783517683500001E-9</v>
      </c>
    </row>
    <row r="224" spans="1:49" ht="17" customHeight="1">
      <c r="A224" s="11" t="s">
        <v>3162</v>
      </c>
      <c r="B224" s="11" t="s">
        <v>3162</v>
      </c>
      <c r="C224" s="14" t="s">
        <v>2867</v>
      </c>
      <c r="D224" s="14" t="s">
        <v>2916</v>
      </c>
      <c r="E224" s="14" t="s">
        <v>2927</v>
      </c>
      <c r="F224" s="14" t="s">
        <v>2918</v>
      </c>
      <c r="G224" s="14"/>
      <c r="H224" s="14" t="s">
        <v>3050</v>
      </c>
      <c r="I224" s="14"/>
      <c r="J224" s="14"/>
      <c r="K224" s="14"/>
      <c r="L224" s="14">
        <v>23</v>
      </c>
      <c r="M224" s="14">
        <v>190</v>
      </c>
      <c r="N224" s="14">
        <v>20</v>
      </c>
      <c r="O224" s="14"/>
      <c r="P224" s="14">
        <v>17.559999999999999</v>
      </c>
      <c r="Q224" s="14">
        <v>190</v>
      </c>
      <c r="R224" s="14" t="s">
        <v>3157</v>
      </c>
      <c r="S224" s="14"/>
      <c r="T224" s="14">
        <v>33</v>
      </c>
      <c r="U224" s="14">
        <v>0.878</v>
      </c>
      <c r="V224" s="15">
        <v>62.8</v>
      </c>
      <c r="W224" s="14" t="s">
        <v>2975</v>
      </c>
      <c r="X224" s="14"/>
      <c r="Y224" s="14"/>
      <c r="Z224" s="14"/>
      <c r="AA224" s="14"/>
      <c r="AB224" s="14"/>
      <c r="AC224" s="14"/>
      <c r="AD224" s="14"/>
      <c r="AE224" s="14"/>
      <c r="AF224" s="14"/>
      <c r="AG224" s="14"/>
      <c r="AH224" s="14" t="s">
        <v>3158</v>
      </c>
      <c r="AI224" s="14"/>
      <c r="AJ224" s="16">
        <v>0.2039</v>
      </c>
      <c r="AK224" s="14">
        <v>1</v>
      </c>
      <c r="AL224" s="14">
        <v>0</v>
      </c>
      <c r="AM224" s="14">
        <v>20</v>
      </c>
      <c r="AN224" s="19">
        <v>1.03172009402E-3</v>
      </c>
      <c r="AO224" s="19">
        <v>0.69092436627999998</v>
      </c>
      <c r="AP224" s="19">
        <v>6.0568939501999999E-2</v>
      </c>
      <c r="AQ224" s="19">
        <v>-3.2754445025000002E-2</v>
      </c>
      <c r="AR224" s="19">
        <v>8.8291195736000007E-3</v>
      </c>
      <c r="AS224" s="19">
        <v>-1.3147337425999999E-3</v>
      </c>
      <c r="AT224" s="19">
        <v>1.12608140499E-4</v>
      </c>
      <c r="AU224" s="19">
        <v>-5.4956465584000004E-6</v>
      </c>
      <c r="AV224" s="19">
        <v>1.41242215104E-7</v>
      </c>
      <c r="AW224" s="19">
        <v>-1.4783517683500001E-9</v>
      </c>
    </row>
    <row r="225" spans="1:49" ht="17" customHeight="1">
      <c r="A225" s="11" t="s">
        <v>3163</v>
      </c>
      <c r="B225" s="11" t="s">
        <v>3163</v>
      </c>
      <c r="C225" s="14" t="s">
        <v>2867</v>
      </c>
      <c r="D225" s="14" t="s">
        <v>2916</v>
      </c>
      <c r="E225" s="14" t="s">
        <v>2927</v>
      </c>
      <c r="F225" s="14" t="s">
        <v>2918</v>
      </c>
      <c r="G225" s="14"/>
      <c r="H225" s="14" t="s">
        <v>3050</v>
      </c>
      <c r="I225" s="14"/>
      <c r="J225" s="14"/>
      <c r="K225" s="14"/>
      <c r="L225" s="14">
        <v>23</v>
      </c>
      <c r="M225" s="14">
        <v>190</v>
      </c>
      <c r="N225" s="14">
        <v>20</v>
      </c>
      <c r="O225" s="14"/>
      <c r="P225" s="14">
        <v>17.559999999999999</v>
      </c>
      <c r="Q225" s="14">
        <v>190</v>
      </c>
      <c r="R225" s="14" t="s">
        <v>3157</v>
      </c>
      <c r="S225" s="14"/>
      <c r="T225" s="14">
        <v>33</v>
      </c>
      <c r="U225" s="14">
        <v>0.878</v>
      </c>
      <c r="V225" s="15">
        <v>62.8</v>
      </c>
      <c r="W225" s="14" t="s">
        <v>2975</v>
      </c>
      <c r="X225" s="14"/>
      <c r="Y225" s="14"/>
      <c r="Z225" s="14"/>
      <c r="AA225" s="14"/>
      <c r="AB225" s="14"/>
      <c r="AC225" s="14"/>
      <c r="AD225" s="14"/>
      <c r="AE225" s="14"/>
      <c r="AF225" s="14"/>
      <c r="AG225" s="14"/>
      <c r="AH225" s="14" t="s">
        <v>3158</v>
      </c>
      <c r="AI225" s="14"/>
      <c r="AJ225" s="16">
        <v>0.2039</v>
      </c>
      <c r="AK225" s="14">
        <v>1</v>
      </c>
      <c r="AL225" s="14">
        <v>0</v>
      </c>
      <c r="AM225" s="14">
        <v>20</v>
      </c>
      <c r="AN225" s="19">
        <v>1.03172009402E-3</v>
      </c>
      <c r="AO225" s="19">
        <v>0.69092436627999998</v>
      </c>
      <c r="AP225" s="19">
        <v>6.0568939501999999E-2</v>
      </c>
      <c r="AQ225" s="19">
        <v>-3.2754445025000002E-2</v>
      </c>
      <c r="AR225" s="19">
        <v>8.8291195736000007E-3</v>
      </c>
      <c r="AS225" s="19">
        <v>-1.3147337425999999E-3</v>
      </c>
      <c r="AT225" s="19">
        <v>1.12608140499E-4</v>
      </c>
      <c r="AU225" s="19">
        <v>-5.4956465584000004E-6</v>
      </c>
      <c r="AV225" s="19">
        <v>1.41242215104E-7</v>
      </c>
      <c r="AW225" s="19">
        <v>-1.4783517683500001E-9</v>
      </c>
    </row>
    <row r="226" spans="1:49" ht="17" customHeight="1">
      <c r="A226" s="11" t="s">
        <v>3164</v>
      </c>
      <c r="B226" s="11" t="s">
        <v>3164</v>
      </c>
      <c r="C226" s="14" t="s">
        <v>2867</v>
      </c>
      <c r="D226" s="14" t="s">
        <v>2916</v>
      </c>
      <c r="E226" s="14" t="s">
        <v>2927</v>
      </c>
      <c r="F226" s="14" t="s">
        <v>2918</v>
      </c>
      <c r="G226" s="14"/>
      <c r="H226" s="14" t="s">
        <v>3050</v>
      </c>
      <c r="I226" s="14"/>
      <c r="J226" s="14"/>
      <c r="K226" s="14"/>
      <c r="L226" s="14">
        <v>23</v>
      </c>
      <c r="M226" s="14">
        <v>190</v>
      </c>
      <c r="N226" s="14">
        <v>20</v>
      </c>
      <c r="O226" s="14"/>
      <c r="P226" s="14">
        <v>17.559999999999999</v>
      </c>
      <c r="Q226" s="14">
        <v>190</v>
      </c>
      <c r="R226" s="14" t="s">
        <v>3157</v>
      </c>
      <c r="S226" s="14"/>
      <c r="T226" s="14">
        <v>33</v>
      </c>
      <c r="U226" s="14">
        <v>0.878</v>
      </c>
      <c r="V226" s="15">
        <v>62.8</v>
      </c>
      <c r="W226" s="14" t="s">
        <v>2975</v>
      </c>
      <c r="X226" s="14"/>
      <c r="Y226" s="14"/>
      <c r="Z226" s="14"/>
      <c r="AA226" s="14"/>
      <c r="AB226" s="14"/>
      <c r="AC226" s="14"/>
      <c r="AD226" s="14"/>
      <c r="AE226" s="14"/>
      <c r="AF226" s="14"/>
      <c r="AG226" s="14"/>
      <c r="AH226" s="14" t="s">
        <v>3158</v>
      </c>
      <c r="AI226" s="14"/>
      <c r="AJ226" s="16">
        <v>0.2039</v>
      </c>
      <c r="AK226" s="14">
        <v>1</v>
      </c>
      <c r="AL226" s="14">
        <v>0</v>
      </c>
      <c r="AM226" s="14">
        <v>20</v>
      </c>
      <c r="AN226" s="19">
        <v>1.03172009402E-3</v>
      </c>
      <c r="AO226" s="19">
        <v>0.69092436627999998</v>
      </c>
      <c r="AP226" s="19">
        <v>6.0568939501999999E-2</v>
      </c>
      <c r="AQ226" s="19">
        <v>-3.2754445025000002E-2</v>
      </c>
      <c r="AR226" s="19">
        <v>8.8291195736000007E-3</v>
      </c>
      <c r="AS226" s="19">
        <v>-1.3147337425999999E-3</v>
      </c>
      <c r="AT226" s="19">
        <v>1.12608140499E-4</v>
      </c>
      <c r="AU226" s="19">
        <v>-5.4956465584000004E-6</v>
      </c>
      <c r="AV226" s="19">
        <v>1.41242215104E-7</v>
      </c>
      <c r="AW226" s="19">
        <v>-1.4783517683500001E-9</v>
      </c>
    </row>
    <row r="227" spans="1:49" ht="17" customHeight="1">
      <c r="A227" s="11" t="s">
        <v>3165</v>
      </c>
      <c r="B227" s="11" t="s">
        <v>3165</v>
      </c>
      <c r="C227" s="14" t="s">
        <v>2867</v>
      </c>
      <c r="D227" s="14" t="s">
        <v>2916</v>
      </c>
      <c r="E227" s="14" t="s">
        <v>2927</v>
      </c>
      <c r="F227" s="14" t="s">
        <v>2918</v>
      </c>
      <c r="G227" s="14"/>
      <c r="H227" s="14" t="s">
        <v>3050</v>
      </c>
      <c r="I227" s="14"/>
      <c r="J227" s="14"/>
      <c r="K227" s="14"/>
      <c r="L227" s="14">
        <v>23</v>
      </c>
      <c r="M227" s="14">
        <v>190</v>
      </c>
      <c r="N227" s="14">
        <v>20</v>
      </c>
      <c r="O227" s="14"/>
      <c r="P227" s="14">
        <v>17.559999999999999</v>
      </c>
      <c r="Q227" s="14">
        <v>190</v>
      </c>
      <c r="R227" s="14" t="s">
        <v>3157</v>
      </c>
      <c r="S227" s="14"/>
      <c r="T227" s="14">
        <v>33</v>
      </c>
      <c r="U227" s="14">
        <v>0.878</v>
      </c>
      <c r="V227" s="15">
        <v>62.8</v>
      </c>
      <c r="W227" s="14" t="s">
        <v>2975</v>
      </c>
      <c r="X227" s="14"/>
      <c r="Y227" s="14"/>
      <c r="Z227" s="14"/>
      <c r="AA227" s="14"/>
      <c r="AB227" s="14"/>
      <c r="AC227" s="14"/>
      <c r="AD227" s="14"/>
      <c r="AE227" s="14"/>
      <c r="AF227" s="14"/>
      <c r="AG227" s="14"/>
      <c r="AH227" s="14" t="s">
        <v>3158</v>
      </c>
      <c r="AI227" s="14"/>
      <c r="AJ227" s="16">
        <v>0.2039</v>
      </c>
      <c r="AK227" s="14">
        <v>1</v>
      </c>
      <c r="AL227" s="14">
        <v>0</v>
      </c>
      <c r="AM227" s="14">
        <v>20</v>
      </c>
      <c r="AN227" s="19">
        <v>1.03172009402E-3</v>
      </c>
      <c r="AO227" s="19">
        <v>0.69092436627999998</v>
      </c>
      <c r="AP227" s="19">
        <v>6.0568939501999999E-2</v>
      </c>
      <c r="AQ227" s="19">
        <v>-3.2754445025000002E-2</v>
      </c>
      <c r="AR227" s="19">
        <v>8.8291195736000007E-3</v>
      </c>
      <c r="AS227" s="19">
        <v>-1.3147337425999999E-3</v>
      </c>
      <c r="AT227" s="19">
        <v>1.12608140499E-4</v>
      </c>
      <c r="AU227" s="19">
        <v>-5.4956465584000004E-6</v>
      </c>
      <c r="AV227" s="19">
        <v>1.41242215104E-7</v>
      </c>
      <c r="AW227" s="19">
        <v>-1.4783517683500001E-9</v>
      </c>
    </row>
    <row r="228" spans="1:49" ht="17" customHeight="1">
      <c r="A228" s="11" t="s">
        <v>3166</v>
      </c>
      <c r="B228" s="11" t="s">
        <v>3166</v>
      </c>
      <c r="C228" s="14" t="s">
        <v>2867</v>
      </c>
      <c r="D228" s="14" t="s">
        <v>2916</v>
      </c>
      <c r="E228" s="14" t="s">
        <v>2917</v>
      </c>
      <c r="F228" s="14" t="s">
        <v>2918</v>
      </c>
      <c r="G228" s="14"/>
      <c r="H228" s="14" t="s">
        <v>2935</v>
      </c>
      <c r="I228" s="14"/>
      <c r="J228" s="14"/>
      <c r="K228" s="14"/>
      <c r="L228" s="14">
        <v>120</v>
      </c>
      <c r="M228" s="14">
        <v>1000</v>
      </c>
      <c r="N228" s="14">
        <v>5</v>
      </c>
      <c r="O228" s="14"/>
      <c r="P228" s="14">
        <v>6.37</v>
      </c>
      <c r="Q228" s="14">
        <v>90</v>
      </c>
      <c r="R228" s="14" t="s">
        <v>2936</v>
      </c>
      <c r="S228" s="14"/>
      <c r="T228" s="14">
        <v>12.9</v>
      </c>
      <c r="U228" s="14">
        <v>1.274</v>
      </c>
      <c r="V228" s="15">
        <v>2.0600000000000002E-3</v>
      </c>
      <c r="W228" s="14" t="s">
        <v>2873</v>
      </c>
      <c r="X228" s="14"/>
      <c r="Y228" s="14"/>
      <c r="Z228" s="14"/>
      <c r="AA228" s="14"/>
      <c r="AB228" s="14"/>
      <c r="AC228" s="14"/>
      <c r="AD228" s="14"/>
      <c r="AE228" s="14"/>
      <c r="AF228" s="14"/>
      <c r="AG228" s="14"/>
      <c r="AH228" s="14" t="s">
        <v>2934</v>
      </c>
      <c r="AI228" s="14"/>
      <c r="AJ228" s="16">
        <v>0.95010000000000006</v>
      </c>
      <c r="AK228" s="14">
        <v>1</v>
      </c>
      <c r="AL228" s="14">
        <v>-5</v>
      </c>
      <c r="AM228" s="14">
        <v>5</v>
      </c>
      <c r="AN228" s="19">
        <v>0</v>
      </c>
      <c r="AO228" s="19">
        <v>3.9144000000000001E-4</v>
      </c>
      <c r="AP228" s="19">
        <v>0</v>
      </c>
      <c r="AQ228" s="19">
        <v>0</v>
      </c>
      <c r="AR228" s="19">
        <v>0</v>
      </c>
      <c r="AS228" s="19">
        <v>0</v>
      </c>
      <c r="AT228" s="19">
        <v>0</v>
      </c>
      <c r="AU228" s="19">
        <v>0</v>
      </c>
      <c r="AV228" s="19">
        <v>0</v>
      </c>
      <c r="AW228" s="19">
        <v>0</v>
      </c>
    </row>
    <row r="229" spans="1:49" ht="17" customHeight="1">
      <c r="A229" s="11" t="s">
        <v>3167</v>
      </c>
      <c r="B229" s="11" t="s">
        <v>3167</v>
      </c>
      <c r="C229" s="14" t="s">
        <v>2867</v>
      </c>
      <c r="D229" s="14" t="s">
        <v>2916</v>
      </c>
      <c r="E229" s="14" t="s">
        <v>2917</v>
      </c>
      <c r="F229" s="14" t="s">
        <v>2918</v>
      </c>
      <c r="G229" s="14"/>
      <c r="H229" s="14" t="s">
        <v>2935</v>
      </c>
      <c r="I229" s="14"/>
      <c r="J229" s="14"/>
      <c r="K229" s="14"/>
      <c r="L229" s="14">
        <v>120</v>
      </c>
      <c r="M229" s="14">
        <v>1000</v>
      </c>
      <c r="N229" s="14">
        <v>5</v>
      </c>
      <c r="O229" s="14"/>
      <c r="P229" s="14">
        <v>6.37</v>
      </c>
      <c r="Q229" s="14">
        <v>90</v>
      </c>
      <c r="R229" s="14" t="s">
        <v>2936</v>
      </c>
      <c r="S229" s="14"/>
      <c r="T229" s="14">
        <v>12.9</v>
      </c>
      <c r="U229" s="14">
        <v>1.274</v>
      </c>
      <c r="V229" s="15">
        <v>2.0600000000000002E-3</v>
      </c>
      <c r="W229" s="14" t="s">
        <v>2873</v>
      </c>
      <c r="X229" s="14"/>
      <c r="Y229" s="14"/>
      <c r="Z229" s="14"/>
      <c r="AA229" s="14"/>
      <c r="AB229" s="14"/>
      <c r="AC229" s="14"/>
      <c r="AD229" s="14"/>
      <c r="AE229" s="14"/>
      <c r="AF229" s="14"/>
      <c r="AG229" s="14"/>
      <c r="AH229" s="14" t="s">
        <v>2934</v>
      </c>
      <c r="AI229" s="14"/>
      <c r="AJ229" s="16">
        <v>0.95010000000000006</v>
      </c>
      <c r="AK229" s="14">
        <v>1</v>
      </c>
      <c r="AL229" s="14">
        <v>-5</v>
      </c>
      <c r="AM229" s="14">
        <v>5</v>
      </c>
      <c r="AN229" s="19">
        <v>0</v>
      </c>
      <c r="AO229" s="19">
        <v>3.9144000000000001E-4</v>
      </c>
      <c r="AP229" s="19">
        <v>0</v>
      </c>
      <c r="AQ229" s="19">
        <v>0</v>
      </c>
      <c r="AR229" s="19">
        <v>0</v>
      </c>
      <c r="AS229" s="19">
        <v>0</v>
      </c>
      <c r="AT229" s="19">
        <v>0</v>
      </c>
      <c r="AU229" s="19">
        <v>0</v>
      </c>
      <c r="AV229" s="19">
        <v>0</v>
      </c>
      <c r="AW229" s="19">
        <v>0</v>
      </c>
    </row>
    <row r="230" spans="1:49" ht="17" customHeight="1">
      <c r="A230" s="11" t="s">
        <v>3168</v>
      </c>
      <c r="B230" s="11" t="s">
        <v>3168</v>
      </c>
      <c r="C230" s="14" t="s">
        <v>2867</v>
      </c>
      <c r="D230" s="14" t="s">
        <v>2916</v>
      </c>
      <c r="E230" s="14" t="s">
        <v>2917</v>
      </c>
      <c r="F230" s="14" t="s">
        <v>2918</v>
      </c>
      <c r="G230" s="14"/>
      <c r="H230" s="14" t="s">
        <v>2935</v>
      </c>
      <c r="I230" s="14"/>
      <c r="J230" s="14"/>
      <c r="K230" s="14"/>
      <c r="L230" s="14">
        <v>120</v>
      </c>
      <c r="M230" s="14">
        <v>1000</v>
      </c>
      <c r="N230" s="14">
        <v>5</v>
      </c>
      <c r="O230" s="14"/>
      <c r="P230" s="14">
        <v>6.37</v>
      </c>
      <c r="Q230" s="14">
        <v>90</v>
      </c>
      <c r="R230" s="14" t="s">
        <v>2936</v>
      </c>
      <c r="S230" s="14"/>
      <c r="T230" s="14">
        <v>12.9</v>
      </c>
      <c r="U230" s="14">
        <v>1.274</v>
      </c>
      <c r="V230" s="15">
        <v>2.0600000000000002E-3</v>
      </c>
      <c r="W230" s="14" t="s">
        <v>2873</v>
      </c>
      <c r="X230" s="14"/>
      <c r="Y230" s="14"/>
      <c r="Z230" s="14"/>
      <c r="AA230" s="14"/>
      <c r="AB230" s="14"/>
      <c r="AC230" s="14"/>
      <c r="AD230" s="14"/>
      <c r="AE230" s="14"/>
      <c r="AF230" s="14"/>
      <c r="AG230" s="14"/>
      <c r="AH230" s="14" t="s">
        <v>2934</v>
      </c>
      <c r="AI230" s="14"/>
      <c r="AJ230" s="16">
        <v>0.95010000000000006</v>
      </c>
      <c r="AK230" s="14">
        <v>1</v>
      </c>
      <c r="AL230" s="14">
        <v>-5</v>
      </c>
      <c r="AM230" s="14">
        <v>5</v>
      </c>
      <c r="AN230" s="19">
        <v>0</v>
      </c>
      <c r="AO230" s="19">
        <v>3.9144000000000001E-4</v>
      </c>
      <c r="AP230" s="19">
        <v>0</v>
      </c>
      <c r="AQ230" s="19">
        <v>0</v>
      </c>
      <c r="AR230" s="19">
        <v>0</v>
      </c>
      <c r="AS230" s="19">
        <v>0</v>
      </c>
      <c r="AT230" s="19">
        <v>0</v>
      </c>
      <c r="AU230" s="19">
        <v>0</v>
      </c>
      <c r="AV230" s="19">
        <v>0</v>
      </c>
      <c r="AW230" s="19">
        <v>0</v>
      </c>
    </row>
    <row r="231" spans="1:49" ht="17" customHeight="1">
      <c r="A231" s="11" t="s">
        <v>3169</v>
      </c>
      <c r="B231" s="11" t="s">
        <v>3169</v>
      </c>
      <c r="C231" s="14" t="s">
        <v>2867</v>
      </c>
      <c r="D231" s="14" t="s">
        <v>2916</v>
      </c>
      <c r="E231" s="14" t="s">
        <v>2917</v>
      </c>
      <c r="F231" s="14" t="s">
        <v>2918</v>
      </c>
      <c r="G231" s="14"/>
      <c r="H231" s="14" t="s">
        <v>2935</v>
      </c>
      <c r="I231" s="14"/>
      <c r="J231" s="14"/>
      <c r="K231" s="14"/>
      <c r="L231" s="14">
        <v>120</v>
      </c>
      <c r="M231" s="14">
        <v>1000</v>
      </c>
      <c r="N231" s="14">
        <v>5</v>
      </c>
      <c r="O231" s="14"/>
      <c r="P231" s="14">
        <v>6.37</v>
      </c>
      <c r="Q231" s="14">
        <v>90</v>
      </c>
      <c r="R231" s="14" t="s">
        <v>2936</v>
      </c>
      <c r="S231" s="14"/>
      <c r="T231" s="14">
        <v>12.9</v>
      </c>
      <c r="U231" s="14">
        <v>1.274</v>
      </c>
      <c r="V231" s="15">
        <v>2.0600000000000002E-3</v>
      </c>
      <c r="W231" s="14" t="s">
        <v>2873</v>
      </c>
      <c r="X231" s="14"/>
      <c r="Y231" s="14"/>
      <c r="Z231" s="14"/>
      <c r="AA231" s="14"/>
      <c r="AB231" s="14"/>
      <c r="AC231" s="14"/>
      <c r="AD231" s="14"/>
      <c r="AE231" s="14"/>
      <c r="AF231" s="14"/>
      <c r="AG231" s="14"/>
      <c r="AH231" s="14" t="s">
        <v>2934</v>
      </c>
      <c r="AI231" s="14"/>
      <c r="AJ231" s="16">
        <v>0.95010000000000006</v>
      </c>
      <c r="AK231" s="14">
        <v>1</v>
      </c>
      <c r="AL231" s="14">
        <v>-5</v>
      </c>
      <c r="AM231" s="14">
        <v>5</v>
      </c>
      <c r="AN231" s="19">
        <v>0</v>
      </c>
      <c r="AO231" s="19">
        <v>3.9144000000000001E-4</v>
      </c>
      <c r="AP231" s="19">
        <v>0</v>
      </c>
      <c r="AQ231" s="19">
        <v>0</v>
      </c>
      <c r="AR231" s="19">
        <v>0</v>
      </c>
      <c r="AS231" s="19">
        <v>0</v>
      </c>
      <c r="AT231" s="19">
        <v>0</v>
      </c>
      <c r="AU231" s="19">
        <v>0</v>
      </c>
      <c r="AV231" s="19">
        <v>0</v>
      </c>
      <c r="AW231" s="19">
        <v>0</v>
      </c>
    </row>
    <row r="232" spans="1:49" ht="17" customHeight="1">
      <c r="A232" s="11" t="s">
        <v>3170</v>
      </c>
      <c r="B232" s="11" t="s">
        <v>3170</v>
      </c>
      <c r="C232" s="14" t="s">
        <v>2867</v>
      </c>
      <c r="D232" s="14" t="s">
        <v>2916</v>
      </c>
      <c r="E232" s="14" t="s">
        <v>2917</v>
      </c>
      <c r="F232" s="14" t="s">
        <v>2918</v>
      </c>
      <c r="G232" s="14"/>
      <c r="H232" s="14" t="s">
        <v>2935</v>
      </c>
      <c r="I232" s="14"/>
      <c r="J232" s="14"/>
      <c r="K232" s="14"/>
      <c r="L232" s="14">
        <v>120</v>
      </c>
      <c r="M232" s="14">
        <v>1000</v>
      </c>
      <c r="N232" s="14">
        <v>5</v>
      </c>
      <c r="O232" s="14"/>
      <c r="P232" s="14">
        <v>6.37</v>
      </c>
      <c r="Q232" s="14">
        <v>90</v>
      </c>
      <c r="R232" s="14" t="s">
        <v>2936</v>
      </c>
      <c r="S232" s="14"/>
      <c r="T232" s="14">
        <v>12.9</v>
      </c>
      <c r="U232" s="14">
        <v>1.274</v>
      </c>
      <c r="V232" s="15">
        <v>2.0600000000000002E-3</v>
      </c>
      <c r="W232" s="14" t="s">
        <v>2873</v>
      </c>
      <c r="X232" s="14"/>
      <c r="Y232" s="14"/>
      <c r="Z232" s="14"/>
      <c r="AA232" s="14"/>
      <c r="AB232" s="14"/>
      <c r="AC232" s="14"/>
      <c r="AD232" s="14"/>
      <c r="AE232" s="14"/>
      <c r="AF232" s="14"/>
      <c r="AG232" s="14"/>
      <c r="AH232" s="14" t="s">
        <v>2934</v>
      </c>
      <c r="AI232" s="14"/>
      <c r="AJ232" s="16">
        <v>0.95010000000000006</v>
      </c>
      <c r="AK232" s="14">
        <v>1</v>
      </c>
      <c r="AL232" s="14">
        <v>-5</v>
      </c>
      <c r="AM232" s="14">
        <v>5</v>
      </c>
      <c r="AN232" s="19">
        <v>0</v>
      </c>
      <c r="AO232" s="19">
        <v>3.9144000000000001E-4</v>
      </c>
      <c r="AP232" s="19">
        <v>0</v>
      </c>
      <c r="AQ232" s="19">
        <v>0</v>
      </c>
      <c r="AR232" s="19">
        <v>0</v>
      </c>
      <c r="AS232" s="19">
        <v>0</v>
      </c>
      <c r="AT232" s="19">
        <v>0</v>
      </c>
      <c r="AU232" s="19">
        <v>0</v>
      </c>
      <c r="AV232" s="19">
        <v>0</v>
      </c>
      <c r="AW232" s="19">
        <v>0</v>
      </c>
    </row>
    <row r="233" spans="1:49" ht="17" customHeight="1">
      <c r="A233" s="11" t="s">
        <v>3171</v>
      </c>
      <c r="B233" s="11" t="s">
        <v>3171</v>
      </c>
      <c r="C233" s="14" t="s">
        <v>2867</v>
      </c>
      <c r="D233" s="14" t="s">
        <v>2916</v>
      </c>
      <c r="E233" s="14" t="s">
        <v>2917</v>
      </c>
      <c r="F233" s="14" t="s">
        <v>2918</v>
      </c>
      <c r="G233" s="14"/>
      <c r="H233" s="14" t="s">
        <v>2935</v>
      </c>
      <c r="I233" s="14"/>
      <c r="J233" s="14"/>
      <c r="K233" s="14"/>
      <c r="L233" s="14">
        <v>120</v>
      </c>
      <c r="M233" s="14">
        <v>1000</v>
      </c>
      <c r="N233" s="14">
        <v>5</v>
      </c>
      <c r="O233" s="14"/>
      <c r="P233" s="14">
        <v>6.37</v>
      </c>
      <c r="Q233" s="14">
        <v>90</v>
      </c>
      <c r="R233" s="14" t="s">
        <v>2936</v>
      </c>
      <c r="S233" s="14"/>
      <c r="T233" s="14">
        <v>12.9</v>
      </c>
      <c r="U233" s="14">
        <v>1.274</v>
      </c>
      <c r="V233" s="15">
        <v>2.0600000000000002E-3</v>
      </c>
      <c r="W233" s="14" t="s">
        <v>2873</v>
      </c>
      <c r="X233" s="14"/>
      <c r="Y233" s="14"/>
      <c r="Z233" s="14"/>
      <c r="AA233" s="14"/>
      <c r="AB233" s="14"/>
      <c r="AC233" s="14"/>
      <c r="AD233" s="14"/>
      <c r="AE233" s="14"/>
      <c r="AF233" s="14"/>
      <c r="AG233" s="14"/>
      <c r="AH233" s="14" t="s">
        <v>2934</v>
      </c>
      <c r="AI233" s="14"/>
      <c r="AJ233" s="16">
        <v>0.95010000000000006</v>
      </c>
      <c r="AK233" s="14">
        <v>1</v>
      </c>
      <c r="AL233" s="14">
        <v>-5</v>
      </c>
      <c r="AM233" s="14">
        <v>5</v>
      </c>
      <c r="AN233" s="19">
        <v>0</v>
      </c>
      <c r="AO233" s="19">
        <v>3.9144000000000001E-4</v>
      </c>
      <c r="AP233" s="19">
        <v>0</v>
      </c>
      <c r="AQ233" s="19">
        <v>0</v>
      </c>
      <c r="AR233" s="19">
        <v>0</v>
      </c>
      <c r="AS233" s="19">
        <v>0</v>
      </c>
      <c r="AT233" s="19">
        <v>0</v>
      </c>
      <c r="AU233" s="19">
        <v>0</v>
      </c>
      <c r="AV233" s="19">
        <v>0</v>
      </c>
      <c r="AW233" s="19">
        <v>0</v>
      </c>
    </row>
    <row r="234" spans="1:49" ht="17" customHeight="1">
      <c r="A234" s="11" t="s">
        <v>3172</v>
      </c>
      <c r="B234" s="11" t="s">
        <v>3172</v>
      </c>
      <c r="C234" s="14" t="s">
        <v>2867</v>
      </c>
      <c r="D234" s="14" t="s">
        <v>2916</v>
      </c>
      <c r="E234" s="14" t="s">
        <v>2917</v>
      </c>
      <c r="F234" s="14" t="s">
        <v>2918</v>
      </c>
      <c r="G234" s="14"/>
      <c r="H234" s="14" t="s">
        <v>2935</v>
      </c>
      <c r="I234" s="14"/>
      <c r="J234" s="14"/>
      <c r="K234" s="14"/>
      <c r="L234" s="14">
        <v>120</v>
      </c>
      <c r="M234" s="14">
        <v>1000</v>
      </c>
      <c r="N234" s="14">
        <v>5</v>
      </c>
      <c r="O234" s="14"/>
      <c r="P234" s="14">
        <v>6.37</v>
      </c>
      <c r="Q234" s="14">
        <v>90</v>
      </c>
      <c r="R234" s="14" t="s">
        <v>2936</v>
      </c>
      <c r="S234" s="14"/>
      <c r="T234" s="14">
        <v>12.9</v>
      </c>
      <c r="U234" s="14">
        <v>1.274</v>
      </c>
      <c r="V234" s="15">
        <v>2.0600000000000002E-3</v>
      </c>
      <c r="W234" s="14" t="s">
        <v>2873</v>
      </c>
      <c r="X234" s="14"/>
      <c r="Y234" s="14"/>
      <c r="Z234" s="14"/>
      <c r="AA234" s="14"/>
      <c r="AB234" s="14"/>
      <c r="AC234" s="14"/>
      <c r="AD234" s="14"/>
      <c r="AE234" s="14"/>
      <c r="AF234" s="14"/>
      <c r="AG234" s="14"/>
      <c r="AH234" s="14" t="s">
        <v>2934</v>
      </c>
      <c r="AI234" s="14"/>
      <c r="AJ234" s="16">
        <v>0.95010000000000006</v>
      </c>
      <c r="AK234" s="14">
        <v>1</v>
      </c>
      <c r="AL234" s="14">
        <v>-5</v>
      </c>
      <c r="AM234" s="14">
        <v>5</v>
      </c>
      <c r="AN234" s="19">
        <v>0</v>
      </c>
      <c r="AO234" s="19">
        <v>3.9144000000000001E-4</v>
      </c>
      <c r="AP234" s="19">
        <v>0</v>
      </c>
      <c r="AQ234" s="19">
        <v>0</v>
      </c>
      <c r="AR234" s="19">
        <v>0</v>
      </c>
      <c r="AS234" s="19">
        <v>0</v>
      </c>
      <c r="AT234" s="19">
        <v>0</v>
      </c>
      <c r="AU234" s="19">
        <v>0</v>
      </c>
      <c r="AV234" s="19">
        <v>0</v>
      </c>
      <c r="AW234" s="19">
        <v>0</v>
      </c>
    </row>
    <row r="235" spans="1:49" ht="17" customHeight="1">
      <c r="A235" s="11" t="s">
        <v>3173</v>
      </c>
      <c r="B235" s="11" t="s">
        <v>3173</v>
      </c>
      <c r="C235" s="14" t="s">
        <v>2867</v>
      </c>
      <c r="D235" s="14" t="s">
        <v>2916</v>
      </c>
      <c r="E235" s="14" t="s">
        <v>2917</v>
      </c>
      <c r="F235" s="14" t="s">
        <v>2918</v>
      </c>
      <c r="G235" s="14"/>
      <c r="H235" s="14" t="s">
        <v>2935</v>
      </c>
      <c r="I235" s="14"/>
      <c r="J235" s="14"/>
      <c r="K235" s="14"/>
      <c r="L235" s="14">
        <v>120</v>
      </c>
      <c r="M235" s="14">
        <v>1000</v>
      </c>
      <c r="N235" s="14">
        <v>5</v>
      </c>
      <c r="O235" s="14"/>
      <c r="P235" s="14">
        <v>6.37</v>
      </c>
      <c r="Q235" s="14">
        <v>90</v>
      </c>
      <c r="R235" s="14" t="s">
        <v>2936</v>
      </c>
      <c r="S235" s="14"/>
      <c r="T235" s="14">
        <v>12.9</v>
      </c>
      <c r="U235" s="14">
        <v>1.274</v>
      </c>
      <c r="V235" s="15">
        <v>2.0600000000000002E-3</v>
      </c>
      <c r="W235" s="14" t="s">
        <v>2873</v>
      </c>
      <c r="X235" s="14"/>
      <c r="Y235" s="14"/>
      <c r="Z235" s="14"/>
      <c r="AA235" s="14"/>
      <c r="AB235" s="14"/>
      <c r="AC235" s="14"/>
      <c r="AD235" s="14"/>
      <c r="AE235" s="14"/>
      <c r="AF235" s="14"/>
      <c r="AG235" s="14"/>
      <c r="AH235" s="14" t="s">
        <v>2934</v>
      </c>
      <c r="AI235" s="14"/>
      <c r="AJ235" s="16">
        <v>0.95010000000000006</v>
      </c>
      <c r="AK235" s="14">
        <v>1</v>
      </c>
      <c r="AL235" s="14">
        <v>-5</v>
      </c>
      <c r="AM235" s="14">
        <v>5</v>
      </c>
      <c r="AN235" s="19">
        <v>0</v>
      </c>
      <c r="AO235" s="19">
        <v>3.9144000000000001E-4</v>
      </c>
      <c r="AP235" s="19">
        <v>0</v>
      </c>
      <c r="AQ235" s="19">
        <v>0</v>
      </c>
      <c r="AR235" s="19">
        <v>0</v>
      </c>
      <c r="AS235" s="19">
        <v>0</v>
      </c>
      <c r="AT235" s="19">
        <v>0</v>
      </c>
      <c r="AU235" s="19">
        <v>0</v>
      </c>
      <c r="AV235" s="19">
        <v>0</v>
      </c>
      <c r="AW235" s="19">
        <v>0</v>
      </c>
    </row>
    <row r="236" spans="1:49" ht="17" customHeight="1">
      <c r="A236" s="11" t="s">
        <v>3174</v>
      </c>
      <c r="B236" s="11" t="s">
        <v>3174</v>
      </c>
      <c r="C236" s="14" t="s">
        <v>2867</v>
      </c>
      <c r="D236" s="14" t="s">
        <v>2916</v>
      </c>
      <c r="E236" s="14" t="s">
        <v>2917</v>
      </c>
      <c r="F236" s="14" t="s">
        <v>2918</v>
      </c>
      <c r="G236" s="14"/>
      <c r="H236" s="14" t="s">
        <v>2935</v>
      </c>
      <c r="I236" s="14"/>
      <c r="J236" s="14"/>
      <c r="K236" s="14"/>
      <c r="L236" s="14">
        <v>120</v>
      </c>
      <c r="M236" s="14">
        <v>1000</v>
      </c>
      <c r="N236" s="14">
        <v>5</v>
      </c>
      <c r="O236" s="14"/>
      <c r="P236" s="14">
        <v>6.37</v>
      </c>
      <c r="Q236" s="14">
        <v>90</v>
      </c>
      <c r="R236" s="14" t="s">
        <v>2936</v>
      </c>
      <c r="S236" s="14"/>
      <c r="T236" s="14">
        <v>12.9</v>
      </c>
      <c r="U236" s="14">
        <v>1.274</v>
      </c>
      <c r="V236" s="15">
        <v>2.0600000000000002E-3</v>
      </c>
      <c r="W236" s="14" t="s">
        <v>2873</v>
      </c>
      <c r="X236" s="14"/>
      <c r="Y236" s="14"/>
      <c r="Z236" s="14"/>
      <c r="AA236" s="14"/>
      <c r="AB236" s="14"/>
      <c r="AC236" s="14"/>
      <c r="AD236" s="14"/>
      <c r="AE236" s="14"/>
      <c r="AF236" s="14"/>
      <c r="AG236" s="14"/>
      <c r="AH236" s="14" t="s">
        <v>2934</v>
      </c>
      <c r="AI236" s="14"/>
      <c r="AJ236" s="16">
        <v>0.95010000000000006</v>
      </c>
      <c r="AK236" s="14">
        <v>1</v>
      </c>
      <c r="AL236" s="14">
        <v>-5</v>
      </c>
      <c r="AM236" s="14">
        <v>5</v>
      </c>
      <c r="AN236" s="19">
        <v>0</v>
      </c>
      <c r="AO236" s="19">
        <v>3.9144000000000001E-4</v>
      </c>
      <c r="AP236" s="19">
        <v>0</v>
      </c>
      <c r="AQ236" s="19">
        <v>0</v>
      </c>
      <c r="AR236" s="19">
        <v>0</v>
      </c>
      <c r="AS236" s="19">
        <v>0</v>
      </c>
      <c r="AT236" s="19">
        <v>0</v>
      </c>
      <c r="AU236" s="19">
        <v>0</v>
      </c>
      <c r="AV236" s="19">
        <v>0</v>
      </c>
      <c r="AW236" s="19">
        <v>0</v>
      </c>
    </row>
    <row r="237" spans="1:49" ht="17" customHeight="1">
      <c r="A237" s="11" t="s">
        <v>3175</v>
      </c>
      <c r="B237" s="11" t="s">
        <v>3175</v>
      </c>
      <c r="C237" s="14" t="s">
        <v>2867</v>
      </c>
      <c r="D237" s="14" t="s">
        <v>2916</v>
      </c>
      <c r="E237" s="14" t="s">
        <v>2917</v>
      </c>
      <c r="F237" s="14" t="s">
        <v>2918</v>
      </c>
      <c r="G237" s="14"/>
      <c r="H237" s="14" t="s">
        <v>2935</v>
      </c>
      <c r="I237" s="14"/>
      <c r="J237" s="14"/>
      <c r="K237" s="14"/>
      <c r="L237" s="14">
        <v>120</v>
      </c>
      <c r="M237" s="14">
        <v>1000</v>
      </c>
      <c r="N237" s="14">
        <v>5</v>
      </c>
      <c r="O237" s="14"/>
      <c r="P237" s="14">
        <v>6.37</v>
      </c>
      <c r="Q237" s="14">
        <v>90</v>
      </c>
      <c r="R237" s="14" t="s">
        <v>2936</v>
      </c>
      <c r="S237" s="14"/>
      <c r="T237" s="14">
        <v>12.9</v>
      </c>
      <c r="U237" s="14">
        <v>1.274</v>
      </c>
      <c r="V237" s="15">
        <v>2.0600000000000002E-3</v>
      </c>
      <c r="W237" s="14" t="s">
        <v>2873</v>
      </c>
      <c r="X237" s="14"/>
      <c r="Y237" s="14"/>
      <c r="Z237" s="14"/>
      <c r="AA237" s="14"/>
      <c r="AB237" s="14"/>
      <c r="AC237" s="14"/>
      <c r="AD237" s="14"/>
      <c r="AE237" s="14"/>
      <c r="AF237" s="14"/>
      <c r="AG237" s="14"/>
      <c r="AH237" s="14" t="s">
        <v>2934</v>
      </c>
      <c r="AI237" s="14"/>
      <c r="AJ237" s="16">
        <v>0.95010000000000006</v>
      </c>
      <c r="AK237" s="14">
        <v>1</v>
      </c>
      <c r="AL237" s="14">
        <v>-5</v>
      </c>
      <c r="AM237" s="14">
        <v>5</v>
      </c>
      <c r="AN237" s="19">
        <v>0</v>
      </c>
      <c r="AO237" s="19">
        <v>3.9144000000000001E-4</v>
      </c>
      <c r="AP237" s="19">
        <v>0</v>
      </c>
      <c r="AQ237" s="19">
        <v>0</v>
      </c>
      <c r="AR237" s="19">
        <v>0</v>
      </c>
      <c r="AS237" s="19">
        <v>0</v>
      </c>
      <c r="AT237" s="19">
        <v>0</v>
      </c>
      <c r="AU237" s="19">
        <v>0</v>
      </c>
      <c r="AV237" s="19">
        <v>0</v>
      </c>
      <c r="AW237" s="19">
        <v>0</v>
      </c>
    </row>
    <row r="238" spans="1:49" ht="17" customHeight="1">
      <c r="A238" s="11" t="s">
        <v>3176</v>
      </c>
      <c r="B238" s="11" t="s">
        <v>3176</v>
      </c>
      <c r="C238" s="14" t="s">
        <v>2867</v>
      </c>
      <c r="D238" s="14" t="s">
        <v>2916</v>
      </c>
      <c r="E238" s="14" t="s">
        <v>2917</v>
      </c>
      <c r="F238" s="14" t="s">
        <v>2918</v>
      </c>
      <c r="G238" s="14"/>
      <c r="H238" s="14" t="s">
        <v>2935</v>
      </c>
      <c r="I238" s="14"/>
      <c r="J238" s="14"/>
      <c r="K238" s="14"/>
      <c r="L238" s="14">
        <v>120</v>
      </c>
      <c r="M238" s="14">
        <v>1000</v>
      </c>
      <c r="N238" s="14">
        <v>5</v>
      </c>
      <c r="O238" s="14"/>
      <c r="P238" s="14">
        <v>6.37</v>
      </c>
      <c r="Q238" s="14">
        <v>90</v>
      </c>
      <c r="R238" s="14" t="s">
        <v>2936</v>
      </c>
      <c r="S238" s="14"/>
      <c r="T238" s="14">
        <v>12.9</v>
      </c>
      <c r="U238" s="14">
        <v>1.274</v>
      </c>
      <c r="V238" s="15">
        <v>2.0600000000000002E-3</v>
      </c>
      <c r="W238" s="14" t="s">
        <v>2873</v>
      </c>
      <c r="X238" s="14"/>
      <c r="Y238" s="14"/>
      <c r="Z238" s="14"/>
      <c r="AA238" s="14"/>
      <c r="AB238" s="14"/>
      <c r="AC238" s="14"/>
      <c r="AD238" s="14"/>
      <c r="AE238" s="14"/>
      <c r="AF238" s="14"/>
      <c r="AG238" s="14"/>
      <c r="AH238" s="14" t="s">
        <v>2934</v>
      </c>
      <c r="AI238" s="14"/>
      <c r="AJ238" s="16">
        <v>0.95010000000000006</v>
      </c>
      <c r="AK238" s="14">
        <v>1</v>
      </c>
      <c r="AL238" s="14">
        <v>-5</v>
      </c>
      <c r="AM238" s="14">
        <v>5</v>
      </c>
      <c r="AN238" s="19">
        <v>0</v>
      </c>
      <c r="AO238" s="19">
        <v>3.9144000000000001E-4</v>
      </c>
      <c r="AP238" s="19">
        <v>0</v>
      </c>
      <c r="AQ238" s="19">
        <v>0</v>
      </c>
      <c r="AR238" s="19">
        <v>0</v>
      </c>
      <c r="AS238" s="19">
        <v>0</v>
      </c>
      <c r="AT238" s="19">
        <v>0</v>
      </c>
      <c r="AU238" s="19">
        <v>0</v>
      </c>
      <c r="AV238" s="19">
        <v>0</v>
      </c>
      <c r="AW238" s="19">
        <v>0</v>
      </c>
    </row>
    <row r="239" spans="1:49" ht="17" customHeight="1">
      <c r="A239" s="11" t="s">
        <v>3177</v>
      </c>
      <c r="B239" s="11" t="s">
        <v>3177</v>
      </c>
      <c r="C239" s="14" t="s">
        <v>2867</v>
      </c>
      <c r="D239" s="14" t="s">
        <v>2916</v>
      </c>
      <c r="E239" s="14" t="s">
        <v>2917</v>
      </c>
      <c r="F239" s="14" t="s">
        <v>2918</v>
      </c>
      <c r="G239" s="14"/>
      <c r="H239" s="14" t="s">
        <v>2935</v>
      </c>
      <c r="I239" s="14"/>
      <c r="J239" s="14"/>
      <c r="K239" s="14"/>
      <c r="L239" s="14">
        <v>120</v>
      </c>
      <c r="M239" s="14">
        <v>1000</v>
      </c>
      <c r="N239" s="14">
        <v>5</v>
      </c>
      <c r="O239" s="14"/>
      <c r="P239" s="14">
        <v>6.37</v>
      </c>
      <c r="Q239" s="14">
        <v>90</v>
      </c>
      <c r="R239" s="14" t="s">
        <v>2936</v>
      </c>
      <c r="S239" s="14"/>
      <c r="T239" s="14">
        <v>12.9</v>
      </c>
      <c r="U239" s="14">
        <v>1.274</v>
      </c>
      <c r="V239" s="15">
        <v>2.0600000000000002E-3</v>
      </c>
      <c r="W239" s="14" t="s">
        <v>2873</v>
      </c>
      <c r="X239" s="14"/>
      <c r="Y239" s="14"/>
      <c r="Z239" s="14"/>
      <c r="AA239" s="14"/>
      <c r="AB239" s="14"/>
      <c r="AC239" s="14"/>
      <c r="AD239" s="14"/>
      <c r="AE239" s="14"/>
      <c r="AF239" s="14"/>
      <c r="AG239" s="14"/>
      <c r="AH239" s="14" t="s">
        <v>2934</v>
      </c>
      <c r="AI239" s="14"/>
      <c r="AJ239" s="16">
        <v>0.95010000000000006</v>
      </c>
      <c r="AK239" s="14">
        <v>1</v>
      </c>
      <c r="AL239" s="14">
        <v>-5</v>
      </c>
      <c r="AM239" s="14">
        <v>5</v>
      </c>
      <c r="AN239" s="19">
        <v>0</v>
      </c>
      <c r="AO239" s="19">
        <v>3.9144000000000001E-4</v>
      </c>
      <c r="AP239" s="19">
        <v>0</v>
      </c>
      <c r="AQ239" s="19">
        <v>0</v>
      </c>
      <c r="AR239" s="19">
        <v>0</v>
      </c>
      <c r="AS239" s="19">
        <v>0</v>
      </c>
      <c r="AT239" s="19">
        <v>0</v>
      </c>
      <c r="AU239" s="19">
        <v>0</v>
      </c>
      <c r="AV239" s="19">
        <v>0</v>
      </c>
      <c r="AW239" s="19">
        <v>0</v>
      </c>
    </row>
    <row r="240" spans="1:49" ht="17" customHeight="1">
      <c r="A240" s="11" t="s">
        <v>3178</v>
      </c>
      <c r="B240" s="11" t="s">
        <v>3178</v>
      </c>
      <c r="C240" s="14" t="s">
        <v>2867</v>
      </c>
      <c r="D240" s="14" t="s">
        <v>2916</v>
      </c>
      <c r="E240" s="14" t="s">
        <v>2917</v>
      </c>
      <c r="F240" s="14" t="s">
        <v>2918</v>
      </c>
      <c r="G240" s="14"/>
      <c r="H240" s="14" t="s">
        <v>2935</v>
      </c>
      <c r="I240" s="14"/>
      <c r="J240" s="14"/>
      <c r="K240" s="14"/>
      <c r="L240" s="14">
        <v>120</v>
      </c>
      <c r="M240" s="14">
        <v>1000</v>
      </c>
      <c r="N240" s="14">
        <v>5</v>
      </c>
      <c r="O240" s="14"/>
      <c r="P240" s="14">
        <v>6.37</v>
      </c>
      <c r="Q240" s="14">
        <v>90</v>
      </c>
      <c r="R240" s="14" t="s">
        <v>2936</v>
      </c>
      <c r="S240" s="14"/>
      <c r="T240" s="14">
        <v>12.9</v>
      </c>
      <c r="U240" s="14">
        <v>1.274</v>
      </c>
      <c r="V240" s="15">
        <v>2.0600000000000002E-3</v>
      </c>
      <c r="W240" s="14" t="s">
        <v>2873</v>
      </c>
      <c r="X240" s="14"/>
      <c r="Y240" s="14"/>
      <c r="Z240" s="14"/>
      <c r="AA240" s="14"/>
      <c r="AB240" s="14"/>
      <c r="AC240" s="14"/>
      <c r="AD240" s="14"/>
      <c r="AE240" s="14"/>
      <c r="AF240" s="14"/>
      <c r="AG240" s="14"/>
      <c r="AH240" s="18" t="s">
        <v>2934</v>
      </c>
      <c r="AI240" s="14"/>
      <c r="AJ240" s="16">
        <v>0.95010000000000006</v>
      </c>
      <c r="AK240" s="14">
        <v>1</v>
      </c>
      <c r="AL240" s="14">
        <v>-5</v>
      </c>
      <c r="AM240" s="14">
        <v>5</v>
      </c>
      <c r="AN240" s="19">
        <v>0</v>
      </c>
      <c r="AO240" s="19">
        <v>3.9144000000000001E-4</v>
      </c>
      <c r="AP240" s="19">
        <v>0</v>
      </c>
      <c r="AQ240" s="19">
        <v>0</v>
      </c>
      <c r="AR240" s="19">
        <v>0</v>
      </c>
      <c r="AS240" s="19">
        <v>0</v>
      </c>
      <c r="AT240" s="19">
        <v>0</v>
      </c>
      <c r="AU240" s="19">
        <v>0</v>
      </c>
      <c r="AV240" s="19">
        <v>0</v>
      </c>
      <c r="AW240" s="19">
        <v>0</v>
      </c>
    </row>
    <row r="241" spans="1:49" ht="17" customHeight="1">
      <c r="A241" s="11" t="s">
        <v>3179</v>
      </c>
      <c r="B241" s="11" t="s">
        <v>3179</v>
      </c>
      <c r="C241" s="18" t="s">
        <v>2867</v>
      </c>
      <c r="D241" s="18" t="s">
        <v>2916</v>
      </c>
      <c r="E241" s="18" t="s">
        <v>2917</v>
      </c>
      <c r="F241" s="18" t="s">
        <v>2918</v>
      </c>
      <c r="G241" s="14"/>
      <c r="H241" s="18" t="s">
        <v>2935</v>
      </c>
      <c r="I241" s="14"/>
      <c r="J241" s="14"/>
      <c r="K241" s="14"/>
      <c r="L241" s="18">
        <v>120</v>
      </c>
      <c r="M241" s="18">
        <v>1000</v>
      </c>
      <c r="N241" s="18">
        <v>5</v>
      </c>
      <c r="O241" s="14"/>
      <c r="P241" s="18">
        <v>6.37</v>
      </c>
      <c r="Q241" s="18">
        <v>90</v>
      </c>
      <c r="R241" s="18" t="s">
        <v>2936</v>
      </c>
      <c r="S241" s="18"/>
      <c r="T241" s="18">
        <v>12.9</v>
      </c>
      <c r="U241" s="18">
        <v>1.274</v>
      </c>
      <c r="V241" s="20">
        <v>2.0600000000000002E-3</v>
      </c>
      <c r="W241" s="18" t="s">
        <v>2873</v>
      </c>
      <c r="X241" s="14"/>
      <c r="Y241" s="14"/>
      <c r="Z241" s="14"/>
      <c r="AA241" s="14"/>
      <c r="AB241" s="14"/>
      <c r="AC241" s="14"/>
      <c r="AD241" s="14"/>
      <c r="AE241" s="14"/>
      <c r="AF241" s="14"/>
      <c r="AG241" s="14"/>
      <c r="AH241" s="18" t="s">
        <v>2934</v>
      </c>
      <c r="AI241" s="14"/>
      <c r="AJ241" s="21">
        <v>0.95010000000000006</v>
      </c>
      <c r="AK241" s="18">
        <v>1</v>
      </c>
      <c r="AL241" s="18">
        <v>-5</v>
      </c>
      <c r="AM241" s="18">
        <v>5</v>
      </c>
      <c r="AN241" s="17">
        <v>0</v>
      </c>
      <c r="AO241" s="17">
        <v>3.9144000000000001E-4</v>
      </c>
      <c r="AP241" s="19">
        <v>0</v>
      </c>
      <c r="AQ241" s="19">
        <v>0</v>
      </c>
      <c r="AR241" s="19">
        <v>0</v>
      </c>
      <c r="AS241" s="19">
        <v>0</v>
      </c>
      <c r="AT241" s="19">
        <v>0</v>
      </c>
      <c r="AU241" s="19">
        <v>0</v>
      </c>
      <c r="AV241" s="19">
        <v>0</v>
      </c>
      <c r="AW241" s="19">
        <v>0</v>
      </c>
    </row>
    <row r="242" spans="1:49" ht="17" customHeight="1">
      <c r="A242" s="11" t="s">
        <v>3180</v>
      </c>
      <c r="B242" s="11" t="s">
        <v>3180</v>
      </c>
      <c r="C242" s="18" t="s">
        <v>2867</v>
      </c>
      <c r="D242" s="18" t="s">
        <v>2916</v>
      </c>
      <c r="E242" s="18" t="s">
        <v>2917</v>
      </c>
      <c r="F242" s="18" t="s">
        <v>2918</v>
      </c>
      <c r="G242" s="14"/>
      <c r="H242" s="18" t="s">
        <v>2935</v>
      </c>
      <c r="I242" s="14"/>
      <c r="J242" s="14"/>
      <c r="K242" s="14"/>
      <c r="L242" s="18">
        <v>120</v>
      </c>
      <c r="M242" s="18">
        <v>1000</v>
      </c>
      <c r="N242" s="18">
        <v>5</v>
      </c>
      <c r="O242" s="14"/>
      <c r="P242" s="18">
        <v>6.37</v>
      </c>
      <c r="Q242" s="18">
        <v>90</v>
      </c>
      <c r="R242" s="18" t="s">
        <v>2936</v>
      </c>
      <c r="S242" s="18"/>
      <c r="T242" s="18">
        <v>12.9</v>
      </c>
      <c r="U242" s="18">
        <v>1.274</v>
      </c>
      <c r="V242" s="20">
        <v>2.0600000000000002E-3</v>
      </c>
      <c r="W242" s="18" t="s">
        <v>2873</v>
      </c>
      <c r="X242" s="14"/>
      <c r="Y242" s="14"/>
      <c r="Z242" s="14"/>
      <c r="AA242" s="14"/>
      <c r="AB242" s="14"/>
      <c r="AC242" s="14"/>
      <c r="AD242" s="14"/>
      <c r="AE242" s="14"/>
      <c r="AF242" s="14"/>
      <c r="AG242" s="14"/>
      <c r="AH242" s="18" t="s">
        <v>2934</v>
      </c>
      <c r="AI242" s="14"/>
      <c r="AJ242" s="21">
        <v>0.95010000000000006</v>
      </c>
      <c r="AK242" s="18">
        <v>1</v>
      </c>
      <c r="AL242" s="18">
        <v>-5</v>
      </c>
      <c r="AM242" s="18">
        <v>5</v>
      </c>
      <c r="AN242" s="17">
        <v>0</v>
      </c>
      <c r="AO242" s="17">
        <v>3.9144000000000001E-4</v>
      </c>
      <c r="AP242" s="19">
        <v>0</v>
      </c>
      <c r="AQ242" s="19">
        <v>0</v>
      </c>
      <c r="AR242" s="19">
        <v>0</v>
      </c>
      <c r="AS242" s="19">
        <v>0</v>
      </c>
      <c r="AT242" s="19">
        <v>0</v>
      </c>
      <c r="AU242" s="19">
        <v>0</v>
      </c>
      <c r="AV242" s="19">
        <v>0</v>
      </c>
      <c r="AW242" s="19">
        <v>0</v>
      </c>
    </row>
    <row r="243" spans="1:49" ht="17" customHeight="1">
      <c r="A243" s="11" t="s">
        <v>3181</v>
      </c>
      <c r="B243" s="11" t="s">
        <v>3181</v>
      </c>
      <c r="C243" s="18" t="s">
        <v>2867</v>
      </c>
      <c r="D243" s="18" t="s">
        <v>2916</v>
      </c>
      <c r="E243" s="18" t="s">
        <v>2917</v>
      </c>
      <c r="F243" s="18" t="s">
        <v>2918</v>
      </c>
      <c r="G243" s="14"/>
      <c r="H243" s="18" t="s">
        <v>2935</v>
      </c>
      <c r="I243" s="14"/>
      <c r="J243" s="14"/>
      <c r="K243" s="14"/>
      <c r="L243" s="18">
        <v>120</v>
      </c>
      <c r="M243" s="18">
        <v>1000</v>
      </c>
      <c r="N243" s="18">
        <v>5</v>
      </c>
      <c r="O243" s="14"/>
      <c r="P243" s="18">
        <v>6.37</v>
      </c>
      <c r="Q243" s="18">
        <v>90</v>
      </c>
      <c r="R243" s="18" t="s">
        <v>2936</v>
      </c>
      <c r="S243" s="18"/>
      <c r="T243" s="18">
        <v>12.9</v>
      </c>
      <c r="U243" s="18">
        <v>1.274</v>
      </c>
      <c r="V243" s="20">
        <v>2.0600000000000002E-3</v>
      </c>
      <c r="W243" s="18" t="s">
        <v>2873</v>
      </c>
      <c r="X243" s="14"/>
      <c r="Y243" s="14"/>
      <c r="Z243" s="14"/>
      <c r="AA243" s="14"/>
      <c r="AB243" s="14"/>
      <c r="AC243" s="14"/>
      <c r="AD243" s="14"/>
      <c r="AE243" s="14"/>
      <c r="AF243" s="14"/>
      <c r="AG243" s="14"/>
      <c r="AH243" s="18" t="s">
        <v>2934</v>
      </c>
      <c r="AI243" s="14"/>
      <c r="AJ243" s="21">
        <v>0.95010000000000006</v>
      </c>
      <c r="AK243" s="18">
        <v>1</v>
      </c>
      <c r="AL243" s="18">
        <v>-5</v>
      </c>
      <c r="AM243" s="18">
        <v>5</v>
      </c>
      <c r="AN243" s="17">
        <v>0</v>
      </c>
      <c r="AO243" s="17">
        <v>3.9144000000000001E-4</v>
      </c>
      <c r="AP243" s="19">
        <v>0</v>
      </c>
      <c r="AQ243" s="19">
        <v>0</v>
      </c>
      <c r="AR243" s="19">
        <v>0</v>
      </c>
      <c r="AS243" s="19">
        <v>0</v>
      </c>
      <c r="AT243" s="19">
        <v>0</v>
      </c>
      <c r="AU243" s="19">
        <v>0</v>
      </c>
      <c r="AV243" s="19">
        <v>0</v>
      </c>
      <c r="AW243" s="19">
        <v>0</v>
      </c>
    </row>
    <row r="244" spans="1:49" ht="17" customHeight="1">
      <c r="A244" s="11" t="s">
        <v>3182</v>
      </c>
      <c r="B244" s="11" t="s">
        <v>3182</v>
      </c>
      <c r="C244" s="18" t="s">
        <v>2867</v>
      </c>
      <c r="D244" s="18" t="s">
        <v>2916</v>
      </c>
      <c r="E244" s="18" t="s">
        <v>2927</v>
      </c>
      <c r="F244" s="18" t="s">
        <v>2918</v>
      </c>
      <c r="G244" s="14"/>
      <c r="H244" s="18" t="s">
        <v>3050</v>
      </c>
      <c r="I244" s="14"/>
      <c r="J244" s="14"/>
      <c r="K244" s="14"/>
      <c r="L244" s="18">
        <v>23</v>
      </c>
      <c r="M244" s="18">
        <v>190</v>
      </c>
      <c r="N244" s="18">
        <v>20</v>
      </c>
      <c r="O244" s="14"/>
      <c r="P244" s="18">
        <v>17.559999999999999</v>
      </c>
      <c r="Q244" s="18">
        <v>190</v>
      </c>
      <c r="R244" s="18" t="s">
        <v>3157</v>
      </c>
      <c r="S244" s="18"/>
      <c r="T244" s="18">
        <v>33</v>
      </c>
      <c r="U244" s="18">
        <v>0.878</v>
      </c>
      <c r="V244" s="20">
        <v>62.8</v>
      </c>
      <c r="W244" s="18" t="s">
        <v>2975</v>
      </c>
      <c r="X244" s="14"/>
      <c r="Y244" s="14"/>
      <c r="Z244" s="14"/>
      <c r="AA244" s="14"/>
      <c r="AB244" s="14"/>
      <c r="AC244" s="14"/>
      <c r="AD244" s="14"/>
      <c r="AE244" s="14"/>
      <c r="AF244" s="14"/>
      <c r="AG244" s="14"/>
      <c r="AH244" s="18" t="s">
        <v>3158</v>
      </c>
      <c r="AI244" s="14"/>
      <c r="AJ244" s="21">
        <v>0.2039</v>
      </c>
      <c r="AK244" s="18">
        <v>1</v>
      </c>
      <c r="AL244" s="18">
        <v>0</v>
      </c>
      <c r="AM244" s="18">
        <v>20</v>
      </c>
      <c r="AN244" s="17">
        <v>1.03172009402E-3</v>
      </c>
      <c r="AO244" s="17">
        <v>0.69092436627999998</v>
      </c>
      <c r="AP244" s="19">
        <v>6.0568939501999999E-2</v>
      </c>
      <c r="AQ244" s="19">
        <v>-3.2754445025000002E-2</v>
      </c>
      <c r="AR244" s="19">
        <v>8.8291195736000007E-3</v>
      </c>
      <c r="AS244" s="19">
        <v>-1.3147337425999999E-3</v>
      </c>
      <c r="AT244" s="19">
        <v>1.12608140499E-4</v>
      </c>
      <c r="AU244" s="19">
        <v>-5.4956465584000004E-6</v>
      </c>
      <c r="AV244" s="19">
        <v>1.41242215104E-7</v>
      </c>
      <c r="AW244" s="19">
        <v>-1.4783517683500001E-9</v>
      </c>
    </row>
    <row r="245" spans="1:49" ht="17" customHeight="1">
      <c r="A245" s="11" t="s">
        <v>3183</v>
      </c>
      <c r="B245" s="11" t="s">
        <v>3183</v>
      </c>
      <c r="C245" s="18" t="s">
        <v>2867</v>
      </c>
      <c r="D245" s="18" t="s">
        <v>2916</v>
      </c>
      <c r="E245" s="18" t="s">
        <v>2927</v>
      </c>
      <c r="F245" s="18" t="s">
        <v>2918</v>
      </c>
      <c r="G245" s="14"/>
      <c r="H245" s="18" t="s">
        <v>3050</v>
      </c>
      <c r="I245" s="14"/>
      <c r="J245" s="14"/>
      <c r="K245" s="14"/>
      <c r="L245" s="18">
        <v>23</v>
      </c>
      <c r="M245" s="18">
        <v>190</v>
      </c>
      <c r="N245" s="18">
        <v>20</v>
      </c>
      <c r="O245" s="14"/>
      <c r="P245" s="18">
        <v>17.559999999999999</v>
      </c>
      <c r="Q245" s="18">
        <v>190</v>
      </c>
      <c r="R245" s="18" t="s">
        <v>3157</v>
      </c>
      <c r="S245" s="18"/>
      <c r="T245" s="18">
        <v>33</v>
      </c>
      <c r="U245" s="18">
        <v>0.878</v>
      </c>
      <c r="V245" s="20">
        <v>62.8</v>
      </c>
      <c r="W245" s="18" t="s">
        <v>2975</v>
      </c>
      <c r="X245" s="14"/>
      <c r="Y245" s="14"/>
      <c r="Z245" s="14"/>
      <c r="AA245" s="14"/>
      <c r="AB245" s="14"/>
      <c r="AC245" s="14"/>
      <c r="AD245" s="14"/>
      <c r="AE245" s="14"/>
      <c r="AF245" s="14"/>
      <c r="AG245" s="14"/>
      <c r="AH245" s="18" t="s">
        <v>3158</v>
      </c>
      <c r="AI245" s="14"/>
      <c r="AJ245" s="21">
        <v>0.2039</v>
      </c>
      <c r="AK245" s="18">
        <v>1</v>
      </c>
      <c r="AL245" s="18">
        <v>0</v>
      </c>
      <c r="AM245" s="18">
        <v>20</v>
      </c>
      <c r="AN245" s="17">
        <v>1.03172009402E-3</v>
      </c>
      <c r="AO245" s="17">
        <v>0.69092436627999998</v>
      </c>
      <c r="AP245" s="19">
        <v>6.0568939501999999E-2</v>
      </c>
      <c r="AQ245" s="19">
        <v>-3.2754445025000002E-2</v>
      </c>
      <c r="AR245" s="19">
        <v>8.8291195736000007E-3</v>
      </c>
      <c r="AS245" s="19">
        <v>-1.3147337425999999E-3</v>
      </c>
      <c r="AT245" s="19">
        <v>1.12608140499E-4</v>
      </c>
      <c r="AU245" s="19">
        <v>-5.4956465584000004E-6</v>
      </c>
      <c r="AV245" s="19">
        <v>1.41242215104E-7</v>
      </c>
      <c r="AW245" s="19">
        <v>-1.4783517683500001E-9</v>
      </c>
    </row>
    <row r="246" spans="1:49" ht="17" customHeight="1">
      <c r="A246" s="11" t="s">
        <v>3184</v>
      </c>
      <c r="B246" s="11" t="s">
        <v>3184</v>
      </c>
      <c r="C246" s="18" t="s">
        <v>2867</v>
      </c>
      <c r="D246" s="18" t="s">
        <v>2916</v>
      </c>
      <c r="E246" s="18" t="s">
        <v>2927</v>
      </c>
      <c r="F246" s="18" t="s">
        <v>2918</v>
      </c>
      <c r="G246" s="14"/>
      <c r="H246" s="18" t="s">
        <v>3050</v>
      </c>
      <c r="I246" s="14"/>
      <c r="J246" s="14"/>
      <c r="K246" s="14"/>
      <c r="L246" s="18">
        <v>23</v>
      </c>
      <c r="M246" s="18">
        <v>190</v>
      </c>
      <c r="N246" s="18">
        <v>20</v>
      </c>
      <c r="O246" s="14"/>
      <c r="P246" s="18">
        <v>17.559999999999999</v>
      </c>
      <c r="Q246" s="18">
        <v>190</v>
      </c>
      <c r="R246" s="18" t="s">
        <v>3157</v>
      </c>
      <c r="S246" s="18"/>
      <c r="T246" s="18">
        <v>33</v>
      </c>
      <c r="U246" s="18">
        <v>0.878</v>
      </c>
      <c r="V246" s="20">
        <v>62.8</v>
      </c>
      <c r="W246" s="18" t="s">
        <v>2975</v>
      </c>
      <c r="X246" s="14"/>
      <c r="Y246" s="14"/>
      <c r="Z246" s="14"/>
      <c r="AA246" s="14"/>
      <c r="AB246" s="14"/>
      <c r="AC246" s="14"/>
      <c r="AD246" s="14"/>
      <c r="AE246" s="14"/>
      <c r="AF246" s="14"/>
      <c r="AG246" s="14"/>
      <c r="AH246" s="18" t="s">
        <v>3158</v>
      </c>
      <c r="AI246" s="14"/>
      <c r="AJ246" s="21">
        <v>0.2039</v>
      </c>
      <c r="AK246" s="18">
        <v>1</v>
      </c>
      <c r="AL246" s="18">
        <v>0</v>
      </c>
      <c r="AM246" s="18">
        <v>20</v>
      </c>
      <c r="AN246" s="17">
        <v>1.03172009402E-3</v>
      </c>
      <c r="AO246" s="17">
        <v>0.69092436627999998</v>
      </c>
      <c r="AP246" s="19">
        <v>6.0568939501999999E-2</v>
      </c>
      <c r="AQ246" s="19">
        <v>-3.2754445025000002E-2</v>
      </c>
      <c r="AR246" s="19">
        <v>8.8291195736000007E-3</v>
      </c>
      <c r="AS246" s="19">
        <v>-1.3147337425999999E-3</v>
      </c>
      <c r="AT246" s="19">
        <v>1.12608140499E-4</v>
      </c>
      <c r="AU246" s="19">
        <v>-5.4956465584000004E-6</v>
      </c>
      <c r="AV246" s="19">
        <v>1.41242215104E-7</v>
      </c>
      <c r="AW246" s="19">
        <v>-1.4783517683500001E-9</v>
      </c>
    </row>
    <row r="247" spans="1:49" ht="17" customHeight="1">
      <c r="A247" s="11" t="s">
        <v>3185</v>
      </c>
      <c r="B247" s="11" t="s">
        <v>3185</v>
      </c>
      <c r="C247" s="18" t="s">
        <v>2867</v>
      </c>
      <c r="D247" s="18" t="s">
        <v>2916</v>
      </c>
      <c r="E247" s="18" t="s">
        <v>2927</v>
      </c>
      <c r="F247" s="18" t="s">
        <v>2918</v>
      </c>
      <c r="G247" s="14"/>
      <c r="H247" s="18" t="s">
        <v>3050</v>
      </c>
      <c r="I247" s="14"/>
      <c r="J247" s="14"/>
      <c r="K247" s="14"/>
      <c r="L247" s="18">
        <v>23</v>
      </c>
      <c r="M247" s="18">
        <v>190</v>
      </c>
      <c r="N247" s="18">
        <v>20</v>
      </c>
      <c r="O247" s="14"/>
      <c r="P247" s="18">
        <v>17.559999999999999</v>
      </c>
      <c r="Q247" s="18">
        <v>190</v>
      </c>
      <c r="R247" s="18" t="s">
        <v>3157</v>
      </c>
      <c r="S247" s="18"/>
      <c r="T247" s="18">
        <v>33</v>
      </c>
      <c r="U247" s="18">
        <v>0.878</v>
      </c>
      <c r="V247" s="20">
        <v>62.8</v>
      </c>
      <c r="W247" s="18" t="s">
        <v>2975</v>
      </c>
      <c r="X247" s="14"/>
      <c r="Y247" s="14"/>
      <c r="Z247" s="14"/>
      <c r="AA247" s="14"/>
      <c r="AB247" s="14"/>
      <c r="AC247" s="14"/>
      <c r="AD247" s="14"/>
      <c r="AE247" s="14"/>
      <c r="AF247" s="14"/>
      <c r="AG247" s="14"/>
      <c r="AH247" s="18" t="s">
        <v>3158</v>
      </c>
      <c r="AI247" s="14"/>
      <c r="AJ247" s="21">
        <v>0.2039</v>
      </c>
      <c r="AK247" s="18">
        <v>1</v>
      </c>
      <c r="AL247" s="18">
        <v>0</v>
      </c>
      <c r="AM247" s="18">
        <v>20</v>
      </c>
      <c r="AN247" s="17">
        <v>1.03172009402E-3</v>
      </c>
      <c r="AO247" s="17">
        <v>0.69092436627999998</v>
      </c>
      <c r="AP247" s="19">
        <v>6.0568939501999999E-2</v>
      </c>
      <c r="AQ247" s="19">
        <v>-3.2754445025000002E-2</v>
      </c>
      <c r="AR247" s="19">
        <v>8.8291195736000007E-3</v>
      </c>
      <c r="AS247" s="19">
        <v>-1.3147337425999999E-3</v>
      </c>
      <c r="AT247" s="19">
        <v>1.12608140499E-4</v>
      </c>
      <c r="AU247" s="19">
        <v>-5.4956465584000004E-6</v>
      </c>
      <c r="AV247" s="19">
        <v>1.41242215104E-7</v>
      </c>
      <c r="AW247" s="19">
        <v>-1.4783517683500001E-9</v>
      </c>
    </row>
    <row r="248" spans="1:49" ht="17" customHeight="1">
      <c r="A248" s="11" t="s">
        <v>3186</v>
      </c>
      <c r="B248" s="11" t="s">
        <v>3186</v>
      </c>
      <c r="C248" s="18" t="s">
        <v>2867</v>
      </c>
      <c r="D248" s="18" t="s">
        <v>2916</v>
      </c>
      <c r="E248" s="18" t="s">
        <v>2927</v>
      </c>
      <c r="F248" s="18" t="s">
        <v>2918</v>
      </c>
      <c r="G248" s="14"/>
      <c r="H248" s="18" t="s">
        <v>3050</v>
      </c>
      <c r="I248" s="14"/>
      <c r="J248" s="14"/>
      <c r="K248" s="14"/>
      <c r="L248" s="18">
        <v>23</v>
      </c>
      <c r="M248" s="18">
        <v>190</v>
      </c>
      <c r="N248" s="18">
        <v>20</v>
      </c>
      <c r="O248" s="14"/>
      <c r="P248" s="18">
        <v>17.559999999999999</v>
      </c>
      <c r="Q248" s="18">
        <v>190</v>
      </c>
      <c r="R248" s="18" t="s">
        <v>3157</v>
      </c>
      <c r="S248" s="18"/>
      <c r="T248" s="18">
        <v>33</v>
      </c>
      <c r="U248" s="18">
        <v>0.878</v>
      </c>
      <c r="V248" s="20">
        <v>62.8</v>
      </c>
      <c r="W248" s="18" t="s">
        <v>2975</v>
      </c>
      <c r="X248" s="14"/>
      <c r="Y248" s="14"/>
      <c r="Z248" s="14"/>
      <c r="AA248" s="14"/>
      <c r="AB248" s="14"/>
      <c r="AC248" s="14"/>
      <c r="AD248" s="14"/>
      <c r="AE248" s="14"/>
      <c r="AF248" s="14"/>
      <c r="AG248" s="14"/>
      <c r="AH248" s="18" t="s">
        <v>3158</v>
      </c>
      <c r="AI248" s="14"/>
      <c r="AJ248" s="21">
        <v>0.2039</v>
      </c>
      <c r="AK248" s="18">
        <v>1</v>
      </c>
      <c r="AL248" s="18">
        <v>0</v>
      </c>
      <c r="AM248" s="18">
        <v>20</v>
      </c>
      <c r="AN248" s="17">
        <v>1.03172009402E-3</v>
      </c>
      <c r="AO248" s="17">
        <v>0.69092436627999998</v>
      </c>
      <c r="AP248" s="19">
        <v>6.0568939501999999E-2</v>
      </c>
      <c r="AQ248" s="19">
        <v>-3.2754445025000002E-2</v>
      </c>
      <c r="AR248" s="19">
        <v>8.8291195736000007E-3</v>
      </c>
      <c r="AS248" s="19">
        <v>-1.3147337425999999E-3</v>
      </c>
      <c r="AT248" s="19">
        <v>1.12608140499E-4</v>
      </c>
      <c r="AU248" s="19">
        <v>-5.4956465584000004E-6</v>
      </c>
      <c r="AV248" s="19">
        <v>1.41242215104E-7</v>
      </c>
      <c r="AW248" s="19">
        <v>-1.4783517683500001E-9</v>
      </c>
    </row>
    <row r="249" spans="1:49" ht="17" customHeight="1">
      <c r="A249" s="11" t="s">
        <v>3187</v>
      </c>
      <c r="B249" s="11" t="s">
        <v>3187</v>
      </c>
      <c r="C249" s="18" t="s">
        <v>2867</v>
      </c>
      <c r="D249" s="18" t="s">
        <v>2916</v>
      </c>
      <c r="E249" s="18" t="s">
        <v>2927</v>
      </c>
      <c r="F249" s="18" t="s">
        <v>2918</v>
      </c>
      <c r="G249" s="14"/>
      <c r="H249" s="18" t="s">
        <v>3050</v>
      </c>
      <c r="I249" s="14"/>
      <c r="J249" s="14"/>
      <c r="K249" s="14"/>
      <c r="L249" s="18">
        <v>23</v>
      </c>
      <c r="M249" s="18">
        <v>190</v>
      </c>
      <c r="N249" s="18">
        <v>20</v>
      </c>
      <c r="O249" s="14"/>
      <c r="P249" s="18">
        <v>17.559999999999999</v>
      </c>
      <c r="Q249" s="18">
        <v>190</v>
      </c>
      <c r="R249" s="18" t="s">
        <v>3157</v>
      </c>
      <c r="S249" s="18"/>
      <c r="T249" s="18">
        <v>33</v>
      </c>
      <c r="U249" s="18">
        <v>0.878</v>
      </c>
      <c r="V249" s="20">
        <v>62.8</v>
      </c>
      <c r="W249" s="18" t="s">
        <v>2975</v>
      </c>
      <c r="X249" s="14"/>
      <c r="Y249" s="14"/>
      <c r="Z249" s="14"/>
      <c r="AA249" s="14"/>
      <c r="AB249" s="14"/>
      <c r="AC249" s="14"/>
      <c r="AD249" s="14"/>
      <c r="AE249" s="14"/>
      <c r="AF249" s="14"/>
      <c r="AG249" s="14"/>
      <c r="AH249" s="18" t="s">
        <v>3158</v>
      </c>
      <c r="AI249" s="14"/>
      <c r="AJ249" s="21">
        <v>0.2039</v>
      </c>
      <c r="AK249" s="18">
        <v>1</v>
      </c>
      <c r="AL249" s="18">
        <v>0</v>
      </c>
      <c r="AM249" s="18">
        <v>20</v>
      </c>
      <c r="AN249" s="17">
        <v>1.03172009402E-3</v>
      </c>
      <c r="AO249" s="17">
        <v>0.69092436627999998</v>
      </c>
      <c r="AP249" s="19">
        <v>6.0568939501999999E-2</v>
      </c>
      <c r="AQ249" s="19">
        <v>-3.2754445025000002E-2</v>
      </c>
      <c r="AR249" s="19">
        <v>8.8291195736000007E-3</v>
      </c>
      <c r="AS249" s="19">
        <v>-1.3147337425999999E-3</v>
      </c>
      <c r="AT249" s="19">
        <v>1.12608140499E-4</v>
      </c>
      <c r="AU249" s="19">
        <v>-5.4956465584000004E-6</v>
      </c>
      <c r="AV249" s="19">
        <v>1.41242215104E-7</v>
      </c>
      <c r="AW249" s="19">
        <v>-1.4783517683500001E-9</v>
      </c>
    </row>
    <row r="250" spans="1:49" ht="17" customHeight="1">
      <c r="A250" s="11" t="s">
        <v>3188</v>
      </c>
      <c r="B250" s="11" t="s">
        <v>3188</v>
      </c>
      <c r="C250" s="18" t="s">
        <v>2867</v>
      </c>
      <c r="D250" s="18" t="s">
        <v>2916</v>
      </c>
      <c r="E250" s="18" t="s">
        <v>2917</v>
      </c>
      <c r="F250" s="18" t="s">
        <v>2918</v>
      </c>
      <c r="G250" s="14"/>
      <c r="H250" s="18" t="s">
        <v>2948</v>
      </c>
      <c r="I250" s="14"/>
      <c r="J250" s="14"/>
      <c r="K250" s="14"/>
      <c r="L250" s="18">
        <v>44</v>
      </c>
      <c r="M250" s="18">
        <v>100</v>
      </c>
      <c r="N250" s="18">
        <v>20</v>
      </c>
      <c r="O250" s="14"/>
      <c r="P250" s="18">
        <v>11.6</v>
      </c>
      <c r="Q250" s="18">
        <v>123</v>
      </c>
      <c r="R250" s="18" t="s">
        <v>3047</v>
      </c>
      <c r="S250" s="18"/>
      <c r="T250" s="18">
        <v>29.04</v>
      </c>
      <c r="U250" s="18">
        <v>0.57999999999999996</v>
      </c>
      <c r="V250" s="20">
        <v>6.9816000000000003E-2</v>
      </c>
      <c r="W250" s="18" t="s">
        <v>2873</v>
      </c>
      <c r="X250" s="14"/>
      <c r="Y250" s="14"/>
      <c r="Z250" s="14"/>
      <c r="AA250" s="14"/>
      <c r="AB250" s="14"/>
      <c r="AC250" s="14"/>
      <c r="AD250" s="14"/>
      <c r="AE250" s="14"/>
      <c r="AF250" s="14"/>
      <c r="AG250" s="14"/>
      <c r="AH250" s="18" t="s">
        <v>3046</v>
      </c>
      <c r="AI250" s="14"/>
      <c r="AJ250" s="21">
        <v>0.1415535</v>
      </c>
      <c r="AK250" s="18">
        <v>1</v>
      </c>
      <c r="AL250" s="18">
        <v>-20</v>
      </c>
      <c r="AM250" s="18">
        <v>20</v>
      </c>
      <c r="AN250" s="17">
        <v>0</v>
      </c>
      <c r="AO250" s="17">
        <v>4.9412999999999996E-4</v>
      </c>
      <c r="AP250" s="19">
        <v>0</v>
      </c>
      <c r="AQ250" s="19">
        <v>0</v>
      </c>
      <c r="AR250" s="19">
        <v>0</v>
      </c>
      <c r="AS250" s="19">
        <v>0</v>
      </c>
      <c r="AT250" s="19">
        <v>0</v>
      </c>
      <c r="AU250" s="19">
        <v>0</v>
      </c>
      <c r="AV250" s="19">
        <v>0</v>
      </c>
      <c r="AW250" s="19">
        <v>0</v>
      </c>
    </row>
    <row r="251" spans="1:49" ht="17" customHeight="1">
      <c r="A251" s="11" t="s">
        <v>3189</v>
      </c>
      <c r="B251" s="11" t="s">
        <v>3189</v>
      </c>
      <c r="C251" s="18" t="s">
        <v>2867</v>
      </c>
      <c r="D251" s="18" t="s">
        <v>2916</v>
      </c>
      <c r="E251" s="18" t="s">
        <v>2917</v>
      </c>
      <c r="F251" s="18" t="s">
        <v>2918</v>
      </c>
      <c r="G251" s="14"/>
      <c r="H251" s="18" t="s">
        <v>2948</v>
      </c>
      <c r="I251" s="14"/>
      <c r="J251" s="14"/>
      <c r="K251" s="14"/>
      <c r="L251" s="18">
        <v>44</v>
      </c>
      <c r="M251" s="18">
        <v>100</v>
      </c>
      <c r="N251" s="18">
        <v>20</v>
      </c>
      <c r="O251" s="14"/>
      <c r="P251" s="18">
        <v>11.6</v>
      </c>
      <c r="Q251" s="18">
        <v>123</v>
      </c>
      <c r="R251" s="18" t="s">
        <v>3047</v>
      </c>
      <c r="S251" s="18"/>
      <c r="T251" s="18">
        <v>29.04</v>
      </c>
      <c r="U251" s="18">
        <v>0.57999999999999996</v>
      </c>
      <c r="V251" s="20">
        <v>6.9816000000000003E-2</v>
      </c>
      <c r="W251" s="18" t="s">
        <v>2873</v>
      </c>
      <c r="X251" s="14"/>
      <c r="Y251" s="14"/>
      <c r="Z251" s="14"/>
      <c r="AA251" s="14"/>
      <c r="AB251" s="14"/>
      <c r="AC251" s="14"/>
      <c r="AD251" s="14"/>
      <c r="AE251" s="14"/>
      <c r="AF251" s="14"/>
      <c r="AG251" s="14"/>
      <c r="AH251" s="18" t="s">
        <v>3046</v>
      </c>
      <c r="AI251" s="14"/>
      <c r="AJ251" s="21">
        <v>0.1415535</v>
      </c>
      <c r="AK251" s="18">
        <v>1</v>
      </c>
      <c r="AL251" s="18">
        <v>-20</v>
      </c>
      <c r="AM251" s="18">
        <v>20</v>
      </c>
      <c r="AN251" s="17">
        <v>0</v>
      </c>
      <c r="AO251" s="17">
        <v>4.9412999999999996E-4</v>
      </c>
      <c r="AP251" s="19">
        <v>0</v>
      </c>
      <c r="AQ251" s="19">
        <v>0</v>
      </c>
      <c r="AR251" s="19">
        <v>0</v>
      </c>
      <c r="AS251" s="19">
        <v>0</v>
      </c>
      <c r="AT251" s="19">
        <v>0</v>
      </c>
      <c r="AU251" s="19">
        <v>0</v>
      </c>
      <c r="AV251" s="19">
        <v>0</v>
      </c>
      <c r="AW251" s="19">
        <v>0</v>
      </c>
    </row>
    <row r="252" spans="1:49" ht="17" customHeight="1">
      <c r="A252" s="11" t="s">
        <v>3190</v>
      </c>
      <c r="B252" s="11" t="s">
        <v>3190</v>
      </c>
      <c r="C252" s="18" t="s">
        <v>2867</v>
      </c>
      <c r="D252" s="18" t="s">
        <v>2916</v>
      </c>
      <c r="E252" s="18" t="s">
        <v>2927</v>
      </c>
      <c r="F252" s="18" t="s">
        <v>2918</v>
      </c>
      <c r="G252" s="14"/>
      <c r="H252" s="18" t="s">
        <v>3050</v>
      </c>
      <c r="I252" s="14"/>
      <c r="J252" s="14"/>
      <c r="K252" s="14"/>
      <c r="L252" s="18">
        <v>23</v>
      </c>
      <c r="M252" s="18">
        <v>190</v>
      </c>
      <c r="N252" s="18">
        <v>20</v>
      </c>
      <c r="O252" s="14"/>
      <c r="P252" s="18">
        <v>17.559999999999999</v>
      </c>
      <c r="Q252" s="18">
        <v>190</v>
      </c>
      <c r="R252" s="18" t="s">
        <v>3157</v>
      </c>
      <c r="S252" s="18"/>
      <c r="T252" s="18">
        <v>33</v>
      </c>
      <c r="U252" s="18">
        <v>0.878</v>
      </c>
      <c r="V252" s="20">
        <v>62.8</v>
      </c>
      <c r="W252" s="18" t="s">
        <v>2975</v>
      </c>
      <c r="X252" s="14"/>
      <c r="Y252" s="14"/>
      <c r="Z252" s="14"/>
      <c r="AA252" s="14"/>
      <c r="AB252" s="14"/>
      <c r="AC252" s="14"/>
      <c r="AD252" s="14"/>
      <c r="AE252" s="14"/>
      <c r="AF252" s="14"/>
      <c r="AG252" s="14"/>
      <c r="AH252" s="18" t="s">
        <v>3158</v>
      </c>
      <c r="AI252" s="14"/>
      <c r="AJ252" s="21">
        <v>0.2039</v>
      </c>
      <c r="AK252" s="18">
        <v>1</v>
      </c>
      <c r="AL252" s="18">
        <v>0</v>
      </c>
      <c r="AM252" s="18">
        <v>20</v>
      </c>
      <c r="AN252" s="17">
        <v>1.03172009402E-3</v>
      </c>
      <c r="AO252" s="17">
        <v>0.69092436627999998</v>
      </c>
      <c r="AP252" s="19">
        <v>6.0568939501999999E-2</v>
      </c>
      <c r="AQ252" s="19">
        <v>-3.2754445025000002E-2</v>
      </c>
      <c r="AR252" s="19">
        <v>8.8291195736000007E-3</v>
      </c>
      <c r="AS252" s="19">
        <v>-1.3147337425999999E-3</v>
      </c>
      <c r="AT252" s="19">
        <v>1.12608140499E-4</v>
      </c>
      <c r="AU252" s="19">
        <v>-5.4956465584000004E-6</v>
      </c>
      <c r="AV252" s="19">
        <v>1.41242215104E-7</v>
      </c>
      <c r="AW252" s="19">
        <v>-1.4783517683500001E-9</v>
      </c>
    </row>
    <row r="253" spans="1:49" ht="17" customHeight="1">
      <c r="A253" s="11" t="s">
        <v>3191</v>
      </c>
      <c r="B253" s="11" t="s">
        <v>3191</v>
      </c>
      <c r="C253" s="18" t="s">
        <v>2867</v>
      </c>
      <c r="D253" s="18" t="s">
        <v>2916</v>
      </c>
      <c r="E253" s="18" t="s">
        <v>2927</v>
      </c>
      <c r="F253" s="18" t="s">
        <v>2918</v>
      </c>
      <c r="G253" s="14"/>
      <c r="H253" s="18" t="s">
        <v>3050</v>
      </c>
      <c r="I253" s="14"/>
      <c r="J253" s="14"/>
      <c r="K253" s="14"/>
      <c r="L253" s="18">
        <v>23</v>
      </c>
      <c r="M253" s="18">
        <v>190</v>
      </c>
      <c r="N253" s="18">
        <v>20</v>
      </c>
      <c r="O253" s="14"/>
      <c r="P253" s="18">
        <v>17.559999999999999</v>
      </c>
      <c r="Q253" s="18">
        <v>190</v>
      </c>
      <c r="R253" s="18" t="s">
        <v>3157</v>
      </c>
      <c r="S253" s="18"/>
      <c r="T253" s="18">
        <v>33</v>
      </c>
      <c r="U253" s="18">
        <v>0.878</v>
      </c>
      <c r="V253" s="20">
        <v>62.8</v>
      </c>
      <c r="W253" s="18" t="s">
        <v>2975</v>
      </c>
      <c r="X253" s="14"/>
      <c r="Y253" s="14"/>
      <c r="Z253" s="14"/>
      <c r="AA253" s="14"/>
      <c r="AB253" s="14"/>
      <c r="AC253" s="14"/>
      <c r="AD253" s="14"/>
      <c r="AE253" s="14"/>
      <c r="AF253" s="14"/>
      <c r="AG253" s="14"/>
      <c r="AH253" s="18" t="s">
        <v>3158</v>
      </c>
      <c r="AI253" s="14"/>
      <c r="AJ253" s="21">
        <v>0.2039</v>
      </c>
      <c r="AK253" s="18">
        <v>1</v>
      </c>
      <c r="AL253" s="18">
        <v>0</v>
      </c>
      <c r="AM253" s="18">
        <v>20</v>
      </c>
      <c r="AN253" s="17">
        <v>1.03172009402E-3</v>
      </c>
      <c r="AO253" s="17">
        <v>0.69092436627999998</v>
      </c>
      <c r="AP253" s="19">
        <v>6.0568939501999999E-2</v>
      </c>
      <c r="AQ253" s="19">
        <v>-3.2754445025000002E-2</v>
      </c>
      <c r="AR253" s="19">
        <v>8.8291195736000007E-3</v>
      </c>
      <c r="AS253" s="19">
        <v>-1.3147337425999999E-3</v>
      </c>
      <c r="AT253" s="19">
        <v>1.12608140499E-4</v>
      </c>
      <c r="AU253" s="19">
        <v>-5.4956465584000004E-6</v>
      </c>
      <c r="AV253" s="19">
        <v>1.41242215104E-7</v>
      </c>
      <c r="AW253" s="19">
        <v>-1.4783517683500001E-9</v>
      </c>
    </row>
    <row r="254" spans="1:49" ht="17" customHeight="1">
      <c r="A254" s="11" t="s">
        <v>3192</v>
      </c>
      <c r="B254" s="11" t="s">
        <v>3192</v>
      </c>
      <c r="C254" s="18" t="s">
        <v>2867</v>
      </c>
      <c r="D254" s="18" t="s">
        <v>2916</v>
      </c>
      <c r="E254" s="18" t="s">
        <v>2917</v>
      </c>
      <c r="F254" s="18" t="s">
        <v>2918</v>
      </c>
      <c r="G254" s="14"/>
      <c r="H254" s="18" t="s">
        <v>2919</v>
      </c>
      <c r="I254" s="14"/>
      <c r="J254" s="14"/>
      <c r="K254" s="14"/>
      <c r="L254" s="18">
        <v>128</v>
      </c>
      <c r="M254" s="18">
        <v>200</v>
      </c>
      <c r="N254" s="18">
        <v>5</v>
      </c>
      <c r="O254" s="14"/>
      <c r="P254" s="18">
        <v>14.9</v>
      </c>
      <c r="Q254" s="18">
        <v>749</v>
      </c>
      <c r="R254" s="18">
        <v>2.6</v>
      </c>
      <c r="S254" s="18"/>
      <c r="T254" s="18">
        <v>195</v>
      </c>
      <c r="U254" s="18">
        <v>2.8</v>
      </c>
      <c r="V254" s="20">
        <v>2.41E-2</v>
      </c>
      <c r="W254" s="18" t="s">
        <v>2873</v>
      </c>
      <c r="X254" s="14"/>
      <c r="Y254" s="14"/>
      <c r="Z254" s="14"/>
      <c r="AA254" s="14"/>
      <c r="AB254" s="14"/>
      <c r="AC254" s="14"/>
      <c r="AD254" s="14"/>
      <c r="AE254" s="14"/>
      <c r="AF254" s="14"/>
      <c r="AG254" s="14"/>
      <c r="AH254" s="18" t="s">
        <v>3192</v>
      </c>
      <c r="AI254" s="14"/>
      <c r="AJ254" s="21">
        <v>0.36836999999999998</v>
      </c>
      <c r="AK254" s="18">
        <v>1</v>
      </c>
      <c r="AL254" s="18">
        <v>-5</v>
      </c>
      <c r="AM254" s="18">
        <v>5</v>
      </c>
      <c r="AN254" s="17">
        <v>0</v>
      </c>
      <c r="AO254" s="17">
        <v>1.7755399999999999E-3</v>
      </c>
      <c r="AP254" s="19">
        <v>0</v>
      </c>
      <c r="AQ254" s="19">
        <v>0</v>
      </c>
      <c r="AR254" s="19">
        <v>0</v>
      </c>
      <c r="AS254" s="19">
        <v>0</v>
      </c>
      <c r="AT254" s="19">
        <v>0</v>
      </c>
      <c r="AU254" s="19">
        <v>0</v>
      </c>
      <c r="AV254" s="19">
        <v>0</v>
      </c>
      <c r="AW254" s="19">
        <v>0</v>
      </c>
    </row>
    <row r="255" spans="1:49" ht="17" customHeight="1">
      <c r="A255" s="11" t="s">
        <v>3193</v>
      </c>
      <c r="B255" s="11" t="s">
        <v>3193</v>
      </c>
      <c r="C255" s="18" t="s">
        <v>2867</v>
      </c>
      <c r="D255" s="18" t="s">
        <v>2916</v>
      </c>
      <c r="E255" s="18" t="s">
        <v>2917</v>
      </c>
      <c r="F255" s="18" t="s">
        <v>2918</v>
      </c>
      <c r="G255" s="14"/>
      <c r="H255" s="18" t="s">
        <v>2919</v>
      </c>
      <c r="I255" s="14"/>
      <c r="J255" s="14"/>
      <c r="K255" s="14"/>
      <c r="L255" s="18">
        <v>128</v>
      </c>
      <c r="M255" s="18">
        <v>200</v>
      </c>
      <c r="N255" s="18">
        <v>5</v>
      </c>
      <c r="O255" s="14"/>
      <c r="P255" s="18">
        <v>14.9</v>
      </c>
      <c r="Q255" s="18">
        <v>749</v>
      </c>
      <c r="R255" s="18">
        <v>2.6</v>
      </c>
      <c r="S255" s="18"/>
      <c r="T255" s="18">
        <v>195</v>
      </c>
      <c r="U255" s="18">
        <v>2.8</v>
      </c>
      <c r="V255" s="20">
        <v>2.41E-2</v>
      </c>
      <c r="W255" s="18" t="s">
        <v>2873</v>
      </c>
      <c r="X255" s="14"/>
      <c r="Y255" s="14"/>
      <c r="Z255" s="14"/>
      <c r="AA255" s="14"/>
      <c r="AB255" s="14"/>
      <c r="AC255" s="14"/>
      <c r="AD255" s="14"/>
      <c r="AE255" s="14"/>
      <c r="AF255" s="14"/>
      <c r="AG255" s="14"/>
      <c r="AH255" s="18" t="s">
        <v>3192</v>
      </c>
      <c r="AI255" s="14"/>
      <c r="AJ255" s="21">
        <v>0.36836999999999998</v>
      </c>
      <c r="AK255" s="18">
        <v>1</v>
      </c>
      <c r="AL255" s="18">
        <v>-5</v>
      </c>
      <c r="AM255" s="18">
        <v>5</v>
      </c>
      <c r="AN255" s="17">
        <v>0</v>
      </c>
      <c r="AO255" s="17">
        <v>1.7755399999999999E-3</v>
      </c>
      <c r="AP255" s="19">
        <v>0</v>
      </c>
      <c r="AQ255" s="19">
        <v>0</v>
      </c>
      <c r="AR255" s="19">
        <v>0</v>
      </c>
      <c r="AS255" s="19">
        <v>0</v>
      </c>
      <c r="AT255" s="19">
        <v>0</v>
      </c>
      <c r="AU255" s="19">
        <v>0</v>
      </c>
      <c r="AV255" s="19">
        <v>0</v>
      </c>
      <c r="AW255" s="19">
        <v>0</v>
      </c>
    </row>
    <row r="256" spans="1:49" ht="17" customHeight="1">
      <c r="A256" s="11" t="s">
        <v>3194</v>
      </c>
      <c r="B256" s="11" t="s">
        <v>3194</v>
      </c>
      <c r="C256" s="18" t="s">
        <v>2867</v>
      </c>
      <c r="D256" s="18" t="s">
        <v>2916</v>
      </c>
      <c r="E256" s="18" t="s">
        <v>2917</v>
      </c>
      <c r="F256" s="18" t="s">
        <v>2918</v>
      </c>
      <c r="G256" s="14"/>
      <c r="H256" s="18" t="s">
        <v>2935</v>
      </c>
      <c r="I256" s="14"/>
      <c r="J256" s="14"/>
      <c r="K256" s="14"/>
      <c r="L256" s="18">
        <v>120</v>
      </c>
      <c r="M256" s="18">
        <v>1000</v>
      </c>
      <c r="N256" s="18">
        <v>5</v>
      </c>
      <c r="O256" s="14"/>
      <c r="P256" s="18">
        <v>6.37</v>
      </c>
      <c r="Q256" s="18">
        <v>90</v>
      </c>
      <c r="R256" s="18" t="s">
        <v>2936</v>
      </c>
      <c r="S256" s="18"/>
      <c r="T256" s="18">
        <v>12.9</v>
      </c>
      <c r="U256" s="18">
        <v>1.274</v>
      </c>
      <c r="V256" s="20">
        <v>2.0600000000000002E-3</v>
      </c>
      <c r="W256" s="18" t="s">
        <v>2873</v>
      </c>
      <c r="X256" s="14"/>
      <c r="Y256" s="14"/>
      <c r="Z256" s="14"/>
      <c r="AA256" s="14"/>
      <c r="AB256" s="14"/>
      <c r="AC256" s="14"/>
      <c r="AD256" s="14"/>
      <c r="AE256" s="14"/>
      <c r="AF256" s="14"/>
      <c r="AG256" s="14"/>
      <c r="AH256" s="18" t="s">
        <v>2934</v>
      </c>
      <c r="AI256" s="14"/>
      <c r="AJ256" s="21">
        <v>0.95010000000000006</v>
      </c>
      <c r="AK256" s="18">
        <v>1</v>
      </c>
      <c r="AL256" s="18">
        <v>-5</v>
      </c>
      <c r="AM256" s="18">
        <v>5</v>
      </c>
      <c r="AN256" s="17">
        <v>0</v>
      </c>
      <c r="AO256" s="17">
        <v>3.9144000000000001E-4</v>
      </c>
      <c r="AP256" s="19">
        <v>0</v>
      </c>
      <c r="AQ256" s="19">
        <v>0</v>
      </c>
      <c r="AR256" s="19">
        <v>0</v>
      </c>
      <c r="AS256" s="19">
        <v>0</v>
      </c>
      <c r="AT256" s="19">
        <v>0</v>
      </c>
      <c r="AU256" s="19">
        <v>0</v>
      </c>
      <c r="AV256" s="19">
        <v>0</v>
      </c>
      <c r="AW256" s="19">
        <v>0</v>
      </c>
    </row>
    <row r="257" spans="1:49" ht="17" customHeight="1">
      <c r="A257" s="11" t="s">
        <v>3195</v>
      </c>
      <c r="B257" s="11" t="s">
        <v>3195</v>
      </c>
      <c r="C257" s="14" t="s">
        <v>2867</v>
      </c>
      <c r="D257" s="14" t="s">
        <v>2916</v>
      </c>
      <c r="E257" s="14" t="s">
        <v>2917</v>
      </c>
      <c r="F257" s="14" t="s">
        <v>2918</v>
      </c>
      <c r="G257" s="14"/>
      <c r="H257" s="14" t="s">
        <v>2935</v>
      </c>
      <c r="I257" s="14"/>
      <c r="J257" s="14"/>
      <c r="K257" s="14"/>
      <c r="L257" s="14">
        <v>120</v>
      </c>
      <c r="M257" s="14">
        <v>1000</v>
      </c>
      <c r="N257" s="14">
        <v>5</v>
      </c>
      <c r="O257" s="14"/>
      <c r="P257" s="14">
        <v>6.37</v>
      </c>
      <c r="Q257" s="14">
        <v>90</v>
      </c>
      <c r="R257" s="14" t="s">
        <v>2936</v>
      </c>
      <c r="S257" s="14"/>
      <c r="T257" s="14">
        <v>12.9</v>
      </c>
      <c r="U257" s="14">
        <v>1.274</v>
      </c>
      <c r="V257" s="15">
        <v>2.0600000000000002E-3</v>
      </c>
      <c r="W257" s="14" t="s">
        <v>2873</v>
      </c>
      <c r="X257" s="14"/>
      <c r="Y257" s="14"/>
      <c r="Z257" s="14"/>
      <c r="AA257" s="14"/>
      <c r="AB257" s="14"/>
      <c r="AC257" s="14"/>
      <c r="AD257" s="14"/>
      <c r="AE257" s="14"/>
      <c r="AF257" s="14"/>
      <c r="AG257" s="14"/>
      <c r="AH257" s="14" t="s">
        <v>2934</v>
      </c>
      <c r="AI257" s="14"/>
      <c r="AJ257" s="16">
        <v>0.95010000000000006</v>
      </c>
      <c r="AK257" s="14">
        <v>1</v>
      </c>
      <c r="AL257" s="14">
        <v>-5</v>
      </c>
      <c r="AM257" s="14">
        <v>5</v>
      </c>
      <c r="AN257" s="19">
        <v>0</v>
      </c>
      <c r="AO257" s="19">
        <v>3.9144000000000001E-4</v>
      </c>
      <c r="AP257" s="19">
        <v>0</v>
      </c>
      <c r="AQ257" s="19">
        <v>0</v>
      </c>
      <c r="AR257" s="19">
        <v>0</v>
      </c>
      <c r="AS257" s="19">
        <v>0</v>
      </c>
      <c r="AT257" s="19">
        <v>0</v>
      </c>
      <c r="AU257" s="19">
        <v>0</v>
      </c>
      <c r="AV257" s="19">
        <v>0</v>
      </c>
      <c r="AW257" s="19">
        <v>0</v>
      </c>
    </row>
    <row r="258" spans="1:49" ht="17" customHeight="1">
      <c r="A258" s="11" t="s">
        <v>3196</v>
      </c>
      <c r="B258" s="11" t="s">
        <v>3196</v>
      </c>
      <c r="C258" s="14" t="s">
        <v>2867</v>
      </c>
      <c r="D258" s="14" t="s">
        <v>2916</v>
      </c>
      <c r="E258" s="14" t="s">
        <v>2917</v>
      </c>
      <c r="F258" s="14" t="s">
        <v>2918</v>
      </c>
      <c r="G258" s="14"/>
      <c r="H258" s="14" t="s">
        <v>2935</v>
      </c>
      <c r="I258" s="14"/>
      <c r="J258" s="14"/>
      <c r="K258" s="14"/>
      <c r="L258" s="14">
        <v>120</v>
      </c>
      <c r="M258" s="14">
        <v>1000</v>
      </c>
      <c r="N258" s="14">
        <v>5</v>
      </c>
      <c r="O258" s="14"/>
      <c r="P258" s="14">
        <v>6.37</v>
      </c>
      <c r="Q258" s="14">
        <v>90</v>
      </c>
      <c r="R258" s="14" t="s">
        <v>2936</v>
      </c>
      <c r="S258" s="14"/>
      <c r="T258" s="14">
        <v>12.9</v>
      </c>
      <c r="U258" s="14">
        <v>1.274</v>
      </c>
      <c r="V258" s="15">
        <v>2.0600000000000002E-3</v>
      </c>
      <c r="W258" s="14" t="s">
        <v>2873</v>
      </c>
      <c r="X258" s="14"/>
      <c r="Y258" s="14"/>
      <c r="Z258" s="14"/>
      <c r="AA258" s="14"/>
      <c r="AB258" s="14"/>
      <c r="AC258" s="14"/>
      <c r="AD258" s="14"/>
      <c r="AE258" s="14"/>
      <c r="AF258" s="14"/>
      <c r="AG258" s="14"/>
      <c r="AH258" s="14" t="s">
        <v>2934</v>
      </c>
      <c r="AI258" s="14"/>
      <c r="AJ258" s="16">
        <v>0.95010000000000006</v>
      </c>
      <c r="AK258" s="14">
        <v>1</v>
      </c>
      <c r="AL258" s="14">
        <v>-5</v>
      </c>
      <c r="AM258" s="14">
        <v>5</v>
      </c>
      <c r="AN258" s="19">
        <v>0</v>
      </c>
      <c r="AO258" s="19">
        <v>3.9144000000000001E-4</v>
      </c>
      <c r="AP258" s="19">
        <v>0</v>
      </c>
      <c r="AQ258" s="19">
        <v>0</v>
      </c>
      <c r="AR258" s="19">
        <v>0</v>
      </c>
      <c r="AS258" s="19">
        <v>0</v>
      </c>
      <c r="AT258" s="19">
        <v>0</v>
      </c>
      <c r="AU258" s="19">
        <v>0</v>
      </c>
      <c r="AV258" s="19">
        <v>0</v>
      </c>
      <c r="AW258" s="19">
        <v>0</v>
      </c>
    </row>
    <row r="259" spans="1:49" ht="17" customHeight="1">
      <c r="A259" s="11" t="s">
        <v>3197</v>
      </c>
      <c r="B259" s="11" t="s">
        <v>3197</v>
      </c>
      <c r="C259" s="14" t="s">
        <v>2867</v>
      </c>
      <c r="D259" s="14" t="s">
        <v>2916</v>
      </c>
      <c r="E259" s="14" t="s">
        <v>2917</v>
      </c>
      <c r="F259" s="14" t="s">
        <v>2918</v>
      </c>
      <c r="G259" s="14"/>
      <c r="H259" s="14" t="s">
        <v>2935</v>
      </c>
      <c r="I259" s="14"/>
      <c r="J259" s="14"/>
      <c r="K259" s="14"/>
      <c r="L259" s="14">
        <v>120</v>
      </c>
      <c r="M259" s="14">
        <v>1000</v>
      </c>
      <c r="N259" s="14">
        <v>5</v>
      </c>
      <c r="O259" s="14"/>
      <c r="P259" s="14">
        <v>6.37</v>
      </c>
      <c r="Q259" s="14">
        <v>90</v>
      </c>
      <c r="R259" s="14" t="s">
        <v>2936</v>
      </c>
      <c r="S259" s="14"/>
      <c r="T259" s="14">
        <v>12.9</v>
      </c>
      <c r="U259" s="14">
        <v>1.274</v>
      </c>
      <c r="V259" s="15">
        <v>2.0600000000000002E-3</v>
      </c>
      <c r="W259" s="14" t="s">
        <v>2873</v>
      </c>
      <c r="X259" s="14"/>
      <c r="Y259" s="14"/>
      <c r="Z259" s="14"/>
      <c r="AA259" s="14"/>
      <c r="AB259" s="14"/>
      <c r="AC259" s="14"/>
      <c r="AD259" s="14"/>
      <c r="AE259" s="14"/>
      <c r="AF259" s="14"/>
      <c r="AG259" s="14"/>
      <c r="AH259" s="14" t="s">
        <v>2934</v>
      </c>
      <c r="AI259" s="14"/>
      <c r="AJ259" s="16">
        <v>0.95010000000000006</v>
      </c>
      <c r="AK259" s="14">
        <v>1</v>
      </c>
      <c r="AL259" s="14">
        <v>-5</v>
      </c>
      <c r="AM259" s="14">
        <v>5</v>
      </c>
      <c r="AN259" s="19">
        <v>0</v>
      </c>
      <c r="AO259" s="19">
        <v>3.9144000000000001E-4</v>
      </c>
      <c r="AP259" s="19">
        <v>0</v>
      </c>
      <c r="AQ259" s="19">
        <v>0</v>
      </c>
      <c r="AR259" s="19">
        <v>0</v>
      </c>
      <c r="AS259" s="19">
        <v>0</v>
      </c>
      <c r="AT259" s="19">
        <v>0</v>
      </c>
      <c r="AU259" s="19">
        <v>0</v>
      </c>
      <c r="AV259" s="19">
        <v>0</v>
      </c>
      <c r="AW259" s="19">
        <v>0</v>
      </c>
    </row>
    <row r="260" spans="1:49" ht="17" customHeight="1">
      <c r="A260" s="11" t="s">
        <v>3198</v>
      </c>
      <c r="B260" s="11" t="s">
        <v>3198</v>
      </c>
      <c r="C260" s="14" t="s">
        <v>2867</v>
      </c>
      <c r="D260" s="14" t="s">
        <v>2916</v>
      </c>
      <c r="E260" s="14" t="s">
        <v>2917</v>
      </c>
      <c r="F260" s="14" t="s">
        <v>2918</v>
      </c>
      <c r="G260" s="14"/>
      <c r="H260" s="14" t="s">
        <v>2935</v>
      </c>
      <c r="I260" s="14"/>
      <c r="J260" s="14"/>
      <c r="K260" s="14"/>
      <c r="L260" s="14">
        <v>120</v>
      </c>
      <c r="M260" s="14">
        <v>1000</v>
      </c>
      <c r="N260" s="14">
        <v>5</v>
      </c>
      <c r="O260" s="14"/>
      <c r="P260" s="14">
        <v>6.37</v>
      </c>
      <c r="Q260" s="14">
        <v>90</v>
      </c>
      <c r="R260" s="14" t="s">
        <v>2936</v>
      </c>
      <c r="S260" s="14"/>
      <c r="T260" s="14">
        <v>12.9</v>
      </c>
      <c r="U260" s="14">
        <v>1.274</v>
      </c>
      <c r="V260" s="15">
        <v>2.0600000000000002E-3</v>
      </c>
      <c r="W260" s="14" t="s">
        <v>2873</v>
      </c>
      <c r="X260" s="14"/>
      <c r="Y260" s="14"/>
      <c r="Z260" s="14"/>
      <c r="AA260" s="14"/>
      <c r="AB260" s="14"/>
      <c r="AC260" s="14"/>
      <c r="AD260" s="14"/>
      <c r="AE260" s="14"/>
      <c r="AF260" s="14"/>
      <c r="AG260" s="14"/>
      <c r="AH260" s="14" t="s">
        <v>2934</v>
      </c>
      <c r="AI260" s="14"/>
      <c r="AJ260" s="16">
        <v>0.95010000000000006</v>
      </c>
      <c r="AK260" s="14">
        <v>1</v>
      </c>
      <c r="AL260" s="14">
        <v>-5</v>
      </c>
      <c r="AM260" s="14">
        <v>5</v>
      </c>
      <c r="AN260" s="19">
        <v>0</v>
      </c>
      <c r="AO260" s="19">
        <v>3.9144000000000001E-4</v>
      </c>
      <c r="AP260" s="19">
        <v>0</v>
      </c>
      <c r="AQ260" s="19">
        <v>0</v>
      </c>
      <c r="AR260" s="19">
        <v>0</v>
      </c>
      <c r="AS260" s="19">
        <v>0</v>
      </c>
      <c r="AT260" s="19">
        <v>0</v>
      </c>
      <c r="AU260" s="19">
        <v>0</v>
      </c>
      <c r="AV260" s="19">
        <v>0</v>
      </c>
      <c r="AW260" s="19">
        <v>0</v>
      </c>
    </row>
    <row r="261" spans="1:49" ht="17" customHeight="1">
      <c r="A261" s="11" t="s">
        <v>3199</v>
      </c>
      <c r="B261" s="11" t="s">
        <v>3199</v>
      </c>
      <c r="C261" s="14" t="s">
        <v>2867</v>
      </c>
      <c r="D261" s="14" t="s">
        <v>2916</v>
      </c>
      <c r="E261" s="14" t="s">
        <v>2917</v>
      </c>
      <c r="F261" s="14" t="s">
        <v>2918</v>
      </c>
      <c r="G261" s="14"/>
      <c r="H261" s="14" t="s">
        <v>2935</v>
      </c>
      <c r="I261" s="14"/>
      <c r="J261" s="14"/>
      <c r="K261" s="14"/>
      <c r="L261" s="14">
        <v>120</v>
      </c>
      <c r="M261" s="14">
        <v>1000</v>
      </c>
      <c r="N261" s="14">
        <v>5</v>
      </c>
      <c r="O261" s="14"/>
      <c r="P261" s="14">
        <v>6.37</v>
      </c>
      <c r="Q261" s="14">
        <v>90</v>
      </c>
      <c r="R261" s="14" t="s">
        <v>2936</v>
      </c>
      <c r="S261" s="14"/>
      <c r="T261" s="14">
        <v>12.9</v>
      </c>
      <c r="U261" s="14">
        <v>1.274</v>
      </c>
      <c r="V261" s="15">
        <v>2.0600000000000002E-3</v>
      </c>
      <c r="W261" s="14" t="s">
        <v>2873</v>
      </c>
      <c r="X261" s="14"/>
      <c r="Y261" s="14"/>
      <c r="Z261" s="14"/>
      <c r="AA261" s="14"/>
      <c r="AB261" s="14"/>
      <c r="AC261" s="14"/>
      <c r="AD261" s="14"/>
      <c r="AE261" s="14"/>
      <c r="AF261" s="14"/>
      <c r="AG261" s="14"/>
      <c r="AH261" s="14" t="s">
        <v>2934</v>
      </c>
      <c r="AI261" s="14"/>
      <c r="AJ261" s="16">
        <v>0.95010000000000006</v>
      </c>
      <c r="AK261" s="14">
        <v>1</v>
      </c>
      <c r="AL261" s="14">
        <v>-5</v>
      </c>
      <c r="AM261" s="14">
        <v>5</v>
      </c>
      <c r="AN261" s="19">
        <v>0</v>
      </c>
      <c r="AO261" s="19">
        <v>3.9144000000000001E-4</v>
      </c>
      <c r="AP261" s="19">
        <v>0</v>
      </c>
      <c r="AQ261" s="19">
        <v>0</v>
      </c>
      <c r="AR261" s="19">
        <v>0</v>
      </c>
      <c r="AS261" s="19">
        <v>0</v>
      </c>
      <c r="AT261" s="19">
        <v>0</v>
      </c>
      <c r="AU261" s="19">
        <v>0</v>
      </c>
      <c r="AV261" s="19">
        <v>0</v>
      </c>
      <c r="AW261" s="19">
        <v>0</v>
      </c>
    </row>
    <row r="262" spans="1:49" ht="17" customHeight="1">
      <c r="A262" s="11" t="s">
        <v>3200</v>
      </c>
      <c r="B262" s="11" t="s">
        <v>3200</v>
      </c>
      <c r="C262" s="14" t="s">
        <v>2867</v>
      </c>
      <c r="D262" s="14" t="s">
        <v>2916</v>
      </c>
      <c r="E262" s="14" t="s">
        <v>2917</v>
      </c>
      <c r="F262" s="14" t="s">
        <v>2918</v>
      </c>
      <c r="G262" s="14"/>
      <c r="H262" s="14" t="s">
        <v>2935</v>
      </c>
      <c r="I262" s="14"/>
      <c r="J262" s="14"/>
      <c r="K262" s="14"/>
      <c r="L262" s="14">
        <v>120</v>
      </c>
      <c r="M262" s="14">
        <v>1000</v>
      </c>
      <c r="N262" s="14">
        <v>5</v>
      </c>
      <c r="O262" s="14"/>
      <c r="P262" s="14">
        <v>6.37</v>
      </c>
      <c r="Q262" s="14">
        <v>90</v>
      </c>
      <c r="R262" s="14" t="s">
        <v>2936</v>
      </c>
      <c r="S262" s="14"/>
      <c r="T262" s="14">
        <v>12.9</v>
      </c>
      <c r="U262" s="14">
        <v>1.274</v>
      </c>
      <c r="V262" s="15">
        <v>2.0600000000000002E-3</v>
      </c>
      <c r="W262" s="14" t="s">
        <v>2873</v>
      </c>
      <c r="X262" s="14"/>
      <c r="Y262" s="14"/>
      <c r="Z262" s="14"/>
      <c r="AA262" s="14"/>
      <c r="AB262" s="14"/>
      <c r="AC262" s="14"/>
      <c r="AD262" s="14"/>
      <c r="AE262" s="14"/>
      <c r="AF262" s="14"/>
      <c r="AG262" s="14"/>
      <c r="AH262" s="14" t="s">
        <v>2934</v>
      </c>
      <c r="AI262" s="14"/>
      <c r="AJ262" s="16">
        <v>0.95010000000000006</v>
      </c>
      <c r="AK262" s="14">
        <v>1</v>
      </c>
      <c r="AL262" s="14">
        <v>-5</v>
      </c>
      <c r="AM262" s="14">
        <v>5</v>
      </c>
      <c r="AN262" s="19">
        <v>0</v>
      </c>
      <c r="AO262" s="19">
        <v>3.9144000000000001E-4</v>
      </c>
      <c r="AP262" s="19">
        <v>0</v>
      </c>
      <c r="AQ262" s="19">
        <v>0</v>
      </c>
      <c r="AR262" s="19">
        <v>0</v>
      </c>
      <c r="AS262" s="19">
        <v>0</v>
      </c>
      <c r="AT262" s="19">
        <v>0</v>
      </c>
      <c r="AU262" s="19">
        <v>0</v>
      </c>
      <c r="AV262" s="19">
        <v>0</v>
      </c>
      <c r="AW262" s="19">
        <v>0</v>
      </c>
    </row>
    <row r="263" spans="1:49" ht="17" customHeight="1">
      <c r="A263" s="11" t="s">
        <v>3201</v>
      </c>
      <c r="B263" s="11" t="s">
        <v>3201</v>
      </c>
      <c r="C263" s="14" t="s">
        <v>2867</v>
      </c>
      <c r="D263" s="14" t="s">
        <v>2916</v>
      </c>
      <c r="E263" s="14" t="s">
        <v>2917</v>
      </c>
      <c r="F263" s="14" t="s">
        <v>2918</v>
      </c>
      <c r="G263" s="14"/>
      <c r="H263" s="14" t="s">
        <v>2935</v>
      </c>
      <c r="I263" s="14"/>
      <c r="J263" s="14"/>
      <c r="K263" s="14"/>
      <c r="L263" s="14">
        <v>120</v>
      </c>
      <c r="M263" s="14">
        <v>1000</v>
      </c>
      <c r="N263" s="14">
        <v>5</v>
      </c>
      <c r="O263" s="14"/>
      <c r="P263" s="14">
        <v>6.37</v>
      </c>
      <c r="Q263" s="14">
        <v>90</v>
      </c>
      <c r="R263" s="14" t="s">
        <v>2936</v>
      </c>
      <c r="S263" s="14"/>
      <c r="T263" s="14">
        <v>12.9</v>
      </c>
      <c r="U263" s="14">
        <v>1.274</v>
      </c>
      <c r="V263" s="15">
        <v>2.0600000000000002E-3</v>
      </c>
      <c r="W263" s="14" t="s">
        <v>2873</v>
      </c>
      <c r="X263" s="14"/>
      <c r="Y263" s="14"/>
      <c r="Z263" s="14"/>
      <c r="AA263" s="14"/>
      <c r="AB263" s="14"/>
      <c r="AC263" s="14"/>
      <c r="AD263" s="14"/>
      <c r="AE263" s="14"/>
      <c r="AF263" s="14"/>
      <c r="AG263" s="14"/>
      <c r="AH263" s="14" t="s">
        <v>2934</v>
      </c>
      <c r="AI263" s="14"/>
      <c r="AJ263" s="16">
        <v>0.95010000000000006</v>
      </c>
      <c r="AK263" s="14">
        <v>1</v>
      </c>
      <c r="AL263" s="14">
        <v>-5</v>
      </c>
      <c r="AM263" s="14">
        <v>5</v>
      </c>
      <c r="AN263" s="19">
        <v>0</v>
      </c>
      <c r="AO263" s="19">
        <v>3.9144000000000001E-4</v>
      </c>
      <c r="AP263" s="19">
        <v>0</v>
      </c>
      <c r="AQ263" s="19">
        <v>0</v>
      </c>
      <c r="AR263" s="19">
        <v>0</v>
      </c>
      <c r="AS263" s="19">
        <v>0</v>
      </c>
      <c r="AT263" s="19">
        <v>0</v>
      </c>
      <c r="AU263" s="19">
        <v>0</v>
      </c>
      <c r="AV263" s="19">
        <v>0</v>
      </c>
      <c r="AW263" s="19">
        <v>0</v>
      </c>
    </row>
    <row r="264" spans="1:49" ht="17" customHeight="1">
      <c r="A264" s="11" t="s">
        <v>3202</v>
      </c>
      <c r="B264" s="11" t="s">
        <v>3202</v>
      </c>
      <c r="C264" s="14" t="s">
        <v>2867</v>
      </c>
      <c r="D264" s="14" t="s">
        <v>2916</v>
      </c>
      <c r="E264" s="14" t="s">
        <v>2917</v>
      </c>
      <c r="F264" s="14" t="s">
        <v>2918</v>
      </c>
      <c r="G264" s="14"/>
      <c r="H264" s="14" t="s">
        <v>2919</v>
      </c>
      <c r="I264" s="14"/>
      <c r="J264" s="14"/>
      <c r="K264" s="14"/>
      <c r="L264" s="14">
        <v>128</v>
      </c>
      <c r="M264" s="14">
        <v>200</v>
      </c>
      <c r="N264" s="14">
        <v>5</v>
      </c>
      <c r="O264" s="14"/>
      <c r="P264" s="14">
        <v>14.9</v>
      </c>
      <c r="Q264" s="14">
        <v>749</v>
      </c>
      <c r="R264" s="14">
        <v>2.6</v>
      </c>
      <c r="S264" s="14"/>
      <c r="T264" s="14">
        <v>195</v>
      </c>
      <c r="U264" s="14">
        <v>2.8</v>
      </c>
      <c r="V264" s="15">
        <v>2.41E-2</v>
      </c>
      <c r="W264" s="14" t="s">
        <v>2873</v>
      </c>
      <c r="X264" s="14"/>
      <c r="Y264" s="14"/>
      <c r="Z264" s="14"/>
      <c r="AA264" s="14"/>
      <c r="AB264" s="14"/>
      <c r="AC264" s="14"/>
      <c r="AD264" s="14"/>
      <c r="AE264" s="14"/>
      <c r="AF264" s="14"/>
      <c r="AG264" s="14"/>
      <c r="AH264" s="14" t="s">
        <v>3192</v>
      </c>
      <c r="AI264" s="14"/>
      <c r="AJ264" s="16">
        <v>0.36836999999999998</v>
      </c>
      <c r="AK264" s="14">
        <v>1</v>
      </c>
      <c r="AL264" s="14">
        <v>-5</v>
      </c>
      <c r="AM264" s="14">
        <v>5</v>
      </c>
      <c r="AN264" s="19">
        <v>0</v>
      </c>
      <c r="AO264" s="19">
        <v>1.7755399999999999E-3</v>
      </c>
      <c r="AP264" s="19">
        <v>0</v>
      </c>
      <c r="AQ264" s="19">
        <v>0</v>
      </c>
      <c r="AR264" s="19">
        <v>0</v>
      </c>
      <c r="AS264" s="19">
        <v>0</v>
      </c>
      <c r="AT264" s="19">
        <v>0</v>
      </c>
      <c r="AU264" s="19">
        <v>0</v>
      </c>
      <c r="AV264" s="19">
        <v>0</v>
      </c>
      <c r="AW264" s="19">
        <v>0</v>
      </c>
    </row>
    <row r="265" spans="1:49" ht="17" customHeight="1">
      <c r="A265" s="11" t="s">
        <v>3203</v>
      </c>
      <c r="B265" s="11" t="s">
        <v>3203</v>
      </c>
      <c r="C265" s="14" t="s">
        <v>2867</v>
      </c>
      <c r="D265" s="14" t="s">
        <v>2916</v>
      </c>
      <c r="E265" s="14" t="s">
        <v>2917</v>
      </c>
      <c r="F265" s="14" t="s">
        <v>2918</v>
      </c>
      <c r="G265" s="14"/>
      <c r="H265" s="14" t="s">
        <v>2919</v>
      </c>
      <c r="I265" s="14"/>
      <c r="J265" s="14"/>
      <c r="K265" s="14"/>
      <c r="L265" s="14">
        <v>128</v>
      </c>
      <c r="M265" s="14">
        <v>200</v>
      </c>
      <c r="N265" s="14">
        <v>5</v>
      </c>
      <c r="O265" s="14"/>
      <c r="P265" s="14">
        <v>14.9</v>
      </c>
      <c r="Q265" s="14">
        <v>749</v>
      </c>
      <c r="R265" s="14">
        <v>2.6</v>
      </c>
      <c r="S265" s="14"/>
      <c r="T265" s="14">
        <v>195</v>
      </c>
      <c r="U265" s="14">
        <v>2.8</v>
      </c>
      <c r="V265" s="15">
        <v>2.41E-2</v>
      </c>
      <c r="W265" s="14" t="s">
        <v>2873</v>
      </c>
      <c r="X265" s="14"/>
      <c r="Y265" s="14"/>
      <c r="Z265" s="14"/>
      <c r="AA265" s="14"/>
      <c r="AB265" s="14"/>
      <c r="AC265" s="14"/>
      <c r="AD265" s="14"/>
      <c r="AE265" s="14"/>
      <c r="AF265" s="14"/>
      <c r="AG265" s="14"/>
      <c r="AH265" s="14" t="s">
        <v>3192</v>
      </c>
      <c r="AI265" s="14"/>
      <c r="AJ265" s="16">
        <v>0.36836999999999998</v>
      </c>
      <c r="AK265" s="14">
        <v>1</v>
      </c>
      <c r="AL265" s="14">
        <v>-5</v>
      </c>
      <c r="AM265" s="14">
        <v>5</v>
      </c>
      <c r="AN265" s="19">
        <v>0</v>
      </c>
      <c r="AO265" s="19">
        <v>1.7755399999999999E-3</v>
      </c>
      <c r="AP265" s="19">
        <v>0</v>
      </c>
      <c r="AQ265" s="19">
        <v>0</v>
      </c>
      <c r="AR265" s="19">
        <v>0</v>
      </c>
      <c r="AS265" s="19">
        <v>0</v>
      </c>
      <c r="AT265" s="19">
        <v>0</v>
      </c>
      <c r="AU265" s="19">
        <v>0</v>
      </c>
      <c r="AV265" s="19">
        <v>0</v>
      </c>
      <c r="AW265" s="19">
        <v>0</v>
      </c>
    </row>
    <row r="266" spans="1:49" ht="17" customHeight="1">
      <c r="A266" s="11" t="s">
        <v>3204</v>
      </c>
      <c r="B266" s="11" t="s">
        <v>3204</v>
      </c>
      <c r="C266" s="14" t="s">
        <v>2867</v>
      </c>
      <c r="D266" s="14" t="s">
        <v>2916</v>
      </c>
      <c r="E266" s="14" t="s">
        <v>2917</v>
      </c>
      <c r="F266" s="14" t="s">
        <v>2918</v>
      </c>
      <c r="G266" s="14"/>
      <c r="H266" s="14" t="s">
        <v>2928</v>
      </c>
      <c r="I266" s="14"/>
      <c r="J266" s="14"/>
      <c r="K266" s="14"/>
      <c r="L266" s="14">
        <v>120</v>
      </c>
      <c r="M266" s="14">
        <v>800</v>
      </c>
      <c r="N266" s="14">
        <v>5</v>
      </c>
      <c r="O266" s="14"/>
      <c r="P266" s="14">
        <v>4.5</v>
      </c>
      <c r="Q266" s="14">
        <v>75</v>
      </c>
      <c r="R266" s="14" t="s">
        <v>3047</v>
      </c>
      <c r="S266" s="14"/>
      <c r="T266" s="14" t="s">
        <v>2920</v>
      </c>
      <c r="U266" s="14">
        <v>0.9</v>
      </c>
      <c r="V266" s="15">
        <v>1.89E-3</v>
      </c>
      <c r="W266" s="14" t="s">
        <v>2873</v>
      </c>
      <c r="X266" s="14"/>
      <c r="Y266" s="14"/>
      <c r="Z266" s="14"/>
      <c r="AA266" s="14"/>
      <c r="AB266" s="14"/>
      <c r="AC266" s="14"/>
      <c r="AD266" s="14"/>
      <c r="AE266" s="14"/>
      <c r="AF266" s="14"/>
      <c r="AG266" s="14"/>
      <c r="AH266" s="14" t="s">
        <v>3204</v>
      </c>
      <c r="AI266" s="14"/>
      <c r="AJ266" s="16">
        <v>0.74619000000000002</v>
      </c>
      <c r="AK266" s="14">
        <v>1</v>
      </c>
      <c r="AL266" s="14">
        <v>-5</v>
      </c>
      <c r="AM266" s="14">
        <v>5</v>
      </c>
      <c r="AN266" s="19">
        <v>0</v>
      </c>
      <c r="AO266" s="19">
        <v>2.8205999999999999E-4</v>
      </c>
      <c r="AP266" s="19">
        <v>0</v>
      </c>
      <c r="AQ266" s="19">
        <v>0</v>
      </c>
      <c r="AR266" s="19">
        <v>0</v>
      </c>
      <c r="AS266" s="19">
        <v>0</v>
      </c>
      <c r="AT266" s="19">
        <v>0</v>
      </c>
      <c r="AU266" s="19">
        <v>0</v>
      </c>
      <c r="AV266" s="19">
        <v>0</v>
      </c>
      <c r="AW266" s="19">
        <v>0</v>
      </c>
    </row>
    <row r="267" spans="1:49" ht="17" customHeight="1">
      <c r="A267" s="11" t="s">
        <v>3205</v>
      </c>
      <c r="B267" s="11" t="s">
        <v>3205</v>
      </c>
      <c r="C267" s="18" t="s">
        <v>2867</v>
      </c>
      <c r="D267" s="18" t="s">
        <v>2916</v>
      </c>
      <c r="E267" s="18" t="s">
        <v>2917</v>
      </c>
      <c r="F267" s="18" t="s">
        <v>2918</v>
      </c>
      <c r="G267" s="14"/>
      <c r="H267" s="18" t="s">
        <v>2928</v>
      </c>
      <c r="I267" s="14"/>
      <c r="J267" s="14"/>
      <c r="K267" s="14"/>
      <c r="L267" s="18">
        <v>120</v>
      </c>
      <c r="M267" s="18">
        <v>800</v>
      </c>
      <c r="N267" s="18">
        <v>5</v>
      </c>
      <c r="O267" s="14"/>
      <c r="P267" s="18">
        <v>4.5</v>
      </c>
      <c r="Q267" s="18">
        <v>75</v>
      </c>
      <c r="R267" s="18" t="s">
        <v>3047</v>
      </c>
      <c r="S267" s="18"/>
      <c r="T267" s="18" t="s">
        <v>2920</v>
      </c>
      <c r="U267" s="18">
        <v>0.9</v>
      </c>
      <c r="V267" s="20">
        <v>2.1800000000000001E-3</v>
      </c>
      <c r="W267" s="18" t="s">
        <v>2873</v>
      </c>
      <c r="X267" s="14"/>
      <c r="Y267" s="14"/>
      <c r="Z267" s="14"/>
      <c r="AA267" s="14"/>
      <c r="AB267" s="14"/>
      <c r="AC267" s="14"/>
      <c r="AD267" s="14"/>
      <c r="AE267" s="14"/>
      <c r="AF267" s="14"/>
      <c r="AG267" s="14"/>
      <c r="AH267" s="18" t="s">
        <v>3205</v>
      </c>
      <c r="AI267" s="14"/>
      <c r="AJ267" s="21">
        <v>0.74619000000000002</v>
      </c>
      <c r="AK267" s="18">
        <v>1</v>
      </c>
      <c r="AL267" s="18">
        <v>-5</v>
      </c>
      <c r="AM267" s="18">
        <v>5</v>
      </c>
      <c r="AN267" s="17">
        <v>0</v>
      </c>
      <c r="AO267" s="17">
        <v>3.2534000000000003E-4</v>
      </c>
      <c r="AP267" s="19">
        <v>0</v>
      </c>
      <c r="AQ267" s="19">
        <v>0</v>
      </c>
      <c r="AR267" s="19">
        <v>0</v>
      </c>
      <c r="AS267" s="19">
        <v>0</v>
      </c>
      <c r="AT267" s="19">
        <v>0</v>
      </c>
      <c r="AU267" s="19">
        <v>0</v>
      </c>
      <c r="AV267" s="19">
        <v>0</v>
      </c>
      <c r="AW267" s="19">
        <v>0</v>
      </c>
    </row>
    <row r="268" spans="1:49" ht="17" customHeight="1">
      <c r="A268" s="11" t="s">
        <v>3206</v>
      </c>
      <c r="B268" s="11" t="s">
        <v>3206</v>
      </c>
      <c r="C268" s="18" t="s">
        <v>2867</v>
      </c>
      <c r="D268" s="18" t="s">
        <v>2916</v>
      </c>
      <c r="E268" s="18" t="s">
        <v>2927</v>
      </c>
      <c r="F268" s="18" t="s">
        <v>2918</v>
      </c>
      <c r="G268" s="14"/>
      <c r="H268" s="18" t="s">
        <v>3050</v>
      </c>
      <c r="I268" s="14"/>
      <c r="J268" s="14"/>
      <c r="K268" s="14"/>
      <c r="L268" s="18">
        <v>23</v>
      </c>
      <c r="M268" s="18">
        <v>190</v>
      </c>
      <c r="N268" s="18">
        <v>20</v>
      </c>
      <c r="O268" s="14"/>
      <c r="P268" s="18">
        <v>17.559999999999999</v>
      </c>
      <c r="Q268" s="18">
        <v>190</v>
      </c>
      <c r="R268" s="18" t="s">
        <v>3157</v>
      </c>
      <c r="S268" s="18"/>
      <c r="T268" s="18">
        <v>33</v>
      </c>
      <c r="U268" s="18">
        <v>0.878</v>
      </c>
      <c r="V268" s="20">
        <v>62.8</v>
      </c>
      <c r="W268" s="18" t="s">
        <v>2975</v>
      </c>
      <c r="X268" s="14"/>
      <c r="Y268" s="14"/>
      <c r="Z268" s="14"/>
      <c r="AA268" s="14"/>
      <c r="AB268" s="14"/>
      <c r="AC268" s="14"/>
      <c r="AD268" s="14"/>
      <c r="AE268" s="14"/>
      <c r="AF268" s="14"/>
      <c r="AG268" s="14"/>
      <c r="AH268" s="18" t="s">
        <v>3158</v>
      </c>
      <c r="AI268" s="14"/>
      <c r="AJ268" s="21">
        <v>0.2039</v>
      </c>
      <c r="AK268" s="18">
        <v>1</v>
      </c>
      <c r="AL268" s="18">
        <v>0</v>
      </c>
      <c r="AM268" s="18">
        <v>20</v>
      </c>
      <c r="AN268" s="17">
        <v>1.03172009402E-3</v>
      </c>
      <c r="AO268" s="17">
        <v>0.69092436627999998</v>
      </c>
      <c r="AP268" s="19">
        <v>6.0568939501999999E-2</v>
      </c>
      <c r="AQ268" s="19">
        <v>-3.2754445025000002E-2</v>
      </c>
      <c r="AR268" s="19">
        <v>8.8291195736000007E-3</v>
      </c>
      <c r="AS268" s="19">
        <v>-1.3147337425999999E-3</v>
      </c>
      <c r="AT268" s="19">
        <v>1.12608140499E-4</v>
      </c>
      <c r="AU268" s="19">
        <v>-5.4956465584000004E-6</v>
      </c>
      <c r="AV268" s="19">
        <v>1.41242215104E-7</v>
      </c>
      <c r="AW268" s="19">
        <v>-1.4783517683500001E-9</v>
      </c>
    </row>
    <row r="269" spans="1:49" ht="17" customHeight="1">
      <c r="A269" s="11" t="s">
        <v>3207</v>
      </c>
      <c r="B269" s="11" t="s">
        <v>3207</v>
      </c>
      <c r="C269" s="18" t="s">
        <v>2867</v>
      </c>
      <c r="D269" s="18" t="s">
        <v>2916</v>
      </c>
      <c r="E269" s="18" t="s">
        <v>2927</v>
      </c>
      <c r="F269" s="18" t="s">
        <v>2918</v>
      </c>
      <c r="G269" s="14"/>
      <c r="H269" s="18" t="s">
        <v>3050</v>
      </c>
      <c r="I269" s="14"/>
      <c r="J269" s="14"/>
      <c r="K269" s="14"/>
      <c r="L269" s="18">
        <v>23</v>
      </c>
      <c r="M269" s="18">
        <v>190</v>
      </c>
      <c r="N269" s="18">
        <v>20</v>
      </c>
      <c r="O269" s="14"/>
      <c r="P269" s="18">
        <v>17.559999999999999</v>
      </c>
      <c r="Q269" s="18">
        <v>190</v>
      </c>
      <c r="R269" s="18" t="s">
        <v>3157</v>
      </c>
      <c r="S269" s="18"/>
      <c r="T269" s="18">
        <v>33</v>
      </c>
      <c r="U269" s="18">
        <v>0.878</v>
      </c>
      <c r="V269" s="20">
        <v>62.8</v>
      </c>
      <c r="W269" s="18" t="s">
        <v>2975</v>
      </c>
      <c r="X269" s="14"/>
      <c r="Y269" s="14"/>
      <c r="Z269" s="14"/>
      <c r="AA269" s="14"/>
      <c r="AB269" s="14"/>
      <c r="AC269" s="14"/>
      <c r="AD269" s="14"/>
      <c r="AE269" s="14"/>
      <c r="AF269" s="14"/>
      <c r="AG269" s="14"/>
      <c r="AH269" s="18" t="s">
        <v>3158</v>
      </c>
      <c r="AI269" s="14"/>
      <c r="AJ269" s="21">
        <v>0.2039</v>
      </c>
      <c r="AK269" s="18">
        <v>1</v>
      </c>
      <c r="AL269" s="18">
        <v>0</v>
      </c>
      <c r="AM269" s="18">
        <v>20</v>
      </c>
      <c r="AN269" s="17">
        <v>1.03172009402E-3</v>
      </c>
      <c r="AO269" s="17">
        <v>0.69092436627999998</v>
      </c>
      <c r="AP269" s="19">
        <v>6.0568939501999999E-2</v>
      </c>
      <c r="AQ269" s="19">
        <v>-3.2754445025000002E-2</v>
      </c>
      <c r="AR269" s="19">
        <v>8.8291195736000007E-3</v>
      </c>
      <c r="AS269" s="19">
        <v>-1.3147337425999999E-3</v>
      </c>
      <c r="AT269" s="19">
        <v>1.12608140499E-4</v>
      </c>
      <c r="AU269" s="19">
        <v>-5.4956465584000004E-6</v>
      </c>
      <c r="AV269" s="19">
        <v>1.41242215104E-7</v>
      </c>
      <c r="AW269" s="19">
        <v>-1.4783517683500001E-9</v>
      </c>
    </row>
    <row r="270" spans="1:49" ht="17" customHeight="1">
      <c r="A270" s="11" t="s">
        <v>3208</v>
      </c>
      <c r="B270" s="11" t="s">
        <v>3208</v>
      </c>
      <c r="C270" s="18" t="s">
        <v>2867</v>
      </c>
      <c r="D270" s="18" t="s">
        <v>2916</v>
      </c>
      <c r="E270" s="18" t="s">
        <v>2927</v>
      </c>
      <c r="F270" s="18" t="s">
        <v>2918</v>
      </c>
      <c r="G270" s="14"/>
      <c r="H270" s="18" t="s">
        <v>3050</v>
      </c>
      <c r="I270" s="14"/>
      <c r="J270" s="14"/>
      <c r="K270" s="14"/>
      <c r="L270" s="18">
        <v>23</v>
      </c>
      <c r="M270" s="18">
        <v>190</v>
      </c>
      <c r="N270" s="18">
        <v>20</v>
      </c>
      <c r="O270" s="14"/>
      <c r="P270" s="18">
        <v>17.559999999999999</v>
      </c>
      <c r="Q270" s="18">
        <v>190</v>
      </c>
      <c r="R270" s="18" t="s">
        <v>3157</v>
      </c>
      <c r="S270" s="18"/>
      <c r="T270" s="18">
        <v>33</v>
      </c>
      <c r="U270" s="18">
        <v>0.878</v>
      </c>
      <c r="V270" s="20">
        <v>62.8</v>
      </c>
      <c r="W270" s="18" t="s">
        <v>2975</v>
      </c>
      <c r="X270" s="14"/>
      <c r="Y270" s="14"/>
      <c r="Z270" s="14"/>
      <c r="AA270" s="14"/>
      <c r="AB270" s="14"/>
      <c r="AC270" s="14"/>
      <c r="AD270" s="14"/>
      <c r="AE270" s="14"/>
      <c r="AF270" s="14"/>
      <c r="AG270" s="14"/>
      <c r="AH270" s="18" t="s">
        <v>3158</v>
      </c>
      <c r="AI270" s="14"/>
      <c r="AJ270" s="21">
        <v>0.2039</v>
      </c>
      <c r="AK270" s="18">
        <v>1</v>
      </c>
      <c r="AL270" s="18">
        <v>0</v>
      </c>
      <c r="AM270" s="18">
        <v>20</v>
      </c>
      <c r="AN270" s="17">
        <v>1.03172009402E-3</v>
      </c>
      <c r="AO270" s="17">
        <v>0.69092436627999998</v>
      </c>
      <c r="AP270" s="19">
        <v>6.0568939501999999E-2</v>
      </c>
      <c r="AQ270" s="19">
        <v>-3.2754445025000002E-2</v>
      </c>
      <c r="AR270" s="19">
        <v>8.8291195736000007E-3</v>
      </c>
      <c r="AS270" s="19">
        <v>-1.3147337425999999E-3</v>
      </c>
      <c r="AT270" s="19">
        <v>1.12608140499E-4</v>
      </c>
      <c r="AU270" s="19">
        <v>-5.4956465584000004E-6</v>
      </c>
      <c r="AV270" s="19">
        <v>1.41242215104E-7</v>
      </c>
      <c r="AW270" s="19">
        <v>-1.4783517683500001E-9</v>
      </c>
    </row>
    <row r="271" spans="1:49" ht="17" customHeight="1">
      <c r="A271" s="11" t="s">
        <v>3209</v>
      </c>
      <c r="B271" s="11" t="s">
        <v>3209</v>
      </c>
      <c r="C271" s="18" t="s">
        <v>2867</v>
      </c>
      <c r="D271" s="18" t="s">
        <v>2916</v>
      </c>
      <c r="E271" s="18" t="s">
        <v>2927</v>
      </c>
      <c r="F271" s="18" t="s">
        <v>2918</v>
      </c>
      <c r="G271" s="14"/>
      <c r="H271" s="18" t="s">
        <v>3050</v>
      </c>
      <c r="I271" s="14"/>
      <c r="J271" s="14"/>
      <c r="K271" s="14"/>
      <c r="L271" s="18">
        <v>23</v>
      </c>
      <c r="M271" s="18">
        <v>190</v>
      </c>
      <c r="N271" s="18">
        <v>20</v>
      </c>
      <c r="O271" s="14"/>
      <c r="P271" s="18">
        <v>17.559999999999999</v>
      </c>
      <c r="Q271" s="18">
        <v>190</v>
      </c>
      <c r="R271" s="18" t="s">
        <v>3157</v>
      </c>
      <c r="S271" s="18"/>
      <c r="T271" s="18">
        <v>33</v>
      </c>
      <c r="U271" s="18">
        <v>0.878</v>
      </c>
      <c r="V271" s="20">
        <v>62.8</v>
      </c>
      <c r="W271" s="18" t="s">
        <v>2975</v>
      </c>
      <c r="X271" s="14"/>
      <c r="Y271" s="14"/>
      <c r="Z271" s="14"/>
      <c r="AA271" s="14"/>
      <c r="AB271" s="14"/>
      <c r="AC271" s="14"/>
      <c r="AD271" s="14"/>
      <c r="AE271" s="14"/>
      <c r="AF271" s="14"/>
      <c r="AG271" s="14"/>
      <c r="AH271" s="18" t="s">
        <v>3158</v>
      </c>
      <c r="AI271" s="14"/>
      <c r="AJ271" s="21">
        <v>0.2039</v>
      </c>
      <c r="AK271" s="18">
        <v>1</v>
      </c>
      <c r="AL271" s="18">
        <v>0</v>
      </c>
      <c r="AM271" s="18">
        <v>20</v>
      </c>
      <c r="AN271" s="17">
        <v>1.03172009402E-3</v>
      </c>
      <c r="AO271" s="17">
        <v>0.69092436627999998</v>
      </c>
      <c r="AP271" s="19">
        <v>6.0568939501999999E-2</v>
      </c>
      <c r="AQ271" s="19">
        <v>-3.2754445025000002E-2</v>
      </c>
      <c r="AR271" s="19">
        <v>8.8291195736000007E-3</v>
      </c>
      <c r="AS271" s="19">
        <v>-1.3147337425999999E-3</v>
      </c>
      <c r="AT271" s="19">
        <v>1.12608140499E-4</v>
      </c>
      <c r="AU271" s="19">
        <v>-5.4956465584000004E-6</v>
      </c>
      <c r="AV271" s="19">
        <v>1.41242215104E-7</v>
      </c>
      <c r="AW271" s="19">
        <v>-1.4783517683500001E-9</v>
      </c>
    </row>
    <row r="272" spans="1:49" ht="17" customHeight="1">
      <c r="A272" s="11" t="s">
        <v>3210</v>
      </c>
      <c r="B272" s="11" t="s">
        <v>3210</v>
      </c>
      <c r="C272" s="18" t="s">
        <v>2867</v>
      </c>
      <c r="D272" s="18" t="s">
        <v>2916</v>
      </c>
      <c r="E272" s="18" t="s">
        <v>2927</v>
      </c>
      <c r="F272" s="18" t="s">
        <v>2918</v>
      </c>
      <c r="G272" s="14"/>
      <c r="H272" s="18" t="s">
        <v>2948</v>
      </c>
      <c r="I272" s="14"/>
      <c r="J272" s="14"/>
      <c r="K272" s="14"/>
      <c r="L272" s="18">
        <v>20</v>
      </c>
      <c r="M272" s="18">
        <v>200</v>
      </c>
      <c r="N272" s="18">
        <v>330</v>
      </c>
      <c r="O272" s="14"/>
      <c r="P272" s="18">
        <v>2.5608</v>
      </c>
      <c r="Q272" s="18">
        <v>8</v>
      </c>
      <c r="R272" s="18" t="s">
        <v>3211</v>
      </c>
      <c r="S272" s="18"/>
      <c r="T272" s="18">
        <v>1.0369999999999999</v>
      </c>
      <c r="U272" s="18">
        <v>7.76</v>
      </c>
      <c r="V272" s="20">
        <v>62.252590184100342</v>
      </c>
      <c r="W272" s="18" t="s">
        <v>2954</v>
      </c>
      <c r="X272" s="14"/>
      <c r="Y272" s="14"/>
      <c r="Z272" s="14"/>
      <c r="AA272" s="14"/>
      <c r="AB272" s="14"/>
      <c r="AC272" s="14"/>
      <c r="AD272" s="14"/>
      <c r="AE272" s="14"/>
      <c r="AF272" s="14"/>
      <c r="AG272" s="14"/>
      <c r="AH272" s="18" t="s">
        <v>3212</v>
      </c>
      <c r="AI272" s="14"/>
      <c r="AJ272" s="21">
        <v>0.21244935000000001</v>
      </c>
      <c r="AK272" s="18">
        <v>1</v>
      </c>
      <c r="AL272" s="18">
        <v>0</v>
      </c>
      <c r="AM272" s="18">
        <v>330</v>
      </c>
      <c r="AN272" s="17">
        <v>-1.0886E-2</v>
      </c>
      <c r="AO272" s="17">
        <v>0.18657000000000001</v>
      </c>
      <c r="AP272" s="19">
        <v>2.8121999999999999E-4</v>
      </c>
      <c r="AQ272" s="19">
        <v>-4.0736000000000003E-6</v>
      </c>
      <c r="AR272" s="19">
        <v>3.3035999999999999E-8</v>
      </c>
      <c r="AS272" s="19">
        <v>-1.5158000000000001E-10</v>
      </c>
      <c r="AT272" s="19">
        <v>3.6279999999999998E-13</v>
      </c>
      <c r="AU272" s="19">
        <v>-3.5347999999999998E-16</v>
      </c>
      <c r="AV272" s="19">
        <v>0</v>
      </c>
      <c r="AW272" s="19">
        <v>0</v>
      </c>
    </row>
    <row r="273" spans="1:49" ht="17" customHeight="1">
      <c r="A273" s="11" t="s">
        <v>3213</v>
      </c>
      <c r="B273" s="11" t="s">
        <v>3213</v>
      </c>
      <c r="C273" s="18" t="s">
        <v>2867</v>
      </c>
      <c r="D273" s="18" t="s">
        <v>2916</v>
      </c>
      <c r="E273" s="18" t="s">
        <v>2927</v>
      </c>
      <c r="F273" s="18" t="s">
        <v>2918</v>
      </c>
      <c r="G273" s="14"/>
      <c r="H273" s="18" t="s">
        <v>2948</v>
      </c>
      <c r="I273" s="14"/>
      <c r="J273" s="14"/>
      <c r="K273" s="14"/>
      <c r="L273" s="18">
        <v>20</v>
      </c>
      <c r="M273" s="18">
        <v>200</v>
      </c>
      <c r="N273" s="18">
        <v>330</v>
      </c>
      <c r="O273" s="14"/>
      <c r="P273" s="18">
        <v>2.5608</v>
      </c>
      <c r="Q273" s="18">
        <v>8</v>
      </c>
      <c r="R273" s="18" t="s">
        <v>3211</v>
      </c>
      <c r="S273" s="18"/>
      <c r="T273" s="18">
        <v>1.0369999999999999</v>
      </c>
      <c r="U273" s="18">
        <v>7.76</v>
      </c>
      <c r="V273" s="20">
        <v>62.252590184100342</v>
      </c>
      <c r="W273" s="18" t="s">
        <v>2954</v>
      </c>
      <c r="X273" s="14"/>
      <c r="Y273" s="14"/>
      <c r="Z273" s="14"/>
      <c r="AA273" s="14"/>
      <c r="AB273" s="14"/>
      <c r="AC273" s="14"/>
      <c r="AD273" s="14"/>
      <c r="AE273" s="14"/>
      <c r="AF273" s="14"/>
      <c r="AG273" s="14"/>
      <c r="AH273" s="18" t="s">
        <v>3212</v>
      </c>
      <c r="AI273" s="14"/>
      <c r="AJ273" s="21">
        <v>0.21244935000000001</v>
      </c>
      <c r="AK273" s="18">
        <v>1</v>
      </c>
      <c r="AL273" s="18">
        <v>0</v>
      </c>
      <c r="AM273" s="18">
        <v>330</v>
      </c>
      <c r="AN273" s="17">
        <v>-1.0886E-2</v>
      </c>
      <c r="AO273" s="17">
        <v>0.18657000000000001</v>
      </c>
      <c r="AP273" s="19">
        <v>2.8121999999999999E-4</v>
      </c>
      <c r="AQ273" s="19">
        <v>-4.0736000000000003E-6</v>
      </c>
      <c r="AR273" s="19">
        <v>3.3035999999999999E-8</v>
      </c>
      <c r="AS273" s="19">
        <v>-1.5158000000000001E-10</v>
      </c>
      <c r="AT273" s="19">
        <v>3.6279999999999998E-13</v>
      </c>
      <c r="AU273" s="19">
        <v>-3.5347999999999998E-16</v>
      </c>
      <c r="AV273" s="19">
        <v>0</v>
      </c>
      <c r="AW273" s="19">
        <v>0</v>
      </c>
    </row>
    <row r="274" spans="1:49" ht="17" customHeight="1">
      <c r="A274" s="11" t="s">
        <v>3214</v>
      </c>
      <c r="B274" s="11" t="s">
        <v>3214</v>
      </c>
      <c r="C274" s="18" t="s">
        <v>2867</v>
      </c>
      <c r="D274" s="18" t="s">
        <v>2868</v>
      </c>
      <c r="E274" s="18" t="s">
        <v>3215</v>
      </c>
      <c r="F274" s="18" t="s">
        <v>2918</v>
      </c>
      <c r="G274" s="14"/>
      <c r="H274" s="18" t="s">
        <v>3216</v>
      </c>
      <c r="I274" s="14"/>
      <c r="J274" s="14"/>
      <c r="K274" s="14"/>
      <c r="L274" s="18"/>
      <c r="M274" s="18"/>
      <c r="N274" s="18">
        <v>750</v>
      </c>
      <c r="O274" s="14">
        <v>600</v>
      </c>
      <c r="P274" s="18"/>
      <c r="Q274" s="18"/>
      <c r="R274" s="18"/>
      <c r="S274" s="18"/>
      <c r="T274" s="18"/>
      <c r="U274" s="18"/>
      <c r="V274" s="20"/>
      <c r="W274" s="18"/>
      <c r="X274" s="14"/>
      <c r="Y274" s="14"/>
      <c r="Z274" s="14"/>
      <c r="AA274" s="14"/>
      <c r="AB274" s="14"/>
      <c r="AC274" s="14"/>
      <c r="AD274" s="14"/>
      <c r="AE274" s="14"/>
      <c r="AF274" s="14"/>
      <c r="AG274" s="14"/>
      <c r="AH274" s="18" t="s">
        <v>3214</v>
      </c>
      <c r="AI274" s="14"/>
      <c r="AJ274" s="21">
        <v>0.14505999999999999</v>
      </c>
      <c r="AK274" s="18">
        <v>1</v>
      </c>
      <c r="AL274" s="18">
        <v>0</v>
      </c>
      <c r="AM274" s="18">
        <v>750</v>
      </c>
      <c r="AN274" s="17">
        <v>0</v>
      </c>
      <c r="AO274" s="17">
        <v>2.8891666666666671E-4</v>
      </c>
      <c r="AP274" s="19">
        <v>0</v>
      </c>
      <c r="AQ274" s="19">
        <v>0</v>
      </c>
      <c r="AR274" s="19">
        <v>0</v>
      </c>
      <c r="AS274" s="19">
        <v>0</v>
      </c>
      <c r="AT274" s="19">
        <v>0</v>
      </c>
      <c r="AU274" s="19">
        <v>0</v>
      </c>
      <c r="AV274" s="19">
        <v>0</v>
      </c>
      <c r="AW274" s="19">
        <v>0</v>
      </c>
    </row>
    <row r="275" spans="1:49" ht="17" customHeight="1">
      <c r="A275" s="11" t="s">
        <v>3217</v>
      </c>
      <c r="B275" s="11" t="s">
        <v>3217</v>
      </c>
      <c r="C275" s="18" t="s">
        <v>2867</v>
      </c>
      <c r="D275" s="18" t="s">
        <v>2868</v>
      </c>
      <c r="E275" s="18" t="s">
        <v>3218</v>
      </c>
      <c r="F275" s="18" t="s">
        <v>2918</v>
      </c>
      <c r="G275" s="14"/>
      <c r="H275" s="18" t="s">
        <v>3216</v>
      </c>
      <c r="I275" s="14"/>
      <c r="J275" s="14">
        <v>40298</v>
      </c>
      <c r="K275" s="14" t="s">
        <v>3219</v>
      </c>
      <c r="L275" s="18">
        <v>260</v>
      </c>
      <c r="M275" s="18">
        <v>427</v>
      </c>
      <c r="N275" s="18">
        <v>650</v>
      </c>
      <c r="O275" s="14">
        <v>590</v>
      </c>
      <c r="P275" s="18">
        <v>24</v>
      </c>
      <c r="Q275" s="18">
        <v>245</v>
      </c>
      <c r="R275" s="18"/>
      <c r="S275" s="18"/>
      <c r="T275" s="18"/>
      <c r="U275" s="18"/>
      <c r="V275" s="20"/>
      <c r="W275" s="18" t="s">
        <v>2954</v>
      </c>
      <c r="X275" s="14">
        <v>21</v>
      </c>
      <c r="Y275" s="14">
        <v>670</v>
      </c>
      <c r="Z275" s="14"/>
      <c r="AA275" s="14"/>
      <c r="AB275" s="14"/>
      <c r="AC275" s="14"/>
      <c r="AD275" s="14"/>
      <c r="AE275" s="14"/>
      <c r="AF275" s="14"/>
      <c r="AG275" s="14"/>
      <c r="AH275" s="18" t="s">
        <v>3217</v>
      </c>
      <c r="AI275" s="14"/>
      <c r="AJ275" s="21">
        <v>0.50902654867256636</v>
      </c>
      <c r="AK275" s="18">
        <v>1</v>
      </c>
      <c r="AL275" s="18">
        <v>0</v>
      </c>
      <c r="AM275" s="18">
        <v>650</v>
      </c>
      <c r="AN275" s="17">
        <v>0</v>
      </c>
      <c r="AO275" s="17">
        <v>2.876E-4</v>
      </c>
      <c r="AP275" s="19">
        <v>0</v>
      </c>
      <c r="AQ275" s="19">
        <v>0</v>
      </c>
      <c r="AR275" s="19">
        <v>0</v>
      </c>
      <c r="AS275" s="19">
        <v>0</v>
      </c>
      <c r="AT275" s="19">
        <v>0</v>
      </c>
      <c r="AU275" s="19">
        <v>0</v>
      </c>
      <c r="AV275" s="19">
        <v>0</v>
      </c>
      <c r="AW275" s="19">
        <v>0</v>
      </c>
    </row>
    <row r="276" spans="1:49" ht="17" customHeight="1">
      <c r="A276" s="11" t="s">
        <v>3220</v>
      </c>
      <c r="B276" s="11" t="s">
        <v>3217</v>
      </c>
      <c r="C276" s="18" t="s">
        <v>2867</v>
      </c>
      <c r="D276" s="18" t="s">
        <v>2868</v>
      </c>
      <c r="E276" s="18" t="s">
        <v>3218</v>
      </c>
      <c r="F276" s="18" t="s">
        <v>2918</v>
      </c>
      <c r="G276" s="14"/>
      <c r="H276" s="18" t="s">
        <v>3216</v>
      </c>
      <c r="I276" s="14"/>
      <c r="J276" s="14">
        <v>40298</v>
      </c>
      <c r="K276" s="14" t="s">
        <v>3221</v>
      </c>
      <c r="L276" s="18">
        <v>260</v>
      </c>
      <c r="M276" s="18">
        <v>427</v>
      </c>
      <c r="N276" s="18">
        <v>650</v>
      </c>
      <c r="O276" s="14">
        <v>590</v>
      </c>
      <c r="P276" s="18">
        <v>24</v>
      </c>
      <c r="Q276" s="18">
        <v>245</v>
      </c>
      <c r="R276" s="18"/>
      <c r="S276" s="18"/>
      <c r="T276" s="18"/>
      <c r="U276" s="18"/>
      <c r="V276" s="20"/>
      <c r="W276" s="18" t="s">
        <v>2954</v>
      </c>
      <c r="X276" s="14">
        <v>21</v>
      </c>
      <c r="Y276" s="14">
        <v>670</v>
      </c>
      <c r="Z276" s="14"/>
      <c r="AA276" s="14"/>
      <c r="AB276" s="14"/>
      <c r="AC276" s="14"/>
      <c r="AD276" s="14"/>
      <c r="AE276" s="14"/>
      <c r="AF276" s="14"/>
      <c r="AG276" s="14"/>
      <c r="AH276" s="18" t="s">
        <v>3217</v>
      </c>
      <c r="AI276" s="14"/>
      <c r="AJ276" s="21">
        <v>0.50902654867256636</v>
      </c>
      <c r="AK276" s="18">
        <v>1</v>
      </c>
      <c r="AL276" s="18">
        <v>0</v>
      </c>
      <c r="AM276" s="18">
        <v>650</v>
      </c>
      <c r="AN276" s="17">
        <v>0</v>
      </c>
      <c r="AO276" s="17">
        <v>2.876E-4</v>
      </c>
      <c r="AP276" s="19">
        <v>0</v>
      </c>
      <c r="AQ276" s="19">
        <v>0</v>
      </c>
      <c r="AR276" s="19">
        <v>0</v>
      </c>
      <c r="AS276" s="19">
        <v>0</v>
      </c>
      <c r="AT276" s="19">
        <v>0</v>
      </c>
      <c r="AU276" s="19">
        <v>0</v>
      </c>
      <c r="AV276" s="19">
        <v>0</v>
      </c>
      <c r="AW276" s="19">
        <v>0</v>
      </c>
    </row>
    <row r="277" spans="1:49" ht="17" customHeight="1">
      <c r="A277" s="11" t="s">
        <v>3222</v>
      </c>
      <c r="B277" s="11" t="s">
        <v>3217</v>
      </c>
      <c r="C277" s="18" t="s">
        <v>2867</v>
      </c>
      <c r="D277" s="18" t="s">
        <v>2868</v>
      </c>
      <c r="E277" s="18" t="s">
        <v>3218</v>
      </c>
      <c r="F277" s="18" t="s">
        <v>2918</v>
      </c>
      <c r="G277" s="14"/>
      <c r="H277" s="18" t="s">
        <v>3216</v>
      </c>
      <c r="I277" s="14"/>
      <c r="J277" s="14">
        <v>40298</v>
      </c>
      <c r="K277" s="14" t="s">
        <v>3223</v>
      </c>
      <c r="L277" s="18">
        <v>260</v>
      </c>
      <c r="M277" s="18">
        <v>427</v>
      </c>
      <c r="N277" s="18">
        <v>650</v>
      </c>
      <c r="O277" s="14">
        <v>590</v>
      </c>
      <c r="P277" s="18">
        <v>24</v>
      </c>
      <c r="Q277" s="18">
        <v>245</v>
      </c>
      <c r="R277" s="18"/>
      <c r="S277" s="18"/>
      <c r="T277" s="18"/>
      <c r="U277" s="18"/>
      <c r="V277" s="20"/>
      <c r="W277" s="18" t="s">
        <v>2954</v>
      </c>
      <c r="X277" s="14">
        <v>21</v>
      </c>
      <c r="Y277" s="14">
        <v>670</v>
      </c>
      <c r="Z277" s="14"/>
      <c r="AA277" s="14"/>
      <c r="AB277" s="14"/>
      <c r="AC277" s="14"/>
      <c r="AD277" s="14"/>
      <c r="AE277" s="14"/>
      <c r="AF277" s="14"/>
      <c r="AG277" s="14"/>
      <c r="AH277" s="18" t="s">
        <v>3217</v>
      </c>
      <c r="AI277" s="14"/>
      <c r="AJ277" s="21">
        <v>0.50902654867256636</v>
      </c>
      <c r="AK277" s="18">
        <v>1</v>
      </c>
      <c r="AL277" s="18">
        <v>0</v>
      </c>
      <c r="AM277" s="18">
        <v>650</v>
      </c>
      <c r="AN277" s="17">
        <v>0</v>
      </c>
      <c r="AO277" s="17">
        <v>2.876E-4</v>
      </c>
      <c r="AP277" s="19">
        <v>0</v>
      </c>
      <c r="AQ277" s="19">
        <v>0</v>
      </c>
      <c r="AR277" s="19">
        <v>0</v>
      </c>
      <c r="AS277" s="19">
        <v>0</v>
      </c>
      <c r="AT277" s="19">
        <v>0</v>
      </c>
      <c r="AU277" s="19">
        <v>0</v>
      </c>
      <c r="AV277" s="19">
        <v>0</v>
      </c>
      <c r="AW277" s="19">
        <v>0</v>
      </c>
    </row>
    <row r="278" spans="1:49" ht="17" customHeight="1">
      <c r="A278" s="11" t="s">
        <v>3224</v>
      </c>
      <c r="B278" s="11" t="s">
        <v>3217</v>
      </c>
      <c r="C278" s="18" t="s">
        <v>2867</v>
      </c>
      <c r="D278" s="18" t="s">
        <v>2868</v>
      </c>
      <c r="E278" s="18" t="s">
        <v>3218</v>
      </c>
      <c r="F278" s="18" t="s">
        <v>2918</v>
      </c>
      <c r="G278" s="14"/>
      <c r="H278" s="18" t="s">
        <v>3216</v>
      </c>
      <c r="I278" s="14"/>
      <c r="J278" s="14">
        <v>40298</v>
      </c>
      <c r="K278" s="14" t="s">
        <v>3225</v>
      </c>
      <c r="L278" s="18">
        <v>260</v>
      </c>
      <c r="M278" s="18">
        <v>427</v>
      </c>
      <c r="N278" s="18">
        <v>650</v>
      </c>
      <c r="O278" s="14">
        <v>590</v>
      </c>
      <c r="P278" s="18">
        <v>24</v>
      </c>
      <c r="Q278" s="18">
        <v>245</v>
      </c>
      <c r="R278" s="18"/>
      <c r="S278" s="18"/>
      <c r="T278" s="18"/>
      <c r="U278" s="18"/>
      <c r="V278" s="20"/>
      <c r="W278" s="18" t="s">
        <v>2954</v>
      </c>
      <c r="X278" s="14">
        <v>21</v>
      </c>
      <c r="Y278" s="14">
        <v>670</v>
      </c>
      <c r="Z278" s="14"/>
      <c r="AA278" s="14"/>
      <c r="AB278" s="14"/>
      <c r="AC278" s="14"/>
      <c r="AD278" s="14"/>
      <c r="AE278" s="14"/>
      <c r="AF278" s="14"/>
      <c r="AG278" s="14"/>
      <c r="AH278" s="18" t="s">
        <v>3217</v>
      </c>
      <c r="AI278" s="14"/>
      <c r="AJ278" s="21">
        <v>0.50902654867256636</v>
      </c>
      <c r="AK278" s="18">
        <v>1</v>
      </c>
      <c r="AL278" s="18">
        <v>0</v>
      </c>
      <c r="AM278" s="18">
        <v>650</v>
      </c>
      <c r="AN278" s="17">
        <v>0</v>
      </c>
      <c r="AO278" s="17">
        <v>2.876E-4</v>
      </c>
      <c r="AP278" s="19">
        <v>0</v>
      </c>
      <c r="AQ278" s="19">
        <v>0</v>
      </c>
      <c r="AR278" s="19">
        <v>0</v>
      </c>
      <c r="AS278" s="19">
        <v>0</v>
      </c>
      <c r="AT278" s="19">
        <v>0</v>
      </c>
      <c r="AU278" s="19">
        <v>0</v>
      </c>
      <c r="AV278" s="19">
        <v>0</v>
      </c>
      <c r="AW278" s="19">
        <v>0</v>
      </c>
    </row>
    <row r="279" spans="1:49" ht="17" customHeight="1">
      <c r="A279" s="11" t="s">
        <v>3226</v>
      </c>
      <c r="B279" s="11" t="s">
        <v>3217</v>
      </c>
      <c r="C279" s="18" t="s">
        <v>2867</v>
      </c>
      <c r="D279" s="18" t="s">
        <v>2868</v>
      </c>
      <c r="E279" s="18" t="s">
        <v>3218</v>
      </c>
      <c r="F279" s="18" t="s">
        <v>2918</v>
      </c>
      <c r="G279" s="14"/>
      <c r="H279" s="18" t="s">
        <v>3216</v>
      </c>
      <c r="I279" s="14"/>
      <c r="J279" s="14">
        <v>40298</v>
      </c>
      <c r="K279" s="14" t="s">
        <v>3227</v>
      </c>
      <c r="L279" s="18">
        <v>260</v>
      </c>
      <c r="M279" s="18">
        <v>427</v>
      </c>
      <c r="N279" s="18">
        <v>650</v>
      </c>
      <c r="O279" s="14">
        <v>590</v>
      </c>
      <c r="P279" s="18">
        <v>24</v>
      </c>
      <c r="Q279" s="18">
        <v>245</v>
      </c>
      <c r="R279" s="18"/>
      <c r="S279" s="18"/>
      <c r="T279" s="18"/>
      <c r="U279" s="18"/>
      <c r="V279" s="20"/>
      <c r="W279" s="18" t="s">
        <v>2954</v>
      </c>
      <c r="X279" s="14">
        <v>21</v>
      </c>
      <c r="Y279" s="14">
        <v>670</v>
      </c>
      <c r="Z279" s="14"/>
      <c r="AA279" s="14"/>
      <c r="AB279" s="14"/>
      <c r="AC279" s="14"/>
      <c r="AD279" s="14"/>
      <c r="AE279" s="14"/>
      <c r="AF279" s="14"/>
      <c r="AG279" s="14"/>
      <c r="AH279" s="18" t="s">
        <v>3217</v>
      </c>
      <c r="AI279" s="14"/>
      <c r="AJ279" s="21">
        <v>0.50902654867256636</v>
      </c>
      <c r="AK279" s="18">
        <v>1</v>
      </c>
      <c r="AL279" s="18">
        <v>0</v>
      </c>
      <c r="AM279" s="18">
        <v>650</v>
      </c>
      <c r="AN279" s="17">
        <v>0</v>
      </c>
      <c r="AO279" s="17">
        <v>2.876E-4</v>
      </c>
      <c r="AP279" s="19">
        <v>0</v>
      </c>
      <c r="AQ279" s="19">
        <v>0</v>
      </c>
      <c r="AR279" s="19">
        <v>0</v>
      </c>
      <c r="AS279" s="19">
        <v>0</v>
      </c>
      <c r="AT279" s="19">
        <v>0</v>
      </c>
      <c r="AU279" s="19">
        <v>0</v>
      </c>
      <c r="AV279" s="19">
        <v>0</v>
      </c>
      <c r="AW279" s="19">
        <v>0</v>
      </c>
    </row>
    <row r="280" spans="1:49" ht="17" customHeight="1">
      <c r="A280" s="11" t="s">
        <v>3228</v>
      </c>
      <c r="B280" s="11" t="s">
        <v>3217</v>
      </c>
      <c r="C280" s="18" t="s">
        <v>2867</v>
      </c>
      <c r="D280" s="18" t="s">
        <v>2868</v>
      </c>
      <c r="E280" s="18" t="s">
        <v>3218</v>
      </c>
      <c r="F280" s="18" t="s">
        <v>2918</v>
      </c>
      <c r="G280" s="14"/>
      <c r="H280" s="18" t="s">
        <v>3216</v>
      </c>
      <c r="I280" s="14"/>
      <c r="J280" s="14">
        <v>40298</v>
      </c>
      <c r="K280" s="14" t="s">
        <v>3229</v>
      </c>
      <c r="L280" s="18">
        <v>260</v>
      </c>
      <c r="M280" s="18">
        <v>427</v>
      </c>
      <c r="N280" s="18">
        <v>650</v>
      </c>
      <c r="O280" s="14">
        <v>590</v>
      </c>
      <c r="P280" s="18">
        <v>24</v>
      </c>
      <c r="Q280" s="18">
        <v>245</v>
      </c>
      <c r="R280" s="18"/>
      <c r="S280" s="18"/>
      <c r="T280" s="18"/>
      <c r="U280" s="18"/>
      <c r="V280" s="20"/>
      <c r="W280" s="18" t="s">
        <v>2954</v>
      </c>
      <c r="X280" s="14">
        <v>21</v>
      </c>
      <c r="Y280" s="14">
        <v>670</v>
      </c>
      <c r="Z280" s="14"/>
      <c r="AA280" s="14"/>
      <c r="AB280" s="14"/>
      <c r="AC280" s="14"/>
      <c r="AD280" s="14"/>
      <c r="AE280" s="14"/>
      <c r="AF280" s="14"/>
      <c r="AG280" s="14"/>
      <c r="AH280" s="18" t="s">
        <v>3217</v>
      </c>
      <c r="AI280" s="14"/>
      <c r="AJ280" s="21">
        <v>0.50902654867256636</v>
      </c>
      <c r="AK280" s="18">
        <v>1</v>
      </c>
      <c r="AL280" s="18">
        <v>0</v>
      </c>
      <c r="AM280" s="18">
        <v>650</v>
      </c>
      <c r="AN280" s="17">
        <v>0</v>
      </c>
      <c r="AO280" s="17">
        <v>2.876E-4</v>
      </c>
      <c r="AP280" s="19">
        <v>0</v>
      </c>
      <c r="AQ280" s="19">
        <v>0</v>
      </c>
      <c r="AR280" s="19">
        <v>0</v>
      </c>
      <c r="AS280" s="19">
        <v>0</v>
      </c>
      <c r="AT280" s="19">
        <v>0</v>
      </c>
      <c r="AU280" s="19">
        <v>0</v>
      </c>
      <c r="AV280" s="19">
        <v>0</v>
      </c>
      <c r="AW280" s="19">
        <v>0</v>
      </c>
    </row>
    <row r="281" spans="1:49" ht="17" customHeight="1">
      <c r="A281" s="11" t="s">
        <v>3230</v>
      </c>
      <c r="B281" s="11" t="s">
        <v>3217</v>
      </c>
      <c r="C281" s="14" t="s">
        <v>2867</v>
      </c>
      <c r="D281" s="14" t="s">
        <v>2868</v>
      </c>
      <c r="E281" s="14" t="s">
        <v>3218</v>
      </c>
      <c r="F281" s="14" t="s">
        <v>2918</v>
      </c>
      <c r="G281" s="14"/>
      <c r="H281" s="14" t="s">
        <v>3216</v>
      </c>
      <c r="I281" s="14"/>
      <c r="J281" s="14">
        <v>40298</v>
      </c>
      <c r="K281" s="14" t="s">
        <v>3231</v>
      </c>
      <c r="L281" s="14">
        <v>260</v>
      </c>
      <c r="M281" s="14">
        <v>427</v>
      </c>
      <c r="N281" s="14">
        <v>650</v>
      </c>
      <c r="O281" s="14">
        <v>590</v>
      </c>
      <c r="P281" s="14">
        <v>24</v>
      </c>
      <c r="Q281" s="14">
        <v>245</v>
      </c>
      <c r="R281" s="14"/>
      <c r="S281" s="14"/>
      <c r="T281" s="14"/>
      <c r="U281" s="14"/>
      <c r="V281" s="15"/>
      <c r="W281" s="14" t="s">
        <v>2954</v>
      </c>
      <c r="X281" s="14">
        <v>21</v>
      </c>
      <c r="Y281" s="14">
        <v>670</v>
      </c>
      <c r="Z281" s="14"/>
      <c r="AA281" s="14"/>
      <c r="AB281" s="14"/>
      <c r="AC281" s="14"/>
      <c r="AD281" s="14"/>
      <c r="AE281" s="14"/>
      <c r="AF281" s="14"/>
      <c r="AG281" s="14"/>
      <c r="AH281" s="14" t="s">
        <v>3217</v>
      </c>
      <c r="AI281" s="14"/>
      <c r="AJ281" s="16">
        <v>0.50902654867256636</v>
      </c>
      <c r="AK281" s="14">
        <v>1</v>
      </c>
      <c r="AL281" s="14">
        <v>0</v>
      </c>
      <c r="AM281" s="14">
        <v>650</v>
      </c>
      <c r="AN281" s="19">
        <v>0</v>
      </c>
      <c r="AO281" s="19">
        <v>2.876E-4</v>
      </c>
      <c r="AP281" s="19">
        <v>0</v>
      </c>
      <c r="AQ281" s="19">
        <v>0</v>
      </c>
      <c r="AR281" s="19">
        <v>0</v>
      </c>
      <c r="AS281" s="19">
        <v>0</v>
      </c>
      <c r="AT281" s="19">
        <v>0</v>
      </c>
      <c r="AU281" s="19">
        <v>0</v>
      </c>
      <c r="AV281" s="19">
        <v>0</v>
      </c>
      <c r="AW281" s="19">
        <v>0</v>
      </c>
    </row>
    <row r="282" spans="1:49" ht="17" customHeight="1">
      <c r="A282" s="11" t="s">
        <v>3232</v>
      </c>
      <c r="B282" s="11" t="s">
        <v>3217</v>
      </c>
      <c r="C282" s="14" t="s">
        <v>2867</v>
      </c>
      <c r="D282" s="14" t="s">
        <v>2868</v>
      </c>
      <c r="E282" s="14" t="s">
        <v>3218</v>
      </c>
      <c r="F282" s="14" t="s">
        <v>2918</v>
      </c>
      <c r="G282" s="14"/>
      <c r="H282" s="14" t="s">
        <v>3216</v>
      </c>
      <c r="I282" s="14"/>
      <c r="J282" s="14">
        <v>40298</v>
      </c>
      <c r="K282" s="14" t="s">
        <v>3233</v>
      </c>
      <c r="L282" s="14">
        <v>260</v>
      </c>
      <c r="M282" s="14">
        <v>427</v>
      </c>
      <c r="N282" s="14">
        <v>650</v>
      </c>
      <c r="O282" s="14">
        <v>590</v>
      </c>
      <c r="P282" s="14">
        <v>24</v>
      </c>
      <c r="Q282" s="14">
        <v>245</v>
      </c>
      <c r="R282" s="14"/>
      <c r="S282" s="14"/>
      <c r="T282" s="14"/>
      <c r="U282" s="14"/>
      <c r="V282" s="15"/>
      <c r="W282" s="14" t="s">
        <v>2954</v>
      </c>
      <c r="X282" s="14">
        <v>21</v>
      </c>
      <c r="Y282" s="14">
        <v>670</v>
      </c>
      <c r="Z282" s="14"/>
      <c r="AA282" s="14"/>
      <c r="AB282" s="14"/>
      <c r="AC282" s="14"/>
      <c r="AD282" s="14"/>
      <c r="AE282" s="14"/>
      <c r="AF282" s="14"/>
      <c r="AG282" s="14"/>
      <c r="AH282" s="14" t="s">
        <v>3217</v>
      </c>
      <c r="AI282" s="14"/>
      <c r="AJ282" s="16">
        <v>0.50902654867256636</v>
      </c>
      <c r="AK282" s="14">
        <v>1</v>
      </c>
      <c r="AL282" s="14">
        <v>0</v>
      </c>
      <c r="AM282" s="14">
        <v>650</v>
      </c>
      <c r="AN282" s="19">
        <v>0</v>
      </c>
      <c r="AO282" s="19">
        <v>2.876E-4</v>
      </c>
      <c r="AP282" s="19">
        <v>0</v>
      </c>
      <c r="AQ282" s="19">
        <v>0</v>
      </c>
      <c r="AR282" s="19">
        <v>0</v>
      </c>
      <c r="AS282" s="19">
        <v>0</v>
      </c>
      <c r="AT282" s="19">
        <v>0</v>
      </c>
      <c r="AU282" s="19">
        <v>0</v>
      </c>
      <c r="AV282" s="19">
        <v>0</v>
      </c>
      <c r="AW282" s="19">
        <v>0</v>
      </c>
    </row>
    <row r="283" spans="1:49" ht="17" customHeight="1">
      <c r="A283" s="11" t="s">
        <v>3234</v>
      </c>
      <c r="B283" s="11" t="s">
        <v>3217</v>
      </c>
      <c r="C283" s="14" t="s">
        <v>2867</v>
      </c>
      <c r="D283" s="14" t="s">
        <v>2868</v>
      </c>
      <c r="E283" s="14" t="s">
        <v>3218</v>
      </c>
      <c r="F283" s="14" t="s">
        <v>2918</v>
      </c>
      <c r="G283" s="14"/>
      <c r="H283" s="14" t="s">
        <v>3216</v>
      </c>
      <c r="I283" s="14"/>
      <c r="J283" s="14">
        <v>40298</v>
      </c>
      <c r="K283" s="14" t="s">
        <v>3235</v>
      </c>
      <c r="L283" s="14">
        <v>260</v>
      </c>
      <c r="M283" s="14">
        <v>427</v>
      </c>
      <c r="N283" s="14">
        <v>650</v>
      </c>
      <c r="O283" s="14">
        <v>590</v>
      </c>
      <c r="P283" s="14">
        <v>24</v>
      </c>
      <c r="Q283" s="14">
        <v>245</v>
      </c>
      <c r="R283" s="14"/>
      <c r="S283" s="14"/>
      <c r="T283" s="14"/>
      <c r="U283" s="14"/>
      <c r="V283" s="15"/>
      <c r="W283" s="14" t="s">
        <v>2954</v>
      </c>
      <c r="X283" s="14">
        <v>21</v>
      </c>
      <c r="Y283" s="14">
        <v>670</v>
      </c>
      <c r="Z283" s="14"/>
      <c r="AA283" s="14"/>
      <c r="AB283" s="14"/>
      <c r="AC283" s="14"/>
      <c r="AD283" s="14"/>
      <c r="AE283" s="14"/>
      <c r="AF283" s="14"/>
      <c r="AG283" s="14"/>
      <c r="AH283" s="14" t="s">
        <v>3217</v>
      </c>
      <c r="AI283" s="14"/>
      <c r="AJ283" s="16">
        <v>0.50902654867256636</v>
      </c>
      <c r="AK283" s="14">
        <v>1</v>
      </c>
      <c r="AL283" s="14">
        <v>0</v>
      </c>
      <c r="AM283" s="14">
        <v>650</v>
      </c>
      <c r="AN283" s="19">
        <v>0</v>
      </c>
      <c r="AO283" s="19">
        <v>2.876E-4</v>
      </c>
      <c r="AP283" s="19">
        <v>0</v>
      </c>
      <c r="AQ283" s="19">
        <v>0</v>
      </c>
      <c r="AR283" s="19">
        <v>0</v>
      </c>
      <c r="AS283" s="19">
        <v>0</v>
      </c>
      <c r="AT283" s="19">
        <v>0</v>
      </c>
      <c r="AU283" s="19">
        <v>0</v>
      </c>
      <c r="AV283" s="19">
        <v>0</v>
      </c>
      <c r="AW283" s="19">
        <v>0</v>
      </c>
    </row>
    <row r="284" spans="1:49" ht="17" customHeight="1">
      <c r="A284" s="11" t="s">
        <v>3236</v>
      </c>
      <c r="B284" s="11" t="s">
        <v>3217</v>
      </c>
      <c r="C284" s="14" t="s">
        <v>2867</v>
      </c>
      <c r="D284" s="14" t="s">
        <v>2868</v>
      </c>
      <c r="E284" s="14" t="s">
        <v>3218</v>
      </c>
      <c r="F284" s="14" t="s">
        <v>2918</v>
      </c>
      <c r="G284" s="14"/>
      <c r="H284" s="14" t="s">
        <v>3216</v>
      </c>
      <c r="I284" s="14"/>
      <c r="J284" s="14">
        <v>40298</v>
      </c>
      <c r="K284" s="14" t="s">
        <v>3237</v>
      </c>
      <c r="L284" s="14">
        <v>260</v>
      </c>
      <c r="M284" s="14">
        <v>427</v>
      </c>
      <c r="N284" s="14">
        <v>650</v>
      </c>
      <c r="O284" s="14">
        <v>590</v>
      </c>
      <c r="P284" s="14">
        <v>24</v>
      </c>
      <c r="Q284" s="14">
        <v>245</v>
      </c>
      <c r="R284" s="14"/>
      <c r="S284" s="14"/>
      <c r="T284" s="14"/>
      <c r="U284" s="14"/>
      <c r="V284" s="15"/>
      <c r="W284" s="14" t="s">
        <v>2954</v>
      </c>
      <c r="X284" s="14">
        <v>21</v>
      </c>
      <c r="Y284" s="14">
        <v>670</v>
      </c>
      <c r="Z284" s="14"/>
      <c r="AA284" s="14"/>
      <c r="AB284" s="14"/>
      <c r="AC284" s="14"/>
      <c r="AD284" s="14"/>
      <c r="AE284" s="14"/>
      <c r="AF284" s="14"/>
      <c r="AG284" s="14"/>
      <c r="AH284" s="14" t="s">
        <v>3217</v>
      </c>
      <c r="AI284" s="14"/>
      <c r="AJ284" s="16">
        <v>0.50902654867256636</v>
      </c>
      <c r="AK284" s="14">
        <v>1</v>
      </c>
      <c r="AL284" s="14">
        <v>0</v>
      </c>
      <c r="AM284" s="14">
        <v>650</v>
      </c>
      <c r="AN284" s="19">
        <v>0</v>
      </c>
      <c r="AO284" s="19">
        <v>2.876E-4</v>
      </c>
      <c r="AP284" s="19">
        <v>0</v>
      </c>
      <c r="AQ284" s="19">
        <v>0</v>
      </c>
      <c r="AR284" s="19">
        <v>0</v>
      </c>
      <c r="AS284" s="19">
        <v>0</v>
      </c>
      <c r="AT284" s="19">
        <v>0</v>
      </c>
      <c r="AU284" s="19">
        <v>0</v>
      </c>
      <c r="AV284" s="19">
        <v>0</v>
      </c>
      <c r="AW284" s="19">
        <v>0</v>
      </c>
    </row>
    <row r="285" spans="1:49" ht="17" customHeight="1">
      <c r="A285" s="11" t="s">
        <v>3238</v>
      </c>
      <c r="B285" s="11" t="s">
        <v>3238</v>
      </c>
      <c r="C285" s="14" t="s">
        <v>2867</v>
      </c>
      <c r="D285" s="14" t="s">
        <v>2868</v>
      </c>
      <c r="E285" s="14" t="s">
        <v>3218</v>
      </c>
      <c r="F285" s="14" t="s">
        <v>2918</v>
      </c>
      <c r="G285" s="14"/>
      <c r="H285" s="14" t="s">
        <v>2881</v>
      </c>
      <c r="I285" s="14"/>
      <c r="J285" s="14">
        <v>40298</v>
      </c>
      <c r="K285" s="14" t="s">
        <v>3239</v>
      </c>
      <c r="L285" s="14">
        <v>200</v>
      </c>
      <c r="M285" s="14">
        <v>428</v>
      </c>
      <c r="N285" s="14">
        <v>650</v>
      </c>
      <c r="O285" s="14">
        <v>590</v>
      </c>
      <c r="P285" s="14">
        <v>25</v>
      </c>
      <c r="Q285" s="14">
        <v>301</v>
      </c>
      <c r="R285" s="14"/>
      <c r="S285" s="14"/>
      <c r="T285" s="14"/>
      <c r="U285" s="14">
        <v>3.5000000000000003E-2</v>
      </c>
      <c r="V285" s="15"/>
      <c r="W285" s="14" t="s">
        <v>2954</v>
      </c>
      <c r="X285" s="14">
        <v>21</v>
      </c>
      <c r="Y285" s="14">
        <v>760</v>
      </c>
      <c r="Z285" s="14"/>
      <c r="AA285" s="14"/>
      <c r="AB285" s="14"/>
      <c r="AC285" s="14"/>
      <c r="AD285" s="14"/>
      <c r="AE285" s="14"/>
      <c r="AF285" s="14"/>
      <c r="AG285" s="14"/>
      <c r="AH285" s="14" t="s">
        <v>3238</v>
      </c>
      <c r="AI285" s="14"/>
      <c r="AJ285" s="16">
        <v>0.51205873564690307</v>
      </c>
      <c r="AK285" s="14">
        <v>1</v>
      </c>
      <c r="AL285" s="14">
        <v>0</v>
      </c>
      <c r="AM285" s="14">
        <v>650</v>
      </c>
      <c r="AN285" s="19">
        <v>0</v>
      </c>
      <c r="AO285" s="19">
        <v>3.6910769230769232E-4</v>
      </c>
      <c r="AP285" s="19">
        <v>0</v>
      </c>
      <c r="AQ285" s="19">
        <v>0</v>
      </c>
      <c r="AR285" s="19">
        <v>0</v>
      </c>
      <c r="AS285" s="19">
        <v>0</v>
      </c>
      <c r="AT285" s="19">
        <v>0</v>
      </c>
      <c r="AU285" s="19">
        <v>0</v>
      </c>
      <c r="AV285" s="19">
        <v>0</v>
      </c>
      <c r="AW285" s="19">
        <v>0</v>
      </c>
    </row>
    <row r="286" spans="1:49" ht="17" customHeight="1">
      <c r="A286" s="11" t="s">
        <v>3240</v>
      </c>
      <c r="B286" s="11" t="s">
        <v>3238</v>
      </c>
      <c r="C286" s="14" t="s">
        <v>2867</v>
      </c>
      <c r="D286" s="14" t="s">
        <v>2868</v>
      </c>
      <c r="E286" s="14" t="s">
        <v>3218</v>
      </c>
      <c r="F286" s="14" t="s">
        <v>2918</v>
      </c>
      <c r="G286" s="14"/>
      <c r="H286" s="14" t="s">
        <v>2881</v>
      </c>
      <c r="I286" s="14"/>
      <c r="J286" s="14">
        <v>40298</v>
      </c>
      <c r="K286" s="14" t="s">
        <v>3241</v>
      </c>
      <c r="L286" s="14">
        <v>200</v>
      </c>
      <c r="M286" s="14">
        <v>447</v>
      </c>
      <c r="N286" s="14">
        <v>650</v>
      </c>
      <c r="O286" s="14">
        <v>590</v>
      </c>
      <c r="P286" s="14">
        <v>25</v>
      </c>
      <c r="Q286" s="14">
        <v>301</v>
      </c>
      <c r="R286" s="14"/>
      <c r="S286" s="14"/>
      <c r="T286" s="14"/>
      <c r="U286" s="14">
        <v>3.5000000000000003E-2</v>
      </c>
      <c r="V286" s="15"/>
      <c r="W286" s="14" t="s">
        <v>2954</v>
      </c>
      <c r="X286" s="14">
        <v>21</v>
      </c>
      <c r="Y286" s="14">
        <v>760</v>
      </c>
      <c r="Z286" s="14"/>
      <c r="AA286" s="14"/>
      <c r="AB286" s="14"/>
      <c r="AC286" s="14"/>
      <c r="AD286" s="14"/>
      <c r="AE286" s="14"/>
      <c r="AF286" s="14"/>
      <c r="AG286" s="14"/>
      <c r="AH286" s="14" t="s">
        <v>3238</v>
      </c>
      <c r="AI286" s="14"/>
      <c r="AJ286" s="16">
        <v>0.51205873564690307</v>
      </c>
      <c r="AK286" s="14">
        <v>1</v>
      </c>
      <c r="AL286" s="14">
        <v>0</v>
      </c>
      <c r="AM286" s="14">
        <v>650</v>
      </c>
      <c r="AN286" s="19">
        <v>0</v>
      </c>
      <c r="AO286" s="19">
        <v>3.6910769230769232E-4</v>
      </c>
      <c r="AP286" s="19">
        <v>0</v>
      </c>
      <c r="AQ286" s="19">
        <v>0</v>
      </c>
      <c r="AR286" s="19">
        <v>0</v>
      </c>
      <c r="AS286" s="19">
        <v>0</v>
      </c>
      <c r="AT286" s="19">
        <v>0</v>
      </c>
      <c r="AU286" s="19">
        <v>0</v>
      </c>
      <c r="AV286" s="19">
        <v>0</v>
      </c>
      <c r="AW286" s="19">
        <v>0</v>
      </c>
    </row>
    <row r="287" spans="1:49" ht="17" customHeight="1">
      <c r="A287" s="11" t="s">
        <v>3242</v>
      </c>
      <c r="B287" s="11" t="s">
        <v>3238</v>
      </c>
      <c r="C287" s="14" t="s">
        <v>2867</v>
      </c>
      <c r="D287" s="14" t="s">
        <v>2868</v>
      </c>
      <c r="E287" s="14" t="s">
        <v>3218</v>
      </c>
      <c r="F287" s="14" t="s">
        <v>2918</v>
      </c>
      <c r="G287" s="14"/>
      <c r="H287" s="14" t="s">
        <v>2881</v>
      </c>
      <c r="I287" s="14"/>
      <c r="J287" s="14">
        <v>40298</v>
      </c>
      <c r="K287" s="14" t="s">
        <v>3243</v>
      </c>
      <c r="L287" s="14">
        <v>200</v>
      </c>
      <c r="M287" s="14">
        <v>447</v>
      </c>
      <c r="N287" s="14">
        <v>650</v>
      </c>
      <c r="O287" s="14">
        <v>590</v>
      </c>
      <c r="P287" s="14">
        <v>25</v>
      </c>
      <c r="Q287" s="14">
        <v>301</v>
      </c>
      <c r="R287" s="14"/>
      <c r="S287" s="14"/>
      <c r="T287" s="14"/>
      <c r="U287" s="14">
        <v>3.5000000000000003E-2</v>
      </c>
      <c r="V287" s="15"/>
      <c r="W287" s="14" t="s">
        <v>2954</v>
      </c>
      <c r="X287" s="14">
        <v>21</v>
      </c>
      <c r="Y287" s="14">
        <v>760</v>
      </c>
      <c r="Z287" s="14"/>
      <c r="AA287" s="14"/>
      <c r="AB287" s="14"/>
      <c r="AC287" s="14"/>
      <c r="AD287" s="14"/>
      <c r="AE287" s="14"/>
      <c r="AF287" s="14"/>
      <c r="AG287" s="14"/>
      <c r="AH287" s="14" t="s">
        <v>3238</v>
      </c>
      <c r="AI287" s="14"/>
      <c r="AJ287" s="16">
        <v>0.51205873564690307</v>
      </c>
      <c r="AK287" s="14">
        <v>1</v>
      </c>
      <c r="AL287" s="14">
        <v>0</v>
      </c>
      <c r="AM287" s="14">
        <v>650</v>
      </c>
      <c r="AN287" s="17">
        <v>0</v>
      </c>
      <c r="AO287" s="17">
        <v>3.6910769230769232E-4</v>
      </c>
      <c r="AP287" s="17">
        <v>0</v>
      </c>
      <c r="AQ287" s="17">
        <v>0</v>
      </c>
      <c r="AR287" s="17">
        <v>0</v>
      </c>
      <c r="AS287" s="17">
        <v>0</v>
      </c>
      <c r="AT287" s="17">
        <v>0</v>
      </c>
      <c r="AU287" s="17">
        <v>0</v>
      </c>
      <c r="AV287" s="17">
        <v>0</v>
      </c>
      <c r="AW287" s="17">
        <v>0</v>
      </c>
    </row>
    <row r="288" spans="1:49" ht="17" customHeight="1">
      <c r="A288" s="11" t="s">
        <v>3244</v>
      </c>
      <c r="B288" s="11" t="s">
        <v>3238</v>
      </c>
      <c r="C288" s="14" t="s">
        <v>2867</v>
      </c>
      <c r="D288" s="14" t="s">
        <v>2868</v>
      </c>
      <c r="E288" s="14" t="s">
        <v>3218</v>
      </c>
      <c r="F288" s="14" t="s">
        <v>2918</v>
      </c>
      <c r="G288" s="14"/>
      <c r="H288" s="14" t="s">
        <v>2881</v>
      </c>
      <c r="I288" s="14"/>
      <c r="J288" s="14">
        <v>40298</v>
      </c>
      <c r="K288" s="14" t="s">
        <v>3245</v>
      </c>
      <c r="L288" s="14">
        <v>200</v>
      </c>
      <c r="M288" s="14">
        <v>428</v>
      </c>
      <c r="N288" s="14">
        <v>650</v>
      </c>
      <c r="O288" s="14">
        <v>590</v>
      </c>
      <c r="P288" s="14">
        <v>25</v>
      </c>
      <c r="Q288" s="14">
        <v>301</v>
      </c>
      <c r="R288" s="14"/>
      <c r="S288" s="14"/>
      <c r="T288" s="14"/>
      <c r="U288" s="14">
        <v>3.5000000000000003E-2</v>
      </c>
      <c r="V288" s="15"/>
      <c r="W288" s="14" t="s">
        <v>2954</v>
      </c>
      <c r="X288" s="14">
        <v>21</v>
      </c>
      <c r="Y288" s="14">
        <v>760</v>
      </c>
      <c r="Z288" s="14"/>
      <c r="AA288" s="14"/>
      <c r="AB288" s="14"/>
      <c r="AC288" s="14"/>
      <c r="AD288" s="14"/>
      <c r="AE288" s="14"/>
      <c r="AF288" s="14"/>
      <c r="AG288" s="14"/>
      <c r="AH288" s="14" t="s">
        <v>3238</v>
      </c>
      <c r="AI288" s="14"/>
      <c r="AJ288" s="16">
        <v>0.51205873564690307</v>
      </c>
      <c r="AK288" s="14">
        <v>1</v>
      </c>
      <c r="AL288" s="14">
        <v>0</v>
      </c>
      <c r="AM288" s="14">
        <v>650</v>
      </c>
      <c r="AN288" s="17">
        <v>0</v>
      </c>
      <c r="AO288" s="17">
        <v>3.6910769230769232E-4</v>
      </c>
      <c r="AP288" s="17">
        <v>0</v>
      </c>
      <c r="AQ288" s="17">
        <v>0</v>
      </c>
      <c r="AR288" s="17">
        <v>0</v>
      </c>
      <c r="AS288" s="17">
        <v>0</v>
      </c>
      <c r="AT288" s="17">
        <v>0</v>
      </c>
      <c r="AU288" s="17">
        <v>0</v>
      </c>
      <c r="AV288" s="17">
        <v>0</v>
      </c>
      <c r="AW288" s="17">
        <v>0</v>
      </c>
    </row>
    <row r="289" spans="1:49" ht="17" customHeight="1">
      <c r="A289" s="11" t="s">
        <v>3246</v>
      </c>
      <c r="B289" s="11" t="s">
        <v>3238</v>
      </c>
      <c r="C289" s="14" t="s">
        <v>2867</v>
      </c>
      <c r="D289" s="14" t="s">
        <v>2868</v>
      </c>
      <c r="E289" s="14" t="s">
        <v>3218</v>
      </c>
      <c r="F289" s="14" t="s">
        <v>2918</v>
      </c>
      <c r="G289" s="14"/>
      <c r="H289" s="14" t="s">
        <v>3216</v>
      </c>
      <c r="I289" s="14"/>
      <c r="J289" s="14">
        <v>40298</v>
      </c>
      <c r="K289" s="14" t="s">
        <v>3247</v>
      </c>
      <c r="L289" s="14">
        <v>200</v>
      </c>
      <c r="M289" s="14">
        <v>427</v>
      </c>
      <c r="N289" s="14">
        <v>650</v>
      </c>
      <c r="O289" s="14">
        <v>590</v>
      </c>
      <c r="P289" s="14">
        <v>27</v>
      </c>
      <c r="Q289" s="14">
        <v>301</v>
      </c>
      <c r="R289" s="14"/>
      <c r="S289" s="14"/>
      <c r="T289" s="14"/>
      <c r="U289" s="14"/>
      <c r="V289" s="15"/>
      <c r="W289" s="14" t="s">
        <v>2954</v>
      </c>
      <c r="X289" s="14"/>
      <c r="Y289" s="14"/>
      <c r="Z289" s="14"/>
      <c r="AA289" s="14"/>
      <c r="AB289" s="14"/>
      <c r="AC289" s="14"/>
      <c r="AD289" s="14"/>
      <c r="AE289" s="14"/>
      <c r="AF289" s="14"/>
      <c r="AG289" s="14"/>
      <c r="AH289" s="14" t="s">
        <v>3246</v>
      </c>
      <c r="AI289" s="14"/>
      <c r="AJ289" s="16">
        <v>0.5016829898586288</v>
      </c>
      <c r="AK289" s="14">
        <v>1</v>
      </c>
      <c r="AL289" s="14">
        <v>0</v>
      </c>
      <c r="AM289" s="14">
        <v>650</v>
      </c>
      <c r="AN289" s="17">
        <v>0</v>
      </c>
      <c r="AO289" s="17">
        <v>3.5541538461538461E-4</v>
      </c>
      <c r="AP289" s="17">
        <v>0</v>
      </c>
      <c r="AQ289" s="17">
        <v>0</v>
      </c>
      <c r="AR289" s="17">
        <v>0</v>
      </c>
      <c r="AS289" s="17">
        <v>0</v>
      </c>
      <c r="AT289" s="17">
        <v>0</v>
      </c>
      <c r="AU289" s="17">
        <v>0</v>
      </c>
      <c r="AV289" s="17">
        <v>0</v>
      </c>
      <c r="AW289" s="17">
        <v>0</v>
      </c>
    </row>
    <row r="290" spans="1:49" ht="17" customHeight="1">
      <c r="A290" s="11" t="s">
        <v>3248</v>
      </c>
      <c r="B290" s="11" t="s">
        <v>3238</v>
      </c>
      <c r="C290" s="14" t="s">
        <v>2867</v>
      </c>
      <c r="D290" s="14" t="s">
        <v>2868</v>
      </c>
      <c r="E290" s="14" t="s">
        <v>3218</v>
      </c>
      <c r="F290" s="14" t="s">
        <v>2918</v>
      </c>
      <c r="G290" s="14"/>
      <c r="H290" s="14" t="s">
        <v>2881</v>
      </c>
      <c r="I290" s="14"/>
      <c r="J290" s="14">
        <v>40298</v>
      </c>
      <c r="K290" s="14" t="s">
        <v>3249</v>
      </c>
      <c r="L290" s="14">
        <v>200</v>
      </c>
      <c r="M290" s="14">
        <v>428</v>
      </c>
      <c r="N290" s="14">
        <v>650</v>
      </c>
      <c r="O290" s="14">
        <v>590</v>
      </c>
      <c r="P290" s="14">
        <v>25</v>
      </c>
      <c r="Q290" s="14">
        <v>301</v>
      </c>
      <c r="R290" s="14"/>
      <c r="S290" s="14"/>
      <c r="T290" s="14"/>
      <c r="U290" s="14">
        <v>3.5000000000000003E-2</v>
      </c>
      <c r="V290" s="15"/>
      <c r="W290" s="14" t="s">
        <v>2954</v>
      </c>
      <c r="X290" s="14">
        <v>21</v>
      </c>
      <c r="Y290" s="14">
        <v>760</v>
      </c>
      <c r="Z290" s="14"/>
      <c r="AA290" s="14"/>
      <c r="AB290" s="14"/>
      <c r="AC290" s="14"/>
      <c r="AD290" s="14"/>
      <c r="AE290" s="14"/>
      <c r="AF290" s="14"/>
      <c r="AG290" s="14"/>
      <c r="AH290" s="14" t="s">
        <v>3238</v>
      </c>
      <c r="AI290" s="14"/>
      <c r="AJ290" s="16">
        <v>0.51205873564690307</v>
      </c>
      <c r="AK290" s="14">
        <v>1</v>
      </c>
      <c r="AL290" s="14">
        <v>0</v>
      </c>
      <c r="AM290" s="14">
        <v>650</v>
      </c>
      <c r="AN290" s="17">
        <v>0</v>
      </c>
      <c r="AO290" s="17">
        <v>3.6910769230769232E-4</v>
      </c>
      <c r="AP290" s="17">
        <v>0</v>
      </c>
      <c r="AQ290" s="17">
        <v>0</v>
      </c>
      <c r="AR290" s="17">
        <v>0</v>
      </c>
      <c r="AS290" s="17">
        <v>0</v>
      </c>
      <c r="AT290" s="17">
        <v>0</v>
      </c>
      <c r="AU290" s="17">
        <v>0</v>
      </c>
      <c r="AV290" s="17">
        <v>0</v>
      </c>
      <c r="AW290" s="17">
        <v>0</v>
      </c>
    </row>
    <row r="291" spans="1:49" ht="17" customHeight="1">
      <c r="A291" s="11" t="s">
        <v>3250</v>
      </c>
      <c r="B291" s="11" t="s">
        <v>3250</v>
      </c>
      <c r="C291" s="14" t="s">
        <v>2867</v>
      </c>
      <c r="D291" s="14" t="s">
        <v>2868</v>
      </c>
      <c r="E291" s="14" t="s">
        <v>3218</v>
      </c>
      <c r="F291" s="14" t="s">
        <v>2918</v>
      </c>
      <c r="G291" s="14"/>
      <c r="H291" s="14" t="s">
        <v>2881</v>
      </c>
      <c r="I291" s="14"/>
      <c r="J291" s="14">
        <v>40298</v>
      </c>
      <c r="K291" s="14" t="s">
        <v>3251</v>
      </c>
      <c r="L291" s="14">
        <v>200</v>
      </c>
      <c r="M291" s="14">
        <v>447</v>
      </c>
      <c r="N291" s="14">
        <v>650</v>
      </c>
      <c r="O291" s="14">
        <v>590</v>
      </c>
      <c r="P291" s="14">
        <v>25</v>
      </c>
      <c r="Q291" s="14">
        <v>301</v>
      </c>
      <c r="R291" s="14"/>
      <c r="S291" s="14"/>
      <c r="T291" s="14"/>
      <c r="U291" s="14">
        <v>3.5000000000000003E-2</v>
      </c>
      <c r="V291" s="15"/>
      <c r="W291" s="14" t="s">
        <v>2954</v>
      </c>
      <c r="X291" s="14">
        <v>21</v>
      </c>
      <c r="Y291" s="14">
        <v>760</v>
      </c>
      <c r="Z291" s="14"/>
      <c r="AA291" s="14"/>
      <c r="AB291" s="14"/>
      <c r="AC291" s="14"/>
      <c r="AD291" s="14"/>
      <c r="AE291" s="14"/>
      <c r="AF291" s="14"/>
      <c r="AG291" s="14"/>
      <c r="AH291" s="14" t="s">
        <v>3238</v>
      </c>
      <c r="AI291" s="14"/>
      <c r="AJ291" s="16">
        <v>0.51205873564690307</v>
      </c>
      <c r="AK291" s="14">
        <v>1</v>
      </c>
      <c r="AL291" s="14">
        <v>0</v>
      </c>
      <c r="AM291" s="14">
        <v>650</v>
      </c>
      <c r="AN291" s="17">
        <v>0</v>
      </c>
      <c r="AO291" s="17">
        <v>3.6910769230769232E-4</v>
      </c>
      <c r="AP291" s="17">
        <v>0</v>
      </c>
      <c r="AQ291" s="17">
        <v>0</v>
      </c>
      <c r="AR291" s="17">
        <v>0</v>
      </c>
      <c r="AS291" s="17">
        <v>0</v>
      </c>
      <c r="AT291" s="17">
        <v>0</v>
      </c>
      <c r="AU291" s="17">
        <v>0</v>
      </c>
      <c r="AV291" s="17">
        <v>0</v>
      </c>
      <c r="AW291" s="17">
        <v>0</v>
      </c>
    </row>
    <row r="292" spans="1:49" ht="17" customHeight="1">
      <c r="A292" s="11" t="s">
        <v>3252</v>
      </c>
      <c r="B292" s="11" t="s">
        <v>3250</v>
      </c>
      <c r="C292" s="14" t="s">
        <v>2867</v>
      </c>
      <c r="D292" s="14" t="s">
        <v>2868</v>
      </c>
      <c r="E292" s="14" t="s">
        <v>3218</v>
      </c>
      <c r="F292" s="14" t="s">
        <v>2918</v>
      </c>
      <c r="G292" s="14"/>
      <c r="H292" s="14" t="s">
        <v>2881</v>
      </c>
      <c r="I292" s="14"/>
      <c r="J292" s="14">
        <v>40298</v>
      </c>
      <c r="K292" s="14" t="s">
        <v>3253</v>
      </c>
      <c r="L292" s="14">
        <v>200</v>
      </c>
      <c r="M292" s="14">
        <v>447</v>
      </c>
      <c r="N292" s="14">
        <v>650</v>
      </c>
      <c r="O292" s="14">
        <v>590</v>
      </c>
      <c r="P292" s="14">
        <v>25</v>
      </c>
      <c r="Q292" s="14">
        <v>301</v>
      </c>
      <c r="R292" s="14"/>
      <c r="S292" s="14"/>
      <c r="T292" s="14"/>
      <c r="U292" s="14">
        <v>3.5000000000000003E-2</v>
      </c>
      <c r="V292" s="15"/>
      <c r="W292" s="14" t="s">
        <v>2954</v>
      </c>
      <c r="X292" s="14">
        <v>21</v>
      </c>
      <c r="Y292" s="14">
        <v>760</v>
      </c>
      <c r="Z292" s="14"/>
      <c r="AA292" s="14"/>
      <c r="AB292" s="14"/>
      <c r="AC292" s="14"/>
      <c r="AD292" s="14"/>
      <c r="AE292" s="14"/>
      <c r="AF292" s="14"/>
      <c r="AG292" s="14"/>
      <c r="AH292" s="14" t="s">
        <v>3238</v>
      </c>
      <c r="AI292" s="14"/>
      <c r="AJ292" s="16">
        <v>0.51205873564690307</v>
      </c>
      <c r="AK292" s="14">
        <v>1</v>
      </c>
      <c r="AL292" s="14">
        <v>0</v>
      </c>
      <c r="AM292" s="14">
        <v>650</v>
      </c>
      <c r="AN292" s="17">
        <v>0</v>
      </c>
      <c r="AO292" s="17">
        <v>3.6910769230769232E-4</v>
      </c>
      <c r="AP292" s="17">
        <v>0</v>
      </c>
      <c r="AQ292" s="17">
        <v>0</v>
      </c>
      <c r="AR292" s="17">
        <v>0</v>
      </c>
      <c r="AS292" s="17">
        <v>0</v>
      </c>
      <c r="AT292" s="17">
        <v>0</v>
      </c>
      <c r="AU292" s="17">
        <v>0</v>
      </c>
      <c r="AV292" s="17">
        <v>0</v>
      </c>
      <c r="AW292" s="17">
        <v>0</v>
      </c>
    </row>
    <row r="293" spans="1:49" ht="17" customHeight="1">
      <c r="A293" s="11" t="s">
        <v>3254</v>
      </c>
      <c r="B293" s="11" t="s">
        <v>3250</v>
      </c>
      <c r="C293" s="14" t="s">
        <v>2867</v>
      </c>
      <c r="D293" s="14" t="s">
        <v>2868</v>
      </c>
      <c r="E293" s="14" t="s">
        <v>3218</v>
      </c>
      <c r="F293" s="14" t="s">
        <v>2918</v>
      </c>
      <c r="G293" s="14"/>
      <c r="H293" s="14" t="s">
        <v>2881</v>
      </c>
      <c r="I293" s="14"/>
      <c r="J293" s="14">
        <v>40298</v>
      </c>
      <c r="K293" s="14" t="s">
        <v>3255</v>
      </c>
      <c r="L293" s="14">
        <v>200</v>
      </c>
      <c r="M293" s="14">
        <v>428</v>
      </c>
      <c r="N293" s="14">
        <v>650</v>
      </c>
      <c r="O293" s="14">
        <v>590</v>
      </c>
      <c r="P293" s="14">
        <v>25</v>
      </c>
      <c r="Q293" s="14">
        <v>301</v>
      </c>
      <c r="R293" s="14"/>
      <c r="S293" s="14"/>
      <c r="T293" s="14"/>
      <c r="U293" s="14">
        <v>3.5000000000000003E-2</v>
      </c>
      <c r="V293" s="15"/>
      <c r="W293" s="14" t="s">
        <v>2954</v>
      </c>
      <c r="X293" s="14">
        <v>21</v>
      </c>
      <c r="Y293" s="14">
        <v>760</v>
      </c>
      <c r="Z293" s="14"/>
      <c r="AA293" s="14"/>
      <c r="AB293" s="14"/>
      <c r="AC293" s="14"/>
      <c r="AD293" s="14"/>
      <c r="AE293" s="14"/>
      <c r="AF293" s="14"/>
      <c r="AG293" s="14"/>
      <c r="AH293" s="14" t="s">
        <v>3238</v>
      </c>
      <c r="AI293" s="14"/>
      <c r="AJ293" s="16">
        <v>0.51205873564690307</v>
      </c>
      <c r="AK293" s="14">
        <v>1</v>
      </c>
      <c r="AL293" s="14">
        <v>0</v>
      </c>
      <c r="AM293" s="14">
        <v>650</v>
      </c>
      <c r="AN293" s="17">
        <v>0</v>
      </c>
      <c r="AO293" s="17">
        <v>3.6910769230769232E-4</v>
      </c>
      <c r="AP293" s="17">
        <v>0</v>
      </c>
      <c r="AQ293" s="17">
        <v>0</v>
      </c>
      <c r="AR293" s="17">
        <v>0</v>
      </c>
      <c r="AS293" s="17">
        <v>0</v>
      </c>
      <c r="AT293" s="17">
        <v>0</v>
      </c>
      <c r="AU293" s="17">
        <v>0</v>
      </c>
      <c r="AV293" s="17">
        <v>0</v>
      </c>
      <c r="AW293" s="17">
        <v>0</v>
      </c>
    </row>
    <row r="294" spans="1:49" ht="17" customHeight="1">
      <c r="A294" s="11" t="s">
        <v>3256</v>
      </c>
      <c r="B294" s="11" t="s">
        <v>3250</v>
      </c>
      <c r="C294" s="14" t="s">
        <v>2867</v>
      </c>
      <c r="D294" s="14" t="s">
        <v>2868</v>
      </c>
      <c r="E294" s="14" t="s">
        <v>3218</v>
      </c>
      <c r="F294" s="14" t="s">
        <v>2918</v>
      </c>
      <c r="G294" s="14"/>
      <c r="H294" s="14" t="s">
        <v>3216</v>
      </c>
      <c r="I294" s="14"/>
      <c r="J294" s="14">
        <v>40298</v>
      </c>
      <c r="K294" s="14" t="s">
        <v>3257</v>
      </c>
      <c r="L294" s="14">
        <v>200</v>
      </c>
      <c r="M294" s="14">
        <v>427</v>
      </c>
      <c r="N294" s="14">
        <v>650</v>
      </c>
      <c r="O294" s="14">
        <v>590</v>
      </c>
      <c r="P294" s="14">
        <v>27</v>
      </c>
      <c r="Q294" s="14">
        <v>301</v>
      </c>
      <c r="R294" s="14"/>
      <c r="S294" s="14"/>
      <c r="T294" s="14"/>
      <c r="U294" s="14"/>
      <c r="V294" s="15"/>
      <c r="W294" s="14" t="s">
        <v>2954</v>
      </c>
      <c r="X294" s="14"/>
      <c r="Y294" s="14"/>
      <c r="Z294" s="14"/>
      <c r="AA294" s="14"/>
      <c r="AB294" s="14"/>
      <c r="AC294" s="14"/>
      <c r="AD294" s="14"/>
      <c r="AE294" s="14"/>
      <c r="AF294" s="14"/>
      <c r="AG294" s="14"/>
      <c r="AH294" s="14" t="s">
        <v>3246</v>
      </c>
      <c r="AI294" s="14"/>
      <c r="AJ294" s="16">
        <v>0.5016829898586288</v>
      </c>
      <c r="AK294" s="14">
        <v>1</v>
      </c>
      <c r="AL294" s="14">
        <v>0</v>
      </c>
      <c r="AM294" s="14">
        <v>650</v>
      </c>
      <c r="AN294" s="17">
        <v>0</v>
      </c>
      <c r="AO294" s="17">
        <v>3.5541538461538461E-4</v>
      </c>
      <c r="AP294" s="17">
        <v>0</v>
      </c>
      <c r="AQ294" s="17">
        <v>0</v>
      </c>
      <c r="AR294" s="17">
        <v>0</v>
      </c>
      <c r="AS294" s="17">
        <v>0</v>
      </c>
      <c r="AT294" s="17">
        <v>0</v>
      </c>
      <c r="AU294" s="17">
        <v>0</v>
      </c>
      <c r="AV294" s="17">
        <v>0</v>
      </c>
      <c r="AW294" s="17">
        <v>0</v>
      </c>
    </row>
    <row r="295" spans="1:49" ht="17" customHeight="1">
      <c r="A295" s="11" t="s">
        <v>3258</v>
      </c>
      <c r="B295" s="11" t="s">
        <v>3250</v>
      </c>
      <c r="C295" s="14" t="s">
        <v>2867</v>
      </c>
      <c r="D295" s="14" t="s">
        <v>2868</v>
      </c>
      <c r="E295" s="14" t="s">
        <v>3218</v>
      </c>
      <c r="F295" s="14" t="s">
        <v>2918</v>
      </c>
      <c r="G295" s="14"/>
      <c r="H295" s="14" t="s">
        <v>2881</v>
      </c>
      <c r="I295" s="14"/>
      <c r="J295" s="14">
        <v>40298</v>
      </c>
      <c r="K295" s="14" t="s">
        <v>3259</v>
      </c>
      <c r="L295" s="14">
        <v>200</v>
      </c>
      <c r="M295" s="14">
        <v>428</v>
      </c>
      <c r="N295" s="14">
        <v>650</v>
      </c>
      <c r="O295" s="14">
        <v>590</v>
      </c>
      <c r="P295" s="14">
        <v>25</v>
      </c>
      <c r="Q295" s="14">
        <v>301</v>
      </c>
      <c r="R295" s="14"/>
      <c r="S295" s="14"/>
      <c r="T295" s="14"/>
      <c r="U295" s="14">
        <v>3.5000000000000003E-2</v>
      </c>
      <c r="V295" s="15"/>
      <c r="W295" s="14" t="s">
        <v>2954</v>
      </c>
      <c r="X295" s="14">
        <v>21</v>
      </c>
      <c r="Y295" s="14">
        <v>760</v>
      </c>
      <c r="Z295" s="14"/>
      <c r="AA295" s="14"/>
      <c r="AB295" s="14"/>
      <c r="AC295" s="14"/>
      <c r="AD295" s="14"/>
      <c r="AE295" s="14"/>
      <c r="AF295" s="14"/>
      <c r="AG295" s="14"/>
      <c r="AH295" s="14" t="s">
        <v>3238</v>
      </c>
      <c r="AI295" s="14"/>
      <c r="AJ295" s="16">
        <v>0.51205873564690307</v>
      </c>
      <c r="AK295" s="14">
        <v>1</v>
      </c>
      <c r="AL295" s="14">
        <v>0</v>
      </c>
      <c r="AM295" s="14">
        <v>650</v>
      </c>
      <c r="AN295" s="17">
        <v>0</v>
      </c>
      <c r="AO295" s="17">
        <v>3.6910769230769232E-4</v>
      </c>
      <c r="AP295" s="17">
        <v>0</v>
      </c>
      <c r="AQ295" s="17">
        <v>0</v>
      </c>
      <c r="AR295" s="17">
        <v>0</v>
      </c>
      <c r="AS295" s="17">
        <v>0</v>
      </c>
      <c r="AT295" s="17">
        <v>0</v>
      </c>
      <c r="AU295" s="17">
        <v>0</v>
      </c>
      <c r="AV295" s="17">
        <v>0</v>
      </c>
      <c r="AW295" s="17">
        <v>0</v>
      </c>
    </row>
    <row r="296" spans="1:49" ht="17" customHeight="1">
      <c r="A296" s="11" t="s">
        <v>3260</v>
      </c>
      <c r="B296" s="11" t="s">
        <v>3250</v>
      </c>
      <c r="C296" s="14" t="s">
        <v>2867</v>
      </c>
      <c r="D296" s="14" t="s">
        <v>2868</v>
      </c>
      <c r="E296" s="14" t="s">
        <v>3218</v>
      </c>
      <c r="F296" s="14" t="s">
        <v>2918</v>
      </c>
      <c r="G296" s="14"/>
      <c r="H296" s="14" t="s">
        <v>2881</v>
      </c>
      <c r="I296" s="14"/>
      <c r="J296" s="14">
        <v>40298</v>
      </c>
      <c r="K296" s="14" t="s">
        <v>3261</v>
      </c>
      <c r="L296" s="14">
        <v>200</v>
      </c>
      <c r="M296" s="14">
        <v>447</v>
      </c>
      <c r="N296" s="14">
        <v>650</v>
      </c>
      <c r="O296" s="14">
        <v>590</v>
      </c>
      <c r="P296" s="14">
        <v>25</v>
      </c>
      <c r="Q296" s="14">
        <v>301</v>
      </c>
      <c r="R296" s="14"/>
      <c r="S296" s="14"/>
      <c r="T296" s="14"/>
      <c r="U296" s="14">
        <v>3.5000000000000003E-2</v>
      </c>
      <c r="V296" s="15"/>
      <c r="W296" s="14" t="s">
        <v>2954</v>
      </c>
      <c r="X296" s="14">
        <v>21</v>
      </c>
      <c r="Y296" s="14">
        <v>760</v>
      </c>
      <c r="Z296" s="14"/>
      <c r="AA296" s="14"/>
      <c r="AB296" s="14"/>
      <c r="AC296" s="14"/>
      <c r="AD296" s="14"/>
      <c r="AE296" s="14"/>
      <c r="AF296" s="14"/>
      <c r="AG296" s="14"/>
      <c r="AH296" s="14" t="s">
        <v>3238</v>
      </c>
      <c r="AI296" s="14"/>
      <c r="AJ296" s="16">
        <v>0.51205873564690307</v>
      </c>
      <c r="AK296" s="14">
        <v>1</v>
      </c>
      <c r="AL296" s="14">
        <v>0</v>
      </c>
      <c r="AM296" s="14">
        <v>650</v>
      </c>
      <c r="AN296" s="17">
        <v>0</v>
      </c>
      <c r="AO296" s="17">
        <v>3.6910769230769232E-4</v>
      </c>
      <c r="AP296" s="17">
        <v>0</v>
      </c>
      <c r="AQ296" s="17">
        <v>0</v>
      </c>
      <c r="AR296" s="17">
        <v>0</v>
      </c>
      <c r="AS296" s="17">
        <v>0</v>
      </c>
      <c r="AT296" s="17">
        <v>0</v>
      </c>
      <c r="AU296" s="17">
        <v>0</v>
      </c>
      <c r="AV296" s="17">
        <v>0</v>
      </c>
      <c r="AW296" s="17">
        <v>0</v>
      </c>
    </row>
    <row r="297" spans="1:49" ht="17" customHeight="1">
      <c r="A297" s="11" t="s">
        <v>3262</v>
      </c>
      <c r="B297" s="11" t="s">
        <v>3262</v>
      </c>
      <c r="C297" s="14" t="s">
        <v>2867</v>
      </c>
      <c r="D297" s="14" t="s">
        <v>2868</v>
      </c>
      <c r="E297" s="14" t="s">
        <v>3218</v>
      </c>
      <c r="F297" s="14" t="s">
        <v>2918</v>
      </c>
      <c r="G297" s="14"/>
      <c r="H297" s="14" t="s">
        <v>2881</v>
      </c>
      <c r="I297" s="14"/>
      <c r="J297" s="14">
        <v>40298</v>
      </c>
      <c r="K297" s="14" t="s">
        <v>3263</v>
      </c>
      <c r="L297" s="14">
        <v>200</v>
      </c>
      <c r="M297" s="14">
        <v>447</v>
      </c>
      <c r="N297" s="14">
        <v>650</v>
      </c>
      <c r="O297" s="14">
        <v>590</v>
      </c>
      <c r="P297" s="14">
        <v>25</v>
      </c>
      <c r="Q297" s="14">
        <v>301</v>
      </c>
      <c r="R297" s="14"/>
      <c r="S297" s="14"/>
      <c r="T297" s="14"/>
      <c r="U297" s="14">
        <v>3.5000000000000003E-2</v>
      </c>
      <c r="V297" s="15"/>
      <c r="W297" s="14" t="s">
        <v>2954</v>
      </c>
      <c r="X297" s="14">
        <v>21</v>
      </c>
      <c r="Y297" s="14">
        <v>760</v>
      </c>
      <c r="Z297" s="14"/>
      <c r="AA297" s="14"/>
      <c r="AB297" s="14"/>
      <c r="AC297" s="14"/>
      <c r="AD297" s="14"/>
      <c r="AE297" s="14"/>
      <c r="AF297" s="14"/>
      <c r="AG297" s="14"/>
      <c r="AH297" s="14" t="s">
        <v>3238</v>
      </c>
      <c r="AI297" s="14"/>
      <c r="AJ297" s="16">
        <v>0.51205873564690307</v>
      </c>
      <c r="AK297" s="14">
        <v>1</v>
      </c>
      <c r="AL297" s="14">
        <v>0</v>
      </c>
      <c r="AM297" s="14">
        <v>650</v>
      </c>
      <c r="AN297" s="17">
        <v>0</v>
      </c>
      <c r="AO297" s="17">
        <v>3.6910769230769232E-4</v>
      </c>
      <c r="AP297" s="17">
        <v>0</v>
      </c>
      <c r="AQ297" s="17">
        <v>0</v>
      </c>
      <c r="AR297" s="17">
        <v>0</v>
      </c>
      <c r="AS297" s="17">
        <v>0</v>
      </c>
      <c r="AT297" s="17">
        <v>0</v>
      </c>
      <c r="AU297" s="17">
        <v>0</v>
      </c>
      <c r="AV297" s="17">
        <v>0</v>
      </c>
      <c r="AW297" s="17">
        <v>0</v>
      </c>
    </row>
    <row r="298" spans="1:49" ht="17" customHeight="1">
      <c r="A298" s="11" t="s">
        <v>3264</v>
      </c>
      <c r="B298" s="11" t="s">
        <v>3262</v>
      </c>
      <c r="C298" s="14" t="s">
        <v>2867</v>
      </c>
      <c r="D298" s="14" t="s">
        <v>2868</v>
      </c>
      <c r="E298" s="14" t="s">
        <v>3218</v>
      </c>
      <c r="F298" s="14" t="s">
        <v>2918</v>
      </c>
      <c r="G298" s="14"/>
      <c r="H298" s="14" t="s">
        <v>2881</v>
      </c>
      <c r="I298" s="14"/>
      <c r="J298" s="14">
        <v>40298</v>
      </c>
      <c r="K298" s="14" t="s">
        <v>3265</v>
      </c>
      <c r="L298" s="14">
        <v>200</v>
      </c>
      <c r="M298" s="14">
        <v>428</v>
      </c>
      <c r="N298" s="14">
        <v>650</v>
      </c>
      <c r="O298" s="14">
        <v>590</v>
      </c>
      <c r="P298" s="14">
        <v>25</v>
      </c>
      <c r="Q298" s="14">
        <v>301</v>
      </c>
      <c r="R298" s="14"/>
      <c r="S298" s="14"/>
      <c r="T298" s="14"/>
      <c r="U298" s="14">
        <v>3.5000000000000003E-2</v>
      </c>
      <c r="V298" s="15"/>
      <c r="W298" s="14" t="s">
        <v>2954</v>
      </c>
      <c r="X298" s="14">
        <v>21</v>
      </c>
      <c r="Y298" s="14">
        <v>760</v>
      </c>
      <c r="Z298" s="14"/>
      <c r="AA298" s="14"/>
      <c r="AB298" s="14"/>
      <c r="AC298" s="14"/>
      <c r="AD298" s="14"/>
      <c r="AE298" s="14"/>
      <c r="AF298" s="14"/>
      <c r="AG298" s="14"/>
      <c r="AH298" s="14" t="s">
        <v>3238</v>
      </c>
      <c r="AI298" s="14"/>
      <c r="AJ298" s="16">
        <v>0.51205873564690307</v>
      </c>
      <c r="AK298" s="14">
        <v>1</v>
      </c>
      <c r="AL298" s="14">
        <v>0</v>
      </c>
      <c r="AM298" s="14">
        <v>650</v>
      </c>
      <c r="AN298" s="17">
        <v>0</v>
      </c>
      <c r="AO298" s="17">
        <v>3.6910769230769232E-4</v>
      </c>
      <c r="AP298" s="17">
        <v>0</v>
      </c>
      <c r="AQ298" s="17">
        <v>0</v>
      </c>
      <c r="AR298" s="17">
        <v>0</v>
      </c>
      <c r="AS298" s="17">
        <v>0</v>
      </c>
      <c r="AT298" s="17">
        <v>0</v>
      </c>
      <c r="AU298" s="17">
        <v>0</v>
      </c>
      <c r="AV298" s="17">
        <v>0</v>
      </c>
      <c r="AW298" s="17">
        <v>0</v>
      </c>
    </row>
    <row r="299" spans="1:49" ht="17" customHeight="1">
      <c r="A299" s="11" t="s">
        <v>3266</v>
      </c>
      <c r="B299" s="11" t="s">
        <v>3262</v>
      </c>
      <c r="C299" s="14" t="s">
        <v>2867</v>
      </c>
      <c r="D299" s="14" t="s">
        <v>2868</v>
      </c>
      <c r="E299" s="14" t="s">
        <v>3218</v>
      </c>
      <c r="F299" s="14" t="s">
        <v>2918</v>
      </c>
      <c r="G299" s="14"/>
      <c r="H299" s="14" t="s">
        <v>3216</v>
      </c>
      <c r="I299" s="14"/>
      <c r="J299" s="14">
        <v>40298</v>
      </c>
      <c r="K299" s="14" t="s">
        <v>3267</v>
      </c>
      <c r="L299" s="14">
        <v>200</v>
      </c>
      <c r="M299" s="14">
        <v>427</v>
      </c>
      <c r="N299" s="14">
        <v>650</v>
      </c>
      <c r="O299" s="14">
        <v>590</v>
      </c>
      <c r="P299" s="14">
        <v>27</v>
      </c>
      <c r="Q299" s="14">
        <v>301</v>
      </c>
      <c r="R299" s="14"/>
      <c r="S299" s="14"/>
      <c r="T299" s="14"/>
      <c r="U299" s="14"/>
      <c r="V299" s="15"/>
      <c r="W299" s="14" t="s">
        <v>2954</v>
      </c>
      <c r="X299" s="14"/>
      <c r="Y299" s="14"/>
      <c r="Z299" s="14"/>
      <c r="AA299" s="14"/>
      <c r="AB299" s="14"/>
      <c r="AC299" s="14"/>
      <c r="AD299" s="14"/>
      <c r="AE299" s="14"/>
      <c r="AF299" s="14"/>
      <c r="AG299" s="14"/>
      <c r="AH299" s="14" t="s">
        <v>3246</v>
      </c>
      <c r="AI299" s="14"/>
      <c r="AJ299" s="16">
        <v>0.5016829898586288</v>
      </c>
      <c r="AK299" s="14">
        <v>1</v>
      </c>
      <c r="AL299" s="14">
        <v>0</v>
      </c>
      <c r="AM299" s="14">
        <v>650</v>
      </c>
      <c r="AN299" s="17">
        <v>0</v>
      </c>
      <c r="AO299" s="17">
        <v>3.5541538461538461E-4</v>
      </c>
      <c r="AP299" s="17">
        <v>0</v>
      </c>
      <c r="AQ299" s="17">
        <v>0</v>
      </c>
      <c r="AR299" s="17">
        <v>0</v>
      </c>
      <c r="AS299" s="17">
        <v>0</v>
      </c>
      <c r="AT299" s="17">
        <v>0</v>
      </c>
      <c r="AU299" s="17">
        <v>0</v>
      </c>
      <c r="AV299" s="17">
        <v>0</v>
      </c>
      <c r="AW299" s="17">
        <v>0</v>
      </c>
    </row>
    <row r="300" spans="1:49" ht="17" customHeight="1">
      <c r="A300" s="11" t="s">
        <v>3268</v>
      </c>
      <c r="B300" s="11" t="s">
        <v>3262</v>
      </c>
      <c r="C300" s="14" t="s">
        <v>2867</v>
      </c>
      <c r="D300" s="14" t="s">
        <v>2868</v>
      </c>
      <c r="E300" s="14" t="s">
        <v>3218</v>
      </c>
      <c r="F300" s="14" t="s">
        <v>2918</v>
      </c>
      <c r="G300" s="14"/>
      <c r="H300" s="14" t="s">
        <v>2881</v>
      </c>
      <c r="I300" s="14"/>
      <c r="J300" s="14">
        <v>40298</v>
      </c>
      <c r="K300" s="14" t="s">
        <v>3269</v>
      </c>
      <c r="L300" s="14">
        <v>200</v>
      </c>
      <c r="M300" s="14">
        <v>428</v>
      </c>
      <c r="N300" s="14">
        <v>650</v>
      </c>
      <c r="O300" s="14">
        <v>590</v>
      </c>
      <c r="P300" s="14">
        <v>25</v>
      </c>
      <c r="Q300" s="14">
        <v>301</v>
      </c>
      <c r="R300" s="14"/>
      <c r="S300" s="14"/>
      <c r="T300" s="14"/>
      <c r="U300" s="14">
        <v>3.5000000000000003E-2</v>
      </c>
      <c r="V300" s="15"/>
      <c r="W300" s="14" t="s">
        <v>2954</v>
      </c>
      <c r="X300" s="14">
        <v>21</v>
      </c>
      <c r="Y300" s="14">
        <v>760</v>
      </c>
      <c r="Z300" s="14"/>
      <c r="AA300" s="14"/>
      <c r="AB300" s="14"/>
      <c r="AC300" s="14"/>
      <c r="AD300" s="14"/>
      <c r="AE300" s="14"/>
      <c r="AF300" s="14"/>
      <c r="AG300" s="14"/>
      <c r="AH300" s="14" t="s">
        <v>3238</v>
      </c>
      <c r="AI300" s="14"/>
      <c r="AJ300" s="16">
        <v>0.51205873564690307</v>
      </c>
      <c r="AK300" s="14">
        <v>1</v>
      </c>
      <c r="AL300" s="14">
        <v>0</v>
      </c>
      <c r="AM300" s="14">
        <v>650</v>
      </c>
      <c r="AN300" s="17">
        <v>0</v>
      </c>
      <c r="AO300" s="17">
        <v>3.6910769230769232E-4</v>
      </c>
      <c r="AP300" s="17">
        <v>0</v>
      </c>
      <c r="AQ300" s="17">
        <v>0</v>
      </c>
      <c r="AR300" s="17">
        <v>0</v>
      </c>
      <c r="AS300" s="17">
        <v>0</v>
      </c>
      <c r="AT300" s="17">
        <v>0</v>
      </c>
      <c r="AU300" s="17">
        <v>0</v>
      </c>
      <c r="AV300" s="17">
        <v>0</v>
      </c>
      <c r="AW300" s="17">
        <v>0</v>
      </c>
    </row>
    <row r="301" spans="1:49" ht="17" customHeight="1">
      <c r="A301" s="11" t="s">
        <v>3270</v>
      </c>
      <c r="B301" s="11" t="s">
        <v>3262</v>
      </c>
      <c r="C301" s="14" t="s">
        <v>2867</v>
      </c>
      <c r="D301" s="14" t="s">
        <v>2868</v>
      </c>
      <c r="E301" s="14" t="s">
        <v>3218</v>
      </c>
      <c r="F301" s="14" t="s">
        <v>2918</v>
      </c>
      <c r="G301" s="14"/>
      <c r="H301" s="14" t="s">
        <v>2881</v>
      </c>
      <c r="I301" s="14"/>
      <c r="J301" s="14">
        <v>40298</v>
      </c>
      <c r="K301" s="14" t="s">
        <v>3271</v>
      </c>
      <c r="L301" s="14">
        <v>200</v>
      </c>
      <c r="M301" s="14">
        <v>447</v>
      </c>
      <c r="N301" s="14">
        <v>650</v>
      </c>
      <c r="O301" s="14">
        <v>590</v>
      </c>
      <c r="P301" s="14">
        <v>25</v>
      </c>
      <c r="Q301" s="14">
        <v>301</v>
      </c>
      <c r="R301" s="14"/>
      <c r="S301" s="14"/>
      <c r="T301" s="14"/>
      <c r="U301" s="14">
        <v>3.5000000000000003E-2</v>
      </c>
      <c r="V301" s="15"/>
      <c r="W301" s="14" t="s">
        <v>2954</v>
      </c>
      <c r="X301" s="14">
        <v>21</v>
      </c>
      <c r="Y301" s="14">
        <v>760</v>
      </c>
      <c r="Z301" s="14"/>
      <c r="AA301" s="14"/>
      <c r="AB301" s="14"/>
      <c r="AC301" s="14"/>
      <c r="AD301" s="14"/>
      <c r="AE301" s="14"/>
      <c r="AF301" s="14"/>
      <c r="AG301" s="14"/>
      <c r="AH301" s="14" t="s">
        <v>3238</v>
      </c>
      <c r="AI301" s="14"/>
      <c r="AJ301" s="16">
        <v>0.51205873564690307</v>
      </c>
      <c r="AK301" s="14">
        <v>1</v>
      </c>
      <c r="AL301" s="14">
        <v>0</v>
      </c>
      <c r="AM301" s="14">
        <v>650</v>
      </c>
      <c r="AN301" s="17">
        <v>0</v>
      </c>
      <c r="AO301" s="17">
        <v>3.6910769230769232E-4</v>
      </c>
      <c r="AP301" s="17">
        <v>0</v>
      </c>
      <c r="AQ301" s="17">
        <v>0</v>
      </c>
      <c r="AR301" s="17">
        <v>0</v>
      </c>
      <c r="AS301" s="17">
        <v>0</v>
      </c>
      <c r="AT301" s="17">
        <v>0</v>
      </c>
      <c r="AU301" s="17">
        <v>0</v>
      </c>
      <c r="AV301" s="17">
        <v>0</v>
      </c>
      <c r="AW301" s="17">
        <v>0</v>
      </c>
    </row>
    <row r="302" spans="1:49" ht="17" customHeight="1">
      <c r="A302" s="11" t="s">
        <v>3272</v>
      </c>
      <c r="B302" s="11" t="s">
        <v>3262</v>
      </c>
      <c r="C302" s="14" t="s">
        <v>2867</v>
      </c>
      <c r="D302" s="14" t="s">
        <v>2868</v>
      </c>
      <c r="E302" s="14" t="s">
        <v>3218</v>
      </c>
      <c r="F302" s="14" t="s">
        <v>2918</v>
      </c>
      <c r="G302" s="14"/>
      <c r="H302" s="14" t="s">
        <v>2881</v>
      </c>
      <c r="I302" s="14"/>
      <c r="J302" s="14">
        <v>40298</v>
      </c>
      <c r="K302" s="14" t="s">
        <v>3273</v>
      </c>
      <c r="L302" s="14">
        <v>200</v>
      </c>
      <c r="M302" s="14">
        <v>447</v>
      </c>
      <c r="N302" s="14">
        <v>650</v>
      </c>
      <c r="O302" s="14">
        <v>590</v>
      </c>
      <c r="P302" s="14">
        <v>25</v>
      </c>
      <c r="Q302" s="14">
        <v>301</v>
      </c>
      <c r="R302" s="14"/>
      <c r="S302" s="14"/>
      <c r="T302" s="14"/>
      <c r="U302" s="14">
        <v>3.5000000000000003E-2</v>
      </c>
      <c r="V302" s="15"/>
      <c r="W302" s="14" t="s">
        <v>2954</v>
      </c>
      <c r="X302" s="14">
        <v>21</v>
      </c>
      <c r="Y302" s="14">
        <v>760</v>
      </c>
      <c r="Z302" s="14"/>
      <c r="AA302" s="14"/>
      <c r="AB302" s="14"/>
      <c r="AC302" s="14"/>
      <c r="AD302" s="14"/>
      <c r="AE302" s="14"/>
      <c r="AF302" s="14"/>
      <c r="AG302" s="14"/>
      <c r="AH302" s="14" t="s">
        <v>3238</v>
      </c>
      <c r="AI302" s="14"/>
      <c r="AJ302" s="16">
        <v>0.51205873564690307</v>
      </c>
      <c r="AK302" s="14">
        <v>1</v>
      </c>
      <c r="AL302" s="14">
        <v>0</v>
      </c>
      <c r="AM302" s="14">
        <v>650</v>
      </c>
      <c r="AN302" s="17">
        <v>0</v>
      </c>
      <c r="AO302" s="17">
        <v>3.6910769230769232E-4</v>
      </c>
      <c r="AP302" s="17">
        <v>0</v>
      </c>
      <c r="AQ302" s="17">
        <v>0</v>
      </c>
      <c r="AR302" s="17">
        <v>0</v>
      </c>
      <c r="AS302" s="17">
        <v>0</v>
      </c>
      <c r="AT302" s="17">
        <v>0</v>
      </c>
      <c r="AU302" s="17">
        <v>0</v>
      </c>
      <c r="AV302" s="17">
        <v>0</v>
      </c>
      <c r="AW302" s="17">
        <v>0</v>
      </c>
    </row>
    <row r="303" spans="1:49" ht="17" customHeight="1">
      <c r="A303" s="11" t="s">
        <v>3274</v>
      </c>
      <c r="B303" s="11" t="s">
        <v>3262</v>
      </c>
      <c r="C303" s="14" t="s">
        <v>2867</v>
      </c>
      <c r="D303" s="14" t="s">
        <v>2868</v>
      </c>
      <c r="E303" s="14" t="s">
        <v>3218</v>
      </c>
      <c r="F303" s="14" t="s">
        <v>2918</v>
      </c>
      <c r="G303" s="14"/>
      <c r="H303" s="14" t="s">
        <v>2881</v>
      </c>
      <c r="I303" s="14"/>
      <c r="J303" s="14">
        <v>40298</v>
      </c>
      <c r="K303" s="14" t="s">
        <v>3275</v>
      </c>
      <c r="L303" s="14">
        <v>200</v>
      </c>
      <c r="M303" s="14">
        <v>473</v>
      </c>
      <c r="N303" s="14">
        <v>650</v>
      </c>
      <c r="O303" s="14">
        <v>590</v>
      </c>
      <c r="P303" s="14">
        <v>25</v>
      </c>
      <c r="Q303" s="14">
        <v>301</v>
      </c>
      <c r="R303" s="14"/>
      <c r="S303" s="14"/>
      <c r="T303" s="14"/>
      <c r="U303" s="14">
        <v>3.5000000000000003E-2</v>
      </c>
      <c r="V303" s="15"/>
      <c r="W303" s="14" t="s">
        <v>2954</v>
      </c>
      <c r="X303" s="14">
        <v>21</v>
      </c>
      <c r="Y303" s="14">
        <v>760</v>
      </c>
      <c r="Z303" s="14"/>
      <c r="AA303" s="14"/>
      <c r="AB303" s="14"/>
      <c r="AC303" s="14"/>
      <c r="AD303" s="14"/>
      <c r="AE303" s="14"/>
      <c r="AF303" s="14"/>
      <c r="AG303" s="14"/>
      <c r="AH303" s="14" t="s">
        <v>3238</v>
      </c>
      <c r="AI303" s="14"/>
      <c r="AJ303" s="16">
        <v>0.51205873564690307</v>
      </c>
      <c r="AK303" s="14">
        <v>1</v>
      </c>
      <c r="AL303" s="14">
        <v>0</v>
      </c>
      <c r="AM303" s="14">
        <v>650</v>
      </c>
      <c r="AN303" s="17">
        <v>0</v>
      </c>
      <c r="AO303" s="17">
        <v>3.6910769230769232E-4</v>
      </c>
      <c r="AP303" s="17">
        <v>0</v>
      </c>
      <c r="AQ303" s="17">
        <v>0</v>
      </c>
      <c r="AR303" s="17">
        <v>0</v>
      </c>
      <c r="AS303" s="17">
        <v>0</v>
      </c>
      <c r="AT303" s="17">
        <v>0</v>
      </c>
      <c r="AU303" s="17">
        <v>0</v>
      </c>
      <c r="AV303" s="17">
        <v>0</v>
      </c>
      <c r="AW303" s="17">
        <v>0</v>
      </c>
    </row>
    <row r="304" spans="1:49" ht="17" customHeight="1">
      <c r="A304" s="11" t="s">
        <v>3276</v>
      </c>
      <c r="B304" s="11" t="s">
        <v>3276</v>
      </c>
      <c r="C304" s="14" t="s">
        <v>2867</v>
      </c>
      <c r="D304" s="14" t="s">
        <v>2916</v>
      </c>
      <c r="E304" s="14" t="s">
        <v>2917</v>
      </c>
      <c r="F304" s="14" t="s">
        <v>2918</v>
      </c>
      <c r="G304" s="14"/>
      <c r="H304" s="14" t="s">
        <v>2935</v>
      </c>
      <c r="I304" s="14"/>
      <c r="J304" s="14"/>
      <c r="K304" s="14"/>
      <c r="L304" s="14">
        <v>120</v>
      </c>
      <c r="M304" s="14">
        <v>1000</v>
      </c>
      <c r="N304" s="14">
        <v>5</v>
      </c>
      <c r="O304" s="14"/>
      <c r="P304" s="14">
        <v>6.37</v>
      </c>
      <c r="Q304" s="14">
        <v>90</v>
      </c>
      <c r="R304" s="14" t="s">
        <v>2936</v>
      </c>
      <c r="S304" s="14"/>
      <c r="T304" s="14">
        <v>12.9</v>
      </c>
      <c r="U304" s="14">
        <v>1.274</v>
      </c>
      <c r="V304" s="15">
        <v>2.0600000000000002E-3</v>
      </c>
      <c r="W304" s="14" t="s">
        <v>2873</v>
      </c>
      <c r="X304" s="14"/>
      <c r="Y304" s="14"/>
      <c r="Z304" s="14"/>
      <c r="AA304" s="14"/>
      <c r="AB304" s="14"/>
      <c r="AC304" s="14"/>
      <c r="AD304" s="14"/>
      <c r="AE304" s="14"/>
      <c r="AF304" s="14"/>
      <c r="AG304" s="14"/>
      <c r="AH304" s="14" t="s">
        <v>2934</v>
      </c>
      <c r="AI304" s="14"/>
      <c r="AJ304" s="16">
        <v>0.95010000000000006</v>
      </c>
      <c r="AK304" s="14">
        <v>1</v>
      </c>
      <c r="AL304" s="14">
        <v>-5</v>
      </c>
      <c r="AM304" s="14">
        <v>5</v>
      </c>
      <c r="AN304" s="19">
        <v>0</v>
      </c>
      <c r="AO304" s="19">
        <v>3.9144000000000001E-4</v>
      </c>
      <c r="AP304" s="19">
        <v>0</v>
      </c>
      <c r="AQ304" s="19">
        <v>0</v>
      </c>
      <c r="AR304" s="19">
        <v>0</v>
      </c>
      <c r="AS304" s="19">
        <v>0</v>
      </c>
      <c r="AT304" s="19">
        <v>0</v>
      </c>
      <c r="AU304" s="19">
        <v>0</v>
      </c>
      <c r="AV304" s="19">
        <v>0</v>
      </c>
      <c r="AW304" s="19">
        <v>0</v>
      </c>
    </row>
    <row r="305" spans="1:49" ht="17" customHeight="1">
      <c r="A305" s="11" t="s">
        <v>3277</v>
      </c>
      <c r="B305" s="11" t="s">
        <v>3277</v>
      </c>
      <c r="C305" s="14" t="s">
        <v>2867</v>
      </c>
      <c r="D305" s="14" t="s">
        <v>2916</v>
      </c>
      <c r="E305" s="14" t="s">
        <v>2917</v>
      </c>
      <c r="F305" s="14" t="s">
        <v>2918</v>
      </c>
      <c r="G305" s="14"/>
      <c r="H305" s="14" t="s">
        <v>2935</v>
      </c>
      <c r="I305" s="14"/>
      <c r="J305" s="14"/>
      <c r="K305" s="14"/>
      <c r="L305" s="14">
        <v>120</v>
      </c>
      <c r="M305" s="14">
        <v>1000</v>
      </c>
      <c r="N305" s="14">
        <v>5</v>
      </c>
      <c r="O305" s="14"/>
      <c r="P305" s="14">
        <v>6.37</v>
      </c>
      <c r="Q305" s="14">
        <v>90</v>
      </c>
      <c r="R305" s="14" t="s">
        <v>2936</v>
      </c>
      <c r="S305" s="14"/>
      <c r="T305" s="14">
        <v>12.9</v>
      </c>
      <c r="U305" s="14">
        <v>1.274</v>
      </c>
      <c r="V305" s="15">
        <v>2.0600000000000002E-3</v>
      </c>
      <c r="W305" s="14" t="s">
        <v>2873</v>
      </c>
      <c r="X305" s="14"/>
      <c r="Y305" s="14"/>
      <c r="Z305" s="14"/>
      <c r="AA305" s="14"/>
      <c r="AB305" s="14"/>
      <c r="AC305" s="14"/>
      <c r="AD305" s="14"/>
      <c r="AE305" s="14"/>
      <c r="AF305" s="14"/>
      <c r="AG305" s="14"/>
      <c r="AH305" s="14" t="s">
        <v>2934</v>
      </c>
      <c r="AI305" s="14"/>
      <c r="AJ305" s="16">
        <v>0.95010000000000006</v>
      </c>
      <c r="AK305" s="14">
        <v>1</v>
      </c>
      <c r="AL305" s="14">
        <v>-5</v>
      </c>
      <c r="AM305" s="14">
        <v>5</v>
      </c>
      <c r="AN305" s="19">
        <v>0</v>
      </c>
      <c r="AO305" s="19">
        <v>3.9144000000000001E-4</v>
      </c>
      <c r="AP305" s="19">
        <v>0</v>
      </c>
      <c r="AQ305" s="19">
        <v>0</v>
      </c>
      <c r="AR305" s="19">
        <v>0</v>
      </c>
      <c r="AS305" s="19">
        <v>0</v>
      </c>
      <c r="AT305" s="19">
        <v>0</v>
      </c>
      <c r="AU305" s="19">
        <v>0</v>
      </c>
      <c r="AV305" s="19">
        <v>0</v>
      </c>
      <c r="AW305" s="19">
        <v>0</v>
      </c>
    </row>
    <row r="306" spans="1:49" ht="17" customHeight="1">
      <c r="A306" s="11" t="s">
        <v>3278</v>
      </c>
      <c r="B306" s="11" t="s">
        <v>3278</v>
      </c>
      <c r="C306" s="14" t="s">
        <v>2867</v>
      </c>
      <c r="D306" s="14" t="s">
        <v>2916</v>
      </c>
      <c r="E306" s="14" t="s">
        <v>2917</v>
      </c>
      <c r="F306" s="14" t="s">
        <v>2918</v>
      </c>
      <c r="G306" s="14"/>
      <c r="H306" s="14" t="s">
        <v>2928</v>
      </c>
      <c r="I306" s="14"/>
      <c r="J306" s="14"/>
      <c r="K306" s="14"/>
      <c r="L306" s="14">
        <v>120</v>
      </c>
      <c r="M306" s="14">
        <v>800</v>
      </c>
      <c r="N306" s="14">
        <v>5</v>
      </c>
      <c r="O306" s="14"/>
      <c r="P306" s="14" t="s">
        <v>2920</v>
      </c>
      <c r="Q306" s="14">
        <v>50</v>
      </c>
      <c r="R306" s="14" t="s">
        <v>3047</v>
      </c>
      <c r="S306" s="14"/>
      <c r="T306" s="14" t="s">
        <v>2920</v>
      </c>
      <c r="U306" s="14" t="s">
        <v>2920</v>
      </c>
      <c r="V306" s="15">
        <v>1.2600000000000001E-3</v>
      </c>
      <c r="W306" s="14" t="s">
        <v>2873</v>
      </c>
      <c r="X306" s="14"/>
      <c r="Y306" s="14"/>
      <c r="Z306" s="14"/>
      <c r="AA306" s="14"/>
      <c r="AB306" s="14"/>
      <c r="AC306" s="14"/>
      <c r="AD306" s="14"/>
      <c r="AE306" s="14"/>
      <c r="AF306" s="14"/>
      <c r="AG306" s="14"/>
      <c r="AH306" s="14" t="s">
        <v>3278</v>
      </c>
      <c r="AI306" s="14"/>
      <c r="AJ306" s="16">
        <v>0.74619000000000002</v>
      </c>
      <c r="AK306" s="14">
        <v>1</v>
      </c>
      <c r="AL306" s="14">
        <v>-5</v>
      </c>
      <c r="AM306" s="14">
        <v>5</v>
      </c>
      <c r="AN306" s="19">
        <v>0</v>
      </c>
      <c r="AO306" s="19">
        <v>1.8804E-4</v>
      </c>
      <c r="AP306" s="19">
        <v>0</v>
      </c>
      <c r="AQ306" s="19">
        <v>0</v>
      </c>
      <c r="AR306" s="19">
        <v>0</v>
      </c>
      <c r="AS306" s="19">
        <v>0</v>
      </c>
      <c r="AT306" s="19">
        <v>0</v>
      </c>
      <c r="AU306" s="19">
        <v>0</v>
      </c>
      <c r="AV306" s="19">
        <v>0</v>
      </c>
      <c r="AW306" s="19">
        <v>0</v>
      </c>
    </row>
    <row r="307" spans="1:49" ht="17" customHeight="1">
      <c r="A307" s="11" t="s">
        <v>3279</v>
      </c>
      <c r="B307" s="11" t="s">
        <v>3279</v>
      </c>
      <c r="C307" s="14" t="s">
        <v>2867</v>
      </c>
      <c r="D307" s="14" t="s">
        <v>2916</v>
      </c>
      <c r="E307" s="14" t="s">
        <v>2917</v>
      </c>
      <c r="F307" s="14" t="s">
        <v>2918</v>
      </c>
      <c r="G307" s="14"/>
      <c r="H307" s="14" t="s">
        <v>2928</v>
      </c>
      <c r="I307" s="14"/>
      <c r="J307" s="14"/>
      <c r="K307" s="14"/>
      <c r="L307" s="14">
        <v>120</v>
      </c>
      <c r="M307" s="14">
        <v>800</v>
      </c>
      <c r="N307" s="14">
        <v>5</v>
      </c>
      <c r="O307" s="14"/>
      <c r="P307" s="14" t="s">
        <v>2920</v>
      </c>
      <c r="Q307" s="14">
        <v>50</v>
      </c>
      <c r="R307" s="14" t="s">
        <v>3047</v>
      </c>
      <c r="S307" s="14"/>
      <c r="T307" s="14" t="s">
        <v>2920</v>
      </c>
      <c r="U307" s="14" t="s">
        <v>2920</v>
      </c>
      <c r="V307" s="15">
        <v>1.453333333333333E-3</v>
      </c>
      <c r="W307" s="14" t="s">
        <v>2873</v>
      </c>
      <c r="X307" s="14"/>
      <c r="Y307" s="14"/>
      <c r="Z307" s="14"/>
      <c r="AA307" s="14"/>
      <c r="AB307" s="14"/>
      <c r="AC307" s="14"/>
      <c r="AD307" s="14"/>
      <c r="AE307" s="14"/>
      <c r="AF307" s="14"/>
      <c r="AG307" s="14"/>
      <c r="AH307" s="14" t="s">
        <v>3279</v>
      </c>
      <c r="AI307" s="14"/>
      <c r="AJ307" s="16">
        <v>0.74619000000000002</v>
      </c>
      <c r="AK307" s="14">
        <v>1</v>
      </c>
      <c r="AL307" s="14">
        <v>-5</v>
      </c>
      <c r="AM307" s="14">
        <v>5</v>
      </c>
      <c r="AN307" s="19">
        <v>0</v>
      </c>
      <c r="AO307" s="19">
        <v>2.1688999999999999E-4</v>
      </c>
      <c r="AP307" s="19">
        <v>0</v>
      </c>
      <c r="AQ307" s="19">
        <v>0</v>
      </c>
      <c r="AR307" s="19">
        <v>0</v>
      </c>
      <c r="AS307" s="19">
        <v>0</v>
      </c>
      <c r="AT307" s="19">
        <v>0</v>
      </c>
      <c r="AU307" s="19">
        <v>0</v>
      </c>
      <c r="AV307" s="19">
        <v>0</v>
      </c>
      <c r="AW307" s="19">
        <v>0</v>
      </c>
    </row>
    <row r="308" spans="1:49" ht="17" customHeight="1">
      <c r="A308" s="11" t="s">
        <v>3280</v>
      </c>
      <c r="B308" s="11" t="s">
        <v>3280</v>
      </c>
      <c r="C308" s="14" t="s">
        <v>2867</v>
      </c>
      <c r="D308" s="14" t="s">
        <v>2916</v>
      </c>
      <c r="E308" s="14" t="s">
        <v>2917</v>
      </c>
      <c r="F308" s="14" t="s">
        <v>2918</v>
      </c>
      <c r="G308" s="14"/>
      <c r="H308" s="14" t="s">
        <v>2928</v>
      </c>
      <c r="I308" s="14"/>
      <c r="J308" s="14"/>
      <c r="K308" s="14"/>
      <c r="L308" s="14">
        <v>120</v>
      </c>
      <c r="M308" s="14">
        <v>800</v>
      </c>
      <c r="N308" s="14">
        <v>5</v>
      </c>
      <c r="O308" s="14"/>
      <c r="P308" s="14" t="s">
        <v>2920</v>
      </c>
      <c r="Q308" s="14">
        <v>50</v>
      </c>
      <c r="R308" s="14" t="s">
        <v>3047</v>
      </c>
      <c r="S308" s="14"/>
      <c r="T308" s="14" t="s">
        <v>2920</v>
      </c>
      <c r="U308" s="14" t="s">
        <v>2920</v>
      </c>
      <c r="V308" s="15">
        <v>1.2600000000000001E-3</v>
      </c>
      <c r="W308" s="14" t="s">
        <v>2873</v>
      </c>
      <c r="X308" s="14"/>
      <c r="Y308" s="14"/>
      <c r="Z308" s="14"/>
      <c r="AA308" s="14"/>
      <c r="AB308" s="14"/>
      <c r="AC308" s="14"/>
      <c r="AD308" s="14"/>
      <c r="AE308" s="14"/>
      <c r="AF308" s="14"/>
      <c r="AG308" s="14"/>
      <c r="AH308" s="14" t="s">
        <v>3278</v>
      </c>
      <c r="AI308" s="14"/>
      <c r="AJ308" s="16">
        <v>0.74619000000000002</v>
      </c>
      <c r="AK308" s="14">
        <v>1</v>
      </c>
      <c r="AL308" s="14">
        <v>-5</v>
      </c>
      <c r="AM308" s="14">
        <v>5</v>
      </c>
      <c r="AN308" s="19">
        <v>0</v>
      </c>
      <c r="AO308" s="19">
        <v>1.8804E-4</v>
      </c>
      <c r="AP308" s="19">
        <v>0</v>
      </c>
      <c r="AQ308" s="19">
        <v>0</v>
      </c>
      <c r="AR308" s="19">
        <v>0</v>
      </c>
      <c r="AS308" s="19">
        <v>0</v>
      </c>
      <c r="AT308" s="19">
        <v>0</v>
      </c>
      <c r="AU308" s="19">
        <v>0</v>
      </c>
      <c r="AV308" s="19">
        <v>0</v>
      </c>
      <c r="AW308" s="19">
        <v>0</v>
      </c>
    </row>
    <row r="309" spans="1:49" ht="17" customHeight="1">
      <c r="A309" s="11" t="s">
        <v>3281</v>
      </c>
      <c r="B309" s="11" t="s">
        <v>3281</v>
      </c>
      <c r="C309" s="14" t="s">
        <v>2867</v>
      </c>
      <c r="D309" s="14" t="s">
        <v>2916</v>
      </c>
      <c r="E309" s="14" t="s">
        <v>2917</v>
      </c>
      <c r="F309" s="14" t="s">
        <v>2918</v>
      </c>
      <c r="G309" s="14"/>
      <c r="H309" s="14" t="s">
        <v>2928</v>
      </c>
      <c r="I309" s="14"/>
      <c r="J309" s="14"/>
      <c r="K309" s="14"/>
      <c r="L309" s="14">
        <v>120</v>
      </c>
      <c r="M309" s="14">
        <v>800</v>
      </c>
      <c r="N309" s="14">
        <v>5</v>
      </c>
      <c r="O309" s="14"/>
      <c r="P309" s="14" t="s">
        <v>2920</v>
      </c>
      <c r="Q309" s="14">
        <v>50</v>
      </c>
      <c r="R309" s="14" t="s">
        <v>3047</v>
      </c>
      <c r="S309" s="14"/>
      <c r="T309" s="14" t="s">
        <v>2920</v>
      </c>
      <c r="U309" s="14" t="s">
        <v>2920</v>
      </c>
      <c r="V309" s="15">
        <v>1.453333333333333E-3</v>
      </c>
      <c r="W309" s="14" t="s">
        <v>2873</v>
      </c>
      <c r="X309" s="14"/>
      <c r="Y309" s="14"/>
      <c r="Z309" s="14"/>
      <c r="AA309" s="14"/>
      <c r="AB309" s="14"/>
      <c r="AC309" s="14"/>
      <c r="AD309" s="14"/>
      <c r="AE309" s="14"/>
      <c r="AF309" s="14"/>
      <c r="AG309" s="14"/>
      <c r="AH309" s="14" t="s">
        <v>3279</v>
      </c>
      <c r="AI309" s="14"/>
      <c r="AJ309" s="16">
        <v>0.74619000000000002</v>
      </c>
      <c r="AK309" s="14">
        <v>1</v>
      </c>
      <c r="AL309" s="14">
        <v>-5</v>
      </c>
      <c r="AM309" s="14">
        <v>5</v>
      </c>
      <c r="AN309" s="19">
        <v>0</v>
      </c>
      <c r="AO309" s="19">
        <v>2.1688999999999999E-4</v>
      </c>
      <c r="AP309" s="19">
        <v>0</v>
      </c>
      <c r="AQ309" s="19">
        <v>0</v>
      </c>
      <c r="AR309" s="19">
        <v>0</v>
      </c>
      <c r="AS309" s="19">
        <v>0</v>
      </c>
      <c r="AT309" s="19">
        <v>0</v>
      </c>
      <c r="AU309" s="19">
        <v>0</v>
      </c>
      <c r="AV309" s="19">
        <v>0</v>
      </c>
      <c r="AW309" s="19">
        <v>0</v>
      </c>
    </row>
    <row r="310" spans="1:49" ht="17" customHeight="1">
      <c r="A310" s="11" t="s">
        <v>3282</v>
      </c>
      <c r="B310" s="11" t="s">
        <v>3282</v>
      </c>
      <c r="C310" s="14" t="s">
        <v>2867</v>
      </c>
      <c r="D310" s="14" t="s">
        <v>2916</v>
      </c>
      <c r="E310" s="14" t="s">
        <v>2917</v>
      </c>
      <c r="F310" s="14" t="s">
        <v>2918</v>
      </c>
      <c r="G310" s="14"/>
      <c r="H310" s="14" t="s">
        <v>2919</v>
      </c>
      <c r="I310" s="14"/>
      <c r="J310" s="14"/>
      <c r="K310" s="14"/>
      <c r="L310" s="14">
        <v>35</v>
      </c>
      <c r="M310" s="14">
        <v>150</v>
      </c>
      <c r="N310" s="14">
        <v>20</v>
      </c>
      <c r="O310" s="14"/>
      <c r="P310" s="14">
        <v>5</v>
      </c>
      <c r="Q310" s="14">
        <v>108</v>
      </c>
      <c r="R310" s="14" t="s">
        <v>3020</v>
      </c>
      <c r="S310" s="14"/>
      <c r="T310" s="14" t="s">
        <v>2920</v>
      </c>
      <c r="U310" s="14">
        <v>0.25</v>
      </c>
      <c r="V310" s="15">
        <v>8.8999999999999996E-2</v>
      </c>
      <c r="W310" s="14" t="s">
        <v>2873</v>
      </c>
      <c r="X310" s="14"/>
      <c r="Y310" s="14"/>
      <c r="Z310" s="14"/>
      <c r="AA310" s="14"/>
      <c r="AB310" s="14"/>
      <c r="AC310" s="14"/>
      <c r="AD310" s="14"/>
      <c r="AE310" s="14"/>
      <c r="AF310" s="14"/>
      <c r="AG310" s="14"/>
      <c r="AH310" s="14" t="s">
        <v>3283</v>
      </c>
      <c r="AI310" s="14"/>
      <c r="AJ310" s="16">
        <v>0.18626200000000001</v>
      </c>
      <c r="AK310" s="14">
        <v>1</v>
      </c>
      <c r="AL310" s="14">
        <v>-20</v>
      </c>
      <c r="AM310" s="14">
        <v>20</v>
      </c>
      <c r="AN310" s="19">
        <v>0</v>
      </c>
      <c r="AO310" s="19">
        <v>8.2887E-4</v>
      </c>
      <c r="AP310" s="19">
        <v>0</v>
      </c>
      <c r="AQ310" s="19">
        <v>0</v>
      </c>
      <c r="AR310" s="19">
        <v>0</v>
      </c>
      <c r="AS310" s="19">
        <v>0</v>
      </c>
      <c r="AT310" s="19">
        <v>0</v>
      </c>
      <c r="AU310" s="19">
        <v>0</v>
      </c>
      <c r="AV310" s="19">
        <v>0</v>
      </c>
      <c r="AW310" s="19">
        <v>0</v>
      </c>
    </row>
    <row r="311" spans="1:49" ht="17" customHeight="1">
      <c r="A311" s="11" t="s">
        <v>3284</v>
      </c>
      <c r="B311" s="11" t="s">
        <v>3284</v>
      </c>
      <c r="C311" s="14" t="s">
        <v>2867</v>
      </c>
      <c r="D311" s="14" t="s">
        <v>2916</v>
      </c>
      <c r="E311" s="14" t="s">
        <v>2917</v>
      </c>
      <c r="F311" s="14" t="s">
        <v>2918</v>
      </c>
      <c r="G311" s="14"/>
      <c r="H311" s="14" t="s">
        <v>2928</v>
      </c>
      <c r="I311" s="14"/>
      <c r="J311" s="14"/>
      <c r="K311" s="14"/>
      <c r="L311" s="14">
        <v>120</v>
      </c>
      <c r="M311" s="14">
        <v>800</v>
      </c>
      <c r="N311" s="14">
        <v>5</v>
      </c>
      <c r="O311" s="14"/>
      <c r="P311" s="14" t="s">
        <v>2920</v>
      </c>
      <c r="Q311" s="14">
        <v>50</v>
      </c>
      <c r="R311" s="14" t="s">
        <v>3047</v>
      </c>
      <c r="S311" s="14"/>
      <c r="T311" s="14" t="s">
        <v>2920</v>
      </c>
      <c r="U311" s="14" t="s">
        <v>2920</v>
      </c>
      <c r="V311" s="15">
        <v>1.2600000000000001E-3</v>
      </c>
      <c r="W311" s="14" t="s">
        <v>2873</v>
      </c>
      <c r="X311" s="14"/>
      <c r="Y311" s="14"/>
      <c r="Z311" s="14"/>
      <c r="AA311" s="14"/>
      <c r="AB311" s="14"/>
      <c r="AC311" s="14"/>
      <c r="AD311" s="14"/>
      <c r="AE311" s="14"/>
      <c r="AF311" s="14"/>
      <c r="AG311" s="14"/>
      <c r="AH311" s="14" t="s">
        <v>3278</v>
      </c>
      <c r="AI311" s="14"/>
      <c r="AJ311" s="16">
        <v>0.74619000000000002</v>
      </c>
      <c r="AK311" s="14">
        <v>1</v>
      </c>
      <c r="AL311" s="14">
        <v>-5</v>
      </c>
      <c r="AM311" s="14">
        <v>5</v>
      </c>
      <c r="AN311" s="19">
        <v>0</v>
      </c>
      <c r="AO311" s="19">
        <v>1.8804E-4</v>
      </c>
      <c r="AP311" s="19">
        <v>0</v>
      </c>
      <c r="AQ311" s="19">
        <v>0</v>
      </c>
      <c r="AR311" s="19">
        <v>0</v>
      </c>
      <c r="AS311" s="19">
        <v>0</v>
      </c>
      <c r="AT311" s="19">
        <v>0</v>
      </c>
      <c r="AU311" s="19">
        <v>0</v>
      </c>
      <c r="AV311" s="19">
        <v>0</v>
      </c>
      <c r="AW311" s="19">
        <v>0</v>
      </c>
    </row>
    <row r="312" spans="1:49" ht="17" customHeight="1">
      <c r="A312" s="11" t="s">
        <v>3285</v>
      </c>
      <c r="B312" s="11" t="s">
        <v>3285</v>
      </c>
      <c r="C312" s="14" t="s">
        <v>2867</v>
      </c>
      <c r="D312" s="14" t="s">
        <v>2916</v>
      </c>
      <c r="E312" s="14" t="s">
        <v>2917</v>
      </c>
      <c r="F312" s="14" t="s">
        <v>2918</v>
      </c>
      <c r="G312" s="14"/>
      <c r="H312" s="14" t="s">
        <v>2928</v>
      </c>
      <c r="I312" s="14"/>
      <c r="J312" s="14"/>
      <c r="K312" s="14"/>
      <c r="L312" s="14">
        <v>120</v>
      </c>
      <c r="M312" s="14">
        <v>800</v>
      </c>
      <c r="N312" s="14">
        <v>5</v>
      </c>
      <c r="O312" s="14"/>
      <c r="P312" s="14" t="s">
        <v>2920</v>
      </c>
      <c r="Q312" s="14">
        <v>50</v>
      </c>
      <c r="R312" s="14" t="s">
        <v>3047</v>
      </c>
      <c r="S312" s="14"/>
      <c r="T312" s="14" t="s">
        <v>2920</v>
      </c>
      <c r="U312" s="14" t="s">
        <v>2920</v>
      </c>
      <c r="V312" s="15">
        <v>1.453333333333333E-3</v>
      </c>
      <c r="W312" s="14" t="s">
        <v>2873</v>
      </c>
      <c r="X312" s="14"/>
      <c r="Y312" s="14"/>
      <c r="Z312" s="14"/>
      <c r="AA312" s="14"/>
      <c r="AB312" s="14"/>
      <c r="AC312" s="14"/>
      <c r="AD312" s="14"/>
      <c r="AE312" s="14"/>
      <c r="AF312" s="14"/>
      <c r="AG312" s="14"/>
      <c r="AH312" s="14" t="s">
        <v>3279</v>
      </c>
      <c r="AI312" s="14"/>
      <c r="AJ312" s="16">
        <v>0.74619000000000002</v>
      </c>
      <c r="AK312" s="14">
        <v>1</v>
      </c>
      <c r="AL312" s="14">
        <v>-5</v>
      </c>
      <c r="AM312" s="14">
        <v>5</v>
      </c>
      <c r="AN312" s="19">
        <v>0</v>
      </c>
      <c r="AO312" s="19">
        <v>2.1688999999999999E-4</v>
      </c>
      <c r="AP312" s="19">
        <v>0</v>
      </c>
      <c r="AQ312" s="19">
        <v>0</v>
      </c>
      <c r="AR312" s="19">
        <v>0</v>
      </c>
      <c r="AS312" s="19">
        <v>0</v>
      </c>
      <c r="AT312" s="19">
        <v>0</v>
      </c>
      <c r="AU312" s="19">
        <v>0</v>
      </c>
      <c r="AV312" s="19">
        <v>0</v>
      </c>
      <c r="AW312" s="19">
        <v>0</v>
      </c>
    </row>
    <row r="313" spans="1:49" ht="17" customHeight="1">
      <c r="A313" s="11" t="s">
        <v>3286</v>
      </c>
      <c r="B313" s="11" t="s">
        <v>3286</v>
      </c>
      <c r="C313" s="14" t="s">
        <v>2867</v>
      </c>
      <c r="D313" s="14" t="s">
        <v>2916</v>
      </c>
      <c r="E313" s="14" t="s">
        <v>2917</v>
      </c>
      <c r="F313" s="14" t="s">
        <v>2918</v>
      </c>
      <c r="G313" s="14"/>
      <c r="H313" s="14" t="s">
        <v>2919</v>
      </c>
      <c r="I313" s="14"/>
      <c r="J313" s="14"/>
      <c r="K313" s="14"/>
      <c r="L313" s="14">
        <v>128</v>
      </c>
      <c r="M313" s="14">
        <v>200</v>
      </c>
      <c r="N313" s="14">
        <v>5</v>
      </c>
      <c r="O313" s="14"/>
      <c r="P313" s="14">
        <v>14.9</v>
      </c>
      <c r="Q313" s="14">
        <v>749</v>
      </c>
      <c r="R313" s="14">
        <v>2.6</v>
      </c>
      <c r="S313" s="14"/>
      <c r="T313" s="14">
        <v>195</v>
      </c>
      <c r="U313" s="14">
        <v>2.8</v>
      </c>
      <c r="V313" s="15">
        <v>2.41E-2</v>
      </c>
      <c r="W313" s="14" t="s">
        <v>2873</v>
      </c>
      <c r="X313" s="14"/>
      <c r="Y313" s="14"/>
      <c r="Z313" s="14"/>
      <c r="AA313" s="14"/>
      <c r="AB313" s="14"/>
      <c r="AC313" s="14"/>
      <c r="AD313" s="14"/>
      <c r="AE313" s="14"/>
      <c r="AF313" s="14"/>
      <c r="AG313" s="14"/>
      <c r="AH313" s="14" t="s">
        <v>3192</v>
      </c>
      <c r="AI313" s="14"/>
      <c r="AJ313" s="16">
        <v>0.36836999999999998</v>
      </c>
      <c r="AK313" s="14">
        <v>1</v>
      </c>
      <c r="AL313" s="14">
        <v>-5</v>
      </c>
      <c r="AM313" s="14">
        <v>5</v>
      </c>
      <c r="AN313" s="19">
        <v>0</v>
      </c>
      <c r="AO313" s="19">
        <v>1.7755399999999999E-3</v>
      </c>
      <c r="AP313" s="19">
        <v>0</v>
      </c>
      <c r="AQ313" s="19">
        <v>0</v>
      </c>
      <c r="AR313" s="19">
        <v>0</v>
      </c>
      <c r="AS313" s="19">
        <v>0</v>
      </c>
      <c r="AT313" s="19">
        <v>0</v>
      </c>
      <c r="AU313" s="19">
        <v>0</v>
      </c>
      <c r="AV313" s="19">
        <v>0</v>
      </c>
      <c r="AW313" s="19">
        <v>0</v>
      </c>
    </row>
    <row r="314" spans="1:49" ht="17" customHeight="1">
      <c r="A314" s="11" t="s">
        <v>3287</v>
      </c>
      <c r="B314" s="11" t="s">
        <v>3287</v>
      </c>
      <c r="C314" s="14" t="s">
        <v>2867</v>
      </c>
      <c r="D314" s="14" t="s">
        <v>2916</v>
      </c>
      <c r="E314" s="14" t="s">
        <v>2917</v>
      </c>
      <c r="F314" s="14" t="s">
        <v>2918</v>
      </c>
      <c r="G314" s="14"/>
      <c r="H314" s="14" t="s">
        <v>2919</v>
      </c>
      <c r="I314" s="14"/>
      <c r="J314" s="14"/>
      <c r="K314" s="14"/>
      <c r="L314" s="14">
        <v>128</v>
      </c>
      <c r="M314" s="14">
        <v>200</v>
      </c>
      <c r="N314" s="14">
        <v>5</v>
      </c>
      <c r="O314" s="14"/>
      <c r="P314" s="14">
        <v>14.9</v>
      </c>
      <c r="Q314" s="14">
        <v>749</v>
      </c>
      <c r="R314" s="14">
        <v>2.6</v>
      </c>
      <c r="S314" s="14"/>
      <c r="T314" s="14">
        <v>195</v>
      </c>
      <c r="U314" s="14">
        <v>2.8</v>
      </c>
      <c r="V314" s="15">
        <v>2.41E-2</v>
      </c>
      <c r="W314" s="14" t="s">
        <v>2873</v>
      </c>
      <c r="X314" s="14"/>
      <c r="Y314" s="14"/>
      <c r="Z314" s="14"/>
      <c r="AA314" s="14"/>
      <c r="AB314" s="14"/>
      <c r="AC314" s="14"/>
      <c r="AD314" s="14"/>
      <c r="AE314" s="14"/>
      <c r="AF314" s="14"/>
      <c r="AG314" s="14"/>
      <c r="AH314" s="14" t="s">
        <v>3192</v>
      </c>
      <c r="AI314" s="14"/>
      <c r="AJ314" s="16">
        <v>0.36836999999999998</v>
      </c>
      <c r="AK314" s="14">
        <v>1</v>
      </c>
      <c r="AL314" s="14">
        <v>-5</v>
      </c>
      <c r="AM314" s="14">
        <v>5</v>
      </c>
      <c r="AN314" s="19">
        <v>0</v>
      </c>
      <c r="AO314" s="19">
        <v>1.7755399999999999E-3</v>
      </c>
      <c r="AP314" s="19">
        <v>0</v>
      </c>
      <c r="AQ314" s="19">
        <v>0</v>
      </c>
      <c r="AR314" s="19">
        <v>0</v>
      </c>
      <c r="AS314" s="19">
        <v>0</v>
      </c>
      <c r="AT314" s="19">
        <v>0</v>
      </c>
      <c r="AU314" s="19">
        <v>0</v>
      </c>
      <c r="AV314" s="19">
        <v>0</v>
      </c>
      <c r="AW314" s="19">
        <v>0</v>
      </c>
    </row>
    <row r="315" spans="1:49" ht="17" customHeight="1">
      <c r="A315" s="11" t="s">
        <v>3283</v>
      </c>
      <c r="B315" s="11" t="s">
        <v>3283</v>
      </c>
      <c r="C315" s="14" t="s">
        <v>2867</v>
      </c>
      <c r="D315" s="14" t="s">
        <v>2916</v>
      </c>
      <c r="E315" s="14" t="s">
        <v>2917</v>
      </c>
      <c r="F315" s="14" t="s">
        <v>2918</v>
      </c>
      <c r="G315" s="14"/>
      <c r="H315" s="14" t="s">
        <v>2919</v>
      </c>
      <c r="I315" s="14"/>
      <c r="J315" s="14"/>
      <c r="K315" s="14"/>
      <c r="L315" s="14">
        <v>35</v>
      </c>
      <c r="M315" s="14">
        <v>150</v>
      </c>
      <c r="N315" s="14">
        <v>20</v>
      </c>
      <c r="O315" s="14"/>
      <c r="P315" s="14">
        <v>5</v>
      </c>
      <c r="Q315" s="14">
        <v>108</v>
      </c>
      <c r="R315" s="14" t="s">
        <v>3020</v>
      </c>
      <c r="S315" s="14"/>
      <c r="T315" s="14" t="s">
        <v>2920</v>
      </c>
      <c r="U315" s="14">
        <v>0.25</v>
      </c>
      <c r="V315" s="15">
        <v>8.8999999999999996E-2</v>
      </c>
      <c r="W315" s="14" t="s">
        <v>2873</v>
      </c>
      <c r="X315" s="14"/>
      <c r="Y315" s="14"/>
      <c r="Z315" s="14"/>
      <c r="AA315" s="14"/>
      <c r="AB315" s="14"/>
      <c r="AC315" s="14"/>
      <c r="AD315" s="14"/>
      <c r="AE315" s="14"/>
      <c r="AF315" s="14"/>
      <c r="AG315" s="14"/>
      <c r="AH315" s="14" t="s">
        <v>3283</v>
      </c>
      <c r="AI315" s="14"/>
      <c r="AJ315" s="16">
        <v>0.18626200000000001</v>
      </c>
      <c r="AK315" s="14">
        <v>1</v>
      </c>
      <c r="AL315" s="14">
        <v>-20</v>
      </c>
      <c r="AM315" s="14">
        <v>20</v>
      </c>
      <c r="AN315" s="19">
        <v>0</v>
      </c>
      <c r="AO315" s="19">
        <v>8.2887E-4</v>
      </c>
      <c r="AP315" s="19">
        <v>0</v>
      </c>
      <c r="AQ315" s="19">
        <v>0</v>
      </c>
      <c r="AR315" s="19">
        <v>0</v>
      </c>
      <c r="AS315" s="19">
        <v>0</v>
      </c>
      <c r="AT315" s="19">
        <v>0</v>
      </c>
      <c r="AU315" s="19">
        <v>0</v>
      </c>
      <c r="AV315" s="19">
        <v>0</v>
      </c>
      <c r="AW315" s="19">
        <v>0</v>
      </c>
    </row>
    <row r="316" spans="1:49" ht="17" customHeight="1">
      <c r="A316" s="11" t="s">
        <v>3288</v>
      </c>
      <c r="B316" s="11" t="s">
        <v>3288</v>
      </c>
      <c r="C316" s="14" t="s">
        <v>2867</v>
      </c>
      <c r="D316" s="14" t="s">
        <v>2916</v>
      </c>
      <c r="E316" s="14" t="s">
        <v>2917</v>
      </c>
      <c r="F316" s="14" t="s">
        <v>2918</v>
      </c>
      <c r="G316" s="14"/>
      <c r="H316" s="14" t="s">
        <v>2919</v>
      </c>
      <c r="I316" s="14"/>
      <c r="J316" s="14"/>
      <c r="K316" s="14"/>
      <c r="L316" s="14">
        <v>35</v>
      </c>
      <c r="M316" s="14">
        <v>150</v>
      </c>
      <c r="N316" s="14">
        <v>20</v>
      </c>
      <c r="O316" s="14"/>
      <c r="P316" s="14">
        <v>5</v>
      </c>
      <c r="Q316" s="14">
        <v>108</v>
      </c>
      <c r="R316" s="14" t="s">
        <v>3020</v>
      </c>
      <c r="S316" s="14"/>
      <c r="T316" s="14" t="s">
        <v>2920</v>
      </c>
      <c r="U316" s="14">
        <v>0.25</v>
      </c>
      <c r="V316" s="15">
        <v>8.8999999999999996E-2</v>
      </c>
      <c r="W316" s="14" t="s">
        <v>2873</v>
      </c>
      <c r="X316" s="14"/>
      <c r="Y316" s="14"/>
      <c r="Z316" s="14"/>
      <c r="AA316" s="14"/>
      <c r="AB316" s="14"/>
      <c r="AC316" s="14"/>
      <c r="AD316" s="14"/>
      <c r="AE316" s="14"/>
      <c r="AF316" s="14"/>
      <c r="AG316" s="14"/>
      <c r="AH316" s="18" t="s">
        <v>3283</v>
      </c>
      <c r="AI316" s="14"/>
      <c r="AJ316" s="16">
        <v>0.18626200000000001</v>
      </c>
      <c r="AK316" s="14">
        <v>1</v>
      </c>
      <c r="AL316" s="14">
        <v>-20</v>
      </c>
      <c r="AM316" s="14">
        <v>20</v>
      </c>
      <c r="AN316" s="19">
        <v>0</v>
      </c>
      <c r="AO316" s="19">
        <v>8.2887E-4</v>
      </c>
      <c r="AP316" s="19">
        <v>0</v>
      </c>
      <c r="AQ316" s="19">
        <v>0</v>
      </c>
      <c r="AR316" s="19">
        <v>0</v>
      </c>
      <c r="AS316" s="19">
        <v>0</v>
      </c>
      <c r="AT316" s="19">
        <v>0</v>
      </c>
      <c r="AU316" s="19">
        <v>0</v>
      </c>
      <c r="AV316" s="19">
        <v>0</v>
      </c>
      <c r="AW316" s="19">
        <v>0</v>
      </c>
    </row>
    <row r="317" spans="1:49" ht="17" customHeight="1">
      <c r="A317" s="11" t="s">
        <v>3289</v>
      </c>
      <c r="B317" s="11" t="s">
        <v>3289</v>
      </c>
      <c r="C317" s="18" t="s">
        <v>2867</v>
      </c>
      <c r="D317" s="18" t="s">
        <v>2916</v>
      </c>
      <c r="E317" s="18" t="s">
        <v>2917</v>
      </c>
      <c r="F317" s="18" t="s">
        <v>2918</v>
      </c>
      <c r="G317" s="14"/>
      <c r="H317" s="18" t="s">
        <v>2919</v>
      </c>
      <c r="I317" s="14"/>
      <c r="J317" s="14"/>
      <c r="K317" s="14"/>
      <c r="L317" s="18">
        <v>35</v>
      </c>
      <c r="M317" s="18">
        <v>150</v>
      </c>
      <c r="N317" s="18">
        <v>16</v>
      </c>
      <c r="O317" s="14"/>
      <c r="P317" s="18" t="s">
        <v>2920</v>
      </c>
      <c r="Q317" s="18" t="s">
        <v>2920</v>
      </c>
      <c r="R317" s="18" t="s">
        <v>2920</v>
      </c>
      <c r="S317" s="18"/>
      <c r="T317" s="18" t="s">
        <v>2920</v>
      </c>
      <c r="U317" s="18" t="s">
        <v>2920</v>
      </c>
      <c r="V317" s="20">
        <v>5.6800000000000003E-2</v>
      </c>
      <c r="W317" s="18" t="s">
        <v>2873</v>
      </c>
      <c r="X317" s="14"/>
      <c r="Y317" s="14"/>
      <c r="Z317" s="14"/>
      <c r="AA317" s="14"/>
      <c r="AB317" s="14"/>
      <c r="AC317" s="14"/>
      <c r="AD317" s="14"/>
      <c r="AE317" s="14"/>
      <c r="AF317" s="14"/>
      <c r="AG317" s="14"/>
      <c r="AH317" s="18" t="s">
        <v>3290</v>
      </c>
      <c r="AI317" s="14"/>
      <c r="AJ317" s="21">
        <v>0.18992999999999999</v>
      </c>
      <c r="AK317" s="18">
        <v>1</v>
      </c>
      <c r="AL317" s="18">
        <v>-16</v>
      </c>
      <c r="AM317" s="18">
        <v>16</v>
      </c>
      <c r="AN317" s="17">
        <v>0</v>
      </c>
      <c r="AO317" s="17">
        <v>6.7425000000000004E-4</v>
      </c>
      <c r="AP317" s="19">
        <v>0</v>
      </c>
      <c r="AQ317" s="19">
        <v>0</v>
      </c>
      <c r="AR317" s="19">
        <v>0</v>
      </c>
      <c r="AS317" s="19">
        <v>0</v>
      </c>
      <c r="AT317" s="19">
        <v>0</v>
      </c>
      <c r="AU317" s="19">
        <v>0</v>
      </c>
      <c r="AV317" s="19">
        <v>0</v>
      </c>
      <c r="AW317" s="19">
        <v>0</v>
      </c>
    </row>
    <row r="318" spans="1:49" ht="17" customHeight="1">
      <c r="A318" s="11" t="s">
        <v>3291</v>
      </c>
      <c r="B318" s="11" t="s">
        <v>3291</v>
      </c>
      <c r="C318" s="18" t="s">
        <v>2867</v>
      </c>
      <c r="D318" s="18" t="s">
        <v>2916</v>
      </c>
      <c r="E318" s="18" t="s">
        <v>2917</v>
      </c>
      <c r="F318" s="18" t="s">
        <v>2918</v>
      </c>
      <c r="G318" s="14"/>
      <c r="H318" s="18" t="s">
        <v>2919</v>
      </c>
      <c r="I318" s="14"/>
      <c r="J318" s="14"/>
      <c r="K318" s="14"/>
      <c r="L318" s="18">
        <v>35</v>
      </c>
      <c r="M318" s="18">
        <v>150</v>
      </c>
      <c r="N318" s="18">
        <v>16</v>
      </c>
      <c r="O318" s="14"/>
      <c r="P318" s="18" t="s">
        <v>2920</v>
      </c>
      <c r="Q318" s="18" t="s">
        <v>2920</v>
      </c>
      <c r="R318" s="18" t="s">
        <v>2920</v>
      </c>
      <c r="S318" s="18"/>
      <c r="T318" s="18" t="s">
        <v>2920</v>
      </c>
      <c r="U318" s="18" t="s">
        <v>2920</v>
      </c>
      <c r="V318" s="20">
        <v>5.6800000000000003E-2</v>
      </c>
      <c r="W318" s="18" t="s">
        <v>2873</v>
      </c>
      <c r="X318" s="14"/>
      <c r="Y318" s="14"/>
      <c r="Z318" s="14"/>
      <c r="AA318" s="14"/>
      <c r="AB318" s="14"/>
      <c r="AC318" s="14"/>
      <c r="AD318" s="14"/>
      <c r="AE318" s="14"/>
      <c r="AF318" s="14"/>
      <c r="AG318" s="14"/>
      <c r="AH318" s="18" t="s">
        <v>3290</v>
      </c>
      <c r="AI318" s="14"/>
      <c r="AJ318" s="21">
        <v>0.18992999999999999</v>
      </c>
      <c r="AK318" s="18">
        <v>1</v>
      </c>
      <c r="AL318" s="18">
        <v>-16</v>
      </c>
      <c r="AM318" s="18">
        <v>16</v>
      </c>
      <c r="AN318" s="17">
        <v>0</v>
      </c>
      <c r="AO318" s="17">
        <v>6.7425000000000004E-4</v>
      </c>
      <c r="AP318" s="19">
        <v>0</v>
      </c>
      <c r="AQ318" s="19">
        <v>0</v>
      </c>
      <c r="AR318" s="19">
        <v>0</v>
      </c>
      <c r="AS318" s="19">
        <v>0</v>
      </c>
      <c r="AT318" s="19">
        <v>0</v>
      </c>
      <c r="AU318" s="19">
        <v>0</v>
      </c>
      <c r="AV318" s="19">
        <v>0</v>
      </c>
      <c r="AW318" s="19">
        <v>0</v>
      </c>
    </row>
    <row r="319" spans="1:49" ht="17" customHeight="1">
      <c r="A319" s="11" t="s">
        <v>3292</v>
      </c>
      <c r="B319" s="11" t="s">
        <v>3292</v>
      </c>
      <c r="C319" s="18" t="s">
        <v>2867</v>
      </c>
      <c r="D319" s="18" t="s">
        <v>2916</v>
      </c>
      <c r="E319" s="18" t="s">
        <v>2917</v>
      </c>
      <c r="F319" s="18" t="s">
        <v>2918</v>
      </c>
      <c r="G319" s="14"/>
      <c r="H319" s="18" t="s">
        <v>2948</v>
      </c>
      <c r="I319" s="14"/>
      <c r="J319" s="14"/>
      <c r="K319" s="14"/>
      <c r="L319" s="18">
        <v>70</v>
      </c>
      <c r="M319" s="18">
        <v>305</v>
      </c>
      <c r="N319" s="18">
        <v>5</v>
      </c>
      <c r="O319" s="14"/>
      <c r="P319" s="18">
        <v>5.1849999999999996</v>
      </c>
      <c r="Q319" s="18">
        <v>212</v>
      </c>
      <c r="R319" s="18" t="s">
        <v>2936</v>
      </c>
      <c r="S319" s="18"/>
      <c r="T319" s="18">
        <v>22.5</v>
      </c>
      <c r="U319" s="18">
        <v>1.0369999999999999</v>
      </c>
      <c r="V319" s="20">
        <v>1.4460000000000001E-2</v>
      </c>
      <c r="W319" s="18" t="s">
        <v>2873</v>
      </c>
      <c r="X319" s="14"/>
      <c r="Y319" s="14"/>
      <c r="Z319" s="14"/>
      <c r="AA319" s="14"/>
      <c r="AB319" s="14"/>
      <c r="AC319" s="14"/>
      <c r="AD319" s="14"/>
      <c r="AE319" s="14"/>
      <c r="AF319" s="14"/>
      <c r="AG319" s="14"/>
      <c r="AH319" s="18" t="s">
        <v>3293</v>
      </c>
      <c r="AI319" s="14"/>
      <c r="AJ319" s="21">
        <v>0.22205</v>
      </c>
      <c r="AK319" s="18">
        <v>1</v>
      </c>
      <c r="AL319" s="18">
        <v>-5</v>
      </c>
      <c r="AM319" s="18">
        <v>5</v>
      </c>
      <c r="AN319" s="17">
        <v>0</v>
      </c>
      <c r="AO319" s="17">
        <v>6.4216999999999996E-4</v>
      </c>
      <c r="AP319" s="19">
        <v>0</v>
      </c>
      <c r="AQ319" s="19">
        <v>0</v>
      </c>
      <c r="AR319" s="19">
        <v>0</v>
      </c>
      <c r="AS319" s="19">
        <v>0</v>
      </c>
      <c r="AT319" s="19">
        <v>0</v>
      </c>
      <c r="AU319" s="19">
        <v>0</v>
      </c>
      <c r="AV319" s="19">
        <v>0</v>
      </c>
      <c r="AW319" s="19">
        <v>0</v>
      </c>
    </row>
    <row r="320" spans="1:49" ht="17" customHeight="1">
      <c r="A320" s="11" t="s">
        <v>3294</v>
      </c>
      <c r="B320" s="11" t="s">
        <v>3294</v>
      </c>
      <c r="C320" s="18" t="s">
        <v>2867</v>
      </c>
      <c r="D320" s="18" t="s">
        <v>2916</v>
      </c>
      <c r="E320" s="18" t="s">
        <v>2917</v>
      </c>
      <c r="F320" s="18" t="s">
        <v>2918</v>
      </c>
      <c r="G320" s="14"/>
      <c r="H320" s="18" t="s">
        <v>2948</v>
      </c>
      <c r="I320" s="14"/>
      <c r="J320" s="14"/>
      <c r="K320" s="14"/>
      <c r="L320" s="18">
        <v>70</v>
      </c>
      <c r="M320" s="18">
        <v>305</v>
      </c>
      <c r="N320" s="18">
        <v>5</v>
      </c>
      <c r="O320" s="14"/>
      <c r="P320" s="18">
        <v>5.1849999999999996</v>
      </c>
      <c r="Q320" s="18">
        <v>212</v>
      </c>
      <c r="R320" s="18" t="s">
        <v>2936</v>
      </c>
      <c r="S320" s="18"/>
      <c r="T320" s="18">
        <v>22.5</v>
      </c>
      <c r="U320" s="18">
        <v>1.0369999999999999</v>
      </c>
      <c r="V320" s="20">
        <v>1.4460000000000001E-2</v>
      </c>
      <c r="W320" s="18" t="s">
        <v>2873</v>
      </c>
      <c r="X320" s="14"/>
      <c r="Y320" s="14"/>
      <c r="Z320" s="14"/>
      <c r="AA320" s="14"/>
      <c r="AB320" s="14"/>
      <c r="AC320" s="14"/>
      <c r="AD320" s="14"/>
      <c r="AE320" s="14"/>
      <c r="AF320" s="14"/>
      <c r="AG320" s="14"/>
      <c r="AH320" s="18" t="s">
        <v>3293</v>
      </c>
      <c r="AI320" s="14"/>
      <c r="AJ320" s="21">
        <v>0.22205</v>
      </c>
      <c r="AK320" s="18">
        <v>1</v>
      </c>
      <c r="AL320" s="18">
        <v>-5</v>
      </c>
      <c r="AM320" s="18">
        <v>5</v>
      </c>
      <c r="AN320" s="17">
        <v>0</v>
      </c>
      <c r="AO320" s="17">
        <v>6.4216999999999996E-4</v>
      </c>
      <c r="AP320" s="19">
        <v>0</v>
      </c>
      <c r="AQ320" s="19">
        <v>0</v>
      </c>
      <c r="AR320" s="19">
        <v>0</v>
      </c>
      <c r="AS320" s="19">
        <v>0</v>
      </c>
      <c r="AT320" s="19">
        <v>0</v>
      </c>
      <c r="AU320" s="19">
        <v>0</v>
      </c>
      <c r="AV320" s="19">
        <v>0</v>
      </c>
      <c r="AW320" s="19">
        <v>0</v>
      </c>
    </row>
    <row r="321" spans="1:49" ht="17" customHeight="1">
      <c r="A321" s="11" t="s">
        <v>3295</v>
      </c>
      <c r="B321" s="11" t="s">
        <v>3295</v>
      </c>
      <c r="C321" s="18" t="s">
        <v>2867</v>
      </c>
      <c r="D321" s="18" t="s">
        <v>2916</v>
      </c>
      <c r="E321" s="18" t="s">
        <v>2917</v>
      </c>
      <c r="F321" s="18" t="s">
        <v>2918</v>
      </c>
      <c r="G321" s="14"/>
      <c r="H321" s="18" t="s">
        <v>2948</v>
      </c>
      <c r="I321" s="14"/>
      <c r="J321" s="14"/>
      <c r="K321" s="14"/>
      <c r="L321" s="18">
        <v>70</v>
      </c>
      <c r="M321" s="18">
        <v>305</v>
      </c>
      <c r="N321" s="18">
        <v>5</v>
      </c>
      <c r="O321" s="14"/>
      <c r="P321" s="18">
        <v>5.1849999999999996</v>
      </c>
      <c r="Q321" s="18">
        <v>212</v>
      </c>
      <c r="R321" s="18" t="s">
        <v>2936</v>
      </c>
      <c r="S321" s="18"/>
      <c r="T321" s="18">
        <v>22.5</v>
      </c>
      <c r="U321" s="18">
        <v>1.0369999999999999</v>
      </c>
      <c r="V321" s="20">
        <v>1.4460000000000001E-2</v>
      </c>
      <c r="W321" s="18" t="s">
        <v>2873</v>
      </c>
      <c r="X321" s="14"/>
      <c r="Y321" s="14"/>
      <c r="Z321" s="14"/>
      <c r="AA321" s="14"/>
      <c r="AB321" s="14"/>
      <c r="AC321" s="14"/>
      <c r="AD321" s="14"/>
      <c r="AE321" s="14"/>
      <c r="AF321" s="14"/>
      <c r="AG321" s="14"/>
      <c r="AH321" s="18" t="s">
        <v>3293</v>
      </c>
      <c r="AI321" s="14"/>
      <c r="AJ321" s="21">
        <v>0.22205</v>
      </c>
      <c r="AK321" s="18">
        <v>1</v>
      </c>
      <c r="AL321" s="18">
        <v>-5</v>
      </c>
      <c r="AM321" s="18">
        <v>5</v>
      </c>
      <c r="AN321" s="17">
        <v>0</v>
      </c>
      <c r="AO321" s="17">
        <v>6.4216999999999996E-4</v>
      </c>
      <c r="AP321" s="19">
        <v>0</v>
      </c>
      <c r="AQ321" s="19">
        <v>0</v>
      </c>
      <c r="AR321" s="19">
        <v>0</v>
      </c>
      <c r="AS321" s="19">
        <v>0</v>
      </c>
      <c r="AT321" s="19">
        <v>0</v>
      </c>
      <c r="AU321" s="19">
        <v>0</v>
      </c>
      <c r="AV321" s="19">
        <v>0</v>
      </c>
      <c r="AW321" s="19">
        <v>0</v>
      </c>
    </row>
    <row r="322" spans="1:49" ht="17" customHeight="1">
      <c r="A322" s="11" t="s">
        <v>3296</v>
      </c>
      <c r="B322" s="11" t="s">
        <v>3296</v>
      </c>
      <c r="C322" s="18" t="s">
        <v>2867</v>
      </c>
      <c r="D322" s="18" t="s">
        <v>2916</v>
      </c>
      <c r="E322" s="18" t="s">
        <v>2917</v>
      </c>
      <c r="F322" s="18" t="s">
        <v>2918</v>
      </c>
      <c r="G322" s="14"/>
      <c r="H322" s="18" t="s">
        <v>2948</v>
      </c>
      <c r="I322" s="14"/>
      <c r="J322" s="14"/>
      <c r="K322" s="14"/>
      <c r="L322" s="18">
        <v>70</v>
      </c>
      <c r="M322" s="18">
        <v>305</v>
      </c>
      <c r="N322" s="18">
        <v>5</v>
      </c>
      <c r="O322" s="14"/>
      <c r="P322" s="18">
        <v>5.1849999999999996</v>
      </c>
      <c r="Q322" s="18">
        <v>212</v>
      </c>
      <c r="R322" s="18" t="s">
        <v>2936</v>
      </c>
      <c r="S322" s="18"/>
      <c r="T322" s="18">
        <v>22.5</v>
      </c>
      <c r="U322" s="18">
        <v>1.0369999999999999</v>
      </c>
      <c r="V322" s="20">
        <v>1.4460000000000001E-2</v>
      </c>
      <c r="W322" s="18" t="s">
        <v>2873</v>
      </c>
      <c r="X322" s="14"/>
      <c r="Y322" s="14"/>
      <c r="Z322" s="14"/>
      <c r="AA322" s="14"/>
      <c r="AB322" s="14"/>
      <c r="AC322" s="14"/>
      <c r="AD322" s="14"/>
      <c r="AE322" s="14"/>
      <c r="AF322" s="14"/>
      <c r="AG322" s="14"/>
      <c r="AH322" s="18" t="s">
        <v>3293</v>
      </c>
      <c r="AI322" s="14"/>
      <c r="AJ322" s="21">
        <v>0.22205</v>
      </c>
      <c r="AK322" s="18">
        <v>1</v>
      </c>
      <c r="AL322" s="18">
        <v>-5</v>
      </c>
      <c r="AM322" s="18">
        <v>5</v>
      </c>
      <c r="AN322" s="17">
        <v>0</v>
      </c>
      <c r="AO322" s="17">
        <v>6.4216999999999996E-4</v>
      </c>
      <c r="AP322" s="19">
        <v>0</v>
      </c>
      <c r="AQ322" s="19">
        <v>0</v>
      </c>
      <c r="AR322" s="19">
        <v>0</v>
      </c>
      <c r="AS322" s="19">
        <v>0</v>
      </c>
      <c r="AT322" s="19">
        <v>0</v>
      </c>
      <c r="AU322" s="19">
        <v>0</v>
      </c>
      <c r="AV322" s="19">
        <v>0</v>
      </c>
      <c r="AW322" s="19">
        <v>0</v>
      </c>
    </row>
    <row r="323" spans="1:49" ht="17" customHeight="1">
      <c r="A323" s="11" t="s">
        <v>3297</v>
      </c>
      <c r="B323" s="11" t="s">
        <v>3297</v>
      </c>
      <c r="C323" s="18" t="s">
        <v>2867</v>
      </c>
      <c r="D323" s="18" t="s">
        <v>2916</v>
      </c>
      <c r="E323" s="18" t="s">
        <v>2917</v>
      </c>
      <c r="F323" s="18" t="s">
        <v>2918</v>
      </c>
      <c r="G323" s="14"/>
      <c r="H323" s="18" t="s">
        <v>2948</v>
      </c>
      <c r="I323" s="14"/>
      <c r="J323" s="14"/>
      <c r="K323" s="14"/>
      <c r="L323" s="18">
        <v>72</v>
      </c>
      <c r="M323" s="18">
        <v>150</v>
      </c>
      <c r="N323" s="18">
        <v>10</v>
      </c>
      <c r="O323" s="14"/>
      <c r="P323" s="18">
        <v>427.8</v>
      </c>
      <c r="Q323" s="18">
        <v>26</v>
      </c>
      <c r="R323" s="18" t="s">
        <v>3020</v>
      </c>
      <c r="S323" s="18"/>
      <c r="T323" s="18">
        <v>2.4409999999999998</v>
      </c>
      <c r="U323" s="18">
        <v>71.3</v>
      </c>
      <c r="V323" s="20">
        <v>9.0400000000000012E-3</v>
      </c>
      <c r="W323" s="18" t="s">
        <v>2873</v>
      </c>
      <c r="X323" s="14"/>
      <c r="Y323" s="14"/>
      <c r="Z323" s="14"/>
      <c r="AA323" s="14"/>
      <c r="AB323" s="14"/>
      <c r="AC323" s="14"/>
      <c r="AD323" s="14"/>
      <c r="AE323" s="14"/>
      <c r="AF323" s="14"/>
      <c r="AG323" s="14"/>
      <c r="AH323" s="18" t="s">
        <v>3297</v>
      </c>
      <c r="AI323" s="14"/>
      <c r="AJ323" s="21">
        <v>0.2115242616472546</v>
      </c>
      <c r="AK323" s="18">
        <v>1</v>
      </c>
      <c r="AL323" s="18">
        <v>-10</v>
      </c>
      <c r="AM323" s="18">
        <v>10</v>
      </c>
      <c r="AN323" s="17">
        <v>0</v>
      </c>
      <c r="AO323" s="17">
        <v>1.9122E-4</v>
      </c>
      <c r="AP323" s="19">
        <v>0</v>
      </c>
      <c r="AQ323" s="19">
        <v>0</v>
      </c>
      <c r="AR323" s="19">
        <v>0</v>
      </c>
      <c r="AS323" s="19">
        <v>0</v>
      </c>
      <c r="AT323" s="19">
        <v>0</v>
      </c>
      <c r="AU323" s="19">
        <v>0</v>
      </c>
      <c r="AV323" s="19">
        <v>0</v>
      </c>
      <c r="AW323" s="19">
        <v>0</v>
      </c>
    </row>
    <row r="324" spans="1:49" ht="17" customHeight="1">
      <c r="A324" s="11" t="s">
        <v>3298</v>
      </c>
      <c r="B324" s="11" t="s">
        <v>3298</v>
      </c>
      <c r="C324" s="18" t="s">
        <v>2867</v>
      </c>
      <c r="D324" s="18" t="s">
        <v>2916</v>
      </c>
      <c r="E324" s="18" t="s">
        <v>2917</v>
      </c>
      <c r="F324" s="18" t="s">
        <v>2918</v>
      </c>
      <c r="G324" s="14"/>
      <c r="H324" s="18" t="s">
        <v>2948</v>
      </c>
      <c r="I324" s="14"/>
      <c r="J324" s="14"/>
      <c r="K324" s="14"/>
      <c r="L324" s="18">
        <v>72</v>
      </c>
      <c r="M324" s="18">
        <v>150</v>
      </c>
      <c r="N324" s="18">
        <v>10</v>
      </c>
      <c r="O324" s="14"/>
      <c r="P324" s="18">
        <v>427.8</v>
      </c>
      <c r="Q324" s="18">
        <v>26</v>
      </c>
      <c r="R324" s="18" t="s">
        <v>3020</v>
      </c>
      <c r="S324" s="18"/>
      <c r="T324" s="18">
        <v>2.4409999999999998</v>
      </c>
      <c r="U324" s="18">
        <v>71.3</v>
      </c>
      <c r="V324" s="20">
        <v>9.0400000000000012E-3</v>
      </c>
      <c r="W324" s="18" t="s">
        <v>2873</v>
      </c>
      <c r="X324" s="14"/>
      <c r="Y324" s="14"/>
      <c r="Z324" s="14"/>
      <c r="AA324" s="14"/>
      <c r="AB324" s="14"/>
      <c r="AC324" s="14"/>
      <c r="AD324" s="14"/>
      <c r="AE324" s="14"/>
      <c r="AF324" s="14"/>
      <c r="AG324" s="14"/>
      <c r="AH324" s="18" t="s">
        <v>3297</v>
      </c>
      <c r="AI324" s="14"/>
      <c r="AJ324" s="21">
        <v>0.2115242616472546</v>
      </c>
      <c r="AK324" s="18">
        <v>1</v>
      </c>
      <c r="AL324" s="18">
        <v>-10</v>
      </c>
      <c r="AM324" s="18">
        <v>10</v>
      </c>
      <c r="AN324" s="17">
        <v>0</v>
      </c>
      <c r="AO324" s="17">
        <v>1.9122E-4</v>
      </c>
      <c r="AP324" s="19">
        <v>0</v>
      </c>
      <c r="AQ324" s="19">
        <v>0</v>
      </c>
      <c r="AR324" s="19">
        <v>0</v>
      </c>
      <c r="AS324" s="19">
        <v>0</v>
      </c>
      <c r="AT324" s="19">
        <v>0</v>
      </c>
      <c r="AU324" s="19">
        <v>0</v>
      </c>
      <c r="AV324" s="19">
        <v>0</v>
      </c>
      <c r="AW324" s="19">
        <v>0</v>
      </c>
    </row>
    <row r="325" spans="1:49" ht="17" customHeight="1">
      <c r="A325" s="11" t="s">
        <v>3299</v>
      </c>
      <c r="B325" s="11" t="s">
        <v>3299</v>
      </c>
      <c r="C325" s="18" t="s">
        <v>2867</v>
      </c>
      <c r="D325" s="18" t="s">
        <v>2916</v>
      </c>
      <c r="E325" s="18" t="s">
        <v>3300</v>
      </c>
      <c r="F325" s="18" t="s">
        <v>2918</v>
      </c>
      <c r="G325" s="14"/>
      <c r="H325" s="18" t="s">
        <v>3301</v>
      </c>
      <c r="I325" s="14"/>
      <c r="J325" s="14"/>
      <c r="K325" s="14" t="s">
        <v>3302</v>
      </c>
      <c r="L325" s="18">
        <v>68</v>
      </c>
      <c r="M325" s="18">
        <v>160</v>
      </c>
      <c r="N325" s="18">
        <v>80</v>
      </c>
      <c r="O325" s="14">
        <v>432</v>
      </c>
      <c r="P325" s="18">
        <v>8.007200000000001</v>
      </c>
      <c r="Q325" s="18">
        <v>55</v>
      </c>
      <c r="R325" s="18" t="s">
        <v>3303</v>
      </c>
      <c r="S325" s="18"/>
      <c r="T325" s="18">
        <v>31.9</v>
      </c>
      <c r="U325" s="18">
        <v>100.09</v>
      </c>
      <c r="V325" s="20">
        <v>10.71652431369581</v>
      </c>
      <c r="W325" s="18" t="s">
        <v>2954</v>
      </c>
      <c r="X325" s="14"/>
      <c r="Y325" s="14"/>
      <c r="Z325" s="14"/>
      <c r="AA325" s="14"/>
      <c r="AB325" s="14"/>
      <c r="AC325" s="14"/>
      <c r="AD325" s="14"/>
      <c r="AE325" s="14"/>
      <c r="AF325" s="14"/>
      <c r="AG325" s="14"/>
      <c r="AH325" s="18" t="s">
        <v>3299</v>
      </c>
      <c r="AI325" s="14"/>
      <c r="AJ325" s="21">
        <v>0.18096930014326709</v>
      </c>
      <c r="AK325" s="18">
        <v>1</v>
      </c>
      <c r="AL325" s="18">
        <v>0</v>
      </c>
      <c r="AM325" s="18">
        <v>80</v>
      </c>
      <c r="AN325" s="17">
        <v>7.49101438E-3</v>
      </c>
      <c r="AO325" s="17">
        <v>2.43101789E-2</v>
      </c>
      <c r="AP325" s="19">
        <v>3.2742900699999999E-6</v>
      </c>
      <c r="AQ325" s="19">
        <v>-4.5352594300000001E-9</v>
      </c>
      <c r="AR325" s="19">
        <v>1.1686997E-9</v>
      </c>
      <c r="AS325" s="19">
        <v>-1.3761722699999999E-10</v>
      </c>
      <c r="AT325" s="19">
        <v>2.6756854299999999E-12</v>
      </c>
      <c r="AU325" s="19">
        <v>-1.5872997599999999E-14</v>
      </c>
      <c r="AV325" s="19">
        <v>0</v>
      </c>
      <c r="AW325" s="19">
        <v>0</v>
      </c>
    </row>
    <row r="326" spans="1:49" ht="17" customHeight="1">
      <c r="A326" s="11" t="s">
        <v>3304</v>
      </c>
      <c r="B326" s="11" t="s">
        <v>3304</v>
      </c>
      <c r="C326" s="18" t="s">
        <v>2867</v>
      </c>
      <c r="D326" s="18" t="s">
        <v>2916</v>
      </c>
      <c r="E326" s="18" t="s">
        <v>3300</v>
      </c>
      <c r="F326" s="18" t="s">
        <v>2918</v>
      </c>
      <c r="G326" s="14"/>
      <c r="H326" s="18" t="s">
        <v>3301</v>
      </c>
      <c r="I326" s="14"/>
      <c r="J326" s="14"/>
      <c r="K326" s="14" t="s">
        <v>3305</v>
      </c>
      <c r="L326" s="18">
        <v>68</v>
      </c>
      <c r="M326" s="18">
        <v>160</v>
      </c>
      <c r="N326" s="18">
        <v>80</v>
      </c>
      <c r="O326" s="14">
        <v>432</v>
      </c>
      <c r="P326" s="18">
        <v>8.0488</v>
      </c>
      <c r="Q326" s="18">
        <v>55</v>
      </c>
      <c r="R326" s="18" t="s">
        <v>3303</v>
      </c>
      <c r="S326" s="18"/>
      <c r="T326" s="18">
        <v>32</v>
      </c>
      <c r="U326" s="18">
        <v>100.61</v>
      </c>
      <c r="V326" s="20">
        <v>10.8277910139994</v>
      </c>
      <c r="W326" s="18" t="s">
        <v>2954</v>
      </c>
      <c r="X326" s="14"/>
      <c r="Y326" s="14"/>
      <c r="Z326" s="14"/>
      <c r="AA326" s="14"/>
      <c r="AB326" s="14"/>
      <c r="AC326" s="14"/>
      <c r="AD326" s="14"/>
      <c r="AE326" s="14"/>
      <c r="AF326" s="14"/>
      <c r="AG326" s="14"/>
      <c r="AH326" s="18" t="s">
        <v>3304</v>
      </c>
      <c r="AI326" s="14"/>
      <c r="AJ326" s="21">
        <v>0.18096930014326709</v>
      </c>
      <c r="AK326" s="18">
        <v>1</v>
      </c>
      <c r="AL326" s="18">
        <v>0</v>
      </c>
      <c r="AM326" s="18">
        <v>80</v>
      </c>
      <c r="AN326" s="17">
        <v>7.3790062300000004E-3</v>
      </c>
      <c r="AO326" s="17">
        <v>2.38995392E-2</v>
      </c>
      <c r="AP326" s="19">
        <v>1.5481534099999999E-5</v>
      </c>
      <c r="AQ326" s="19">
        <v>4.4780364700000002E-7</v>
      </c>
      <c r="AR326" s="19">
        <v>-4.4131008099999998E-8</v>
      </c>
      <c r="AS326" s="19">
        <v>1.07746383E-9</v>
      </c>
      <c r="AT326" s="19">
        <v>-1.11164465E-11</v>
      </c>
      <c r="AU326" s="19">
        <v>4.1722881200000003E-14</v>
      </c>
      <c r="AV326" s="19">
        <v>0</v>
      </c>
      <c r="AW326" s="19">
        <v>0</v>
      </c>
    </row>
    <row r="327" spans="1:49" ht="17" customHeight="1">
      <c r="A327" s="11" t="s">
        <v>3306</v>
      </c>
      <c r="B327" s="11" t="s">
        <v>3306</v>
      </c>
      <c r="C327" s="18" t="s">
        <v>2867</v>
      </c>
      <c r="D327" s="18" t="s">
        <v>2916</v>
      </c>
      <c r="E327" s="18" t="s">
        <v>3300</v>
      </c>
      <c r="F327" s="18" t="s">
        <v>2918</v>
      </c>
      <c r="G327" s="14"/>
      <c r="H327" s="18" t="s">
        <v>3301</v>
      </c>
      <c r="I327" s="14"/>
      <c r="J327" s="14"/>
      <c r="K327" s="14" t="s">
        <v>3307</v>
      </c>
      <c r="L327" s="18">
        <v>68</v>
      </c>
      <c r="M327" s="18">
        <v>160</v>
      </c>
      <c r="N327" s="18">
        <v>80</v>
      </c>
      <c r="O327" s="14">
        <v>432</v>
      </c>
      <c r="P327" s="18">
        <v>8.0191999999999997</v>
      </c>
      <c r="Q327" s="18">
        <v>55</v>
      </c>
      <c r="R327" s="18" t="s">
        <v>3303</v>
      </c>
      <c r="S327" s="18"/>
      <c r="T327" s="18">
        <v>32</v>
      </c>
      <c r="U327" s="18">
        <v>100.24</v>
      </c>
      <c r="V327" s="20">
        <v>10.74634992873421</v>
      </c>
      <c r="W327" s="18" t="s">
        <v>2954</v>
      </c>
      <c r="X327" s="14"/>
      <c r="Y327" s="14"/>
      <c r="Z327" s="14"/>
      <c r="AA327" s="14"/>
      <c r="AB327" s="14"/>
      <c r="AC327" s="14"/>
      <c r="AD327" s="14"/>
      <c r="AE327" s="14"/>
      <c r="AF327" s="14"/>
      <c r="AG327" s="14"/>
      <c r="AH327" s="18" t="s">
        <v>3306</v>
      </c>
      <c r="AI327" s="14"/>
      <c r="AJ327" s="21">
        <v>0.18096930014326709</v>
      </c>
      <c r="AK327" s="18">
        <v>1</v>
      </c>
      <c r="AL327" s="18">
        <v>0</v>
      </c>
      <c r="AM327" s="18">
        <v>80</v>
      </c>
      <c r="AN327" s="17">
        <v>7.4385134299999999E-3</v>
      </c>
      <c r="AO327" s="17">
        <v>2.4470916700000001E-2</v>
      </c>
      <c r="AP327" s="19">
        <v>-4.2581906599999999E-5</v>
      </c>
      <c r="AQ327" s="19">
        <v>3.2836613699999998E-6</v>
      </c>
      <c r="AR327" s="19">
        <v>-1.04946074E-7</v>
      </c>
      <c r="AS327" s="19">
        <v>1.6279186000000001E-9</v>
      </c>
      <c r="AT327" s="19">
        <v>-1.21905338E-11</v>
      </c>
      <c r="AU327" s="19">
        <v>3.4746649699999998E-14</v>
      </c>
      <c r="AV327" s="19">
        <v>0</v>
      </c>
      <c r="AW327" s="19">
        <v>0</v>
      </c>
    </row>
    <row r="328" spans="1:49" ht="17" customHeight="1">
      <c r="A328" s="11" t="s">
        <v>3308</v>
      </c>
      <c r="B328" s="11" t="s">
        <v>3308</v>
      </c>
      <c r="C328" s="18" t="s">
        <v>2867</v>
      </c>
      <c r="D328" s="18" t="s">
        <v>2916</v>
      </c>
      <c r="E328" s="18" t="s">
        <v>3300</v>
      </c>
      <c r="F328" s="18" t="s">
        <v>2918</v>
      </c>
      <c r="G328" s="14"/>
      <c r="H328" s="18" t="s">
        <v>3301</v>
      </c>
      <c r="I328" s="14"/>
      <c r="J328" s="14"/>
      <c r="K328" s="14" t="s">
        <v>3309</v>
      </c>
      <c r="L328" s="18">
        <v>68</v>
      </c>
      <c r="M328" s="18">
        <v>160</v>
      </c>
      <c r="N328" s="18">
        <v>80</v>
      </c>
      <c r="O328" s="14">
        <v>432</v>
      </c>
      <c r="P328" s="18">
        <v>8.0191999999999997</v>
      </c>
      <c r="Q328" s="18">
        <v>55</v>
      </c>
      <c r="R328" s="18" t="s">
        <v>3303</v>
      </c>
      <c r="S328" s="18"/>
      <c r="T328" s="18">
        <v>31.9</v>
      </c>
      <c r="U328" s="18">
        <v>100.24</v>
      </c>
      <c r="V328" s="20">
        <v>10.81361644123878</v>
      </c>
      <c r="W328" s="18" t="s">
        <v>2954</v>
      </c>
      <c r="X328" s="14"/>
      <c r="Y328" s="14"/>
      <c r="Z328" s="14"/>
      <c r="AA328" s="14"/>
      <c r="AB328" s="14"/>
      <c r="AC328" s="14"/>
      <c r="AD328" s="14"/>
      <c r="AE328" s="14"/>
      <c r="AF328" s="14"/>
      <c r="AG328" s="14"/>
      <c r="AH328" s="18" t="s">
        <v>3308</v>
      </c>
      <c r="AI328" s="14"/>
      <c r="AJ328" s="21">
        <v>0.18096930014326709</v>
      </c>
      <c r="AK328" s="18">
        <v>1</v>
      </c>
      <c r="AL328" s="18">
        <v>0</v>
      </c>
      <c r="AM328" s="18">
        <v>80</v>
      </c>
      <c r="AN328" s="17">
        <v>7.7244305500000004E-3</v>
      </c>
      <c r="AO328" s="17">
        <v>2.3804259899999999E-2</v>
      </c>
      <c r="AP328" s="19">
        <v>6.0066661600000002E-5</v>
      </c>
      <c r="AQ328" s="19">
        <v>-4.5190501899999996E-6</v>
      </c>
      <c r="AR328" s="19">
        <v>1.7610392E-7</v>
      </c>
      <c r="AS328" s="19">
        <v>-3.5518774900000001E-9</v>
      </c>
      <c r="AT328" s="19">
        <v>3.5047911299999997E-11</v>
      </c>
      <c r="AU328" s="19">
        <v>-1.3427287900000001E-13</v>
      </c>
      <c r="AV328" s="19">
        <v>0</v>
      </c>
      <c r="AW328" s="19">
        <v>0</v>
      </c>
    </row>
    <row r="329" spans="1:49" ht="17" customHeight="1">
      <c r="A329" s="11" t="s">
        <v>3310</v>
      </c>
      <c r="B329" s="11" t="s">
        <v>3311</v>
      </c>
      <c r="C329" s="18" t="s">
        <v>2867</v>
      </c>
      <c r="D329" s="18" t="s">
        <v>2916</v>
      </c>
      <c r="E329" s="18" t="s">
        <v>2927</v>
      </c>
      <c r="F329" s="18" t="s">
        <v>2918</v>
      </c>
      <c r="G329" s="14"/>
      <c r="H329" s="18" t="s">
        <v>2948</v>
      </c>
      <c r="I329" s="14"/>
      <c r="J329" s="14"/>
      <c r="K329" s="14"/>
      <c r="L329" s="18">
        <v>76</v>
      </c>
      <c r="M329" s="18">
        <v>180</v>
      </c>
      <c r="N329" s="18">
        <v>60</v>
      </c>
      <c r="O329" s="14"/>
      <c r="P329" s="18">
        <v>20.74</v>
      </c>
      <c r="Q329" s="18">
        <v>175</v>
      </c>
      <c r="R329" s="18" t="s">
        <v>3312</v>
      </c>
      <c r="S329" s="18"/>
      <c r="T329" s="18">
        <v>160</v>
      </c>
      <c r="U329" s="18">
        <v>371</v>
      </c>
      <c r="V329" s="20">
        <v>0.33860000000000001</v>
      </c>
      <c r="W329" s="18" t="s">
        <v>2975</v>
      </c>
      <c r="X329" s="14"/>
      <c r="Y329" s="14"/>
      <c r="Z329" s="14"/>
      <c r="AA329" s="14"/>
      <c r="AB329" s="14"/>
      <c r="AC329" s="14"/>
      <c r="AD329" s="14"/>
      <c r="AE329" s="14"/>
      <c r="AF329" s="14"/>
      <c r="AG329" s="14"/>
      <c r="AH329" s="18" t="s">
        <v>3310</v>
      </c>
      <c r="AI329" s="14"/>
      <c r="AJ329" s="21">
        <v>0.25330944625407159</v>
      </c>
      <c r="AK329" s="18">
        <v>1</v>
      </c>
      <c r="AL329" s="18">
        <v>0</v>
      </c>
      <c r="AM329" s="18">
        <v>60</v>
      </c>
      <c r="AN329" s="17">
        <v>3.0249834107491847E-4</v>
      </c>
      <c r="AO329" s="17">
        <v>1.4082419494592831E-3</v>
      </c>
      <c r="AP329" s="19">
        <v>3.271580156677524E-6</v>
      </c>
      <c r="AQ329" s="19">
        <v>-3.3046370394136811E-7</v>
      </c>
      <c r="AR329" s="19">
        <v>1.9829704325667751E-8</v>
      </c>
      <c r="AS329" s="19">
        <v>-5.9448839308143312E-10</v>
      </c>
      <c r="AT329" s="19">
        <v>8.361190073159609E-12</v>
      </c>
      <c r="AU329" s="19">
        <v>-4.4382246754397392E-14</v>
      </c>
      <c r="AV329" s="19">
        <v>0</v>
      </c>
      <c r="AW329" s="19">
        <v>0</v>
      </c>
    </row>
    <row r="330" spans="1:49" ht="17" customHeight="1">
      <c r="A330" s="11" t="s">
        <v>3313</v>
      </c>
      <c r="B330" s="11" t="s">
        <v>3311</v>
      </c>
      <c r="C330" s="18" t="s">
        <v>2867</v>
      </c>
      <c r="D330" s="18" t="s">
        <v>2916</v>
      </c>
      <c r="E330" s="18" t="s">
        <v>2927</v>
      </c>
      <c r="F330" s="18" t="s">
        <v>2918</v>
      </c>
      <c r="G330" s="14"/>
      <c r="H330" s="18" t="s">
        <v>2948</v>
      </c>
      <c r="I330" s="14"/>
      <c r="J330" s="14"/>
      <c r="K330" s="14"/>
      <c r="L330" s="18">
        <v>76</v>
      </c>
      <c r="M330" s="18">
        <v>180</v>
      </c>
      <c r="N330" s="18">
        <v>60</v>
      </c>
      <c r="O330" s="14"/>
      <c r="P330" s="18">
        <v>20.66</v>
      </c>
      <c r="Q330" s="18">
        <v>175</v>
      </c>
      <c r="R330" s="18" t="s">
        <v>3312</v>
      </c>
      <c r="S330" s="18"/>
      <c r="T330" s="18">
        <v>160</v>
      </c>
      <c r="U330" s="18">
        <v>371</v>
      </c>
      <c r="V330" s="20">
        <v>0.33789999999999998</v>
      </c>
      <c r="W330" s="18" t="s">
        <v>2975</v>
      </c>
      <c r="X330" s="14"/>
      <c r="Y330" s="14"/>
      <c r="Z330" s="14"/>
      <c r="AA330" s="14"/>
      <c r="AB330" s="14"/>
      <c r="AC330" s="14"/>
      <c r="AD330" s="14"/>
      <c r="AE330" s="14"/>
      <c r="AF330" s="14"/>
      <c r="AG330" s="14"/>
      <c r="AH330" s="18" t="s">
        <v>3313</v>
      </c>
      <c r="AI330" s="14"/>
      <c r="AJ330" s="21">
        <v>0.25330944625407159</v>
      </c>
      <c r="AK330" s="18">
        <v>1</v>
      </c>
      <c r="AL330" s="18">
        <v>0</v>
      </c>
      <c r="AM330" s="18">
        <v>60</v>
      </c>
      <c r="AN330" s="17">
        <v>3.0249834107491847E-4</v>
      </c>
      <c r="AO330" s="17">
        <v>1.4082419494592831E-3</v>
      </c>
      <c r="AP330" s="19">
        <v>3.271580156677524E-6</v>
      </c>
      <c r="AQ330" s="19">
        <v>-3.3046370394136811E-7</v>
      </c>
      <c r="AR330" s="19">
        <v>1.9829704325667751E-8</v>
      </c>
      <c r="AS330" s="19">
        <v>-5.9448839308143312E-10</v>
      </c>
      <c r="AT330" s="19">
        <v>8.361190073159609E-12</v>
      </c>
      <c r="AU330" s="19">
        <v>-4.4382246754397392E-14</v>
      </c>
      <c r="AV330" s="19">
        <v>0</v>
      </c>
      <c r="AW330" s="19">
        <v>0</v>
      </c>
    </row>
    <row r="331" spans="1:49" ht="17" customHeight="1">
      <c r="A331" s="11" t="s">
        <v>3314</v>
      </c>
      <c r="B331" s="11" t="s">
        <v>3315</v>
      </c>
      <c r="C331" s="18" t="s">
        <v>2867</v>
      </c>
      <c r="D331" s="18" t="s">
        <v>2916</v>
      </c>
      <c r="E331" s="18" t="s">
        <v>2927</v>
      </c>
      <c r="F331" s="18" t="s">
        <v>2918</v>
      </c>
      <c r="G331" s="14"/>
      <c r="H331" s="18" t="s">
        <v>2948</v>
      </c>
      <c r="I331" s="14"/>
      <c r="J331" s="14"/>
      <c r="K331" s="14"/>
      <c r="L331" s="18">
        <v>76</v>
      </c>
      <c r="M331" s="18">
        <v>180</v>
      </c>
      <c r="N331" s="18">
        <v>60</v>
      </c>
      <c r="O331" s="14"/>
      <c r="P331" s="18">
        <v>20.78</v>
      </c>
      <c r="Q331" s="18">
        <v>175</v>
      </c>
      <c r="R331" s="18" t="s">
        <v>3312</v>
      </c>
      <c r="S331" s="18"/>
      <c r="T331" s="18">
        <v>160</v>
      </c>
      <c r="U331" s="18">
        <v>371</v>
      </c>
      <c r="V331" s="20">
        <v>0.33810000000000001</v>
      </c>
      <c r="W331" s="18" t="s">
        <v>2975</v>
      </c>
      <c r="X331" s="14"/>
      <c r="Y331" s="14"/>
      <c r="Z331" s="14"/>
      <c r="AA331" s="14"/>
      <c r="AB331" s="14"/>
      <c r="AC331" s="14"/>
      <c r="AD331" s="14"/>
      <c r="AE331" s="14"/>
      <c r="AF331" s="14"/>
      <c r="AG331" s="14"/>
      <c r="AH331" s="18" t="s">
        <v>3314</v>
      </c>
      <c r="AI331" s="14"/>
      <c r="AJ331" s="21">
        <v>0.25330944625407159</v>
      </c>
      <c r="AK331" s="18">
        <v>1</v>
      </c>
      <c r="AL331" s="18">
        <v>0</v>
      </c>
      <c r="AM331" s="18">
        <v>60</v>
      </c>
      <c r="AN331" s="17">
        <v>3.0249834107491847E-4</v>
      </c>
      <c r="AO331" s="17">
        <v>1.4082419494592831E-3</v>
      </c>
      <c r="AP331" s="19">
        <v>3.271580156677524E-6</v>
      </c>
      <c r="AQ331" s="19">
        <v>-3.3046370394136811E-7</v>
      </c>
      <c r="AR331" s="19">
        <v>1.9829704325667751E-8</v>
      </c>
      <c r="AS331" s="19">
        <v>-5.9448839308143312E-10</v>
      </c>
      <c r="AT331" s="19">
        <v>8.361190073159609E-12</v>
      </c>
      <c r="AU331" s="19">
        <v>-4.4382246754397392E-14</v>
      </c>
      <c r="AV331" s="19">
        <v>0</v>
      </c>
      <c r="AW331" s="19">
        <v>0</v>
      </c>
    </row>
    <row r="332" spans="1:49" ht="17" customHeight="1">
      <c r="A332" s="11" t="s">
        <v>3316</v>
      </c>
      <c r="B332" s="11" t="s">
        <v>3315</v>
      </c>
      <c r="C332" s="18" t="s">
        <v>2867</v>
      </c>
      <c r="D332" s="18" t="s">
        <v>2916</v>
      </c>
      <c r="E332" s="18" t="s">
        <v>2927</v>
      </c>
      <c r="F332" s="18" t="s">
        <v>2918</v>
      </c>
      <c r="G332" s="14"/>
      <c r="H332" s="18" t="s">
        <v>2948</v>
      </c>
      <c r="I332" s="14"/>
      <c r="J332" s="14"/>
      <c r="K332" s="14"/>
      <c r="L332" s="18">
        <v>76</v>
      </c>
      <c r="M332" s="18">
        <v>180</v>
      </c>
      <c r="N332" s="18">
        <v>60</v>
      </c>
      <c r="O332" s="14"/>
      <c r="P332" s="18">
        <v>20.81</v>
      </c>
      <c r="Q332" s="18">
        <v>175</v>
      </c>
      <c r="R332" s="18" t="s">
        <v>3312</v>
      </c>
      <c r="S332" s="18"/>
      <c r="T332" s="18">
        <v>160</v>
      </c>
      <c r="U332" s="18">
        <v>371</v>
      </c>
      <c r="V332" s="20">
        <v>0.3387</v>
      </c>
      <c r="W332" s="18" t="s">
        <v>2975</v>
      </c>
      <c r="X332" s="14"/>
      <c r="Y332" s="14"/>
      <c r="Z332" s="14"/>
      <c r="AA332" s="14"/>
      <c r="AB332" s="14"/>
      <c r="AC332" s="14"/>
      <c r="AD332" s="14"/>
      <c r="AE332" s="14"/>
      <c r="AF332" s="14"/>
      <c r="AG332" s="14"/>
      <c r="AH332" s="18" t="s">
        <v>3316</v>
      </c>
      <c r="AI332" s="14"/>
      <c r="AJ332" s="21">
        <v>0.25330944625407159</v>
      </c>
      <c r="AK332" s="18">
        <v>1</v>
      </c>
      <c r="AL332" s="18">
        <v>0</v>
      </c>
      <c r="AM332" s="18">
        <v>60</v>
      </c>
      <c r="AN332" s="17">
        <v>3.0249834107491847E-4</v>
      </c>
      <c r="AO332" s="17">
        <v>1.4082419494592831E-3</v>
      </c>
      <c r="AP332" s="19">
        <v>3.271580156677524E-6</v>
      </c>
      <c r="AQ332" s="19">
        <v>-3.3046370394136811E-7</v>
      </c>
      <c r="AR332" s="19">
        <v>1.9829704325667751E-8</v>
      </c>
      <c r="AS332" s="19">
        <v>-5.9448839308143312E-10</v>
      </c>
      <c r="AT332" s="19">
        <v>8.361190073159609E-12</v>
      </c>
      <c r="AU332" s="19">
        <v>-4.4382246754397392E-14</v>
      </c>
      <c r="AV332" s="19">
        <v>0</v>
      </c>
      <c r="AW332" s="19">
        <v>0</v>
      </c>
    </row>
    <row r="333" spans="1:49" ht="17" customHeight="1">
      <c r="A333" s="11" t="s">
        <v>3317</v>
      </c>
      <c r="B333" s="11" t="s">
        <v>3317</v>
      </c>
      <c r="C333" s="18" t="s">
        <v>2867</v>
      </c>
      <c r="D333" s="18" t="s">
        <v>2916</v>
      </c>
      <c r="E333" s="18" t="s">
        <v>3300</v>
      </c>
      <c r="F333" s="18" t="s">
        <v>2918</v>
      </c>
      <c r="G333" s="14"/>
      <c r="H333" s="18" t="s">
        <v>3301</v>
      </c>
      <c r="I333" s="14"/>
      <c r="J333" s="14"/>
      <c r="K333" s="14" t="s">
        <v>3318</v>
      </c>
      <c r="L333" s="18">
        <v>68</v>
      </c>
      <c r="M333" s="18">
        <v>160</v>
      </c>
      <c r="N333" s="18">
        <v>80</v>
      </c>
      <c r="O333" s="14">
        <v>432</v>
      </c>
      <c r="P333" s="18">
        <v>7.976799999999999</v>
      </c>
      <c r="Q333" s="18">
        <v>55</v>
      </c>
      <c r="R333" s="18" t="s">
        <v>3303</v>
      </c>
      <c r="S333" s="18"/>
      <c r="T333" s="18">
        <v>32.1</v>
      </c>
      <c r="U333" s="18">
        <v>99.71</v>
      </c>
      <c r="V333" s="20">
        <v>10.7615504237267</v>
      </c>
      <c r="W333" s="18" t="s">
        <v>2954</v>
      </c>
      <c r="X333" s="14"/>
      <c r="Y333" s="14"/>
      <c r="Z333" s="14"/>
      <c r="AA333" s="14"/>
      <c r="AB333" s="14"/>
      <c r="AC333" s="14"/>
      <c r="AD333" s="14"/>
      <c r="AE333" s="14"/>
      <c r="AF333" s="14"/>
      <c r="AG333" s="14"/>
      <c r="AH333" s="18" t="s">
        <v>3317</v>
      </c>
      <c r="AI333" s="14"/>
      <c r="AJ333" s="21">
        <v>0.18096930014326709</v>
      </c>
      <c r="AK333" s="18">
        <v>1</v>
      </c>
      <c r="AL333" s="18">
        <v>0</v>
      </c>
      <c r="AM333" s="18">
        <v>80</v>
      </c>
      <c r="AN333" s="17">
        <v>7.6704866599999998E-3</v>
      </c>
      <c r="AO333" s="17">
        <v>2.41802965E-2</v>
      </c>
      <c r="AP333" s="19">
        <v>2.60902073E-5</v>
      </c>
      <c r="AQ333" s="19">
        <v>-2.4024125899999998E-6</v>
      </c>
      <c r="AR333" s="19">
        <v>1.02394515E-7</v>
      </c>
      <c r="AS333" s="19">
        <v>-2.1716512599999999E-9</v>
      </c>
      <c r="AT333" s="19">
        <v>2.2191810200000001E-11</v>
      </c>
      <c r="AU333" s="19">
        <v>-8.7632192899999995E-14</v>
      </c>
      <c r="AV333" s="19">
        <v>0</v>
      </c>
      <c r="AW333" s="19">
        <v>0</v>
      </c>
    </row>
    <row r="334" spans="1:49" ht="17" customHeight="1">
      <c r="A334" s="11" t="s">
        <v>3319</v>
      </c>
      <c r="B334" s="11" t="s">
        <v>3319</v>
      </c>
      <c r="C334" s="18" t="s">
        <v>2867</v>
      </c>
      <c r="D334" s="18" t="s">
        <v>2916</v>
      </c>
      <c r="E334" s="18" t="s">
        <v>3300</v>
      </c>
      <c r="F334" s="18" t="s">
        <v>2918</v>
      </c>
      <c r="G334" s="14"/>
      <c r="H334" s="18" t="s">
        <v>3301</v>
      </c>
      <c r="I334" s="14"/>
      <c r="J334" s="14"/>
      <c r="K334" s="14" t="s">
        <v>3320</v>
      </c>
      <c r="L334" s="18">
        <v>68</v>
      </c>
      <c r="M334" s="18">
        <v>160</v>
      </c>
      <c r="N334" s="18">
        <v>80</v>
      </c>
      <c r="O334" s="14">
        <v>432</v>
      </c>
      <c r="P334" s="18">
        <v>7.9544000000000006</v>
      </c>
      <c r="Q334" s="18">
        <v>55</v>
      </c>
      <c r="R334" s="18" t="s">
        <v>3303</v>
      </c>
      <c r="S334" s="18"/>
      <c r="T334" s="18">
        <v>32</v>
      </c>
      <c r="U334" s="18">
        <v>99.43</v>
      </c>
      <c r="V334" s="20">
        <v>10.767161856001779</v>
      </c>
      <c r="W334" s="18" t="s">
        <v>2954</v>
      </c>
      <c r="X334" s="14"/>
      <c r="Y334" s="14"/>
      <c r="Z334" s="14"/>
      <c r="AA334" s="14"/>
      <c r="AB334" s="14"/>
      <c r="AC334" s="14"/>
      <c r="AD334" s="14"/>
      <c r="AE334" s="14"/>
      <c r="AF334" s="14"/>
      <c r="AG334" s="14"/>
      <c r="AH334" s="18" t="s">
        <v>3319</v>
      </c>
      <c r="AI334" s="14"/>
      <c r="AJ334" s="21">
        <v>0.18096930014326709</v>
      </c>
      <c r="AK334" s="18">
        <v>1</v>
      </c>
      <c r="AL334" s="18">
        <v>0</v>
      </c>
      <c r="AM334" s="18">
        <v>80</v>
      </c>
      <c r="AN334" s="17">
        <v>7.9017000399999992E-3</v>
      </c>
      <c r="AO334" s="17">
        <v>2.41044183E-2</v>
      </c>
      <c r="AP334" s="19">
        <v>1.01464119E-5</v>
      </c>
      <c r="AQ334" s="19">
        <v>1.4209717600000001E-7</v>
      </c>
      <c r="AR334" s="19">
        <v>-2.21910842E-8</v>
      </c>
      <c r="AS334" s="19">
        <v>5.5815962700000004E-10</v>
      </c>
      <c r="AT334" s="19">
        <v>-5.6357186499999998E-12</v>
      </c>
      <c r="AU334" s="19">
        <v>1.9779260099999999E-14</v>
      </c>
      <c r="AV334" s="19">
        <v>0</v>
      </c>
      <c r="AW334" s="19">
        <v>0</v>
      </c>
    </row>
    <row r="335" spans="1:49" ht="17" customHeight="1">
      <c r="A335" s="11" t="s">
        <v>3321</v>
      </c>
      <c r="B335" s="11" t="s">
        <v>3321</v>
      </c>
      <c r="C335" s="18" t="s">
        <v>2867</v>
      </c>
      <c r="D335" s="18" t="s">
        <v>2916</v>
      </c>
      <c r="E335" s="18" t="s">
        <v>3300</v>
      </c>
      <c r="F335" s="18" t="s">
        <v>2918</v>
      </c>
      <c r="G335" s="14"/>
      <c r="H335" s="18" t="s">
        <v>3301</v>
      </c>
      <c r="I335" s="14"/>
      <c r="J335" s="14"/>
      <c r="K335" s="14" t="s">
        <v>3322</v>
      </c>
      <c r="L335" s="18">
        <v>68</v>
      </c>
      <c r="M335" s="18">
        <v>160</v>
      </c>
      <c r="N335" s="18">
        <v>80</v>
      </c>
      <c r="O335" s="14">
        <v>432</v>
      </c>
      <c r="P335" s="18">
        <v>7.9648000000000003</v>
      </c>
      <c r="Q335" s="18">
        <v>55</v>
      </c>
      <c r="R335" s="18" t="s">
        <v>3303</v>
      </c>
      <c r="S335" s="18"/>
      <c r="T335" s="18">
        <v>32</v>
      </c>
      <c r="U335" s="18">
        <v>99.56</v>
      </c>
      <c r="V335" s="20">
        <v>10.75830906118326</v>
      </c>
      <c r="W335" s="18" t="s">
        <v>2954</v>
      </c>
      <c r="X335" s="14"/>
      <c r="Y335" s="14"/>
      <c r="Z335" s="14"/>
      <c r="AA335" s="14"/>
      <c r="AB335" s="14"/>
      <c r="AC335" s="14"/>
      <c r="AD335" s="14"/>
      <c r="AE335" s="14"/>
      <c r="AF335" s="14"/>
      <c r="AG335" s="14"/>
      <c r="AH335" s="18" t="s">
        <v>3321</v>
      </c>
      <c r="AI335" s="14"/>
      <c r="AJ335" s="21">
        <v>0.18096930014326709</v>
      </c>
      <c r="AK335" s="18">
        <v>1</v>
      </c>
      <c r="AL335" s="18">
        <v>0</v>
      </c>
      <c r="AM335" s="18">
        <v>80</v>
      </c>
      <c r="AN335" s="17">
        <v>7.8892747000000006E-3</v>
      </c>
      <c r="AO335" s="17">
        <v>2.4249330400000001E-2</v>
      </c>
      <c r="AP335" s="19">
        <v>-1.3320323E-5</v>
      </c>
      <c r="AQ335" s="19">
        <v>1.1800137799999999E-6</v>
      </c>
      <c r="AR335" s="19">
        <v>-3.7119672500000001E-8</v>
      </c>
      <c r="AS335" s="19">
        <v>5.1709994099999999E-10</v>
      </c>
      <c r="AT335" s="19">
        <v>-3.0685111600000002E-12</v>
      </c>
      <c r="AU335" s="19">
        <v>4.6020333499999997E-15</v>
      </c>
      <c r="AV335" s="19">
        <v>0</v>
      </c>
      <c r="AW335" s="19">
        <v>0</v>
      </c>
    </row>
    <row r="336" spans="1:49" ht="17" customHeight="1">
      <c r="A336" s="11" t="s">
        <v>3323</v>
      </c>
      <c r="B336" s="11" t="s">
        <v>3323</v>
      </c>
      <c r="C336" s="18" t="s">
        <v>2867</v>
      </c>
      <c r="D336" s="18" t="s">
        <v>2916</v>
      </c>
      <c r="E336" s="18" t="s">
        <v>3300</v>
      </c>
      <c r="F336" s="18" t="s">
        <v>2918</v>
      </c>
      <c r="G336" s="14"/>
      <c r="H336" s="18" t="s">
        <v>3301</v>
      </c>
      <c r="I336" s="14"/>
      <c r="J336" s="14"/>
      <c r="K336" s="14" t="s">
        <v>3324</v>
      </c>
      <c r="L336" s="18">
        <v>68</v>
      </c>
      <c r="M336" s="18">
        <v>160</v>
      </c>
      <c r="N336" s="18">
        <v>80</v>
      </c>
      <c r="O336" s="14">
        <v>432</v>
      </c>
      <c r="P336" s="18">
        <v>7.9415999999999993</v>
      </c>
      <c r="Q336" s="18">
        <v>55</v>
      </c>
      <c r="R336" s="18" t="s">
        <v>3303</v>
      </c>
      <c r="S336" s="18"/>
      <c r="T336" s="18">
        <v>31.9</v>
      </c>
      <c r="U336" s="18">
        <v>99.27</v>
      </c>
      <c r="V336" s="20">
        <v>10.7044693715401</v>
      </c>
      <c r="W336" s="18" t="s">
        <v>2954</v>
      </c>
      <c r="X336" s="14"/>
      <c r="Y336" s="14"/>
      <c r="Z336" s="14"/>
      <c r="AA336" s="14"/>
      <c r="AB336" s="14"/>
      <c r="AC336" s="14"/>
      <c r="AD336" s="14"/>
      <c r="AE336" s="14"/>
      <c r="AF336" s="14"/>
      <c r="AG336" s="14"/>
      <c r="AH336" s="18" t="s">
        <v>3323</v>
      </c>
      <c r="AI336" s="14"/>
      <c r="AJ336" s="21">
        <v>0.18096930014326709</v>
      </c>
      <c r="AK336" s="18">
        <v>1</v>
      </c>
      <c r="AL336" s="18">
        <v>0</v>
      </c>
      <c r="AM336" s="18">
        <v>80</v>
      </c>
      <c r="AN336" s="17">
        <v>7.8688939300000007E-3</v>
      </c>
      <c r="AO336" s="17">
        <v>2.3932822100000001E-2</v>
      </c>
      <c r="AP336" s="19">
        <v>6.9439528300000003E-5</v>
      </c>
      <c r="AQ336" s="19">
        <v>-3.9413655300000002E-6</v>
      </c>
      <c r="AR336" s="19">
        <v>1.1129047600000001E-7</v>
      </c>
      <c r="AS336" s="19">
        <v>-1.70437521E-9</v>
      </c>
      <c r="AT336" s="19">
        <v>1.3547162199999999E-11</v>
      </c>
      <c r="AU336" s="19">
        <v>-4.43190055E-14</v>
      </c>
      <c r="AV336" s="19">
        <v>0</v>
      </c>
      <c r="AW336" s="19">
        <v>0</v>
      </c>
    </row>
    <row r="337" spans="1:49" ht="17" customHeight="1">
      <c r="A337" s="11" t="s">
        <v>3325</v>
      </c>
      <c r="B337" s="11" t="s">
        <v>3325</v>
      </c>
      <c r="C337" s="18" t="s">
        <v>2867</v>
      </c>
      <c r="D337" s="18" t="s">
        <v>2916</v>
      </c>
      <c r="E337" s="18" t="s">
        <v>3300</v>
      </c>
      <c r="F337" s="18" t="s">
        <v>2918</v>
      </c>
      <c r="G337" s="14"/>
      <c r="H337" s="18" t="s">
        <v>3301</v>
      </c>
      <c r="I337" s="14"/>
      <c r="J337" s="14"/>
      <c r="K337" s="14" t="s">
        <v>3326</v>
      </c>
      <c r="L337" s="18">
        <v>68</v>
      </c>
      <c r="M337" s="18">
        <v>160</v>
      </c>
      <c r="N337" s="18">
        <v>80</v>
      </c>
      <c r="O337" s="14">
        <v>432</v>
      </c>
      <c r="P337" s="18">
        <v>8.0047999999999995</v>
      </c>
      <c r="Q337" s="18">
        <v>55</v>
      </c>
      <c r="R337" s="18" t="s">
        <v>3303</v>
      </c>
      <c r="S337" s="18"/>
      <c r="T337" s="18">
        <v>31.9</v>
      </c>
      <c r="U337" s="18">
        <v>100.06</v>
      </c>
      <c r="V337" s="20">
        <v>10.757047058123559</v>
      </c>
      <c r="W337" s="18" t="s">
        <v>2954</v>
      </c>
      <c r="X337" s="14"/>
      <c r="Y337" s="14"/>
      <c r="Z337" s="14"/>
      <c r="AA337" s="14"/>
      <c r="AB337" s="14"/>
      <c r="AC337" s="14"/>
      <c r="AD337" s="14"/>
      <c r="AE337" s="14"/>
      <c r="AF337" s="14"/>
      <c r="AG337" s="14"/>
      <c r="AH337" s="18" t="s">
        <v>3325</v>
      </c>
      <c r="AI337" s="14"/>
      <c r="AJ337" s="21">
        <v>0.18096930014326709</v>
      </c>
      <c r="AK337" s="18">
        <v>1</v>
      </c>
      <c r="AL337" s="18">
        <v>0</v>
      </c>
      <c r="AM337" s="18">
        <v>80</v>
      </c>
      <c r="AN337" s="17">
        <v>7.7083241200000003E-3</v>
      </c>
      <c r="AO337" s="17">
        <v>2.4390073000000002E-2</v>
      </c>
      <c r="AP337" s="19">
        <v>-3.9411081599999997E-5</v>
      </c>
      <c r="AQ337" s="19">
        <v>3.88912576E-6</v>
      </c>
      <c r="AR337" s="19">
        <v>-1.57560813E-7</v>
      </c>
      <c r="AS337" s="19">
        <v>3.07466965E-9</v>
      </c>
      <c r="AT337" s="19">
        <v>-2.8837117800000001E-11</v>
      </c>
      <c r="AU337" s="19">
        <v>1.03741563E-13</v>
      </c>
      <c r="AV337" s="19">
        <v>0</v>
      </c>
      <c r="AW337" s="19">
        <v>0</v>
      </c>
    </row>
    <row r="338" spans="1:49" ht="17" customHeight="1">
      <c r="A338" s="11" t="s">
        <v>3327</v>
      </c>
      <c r="B338" s="11" t="s">
        <v>3327</v>
      </c>
      <c r="C338" s="18" t="s">
        <v>2867</v>
      </c>
      <c r="D338" s="18" t="s">
        <v>2916</v>
      </c>
      <c r="E338" s="18" t="s">
        <v>3300</v>
      </c>
      <c r="F338" s="18" t="s">
        <v>2918</v>
      </c>
      <c r="G338" s="14"/>
      <c r="H338" s="18" t="s">
        <v>3301</v>
      </c>
      <c r="I338" s="14"/>
      <c r="J338" s="14"/>
      <c r="K338" s="14" t="s">
        <v>3328</v>
      </c>
      <c r="L338" s="18">
        <v>68</v>
      </c>
      <c r="M338" s="18">
        <v>160</v>
      </c>
      <c r="N338" s="18">
        <v>80</v>
      </c>
      <c r="O338" s="14">
        <v>432</v>
      </c>
      <c r="P338" s="18">
        <v>8.0039999999999996</v>
      </c>
      <c r="Q338" s="18">
        <v>55</v>
      </c>
      <c r="R338" s="18" t="s">
        <v>3303</v>
      </c>
      <c r="S338" s="18"/>
      <c r="T338" s="18">
        <v>31.8</v>
      </c>
      <c r="U338" s="18">
        <v>100.05</v>
      </c>
      <c r="V338" s="20">
        <v>10.76823872224125</v>
      </c>
      <c r="W338" s="18" t="s">
        <v>2954</v>
      </c>
      <c r="X338" s="14"/>
      <c r="Y338" s="14"/>
      <c r="Z338" s="14"/>
      <c r="AA338" s="14"/>
      <c r="AB338" s="14"/>
      <c r="AC338" s="14"/>
      <c r="AD338" s="14"/>
      <c r="AE338" s="14"/>
      <c r="AF338" s="14"/>
      <c r="AG338" s="14"/>
      <c r="AH338" s="18" t="s">
        <v>3327</v>
      </c>
      <c r="AI338" s="14"/>
      <c r="AJ338" s="21">
        <v>0.18096930014326709</v>
      </c>
      <c r="AK338" s="18">
        <v>1</v>
      </c>
      <c r="AL338" s="18">
        <v>0</v>
      </c>
      <c r="AM338" s="18">
        <v>80</v>
      </c>
      <c r="AN338" s="17">
        <v>7.8405168299999998E-3</v>
      </c>
      <c r="AO338" s="17">
        <v>2.4662652199999999E-2</v>
      </c>
      <c r="AP338" s="19">
        <v>-1.04477083E-4</v>
      </c>
      <c r="AQ338" s="19">
        <v>8.70319942E-6</v>
      </c>
      <c r="AR338" s="19">
        <v>-3.21862861E-7</v>
      </c>
      <c r="AS338" s="19">
        <v>5.9434206699999996E-9</v>
      </c>
      <c r="AT338" s="19">
        <v>-5.3704426299999999E-11</v>
      </c>
      <c r="AU338" s="19">
        <v>1.8864467899999999E-13</v>
      </c>
      <c r="AV338" s="19">
        <v>0</v>
      </c>
      <c r="AW338" s="19">
        <v>0</v>
      </c>
    </row>
    <row r="339" spans="1:49" ht="17" customHeight="1">
      <c r="A339" s="11" t="s">
        <v>3329</v>
      </c>
      <c r="B339" s="11" t="s">
        <v>3329</v>
      </c>
      <c r="C339" s="18" t="s">
        <v>2867</v>
      </c>
      <c r="D339" s="18" t="s">
        <v>2916</v>
      </c>
      <c r="E339" s="18" t="s">
        <v>3300</v>
      </c>
      <c r="F339" s="18" t="s">
        <v>2918</v>
      </c>
      <c r="G339" s="14"/>
      <c r="H339" s="18" t="s">
        <v>3301</v>
      </c>
      <c r="I339" s="14"/>
      <c r="J339" s="14"/>
      <c r="K339" s="14" t="s">
        <v>3330</v>
      </c>
      <c r="L339" s="18">
        <v>68</v>
      </c>
      <c r="M339" s="18">
        <v>160</v>
      </c>
      <c r="N339" s="18">
        <v>80</v>
      </c>
      <c r="O339" s="14">
        <v>432</v>
      </c>
      <c r="P339" s="18">
        <v>8.0367999999999995</v>
      </c>
      <c r="Q339" s="18">
        <v>55</v>
      </c>
      <c r="R339" s="18" t="s">
        <v>3303</v>
      </c>
      <c r="S339" s="18"/>
      <c r="T339" s="18">
        <v>31.9</v>
      </c>
      <c r="U339" s="18">
        <v>100.46</v>
      </c>
      <c r="V339" s="20">
        <v>10.76166958658083</v>
      </c>
      <c r="W339" s="18" t="s">
        <v>2954</v>
      </c>
      <c r="X339" s="14"/>
      <c r="Y339" s="14"/>
      <c r="Z339" s="14"/>
      <c r="AA339" s="14"/>
      <c r="AB339" s="14"/>
      <c r="AC339" s="14"/>
      <c r="AD339" s="14"/>
      <c r="AE339" s="14"/>
      <c r="AF339" s="14"/>
      <c r="AG339" s="14"/>
      <c r="AH339" s="18" t="s">
        <v>3329</v>
      </c>
      <c r="AI339" s="14"/>
      <c r="AJ339" s="21">
        <v>0.18096930014326709</v>
      </c>
      <c r="AK339" s="18">
        <v>1</v>
      </c>
      <c r="AL339" s="18">
        <v>0</v>
      </c>
      <c r="AM339" s="18">
        <v>80</v>
      </c>
      <c r="AN339" s="17">
        <v>8.08442417E-3</v>
      </c>
      <c r="AO339" s="17">
        <v>2.38327739E-2</v>
      </c>
      <c r="AP339" s="19">
        <v>6.1907234600000005E-5</v>
      </c>
      <c r="AQ339" s="19">
        <v>-3.8452943299999998E-6</v>
      </c>
      <c r="AR339" s="19">
        <v>1.27184057E-7</v>
      </c>
      <c r="AS339" s="19">
        <v>-2.2971881499999998E-9</v>
      </c>
      <c r="AT339" s="19">
        <v>2.1147469399999999E-11</v>
      </c>
      <c r="AU339" s="19">
        <v>-7.7957171300000004E-14</v>
      </c>
      <c r="AV339" s="19">
        <v>0</v>
      </c>
      <c r="AW339" s="19">
        <v>0</v>
      </c>
    </row>
    <row r="340" spans="1:49" ht="17" customHeight="1">
      <c r="A340" s="11" t="s">
        <v>3331</v>
      </c>
      <c r="B340" s="11" t="s">
        <v>3331</v>
      </c>
      <c r="C340" s="18" t="s">
        <v>2867</v>
      </c>
      <c r="D340" s="18" t="s">
        <v>2916</v>
      </c>
      <c r="E340" s="18" t="s">
        <v>3300</v>
      </c>
      <c r="F340" s="18" t="s">
        <v>2918</v>
      </c>
      <c r="G340" s="14"/>
      <c r="H340" s="18" t="s">
        <v>3301</v>
      </c>
      <c r="I340" s="14"/>
      <c r="J340" s="14"/>
      <c r="K340" s="18" t="s">
        <v>3332</v>
      </c>
      <c r="L340" s="18">
        <v>140</v>
      </c>
      <c r="M340" s="18">
        <v>300</v>
      </c>
      <c r="N340" s="18">
        <v>100</v>
      </c>
      <c r="O340" s="18">
        <v>552</v>
      </c>
      <c r="P340" s="18">
        <v>45.877000000000002</v>
      </c>
      <c r="Q340" s="18">
        <v>156</v>
      </c>
      <c r="R340" s="18" t="s">
        <v>3303</v>
      </c>
      <c r="S340" s="18"/>
      <c r="T340" s="18">
        <v>245.8</v>
      </c>
      <c r="U340" s="18">
        <v>458.77</v>
      </c>
      <c r="V340" s="20">
        <v>8.4070652678356588</v>
      </c>
      <c r="W340" s="18" t="s">
        <v>2954</v>
      </c>
      <c r="X340" s="14"/>
      <c r="Y340" s="14"/>
      <c r="Z340" s="14"/>
      <c r="AA340" s="14"/>
      <c r="AB340" s="14"/>
      <c r="AC340" s="14"/>
      <c r="AD340" s="14"/>
      <c r="AE340" s="14"/>
      <c r="AF340" s="14"/>
      <c r="AG340" s="14"/>
      <c r="AH340" s="18" t="s">
        <v>3331</v>
      </c>
      <c r="AI340" s="14"/>
      <c r="AJ340" s="21">
        <v>0.33198863580560978</v>
      </c>
      <c r="AK340" s="18">
        <v>1</v>
      </c>
      <c r="AL340" s="18">
        <v>0</v>
      </c>
      <c r="AM340" s="18">
        <v>100</v>
      </c>
      <c r="AN340" s="17">
        <v>4.5551835800000003E-3</v>
      </c>
      <c r="AO340" s="17">
        <v>3.0389145699999998E-2</v>
      </c>
      <c r="AP340" s="17">
        <v>-1.00975851E-4</v>
      </c>
      <c r="AQ340" s="17">
        <v>7.1211200199999997E-6</v>
      </c>
      <c r="AR340" s="17">
        <v>-2.3921555700000002E-7</v>
      </c>
      <c r="AS340" s="17">
        <v>4.0687224099999998E-9</v>
      </c>
      <c r="AT340" s="17">
        <v>-3.37288039E-11</v>
      </c>
      <c r="AU340" s="17">
        <v>1.05691676E-13</v>
      </c>
      <c r="AV340" s="17">
        <v>0</v>
      </c>
      <c r="AW340" s="17">
        <v>0</v>
      </c>
    </row>
    <row r="341" spans="1:49" ht="17" customHeight="1">
      <c r="A341" s="11" t="s">
        <v>3333</v>
      </c>
      <c r="B341" s="11" t="s">
        <v>3333</v>
      </c>
      <c r="C341" s="18" t="s">
        <v>2867</v>
      </c>
      <c r="D341" s="18" t="s">
        <v>2916</v>
      </c>
      <c r="E341" s="18" t="s">
        <v>3300</v>
      </c>
      <c r="F341" s="18" t="s">
        <v>2918</v>
      </c>
      <c r="G341" s="14"/>
      <c r="H341" s="18" t="s">
        <v>3301</v>
      </c>
      <c r="I341" s="14"/>
      <c r="J341" s="14"/>
      <c r="K341" s="18" t="s">
        <v>3334</v>
      </c>
      <c r="L341" s="18">
        <v>140</v>
      </c>
      <c r="M341" s="18">
        <v>300</v>
      </c>
      <c r="N341" s="18">
        <v>100</v>
      </c>
      <c r="O341" s="18">
        <v>552</v>
      </c>
      <c r="P341" s="18">
        <v>45.506999999999998</v>
      </c>
      <c r="Q341" s="18">
        <v>156</v>
      </c>
      <c r="R341" s="18" t="s">
        <v>3303</v>
      </c>
      <c r="S341" s="18"/>
      <c r="T341" s="18">
        <v>244.5</v>
      </c>
      <c r="U341" s="18">
        <v>455.07</v>
      </c>
      <c r="V341" s="20">
        <v>8.4202331105141006</v>
      </c>
      <c r="W341" s="18" t="s">
        <v>2954</v>
      </c>
      <c r="X341" s="14"/>
      <c r="Y341" s="14"/>
      <c r="Z341" s="14"/>
      <c r="AA341" s="14"/>
      <c r="AB341" s="14"/>
      <c r="AC341" s="14"/>
      <c r="AD341" s="14"/>
      <c r="AE341" s="14"/>
      <c r="AF341" s="14"/>
      <c r="AG341" s="14"/>
      <c r="AH341" s="18" t="s">
        <v>3333</v>
      </c>
      <c r="AI341" s="14"/>
      <c r="AJ341" s="21">
        <v>0.33198863580560978</v>
      </c>
      <c r="AK341" s="18">
        <v>1</v>
      </c>
      <c r="AL341" s="18">
        <v>0</v>
      </c>
      <c r="AM341" s="18">
        <v>100</v>
      </c>
      <c r="AN341" s="17">
        <v>4.64164235E-3</v>
      </c>
      <c r="AO341" s="17">
        <v>3.02227934E-2</v>
      </c>
      <c r="AP341" s="17">
        <v>-9.9347111999999996E-5</v>
      </c>
      <c r="AQ341" s="17">
        <v>7.0874161799999999E-6</v>
      </c>
      <c r="AR341" s="17">
        <v>-2.3937962499999998E-7</v>
      </c>
      <c r="AS341" s="17">
        <v>4.0734583300000003E-9</v>
      </c>
      <c r="AT341" s="17">
        <v>-3.3698432799999997E-11</v>
      </c>
      <c r="AU341" s="17">
        <v>1.0526001E-13</v>
      </c>
      <c r="AV341" s="17">
        <v>0</v>
      </c>
      <c r="AW341" s="17">
        <v>0</v>
      </c>
    </row>
    <row r="342" spans="1:49" ht="17" customHeight="1">
      <c r="A342" s="11" t="s">
        <v>3335</v>
      </c>
      <c r="B342" s="11" t="s">
        <v>3335</v>
      </c>
      <c r="C342" s="18" t="s">
        <v>2867</v>
      </c>
      <c r="D342" s="18" t="s">
        <v>2916</v>
      </c>
      <c r="E342" s="18" t="s">
        <v>3300</v>
      </c>
      <c r="F342" s="18" t="s">
        <v>2918</v>
      </c>
      <c r="G342" s="14"/>
      <c r="H342" s="18" t="s">
        <v>3301</v>
      </c>
      <c r="I342" s="14"/>
      <c r="J342" s="14"/>
      <c r="K342" s="18" t="s">
        <v>3336</v>
      </c>
      <c r="L342" s="18">
        <v>140</v>
      </c>
      <c r="M342" s="18">
        <v>300</v>
      </c>
      <c r="N342" s="18">
        <v>100</v>
      </c>
      <c r="O342" s="18">
        <v>552</v>
      </c>
      <c r="P342" s="18">
        <v>45.789000000000001</v>
      </c>
      <c r="Q342" s="18">
        <v>156</v>
      </c>
      <c r="R342" s="18" t="s">
        <v>3303</v>
      </c>
      <c r="S342" s="18"/>
      <c r="T342" s="18">
        <v>245.3</v>
      </c>
      <c r="U342" s="18">
        <v>457.89</v>
      </c>
      <c r="V342" s="20">
        <v>8.3592409836005945</v>
      </c>
      <c r="W342" s="18" t="s">
        <v>2954</v>
      </c>
      <c r="X342" s="14"/>
      <c r="Y342" s="14"/>
      <c r="Z342" s="14"/>
      <c r="AA342" s="14"/>
      <c r="AB342" s="14"/>
      <c r="AC342" s="14"/>
      <c r="AD342" s="14"/>
      <c r="AE342" s="14"/>
      <c r="AF342" s="14"/>
      <c r="AG342" s="14"/>
      <c r="AH342" s="18" t="s">
        <v>3335</v>
      </c>
      <c r="AI342" s="14"/>
      <c r="AJ342" s="21">
        <v>0.33198863580560978</v>
      </c>
      <c r="AK342" s="18">
        <v>1</v>
      </c>
      <c r="AL342" s="18">
        <v>0</v>
      </c>
      <c r="AM342" s="18">
        <v>100</v>
      </c>
      <c r="AN342" s="17">
        <v>4.81799746E-3</v>
      </c>
      <c r="AO342" s="17">
        <v>3.0378875199999999E-2</v>
      </c>
      <c r="AP342" s="17">
        <v>-9.1373906899999997E-5</v>
      </c>
      <c r="AQ342" s="17">
        <v>6.6070607400000001E-6</v>
      </c>
      <c r="AR342" s="17">
        <v>-2.2676079100000001E-7</v>
      </c>
      <c r="AS342" s="17">
        <v>3.9211799399999996E-9</v>
      </c>
      <c r="AT342" s="17">
        <v>-3.2883356100000002E-11</v>
      </c>
      <c r="AU342" s="17">
        <v>1.03793694E-13</v>
      </c>
      <c r="AV342" s="17">
        <v>0</v>
      </c>
      <c r="AW342" s="17">
        <v>0</v>
      </c>
    </row>
    <row r="343" spans="1:49" ht="17" customHeight="1">
      <c r="A343" s="11" t="s">
        <v>3337</v>
      </c>
      <c r="B343" s="11" t="s">
        <v>3337</v>
      </c>
      <c r="C343" s="18" t="s">
        <v>2867</v>
      </c>
      <c r="D343" s="18" t="s">
        <v>2916</v>
      </c>
      <c r="E343" s="18" t="s">
        <v>3300</v>
      </c>
      <c r="F343" s="18" t="s">
        <v>2918</v>
      </c>
      <c r="G343" s="14"/>
      <c r="H343" s="18" t="s">
        <v>3301</v>
      </c>
      <c r="I343" s="14"/>
      <c r="J343" s="14"/>
      <c r="K343" s="18" t="s">
        <v>3338</v>
      </c>
      <c r="L343" s="18">
        <v>44</v>
      </c>
      <c r="M343" s="18">
        <v>160</v>
      </c>
      <c r="N343" s="18">
        <v>80</v>
      </c>
      <c r="O343" s="18">
        <v>432</v>
      </c>
      <c r="P343" s="18">
        <v>6.8304</v>
      </c>
      <c r="Q343" s="18">
        <v>47</v>
      </c>
      <c r="R343" s="18" t="s">
        <v>3303</v>
      </c>
      <c r="S343" s="18"/>
      <c r="T343" s="18">
        <v>30.2</v>
      </c>
      <c r="U343" s="18">
        <v>85.38</v>
      </c>
      <c r="V343" s="20">
        <v>20.88975047876032</v>
      </c>
      <c r="W343" s="18" t="s">
        <v>2954</v>
      </c>
      <c r="X343" s="14"/>
      <c r="Y343" s="14"/>
      <c r="Z343" s="14"/>
      <c r="AA343" s="14"/>
      <c r="AB343" s="14"/>
      <c r="AC343" s="14"/>
      <c r="AD343" s="14"/>
      <c r="AE343" s="14"/>
      <c r="AF343" s="14"/>
      <c r="AG343" s="14"/>
      <c r="AH343" s="18" t="s">
        <v>3337</v>
      </c>
      <c r="AI343" s="14"/>
      <c r="AJ343" s="21">
        <v>0.17374887133613809</v>
      </c>
      <c r="AK343" s="18">
        <v>1</v>
      </c>
      <c r="AL343" s="18">
        <v>0</v>
      </c>
      <c r="AM343" s="18">
        <v>80</v>
      </c>
      <c r="AN343" s="17">
        <v>2.11585431E-2</v>
      </c>
      <c r="AO343" s="17">
        <v>4.5722607700000001E-2</v>
      </c>
      <c r="AP343" s="17">
        <v>7.0372285400000003E-5</v>
      </c>
      <c r="AQ343" s="17">
        <v>-6.2746199800000001E-6</v>
      </c>
      <c r="AR343" s="17">
        <v>2.5420348699999998E-7</v>
      </c>
      <c r="AS343" s="17">
        <v>-5.3042188900000003E-9</v>
      </c>
      <c r="AT343" s="17">
        <v>5.4961850599999999E-11</v>
      </c>
      <c r="AU343" s="17">
        <v>-2.26170286E-13</v>
      </c>
      <c r="AV343" s="17">
        <v>0</v>
      </c>
      <c r="AW343" s="17">
        <v>0</v>
      </c>
    </row>
    <row r="344" spans="1:49" ht="17" customHeight="1">
      <c r="A344" s="11" t="s">
        <v>3339</v>
      </c>
      <c r="B344" s="11" t="s">
        <v>3339</v>
      </c>
      <c r="C344" s="14" t="s">
        <v>2867</v>
      </c>
      <c r="D344" s="14" t="s">
        <v>2916</v>
      </c>
      <c r="E344" s="14" t="s">
        <v>3300</v>
      </c>
      <c r="F344" s="14" t="s">
        <v>2918</v>
      </c>
      <c r="G344" s="14"/>
      <c r="H344" s="14" t="s">
        <v>3301</v>
      </c>
      <c r="I344" s="14"/>
      <c r="J344" s="14"/>
      <c r="K344" s="14" t="s">
        <v>3340</v>
      </c>
      <c r="L344" s="14">
        <v>140</v>
      </c>
      <c r="M344" s="14">
        <v>300</v>
      </c>
      <c r="N344" s="14">
        <v>100</v>
      </c>
      <c r="O344" s="14">
        <v>552</v>
      </c>
      <c r="P344" s="14">
        <v>45.970999999999997</v>
      </c>
      <c r="Q344" s="14">
        <v>156</v>
      </c>
      <c r="R344" s="14" t="s">
        <v>3303</v>
      </c>
      <c r="S344" s="14"/>
      <c r="T344" s="14">
        <v>246.5</v>
      </c>
      <c r="U344" s="14">
        <v>459.71</v>
      </c>
      <c r="V344" s="15">
        <v>8.4045913358958551</v>
      </c>
      <c r="W344" s="14" t="s">
        <v>2954</v>
      </c>
      <c r="X344" s="14"/>
      <c r="Y344" s="14"/>
      <c r="Z344" s="14"/>
      <c r="AA344" s="14"/>
      <c r="AB344" s="14"/>
      <c r="AC344" s="14"/>
      <c r="AD344" s="14"/>
      <c r="AE344" s="14"/>
      <c r="AF344" s="14"/>
      <c r="AG344" s="14"/>
      <c r="AH344" s="14" t="s">
        <v>3339</v>
      </c>
      <c r="AI344" s="14"/>
      <c r="AJ344" s="16">
        <v>0.33198863580560978</v>
      </c>
      <c r="AK344" s="14">
        <v>1</v>
      </c>
      <c r="AL344" s="14">
        <v>0</v>
      </c>
      <c r="AM344" s="14">
        <v>100</v>
      </c>
      <c r="AN344" s="19">
        <v>4.6383228700000003E-3</v>
      </c>
      <c r="AO344" s="19">
        <v>3.0268253700000001E-2</v>
      </c>
      <c r="AP344" s="19">
        <v>-9.4858706800000003E-5</v>
      </c>
      <c r="AQ344" s="19">
        <v>6.8265824899999998E-6</v>
      </c>
      <c r="AR344" s="19">
        <v>-2.3267132100000001E-7</v>
      </c>
      <c r="AS344" s="19">
        <v>4.0027096200000001E-9</v>
      </c>
      <c r="AT344" s="19">
        <v>-3.3457302099999997E-11</v>
      </c>
      <c r="AU344" s="19">
        <v>1.05418547E-13</v>
      </c>
      <c r="AV344" s="19">
        <v>0</v>
      </c>
      <c r="AW344" s="19">
        <v>0</v>
      </c>
    </row>
    <row r="345" spans="1:49" ht="17" customHeight="1">
      <c r="A345" s="11" t="s">
        <v>3341</v>
      </c>
      <c r="B345" s="11" t="s">
        <v>3341</v>
      </c>
      <c r="C345" s="14" t="s">
        <v>2867</v>
      </c>
      <c r="D345" s="14" t="s">
        <v>2916</v>
      </c>
      <c r="E345" s="14" t="s">
        <v>3300</v>
      </c>
      <c r="F345" s="14" t="s">
        <v>2918</v>
      </c>
      <c r="G345" s="14"/>
      <c r="H345" s="14" t="s">
        <v>3301</v>
      </c>
      <c r="I345" s="14"/>
      <c r="J345" s="14"/>
      <c r="K345" s="14" t="s">
        <v>3342</v>
      </c>
      <c r="L345" s="14">
        <v>140</v>
      </c>
      <c r="M345" s="14">
        <v>300</v>
      </c>
      <c r="N345" s="14">
        <v>100</v>
      </c>
      <c r="O345" s="14">
        <v>552</v>
      </c>
      <c r="P345" s="14">
        <v>45.926000000000002</v>
      </c>
      <c r="Q345" s="14">
        <v>156</v>
      </c>
      <c r="R345" s="14" t="s">
        <v>3303</v>
      </c>
      <c r="S345" s="14"/>
      <c r="T345" s="14">
        <v>244.8</v>
      </c>
      <c r="U345" s="14">
        <v>459.26</v>
      </c>
      <c r="V345" s="15">
        <v>8.4450254632289834</v>
      </c>
      <c r="W345" s="14" t="s">
        <v>2954</v>
      </c>
      <c r="X345" s="14"/>
      <c r="Y345" s="14"/>
      <c r="Z345" s="14"/>
      <c r="AA345" s="14"/>
      <c r="AB345" s="14"/>
      <c r="AC345" s="14"/>
      <c r="AD345" s="14"/>
      <c r="AE345" s="14"/>
      <c r="AF345" s="14"/>
      <c r="AG345" s="14"/>
      <c r="AH345" s="14" t="s">
        <v>3341</v>
      </c>
      <c r="AI345" s="14"/>
      <c r="AJ345" s="16">
        <v>0.33198863580560978</v>
      </c>
      <c r="AK345" s="14">
        <v>1</v>
      </c>
      <c r="AL345" s="14">
        <v>0</v>
      </c>
      <c r="AM345" s="14">
        <v>100</v>
      </c>
      <c r="AN345" s="19">
        <v>4.5038561000000001E-3</v>
      </c>
      <c r="AO345" s="19">
        <v>3.0141956399999999E-2</v>
      </c>
      <c r="AP345" s="19">
        <v>-9.04393583E-5</v>
      </c>
      <c r="AQ345" s="19">
        <v>6.4972774300000001E-6</v>
      </c>
      <c r="AR345" s="19">
        <v>-2.2159994599999999E-7</v>
      </c>
      <c r="AS345" s="19">
        <v>3.8128904700000003E-9</v>
      </c>
      <c r="AT345" s="19">
        <v>-3.1846526599999997E-11</v>
      </c>
      <c r="AU345" s="19">
        <v>1.0013591800000001E-13</v>
      </c>
      <c r="AV345" s="19">
        <v>0</v>
      </c>
      <c r="AW345" s="19">
        <v>0</v>
      </c>
    </row>
    <row r="346" spans="1:49" ht="17" customHeight="1">
      <c r="A346" s="11" t="s">
        <v>3343</v>
      </c>
      <c r="B346" s="11" t="s">
        <v>3343</v>
      </c>
      <c r="C346" s="14" t="s">
        <v>2867</v>
      </c>
      <c r="D346" s="14" t="s">
        <v>2916</v>
      </c>
      <c r="E346" s="14" t="s">
        <v>3300</v>
      </c>
      <c r="F346" s="14" t="s">
        <v>2918</v>
      </c>
      <c r="G346" s="14"/>
      <c r="H346" s="14" t="s">
        <v>3301</v>
      </c>
      <c r="I346" s="14"/>
      <c r="J346" s="14"/>
      <c r="K346" s="14" t="s">
        <v>3344</v>
      </c>
      <c r="L346" s="14">
        <v>140</v>
      </c>
      <c r="M346" s="14">
        <v>300</v>
      </c>
      <c r="N346" s="14">
        <v>100</v>
      </c>
      <c r="O346" s="14">
        <v>552</v>
      </c>
      <c r="P346" s="14">
        <v>45.616</v>
      </c>
      <c r="Q346" s="14">
        <v>156</v>
      </c>
      <c r="R346" s="14" t="s">
        <v>3303</v>
      </c>
      <c r="S346" s="14"/>
      <c r="T346" s="14">
        <v>244.9</v>
      </c>
      <c r="U346" s="14">
        <v>456.16</v>
      </c>
      <c r="V346" s="15">
        <v>8.4098036366838063</v>
      </c>
      <c r="W346" s="14" t="s">
        <v>2954</v>
      </c>
      <c r="X346" s="14"/>
      <c r="Y346" s="14"/>
      <c r="Z346" s="14"/>
      <c r="AA346" s="14"/>
      <c r="AB346" s="14"/>
      <c r="AC346" s="14"/>
      <c r="AD346" s="14"/>
      <c r="AE346" s="14"/>
      <c r="AF346" s="14"/>
      <c r="AG346" s="14"/>
      <c r="AH346" s="14" t="s">
        <v>3343</v>
      </c>
      <c r="AI346" s="14"/>
      <c r="AJ346" s="16">
        <v>0.33198863580560978</v>
      </c>
      <c r="AK346" s="14">
        <v>1</v>
      </c>
      <c r="AL346" s="14">
        <v>0</v>
      </c>
      <c r="AM346" s="14">
        <v>100</v>
      </c>
      <c r="AN346" s="19">
        <v>4.6198752799999996E-3</v>
      </c>
      <c r="AO346" s="19">
        <v>3.0289318499999999E-2</v>
      </c>
      <c r="AP346" s="19">
        <v>-9.6862535999999995E-5</v>
      </c>
      <c r="AQ346" s="19">
        <v>6.9715284200000003E-6</v>
      </c>
      <c r="AR346" s="19">
        <v>-2.3714970599999999E-7</v>
      </c>
      <c r="AS346" s="19">
        <v>4.0648978699999997E-9</v>
      </c>
      <c r="AT346" s="19">
        <v>-3.3820506400000001E-11</v>
      </c>
      <c r="AU346" s="19">
        <v>1.06087317E-13</v>
      </c>
      <c r="AV346" s="19">
        <v>0</v>
      </c>
      <c r="AW346" s="19">
        <v>0</v>
      </c>
    </row>
    <row r="347" spans="1:49" ht="17" customHeight="1">
      <c r="A347" s="11" t="s">
        <v>3345</v>
      </c>
      <c r="B347" s="11" t="s">
        <v>3345</v>
      </c>
      <c r="C347" s="14" t="s">
        <v>2867</v>
      </c>
      <c r="D347" s="14" t="s">
        <v>2916</v>
      </c>
      <c r="E347" s="14" t="s">
        <v>3300</v>
      </c>
      <c r="F347" s="14" t="s">
        <v>2918</v>
      </c>
      <c r="G347" s="14"/>
      <c r="H347" s="14" t="s">
        <v>3301</v>
      </c>
      <c r="I347" s="14"/>
      <c r="J347" s="14"/>
      <c r="K347" s="14" t="s">
        <v>3346</v>
      </c>
      <c r="L347" s="14">
        <v>44</v>
      </c>
      <c r="M347" s="14">
        <v>160</v>
      </c>
      <c r="N347" s="14">
        <v>80</v>
      </c>
      <c r="O347" s="14">
        <v>432</v>
      </c>
      <c r="P347" s="14">
        <v>6.8559999999999999</v>
      </c>
      <c r="Q347" s="14">
        <v>47</v>
      </c>
      <c r="R347" s="14" t="s">
        <v>3303</v>
      </c>
      <c r="S347" s="14"/>
      <c r="T347" s="14">
        <v>30.2</v>
      </c>
      <c r="U347" s="14">
        <v>85.7</v>
      </c>
      <c r="V347" s="15">
        <v>20.908568825709239</v>
      </c>
      <c r="W347" s="14" t="s">
        <v>2954</v>
      </c>
      <c r="X347" s="14"/>
      <c r="Y347" s="14"/>
      <c r="Z347" s="14"/>
      <c r="AA347" s="14"/>
      <c r="AB347" s="14"/>
      <c r="AC347" s="14"/>
      <c r="AD347" s="14"/>
      <c r="AE347" s="14"/>
      <c r="AF347" s="14"/>
      <c r="AG347" s="14"/>
      <c r="AH347" s="14" t="s">
        <v>3345</v>
      </c>
      <c r="AI347" s="14"/>
      <c r="AJ347" s="16">
        <v>0.17374887133613809</v>
      </c>
      <c r="AK347" s="14">
        <v>1</v>
      </c>
      <c r="AL347" s="14">
        <v>0</v>
      </c>
      <c r="AM347" s="14">
        <v>80</v>
      </c>
      <c r="AN347" s="19">
        <v>2.0790207799999998E-2</v>
      </c>
      <c r="AO347" s="19">
        <v>4.5722912599999999E-2</v>
      </c>
      <c r="AP347" s="19">
        <v>5.6820163000000001E-5</v>
      </c>
      <c r="AQ347" s="19">
        <v>-5.1878534500000002E-6</v>
      </c>
      <c r="AR347" s="19">
        <v>2.17082536E-7</v>
      </c>
      <c r="AS347" s="19">
        <v>-4.6766459300000002E-9</v>
      </c>
      <c r="AT347" s="19">
        <v>4.9836461100000002E-11</v>
      </c>
      <c r="AU347" s="19">
        <v>-2.1019261699999999E-13</v>
      </c>
      <c r="AV347" s="19">
        <v>0</v>
      </c>
      <c r="AW347" s="19">
        <v>0</v>
      </c>
    </row>
    <row r="348" spans="1:49" ht="17" customHeight="1">
      <c r="A348" s="11" t="s">
        <v>3347</v>
      </c>
      <c r="B348" s="11" t="s">
        <v>3347</v>
      </c>
      <c r="C348" s="18" t="s">
        <v>2867</v>
      </c>
      <c r="D348" s="18" t="s">
        <v>2916</v>
      </c>
      <c r="E348" s="18" t="s">
        <v>3300</v>
      </c>
      <c r="F348" s="18" t="s">
        <v>2918</v>
      </c>
      <c r="G348" s="14"/>
      <c r="H348" s="18" t="s">
        <v>3301</v>
      </c>
      <c r="I348" s="14"/>
      <c r="J348" s="14"/>
      <c r="K348" s="18" t="s">
        <v>3348</v>
      </c>
      <c r="L348" s="18">
        <v>44</v>
      </c>
      <c r="M348" s="18">
        <v>160</v>
      </c>
      <c r="N348" s="18">
        <v>80</v>
      </c>
      <c r="O348" s="18">
        <v>432</v>
      </c>
      <c r="P348" s="18">
        <v>6.878400000000001</v>
      </c>
      <c r="Q348" s="18">
        <v>47</v>
      </c>
      <c r="R348" s="18" t="s">
        <v>3303</v>
      </c>
      <c r="S348" s="18"/>
      <c r="T348" s="18">
        <v>30.4</v>
      </c>
      <c r="U348" s="18">
        <v>85.98</v>
      </c>
      <c r="V348" s="20">
        <v>20.929361563583829</v>
      </c>
      <c r="W348" s="18" t="s">
        <v>2954</v>
      </c>
      <c r="X348" s="14"/>
      <c r="Y348" s="14"/>
      <c r="Z348" s="14"/>
      <c r="AA348" s="14"/>
      <c r="AB348" s="14"/>
      <c r="AC348" s="14"/>
      <c r="AD348" s="14"/>
      <c r="AE348" s="14"/>
      <c r="AF348" s="14"/>
      <c r="AG348" s="14"/>
      <c r="AH348" s="18" t="s">
        <v>3347</v>
      </c>
      <c r="AI348" s="14"/>
      <c r="AJ348" s="21">
        <v>0.17374887133613809</v>
      </c>
      <c r="AK348" s="18">
        <v>1</v>
      </c>
      <c r="AL348" s="18">
        <v>0</v>
      </c>
      <c r="AM348" s="18">
        <v>80</v>
      </c>
      <c r="AN348" s="17">
        <v>2.0496673100000001E-2</v>
      </c>
      <c r="AO348" s="17">
        <v>4.5828058499999998E-2</v>
      </c>
      <c r="AP348" s="17">
        <v>6.4006988500000004E-5</v>
      </c>
      <c r="AQ348" s="17">
        <v>-5.7337877499999999E-6</v>
      </c>
      <c r="AR348" s="17">
        <v>2.38633309E-7</v>
      </c>
      <c r="AS348" s="17">
        <v>-5.1222262899999998E-9</v>
      </c>
      <c r="AT348" s="17">
        <v>5.4405120799999997E-11</v>
      </c>
      <c r="AU348" s="17">
        <v>-2.2852257499999999E-13</v>
      </c>
      <c r="AV348" s="17">
        <v>0</v>
      </c>
      <c r="AW348" s="17">
        <v>0</v>
      </c>
    </row>
    <row r="349" spans="1:49" ht="17" customHeight="1">
      <c r="A349" s="11" t="s">
        <v>3349</v>
      </c>
      <c r="B349" s="11" t="s">
        <v>3349</v>
      </c>
      <c r="C349" s="18" t="s">
        <v>2867</v>
      </c>
      <c r="D349" s="18" t="s">
        <v>2916</v>
      </c>
      <c r="E349" s="18" t="s">
        <v>3300</v>
      </c>
      <c r="F349" s="18" t="s">
        <v>2918</v>
      </c>
      <c r="G349" s="14"/>
      <c r="H349" s="18" t="s">
        <v>3301</v>
      </c>
      <c r="I349" s="14"/>
      <c r="J349" s="14"/>
      <c r="K349" s="18" t="s">
        <v>3350</v>
      </c>
      <c r="L349" s="18">
        <v>140</v>
      </c>
      <c r="M349" s="18">
        <v>300</v>
      </c>
      <c r="N349" s="18">
        <v>100</v>
      </c>
      <c r="O349" s="18">
        <v>552</v>
      </c>
      <c r="P349" s="18">
        <v>45.53</v>
      </c>
      <c r="Q349" s="18">
        <v>156</v>
      </c>
      <c r="R349" s="18" t="s">
        <v>3303</v>
      </c>
      <c r="S349" s="18"/>
      <c r="T349" s="18">
        <v>244.7</v>
      </c>
      <c r="U349" s="18">
        <v>455.3</v>
      </c>
      <c r="V349" s="20">
        <v>8.363644265868075</v>
      </c>
      <c r="W349" s="18" t="s">
        <v>2954</v>
      </c>
      <c r="X349" s="14"/>
      <c r="Y349" s="14"/>
      <c r="Z349" s="14"/>
      <c r="AA349" s="14"/>
      <c r="AB349" s="14"/>
      <c r="AC349" s="14"/>
      <c r="AD349" s="14"/>
      <c r="AE349" s="14"/>
      <c r="AF349" s="14"/>
      <c r="AG349" s="14"/>
      <c r="AH349" s="18" t="s">
        <v>3349</v>
      </c>
      <c r="AI349" s="14"/>
      <c r="AJ349" s="21">
        <v>0.33198863580560978</v>
      </c>
      <c r="AK349" s="18">
        <v>1</v>
      </c>
      <c r="AL349" s="18">
        <v>0</v>
      </c>
      <c r="AM349" s="18">
        <v>100</v>
      </c>
      <c r="AN349" s="17">
        <v>4.7026544299999997E-3</v>
      </c>
      <c r="AO349" s="17">
        <v>3.0404362000000001E-2</v>
      </c>
      <c r="AP349" s="17">
        <v>-8.5089786100000006E-5</v>
      </c>
      <c r="AQ349" s="17">
        <v>6.1766368900000001E-6</v>
      </c>
      <c r="AR349" s="17">
        <v>-2.11781406E-7</v>
      </c>
      <c r="AS349" s="17">
        <v>3.65816962E-9</v>
      </c>
      <c r="AT349" s="17">
        <v>-3.0711336300000002E-11</v>
      </c>
      <c r="AU349" s="17">
        <v>9.7057747199999994E-14</v>
      </c>
      <c r="AV349" s="17">
        <v>0</v>
      </c>
      <c r="AW349" s="17">
        <v>0</v>
      </c>
    </row>
    <row r="350" spans="1:49" ht="17" customHeight="1">
      <c r="A350" s="11" t="s">
        <v>3351</v>
      </c>
      <c r="B350" s="11" t="s">
        <v>3351</v>
      </c>
      <c r="C350" s="18" t="s">
        <v>2867</v>
      </c>
      <c r="D350" s="18" t="s">
        <v>2916</v>
      </c>
      <c r="E350" s="18" t="s">
        <v>3300</v>
      </c>
      <c r="F350" s="18" t="s">
        <v>2918</v>
      </c>
      <c r="G350" s="14"/>
      <c r="H350" s="18" t="s">
        <v>3301</v>
      </c>
      <c r="I350" s="14"/>
      <c r="J350" s="14"/>
      <c r="K350" s="18" t="s">
        <v>3352</v>
      </c>
      <c r="L350" s="18">
        <v>140</v>
      </c>
      <c r="M350" s="18">
        <v>300</v>
      </c>
      <c r="N350" s="18">
        <v>100</v>
      </c>
      <c r="O350" s="18">
        <v>552</v>
      </c>
      <c r="P350" s="18">
        <v>45.567</v>
      </c>
      <c r="Q350" s="18">
        <v>156</v>
      </c>
      <c r="R350" s="18" t="s">
        <v>3303</v>
      </c>
      <c r="S350" s="18"/>
      <c r="T350" s="18">
        <v>245.1</v>
      </c>
      <c r="U350" s="18">
        <v>455.67</v>
      </c>
      <c r="V350" s="20">
        <v>8.4246889662085884</v>
      </c>
      <c r="W350" s="18" t="s">
        <v>2954</v>
      </c>
      <c r="X350" s="14"/>
      <c r="Y350" s="14"/>
      <c r="Z350" s="14"/>
      <c r="AA350" s="14"/>
      <c r="AB350" s="14"/>
      <c r="AC350" s="14"/>
      <c r="AD350" s="14"/>
      <c r="AE350" s="14"/>
      <c r="AF350" s="14"/>
      <c r="AG350" s="14"/>
      <c r="AH350" s="18" t="s">
        <v>3351</v>
      </c>
      <c r="AI350" s="14"/>
      <c r="AJ350" s="21">
        <v>0.33198863580560978</v>
      </c>
      <c r="AK350" s="18">
        <v>1</v>
      </c>
      <c r="AL350" s="18">
        <v>0</v>
      </c>
      <c r="AM350" s="18">
        <v>100</v>
      </c>
      <c r="AN350" s="17">
        <v>4.48660052E-3</v>
      </c>
      <c r="AO350" s="17">
        <v>3.02584872E-2</v>
      </c>
      <c r="AP350" s="17">
        <v>-1.01661725E-4</v>
      </c>
      <c r="AQ350" s="17">
        <v>7.1948090300000001E-6</v>
      </c>
      <c r="AR350" s="17">
        <v>-2.4128451E-7</v>
      </c>
      <c r="AS350" s="17">
        <v>4.0870019299999998E-9</v>
      </c>
      <c r="AT350" s="17">
        <v>-3.3721681800000002E-11</v>
      </c>
      <c r="AU350" s="17">
        <v>1.05187179E-13</v>
      </c>
      <c r="AV350" s="17">
        <v>0</v>
      </c>
      <c r="AW350" s="17">
        <v>0</v>
      </c>
    </row>
    <row r="351" spans="1:49" ht="17" customHeight="1">
      <c r="A351" s="11" t="s">
        <v>3353</v>
      </c>
      <c r="B351" s="11" t="s">
        <v>3353</v>
      </c>
      <c r="C351" s="18" t="s">
        <v>2867</v>
      </c>
      <c r="D351" s="18" t="s">
        <v>2916</v>
      </c>
      <c r="E351" s="18" t="s">
        <v>3300</v>
      </c>
      <c r="F351" s="18" t="s">
        <v>2918</v>
      </c>
      <c r="G351" s="14"/>
      <c r="H351" s="18" t="s">
        <v>3301</v>
      </c>
      <c r="I351" s="14"/>
      <c r="J351" s="14"/>
      <c r="K351" s="18" t="s">
        <v>3354</v>
      </c>
      <c r="L351" s="18">
        <v>140</v>
      </c>
      <c r="M351" s="18">
        <v>300</v>
      </c>
      <c r="N351" s="18">
        <v>100</v>
      </c>
      <c r="O351" s="18">
        <v>552</v>
      </c>
      <c r="P351" s="18">
        <v>45.914000000000001</v>
      </c>
      <c r="Q351" s="18">
        <v>156</v>
      </c>
      <c r="R351" s="18" t="s">
        <v>3303</v>
      </c>
      <c r="S351" s="18"/>
      <c r="T351" s="18">
        <v>245.2</v>
      </c>
      <c r="U351" s="18">
        <v>459.14</v>
      </c>
      <c r="V351" s="20">
        <v>8.39710407333523</v>
      </c>
      <c r="W351" s="18" t="s">
        <v>2954</v>
      </c>
      <c r="X351" s="14"/>
      <c r="Y351" s="14"/>
      <c r="Z351" s="14"/>
      <c r="AA351" s="14"/>
      <c r="AB351" s="14"/>
      <c r="AC351" s="14"/>
      <c r="AD351" s="14"/>
      <c r="AE351" s="14"/>
      <c r="AF351" s="14"/>
      <c r="AG351" s="14"/>
      <c r="AH351" s="18" t="s">
        <v>3353</v>
      </c>
      <c r="AI351" s="14"/>
      <c r="AJ351" s="21">
        <v>0.33198863580560978</v>
      </c>
      <c r="AK351" s="18">
        <v>1</v>
      </c>
      <c r="AL351" s="18">
        <v>0</v>
      </c>
      <c r="AM351" s="18">
        <v>100</v>
      </c>
      <c r="AN351" s="17">
        <v>4.6514562999999997E-3</v>
      </c>
      <c r="AO351" s="17">
        <v>3.0325768499999999E-2</v>
      </c>
      <c r="AP351" s="17">
        <v>-9.6563426299999997E-5</v>
      </c>
      <c r="AQ351" s="17">
        <v>6.9761828100000003E-6</v>
      </c>
      <c r="AR351" s="17">
        <v>-2.3776204699999999E-7</v>
      </c>
      <c r="AS351" s="17">
        <v>4.0852934099999997E-9</v>
      </c>
      <c r="AT351" s="17">
        <v>-3.4094163299999998E-11</v>
      </c>
      <c r="AU351" s="17">
        <v>1.07296759E-13</v>
      </c>
      <c r="AV351" s="17">
        <v>0</v>
      </c>
      <c r="AW351" s="17">
        <v>0</v>
      </c>
    </row>
    <row r="352" spans="1:49" ht="17" customHeight="1">
      <c r="A352" s="11" t="s">
        <v>3355</v>
      </c>
      <c r="B352" s="11" t="s">
        <v>3355</v>
      </c>
      <c r="C352" s="18" t="s">
        <v>2867</v>
      </c>
      <c r="D352" s="18" t="s">
        <v>2916</v>
      </c>
      <c r="E352" s="18" t="s">
        <v>3300</v>
      </c>
      <c r="F352" s="18" t="s">
        <v>2918</v>
      </c>
      <c r="G352" s="14"/>
      <c r="H352" s="18" t="s">
        <v>3301</v>
      </c>
      <c r="I352" s="14"/>
      <c r="J352" s="14"/>
      <c r="K352" s="18" t="s">
        <v>3356</v>
      </c>
      <c r="L352" s="18">
        <v>44</v>
      </c>
      <c r="M352" s="18">
        <v>160</v>
      </c>
      <c r="N352" s="18">
        <v>80</v>
      </c>
      <c r="O352" s="18">
        <v>432</v>
      </c>
      <c r="P352" s="18">
        <v>6.8512000000000004</v>
      </c>
      <c r="Q352" s="18">
        <v>47</v>
      </c>
      <c r="R352" s="18" t="s">
        <v>3303</v>
      </c>
      <c r="S352" s="18"/>
      <c r="T352" s="18">
        <v>30.3</v>
      </c>
      <c r="U352" s="18">
        <v>85.64</v>
      </c>
      <c r="V352" s="20">
        <v>20.901654071959982</v>
      </c>
      <c r="W352" s="18" t="s">
        <v>2954</v>
      </c>
      <c r="X352" s="14"/>
      <c r="Y352" s="14"/>
      <c r="Z352" s="14"/>
      <c r="AA352" s="14"/>
      <c r="AB352" s="14"/>
      <c r="AC352" s="14"/>
      <c r="AD352" s="14"/>
      <c r="AE352" s="14"/>
      <c r="AF352" s="14"/>
      <c r="AG352" s="14"/>
      <c r="AH352" s="18" t="s">
        <v>3355</v>
      </c>
      <c r="AI352" s="14"/>
      <c r="AJ352" s="21">
        <v>0.17374887133613809</v>
      </c>
      <c r="AK352" s="18">
        <v>1</v>
      </c>
      <c r="AL352" s="18">
        <v>0</v>
      </c>
      <c r="AM352" s="18">
        <v>80</v>
      </c>
      <c r="AN352" s="17">
        <v>2.2206957699999998E-2</v>
      </c>
      <c r="AO352" s="17">
        <v>4.5791543699999999E-2</v>
      </c>
      <c r="AP352" s="17">
        <v>5.2688316200000002E-5</v>
      </c>
      <c r="AQ352" s="17">
        <v>-4.5954116599999996E-6</v>
      </c>
      <c r="AR352" s="17">
        <v>1.8842883599999999E-7</v>
      </c>
      <c r="AS352" s="17">
        <v>-4.0372826300000003E-9</v>
      </c>
      <c r="AT352" s="17">
        <v>4.3128947199999997E-11</v>
      </c>
      <c r="AU352" s="17">
        <v>-1.8343473899999999E-13</v>
      </c>
      <c r="AV352" s="17">
        <v>0</v>
      </c>
      <c r="AW352" s="17">
        <v>0</v>
      </c>
    </row>
    <row r="353" spans="1:49" ht="17" customHeight="1">
      <c r="A353" s="11" t="s">
        <v>3357</v>
      </c>
      <c r="B353" s="11" t="s">
        <v>3357</v>
      </c>
      <c r="C353" s="18" t="s">
        <v>2867</v>
      </c>
      <c r="D353" s="18" t="s">
        <v>2916</v>
      </c>
      <c r="E353" s="18" t="s">
        <v>3300</v>
      </c>
      <c r="F353" s="18" t="s">
        <v>2918</v>
      </c>
      <c r="G353" s="14"/>
      <c r="H353" s="18" t="s">
        <v>3301</v>
      </c>
      <c r="I353" s="14"/>
      <c r="J353" s="14"/>
      <c r="K353" s="18" t="s">
        <v>3358</v>
      </c>
      <c r="L353" s="18">
        <v>140</v>
      </c>
      <c r="M353" s="18">
        <v>300</v>
      </c>
      <c r="N353" s="18">
        <v>100</v>
      </c>
      <c r="O353" s="18">
        <v>552</v>
      </c>
      <c r="P353" s="18">
        <v>45.761000000000003</v>
      </c>
      <c r="Q353" s="18">
        <v>156</v>
      </c>
      <c r="R353" s="18" t="s">
        <v>3303</v>
      </c>
      <c r="S353" s="18"/>
      <c r="T353" s="18">
        <v>245.7</v>
      </c>
      <c r="U353" s="18">
        <v>457.61</v>
      </c>
      <c r="V353" s="20">
        <v>8.4110655632807294</v>
      </c>
      <c r="W353" s="18" t="s">
        <v>2954</v>
      </c>
      <c r="X353" s="14"/>
      <c r="Y353" s="14"/>
      <c r="Z353" s="14"/>
      <c r="AA353" s="14"/>
      <c r="AB353" s="14"/>
      <c r="AC353" s="14"/>
      <c r="AD353" s="14"/>
      <c r="AE353" s="14"/>
      <c r="AF353" s="14"/>
      <c r="AG353" s="14"/>
      <c r="AH353" s="18" t="s">
        <v>3357</v>
      </c>
      <c r="AI353" s="14"/>
      <c r="AJ353" s="21">
        <v>0.33198863580560978</v>
      </c>
      <c r="AK353" s="18">
        <v>1</v>
      </c>
      <c r="AL353" s="18">
        <v>0</v>
      </c>
      <c r="AM353" s="18">
        <v>100</v>
      </c>
      <c r="AN353" s="17">
        <v>4.6005858300000001E-3</v>
      </c>
      <c r="AO353" s="17">
        <v>3.0292155000000001E-2</v>
      </c>
      <c r="AP353" s="17">
        <v>-1.00256427E-4</v>
      </c>
      <c r="AQ353" s="17">
        <v>7.2190980299999999E-6</v>
      </c>
      <c r="AR353" s="17">
        <v>-2.4509710999999999E-7</v>
      </c>
      <c r="AS353" s="17">
        <v>4.1975420299999997E-9</v>
      </c>
      <c r="AT353" s="17">
        <v>-3.4933151100000002E-11</v>
      </c>
      <c r="AU353" s="17">
        <v>1.09727973E-13</v>
      </c>
      <c r="AV353" s="17">
        <v>0</v>
      </c>
      <c r="AW353" s="17">
        <v>0</v>
      </c>
    </row>
    <row r="354" spans="1:49" ht="17" customHeight="1">
      <c r="A354" s="11" t="s">
        <v>3359</v>
      </c>
      <c r="B354" s="11" t="s">
        <v>3359</v>
      </c>
      <c r="C354" s="18" t="s">
        <v>2867</v>
      </c>
      <c r="D354" s="18" t="s">
        <v>2916</v>
      </c>
      <c r="E354" s="18" t="s">
        <v>3300</v>
      </c>
      <c r="F354" s="18" t="s">
        <v>2918</v>
      </c>
      <c r="G354" s="14"/>
      <c r="H354" s="18" t="s">
        <v>3301</v>
      </c>
      <c r="I354" s="14"/>
      <c r="J354" s="14"/>
      <c r="K354" s="18" t="s">
        <v>3360</v>
      </c>
      <c r="L354" s="18">
        <v>140</v>
      </c>
      <c r="M354" s="18">
        <v>300</v>
      </c>
      <c r="N354" s="18">
        <v>100</v>
      </c>
      <c r="O354" s="18">
        <v>552</v>
      </c>
      <c r="P354" s="18">
        <v>45.551000000000002</v>
      </c>
      <c r="Q354" s="18">
        <v>156</v>
      </c>
      <c r="R354" s="18" t="s">
        <v>3303</v>
      </c>
      <c r="S354" s="18"/>
      <c r="T354" s="18">
        <v>245.9</v>
      </c>
      <c r="U354" s="18">
        <v>455.51</v>
      </c>
      <c r="V354" s="20">
        <v>8.3834503634583335</v>
      </c>
      <c r="W354" s="18" t="s">
        <v>2954</v>
      </c>
      <c r="X354" s="14"/>
      <c r="Y354" s="14"/>
      <c r="Z354" s="14"/>
      <c r="AA354" s="14"/>
      <c r="AB354" s="14"/>
      <c r="AC354" s="14"/>
      <c r="AD354" s="14"/>
      <c r="AE354" s="14"/>
      <c r="AF354" s="14"/>
      <c r="AG354" s="14"/>
      <c r="AH354" s="18" t="s">
        <v>3359</v>
      </c>
      <c r="AI354" s="14"/>
      <c r="AJ354" s="21">
        <v>0.33198863580560978</v>
      </c>
      <c r="AK354" s="18">
        <v>1</v>
      </c>
      <c r="AL354" s="18">
        <v>0</v>
      </c>
      <c r="AM354" s="18">
        <v>100</v>
      </c>
      <c r="AN354" s="17">
        <v>4.5952830300000002E-3</v>
      </c>
      <c r="AO354" s="17">
        <v>3.03989052E-2</v>
      </c>
      <c r="AP354" s="17">
        <v>-9.9647496999999996E-5</v>
      </c>
      <c r="AQ354" s="17">
        <v>7.1250357200000004E-6</v>
      </c>
      <c r="AR354" s="17">
        <v>-2.41682384E-7</v>
      </c>
      <c r="AS354" s="17">
        <v>4.1443876799999996E-9</v>
      </c>
      <c r="AT354" s="17">
        <v>-3.4558773199999998E-11</v>
      </c>
      <c r="AU354" s="17">
        <v>1.0873665E-13</v>
      </c>
      <c r="AV354" s="17">
        <v>0</v>
      </c>
      <c r="AW354" s="17">
        <v>0</v>
      </c>
    </row>
    <row r="355" spans="1:49" ht="17" customHeight="1">
      <c r="A355" s="11" t="s">
        <v>3361</v>
      </c>
      <c r="B355" s="11" t="s">
        <v>3361</v>
      </c>
      <c r="C355" s="18" t="s">
        <v>2867</v>
      </c>
      <c r="D355" s="18" t="s">
        <v>2916</v>
      </c>
      <c r="E355" s="18" t="s">
        <v>3300</v>
      </c>
      <c r="F355" s="18" t="s">
        <v>2918</v>
      </c>
      <c r="G355" s="14"/>
      <c r="H355" s="18" t="s">
        <v>3301</v>
      </c>
      <c r="I355" s="14"/>
      <c r="J355" s="14"/>
      <c r="K355" s="18" t="s">
        <v>3362</v>
      </c>
      <c r="L355" s="18">
        <v>140</v>
      </c>
      <c r="M355" s="18">
        <v>300</v>
      </c>
      <c r="N355" s="18">
        <v>100</v>
      </c>
      <c r="O355" s="18">
        <v>552</v>
      </c>
      <c r="P355" s="18">
        <v>45.536999999999999</v>
      </c>
      <c r="Q355" s="18">
        <v>156</v>
      </c>
      <c r="R355" s="18" t="s">
        <v>3303</v>
      </c>
      <c r="S355" s="18"/>
      <c r="T355" s="18">
        <v>244.8</v>
      </c>
      <c r="U355" s="18">
        <v>455.37</v>
      </c>
      <c r="V355" s="20">
        <v>8.4248067694124718</v>
      </c>
      <c r="W355" s="18" t="s">
        <v>2954</v>
      </c>
      <c r="X355" s="14"/>
      <c r="Y355" s="14"/>
      <c r="Z355" s="14"/>
      <c r="AA355" s="14"/>
      <c r="AB355" s="14"/>
      <c r="AC355" s="14"/>
      <c r="AD355" s="14"/>
      <c r="AE355" s="14"/>
      <c r="AF355" s="14"/>
      <c r="AG355" s="14"/>
      <c r="AH355" s="18" t="s">
        <v>3361</v>
      </c>
      <c r="AI355" s="14"/>
      <c r="AJ355" s="21">
        <v>0.33198863580560978</v>
      </c>
      <c r="AK355" s="18">
        <v>1</v>
      </c>
      <c r="AL355" s="18">
        <v>0</v>
      </c>
      <c r="AM355" s="18">
        <v>100</v>
      </c>
      <c r="AN355" s="17">
        <v>4.6954041499999996E-3</v>
      </c>
      <c r="AO355" s="17">
        <v>3.0202197600000001E-2</v>
      </c>
      <c r="AP355" s="17">
        <v>-9.1548007499999995E-5</v>
      </c>
      <c r="AQ355" s="17">
        <v>6.6453488899999998E-6</v>
      </c>
      <c r="AR355" s="17">
        <v>-2.2780843499999999E-7</v>
      </c>
      <c r="AS355" s="17">
        <v>3.9369786800000001E-9</v>
      </c>
      <c r="AT355" s="17">
        <v>-3.30189761E-11</v>
      </c>
      <c r="AU355" s="17">
        <v>1.04280019E-13</v>
      </c>
      <c r="AV355" s="17">
        <v>0</v>
      </c>
      <c r="AW355" s="17">
        <v>0</v>
      </c>
    </row>
    <row r="356" spans="1:49" ht="17" customHeight="1">
      <c r="A356" s="11" t="s">
        <v>3363</v>
      </c>
      <c r="B356" s="11" t="s">
        <v>3363</v>
      </c>
      <c r="C356" s="18" t="s">
        <v>2867</v>
      </c>
      <c r="D356" s="18" t="s">
        <v>2916</v>
      </c>
      <c r="E356" s="18" t="s">
        <v>3300</v>
      </c>
      <c r="F356" s="18" t="s">
        <v>2918</v>
      </c>
      <c r="G356" s="14"/>
      <c r="H356" s="18" t="s">
        <v>3301</v>
      </c>
      <c r="I356" s="14"/>
      <c r="J356" s="14"/>
      <c r="K356" s="18" t="s">
        <v>3364</v>
      </c>
      <c r="L356" s="18">
        <v>44</v>
      </c>
      <c r="M356" s="18">
        <v>160</v>
      </c>
      <c r="N356" s="18">
        <v>80</v>
      </c>
      <c r="O356" s="18">
        <v>432</v>
      </c>
      <c r="P356" s="18">
        <v>6.8263999999999996</v>
      </c>
      <c r="Q356" s="18">
        <v>47</v>
      </c>
      <c r="R356" s="18" t="s">
        <v>3303</v>
      </c>
      <c r="S356" s="18"/>
      <c r="T356" s="18">
        <v>30.1</v>
      </c>
      <c r="U356" s="18">
        <v>85.33</v>
      </c>
      <c r="V356" s="20">
        <v>20.90250694774916</v>
      </c>
      <c r="W356" s="18" t="s">
        <v>2954</v>
      </c>
      <c r="X356" s="14"/>
      <c r="Y356" s="14"/>
      <c r="Z356" s="14"/>
      <c r="AA356" s="14"/>
      <c r="AB356" s="14"/>
      <c r="AC356" s="14"/>
      <c r="AD356" s="14"/>
      <c r="AE356" s="14"/>
      <c r="AF356" s="14"/>
      <c r="AG356" s="14"/>
      <c r="AH356" s="18" t="s">
        <v>3363</v>
      </c>
      <c r="AI356" s="14"/>
      <c r="AJ356" s="21">
        <v>0.17374887133613809</v>
      </c>
      <c r="AK356" s="18">
        <v>1</v>
      </c>
      <c r="AL356" s="18">
        <v>0</v>
      </c>
      <c r="AM356" s="18">
        <v>80</v>
      </c>
      <c r="AN356" s="17">
        <v>2.03759388E-2</v>
      </c>
      <c r="AO356" s="17">
        <v>4.5680959100000001E-2</v>
      </c>
      <c r="AP356" s="17">
        <v>6.6555720700000006E-5</v>
      </c>
      <c r="AQ356" s="17">
        <v>-5.6295064399999997E-6</v>
      </c>
      <c r="AR356" s="17">
        <v>2.25037581E-7</v>
      </c>
      <c r="AS356" s="17">
        <v>-4.6971548299999999E-9</v>
      </c>
      <c r="AT356" s="17">
        <v>4.8976699200000003E-11</v>
      </c>
      <c r="AU356" s="17">
        <v>-2.0345341699999999E-13</v>
      </c>
      <c r="AV356" s="17">
        <v>0</v>
      </c>
      <c r="AW356" s="17">
        <v>0</v>
      </c>
    </row>
    <row r="357" spans="1:49" ht="17" customHeight="1">
      <c r="A357" s="11" t="s">
        <v>3365</v>
      </c>
      <c r="B357" s="11" t="s">
        <v>3365</v>
      </c>
      <c r="C357" s="18" t="s">
        <v>2867</v>
      </c>
      <c r="D357" s="18" t="s">
        <v>2916</v>
      </c>
      <c r="E357" s="18" t="s">
        <v>3300</v>
      </c>
      <c r="F357" s="18" t="s">
        <v>2918</v>
      </c>
      <c r="G357" s="14"/>
      <c r="H357" s="18" t="s">
        <v>3301</v>
      </c>
      <c r="I357" s="14"/>
      <c r="J357" s="14"/>
      <c r="K357" s="18" t="s">
        <v>3366</v>
      </c>
      <c r="L357" s="18">
        <v>44</v>
      </c>
      <c r="M357" s="18">
        <v>160</v>
      </c>
      <c r="N357" s="18">
        <v>80</v>
      </c>
      <c r="O357" s="18">
        <v>432</v>
      </c>
      <c r="P357" s="18">
        <v>6.8144000000000009</v>
      </c>
      <c r="Q357" s="18">
        <v>47</v>
      </c>
      <c r="R357" s="18" t="s">
        <v>3303</v>
      </c>
      <c r="S357" s="18"/>
      <c r="T357" s="18">
        <v>30</v>
      </c>
      <c r="U357" s="18">
        <v>85.18</v>
      </c>
      <c r="V357" s="20">
        <v>20.953985340666879</v>
      </c>
      <c r="W357" s="18" t="s">
        <v>2954</v>
      </c>
      <c r="X357" s="14"/>
      <c r="Y357" s="14"/>
      <c r="Z357" s="14"/>
      <c r="AA357" s="14"/>
      <c r="AB357" s="14"/>
      <c r="AC357" s="14"/>
      <c r="AD357" s="14"/>
      <c r="AE357" s="14"/>
      <c r="AF357" s="14"/>
      <c r="AG357" s="14"/>
      <c r="AH357" s="18" t="s">
        <v>3365</v>
      </c>
      <c r="AI357" s="14"/>
      <c r="AJ357" s="21">
        <v>0.17374887133613809</v>
      </c>
      <c r="AK357" s="18">
        <v>1</v>
      </c>
      <c r="AL357" s="18">
        <v>0</v>
      </c>
      <c r="AM357" s="18">
        <v>80</v>
      </c>
      <c r="AN357" s="17">
        <v>2.0182461299999999E-2</v>
      </c>
      <c r="AO357" s="17">
        <v>4.5746101300000001E-2</v>
      </c>
      <c r="AP357" s="17">
        <v>7.5700193900000003E-5</v>
      </c>
      <c r="AQ357" s="17">
        <v>-6.4580888599999999E-6</v>
      </c>
      <c r="AR357" s="17">
        <v>2.6010117699999999E-7</v>
      </c>
      <c r="AS357" s="17">
        <v>-5.4513756000000001E-9</v>
      </c>
      <c r="AT357" s="17">
        <v>5.6938827499999998E-11</v>
      </c>
      <c r="AU357" s="17">
        <v>-2.3596955999999998E-13</v>
      </c>
      <c r="AV357" s="17">
        <v>0</v>
      </c>
      <c r="AW357" s="17">
        <v>0</v>
      </c>
    </row>
    <row r="358" spans="1:49" ht="17" customHeight="1">
      <c r="A358" s="11" t="s">
        <v>3367</v>
      </c>
      <c r="B358" s="11" t="s">
        <v>3367</v>
      </c>
      <c r="C358" s="18" t="s">
        <v>2867</v>
      </c>
      <c r="D358" s="18" t="s">
        <v>2916</v>
      </c>
      <c r="E358" s="18" t="s">
        <v>3300</v>
      </c>
      <c r="F358" s="18" t="s">
        <v>2918</v>
      </c>
      <c r="G358" s="14"/>
      <c r="H358" s="18" t="s">
        <v>3301</v>
      </c>
      <c r="I358" s="14"/>
      <c r="J358" s="14"/>
      <c r="K358" s="18" t="s">
        <v>3368</v>
      </c>
      <c r="L358" s="18">
        <v>44</v>
      </c>
      <c r="M358" s="18">
        <v>160</v>
      </c>
      <c r="N358" s="18">
        <v>80</v>
      </c>
      <c r="O358" s="18">
        <v>432</v>
      </c>
      <c r="P358" s="18">
        <v>6.8224</v>
      </c>
      <c r="Q358" s="18">
        <v>47</v>
      </c>
      <c r="R358" s="18" t="s">
        <v>3303</v>
      </c>
      <c r="S358" s="18"/>
      <c r="T358" s="18">
        <v>30.2</v>
      </c>
      <c r="U358" s="18">
        <v>85.28</v>
      </c>
      <c r="V358" s="20">
        <v>20.948397469634241</v>
      </c>
      <c r="W358" s="18" t="s">
        <v>2954</v>
      </c>
      <c r="X358" s="14"/>
      <c r="Y358" s="14"/>
      <c r="Z358" s="14"/>
      <c r="AA358" s="14"/>
      <c r="AB358" s="14"/>
      <c r="AC358" s="14"/>
      <c r="AD358" s="14"/>
      <c r="AE358" s="14"/>
      <c r="AF358" s="14"/>
      <c r="AG358" s="14"/>
      <c r="AH358" s="18" t="s">
        <v>3367</v>
      </c>
      <c r="AI358" s="14"/>
      <c r="AJ358" s="21">
        <v>0.17374887133613809</v>
      </c>
      <c r="AK358" s="18">
        <v>1</v>
      </c>
      <c r="AL358" s="18">
        <v>0</v>
      </c>
      <c r="AM358" s="18">
        <v>80</v>
      </c>
      <c r="AN358" s="17">
        <v>2.08688182E-2</v>
      </c>
      <c r="AO358" s="17">
        <v>4.5795613399999997E-2</v>
      </c>
      <c r="AP358" s="17">
        <v>6.7194285899999998E-5</v>
      </c>
      <c r="AQ358" s="17">
        <v>-5.74972487E-6</v>
      </c>
      <c r="AR358" s="17">
        <v>2.30192271E-7</v>
      </c>
      <c r="AS358" s="17">
        <v>-4.7931668100000004E-9</v>
      </c>
      <c r="AT358" s="17">
        <v>4.9857495399999998E-11</v>
      </c>
      <c r="AU358" s="17">
        <v>-2.0686729700000001E-13</v>
      </c>
      <c r="AV358" s="17">
        <v>0</v>
      </c>
      <c r="AW358" s="17">
        <v>0</v>
      </c>
    </row>
    <row r="359" spans="1:49" ht="17" customHeight="1">
      <c r="A359" s="11" t="s">
        <v>3369</v>
      </c>
      <c r="B359" s="11" t="s">
        <v>3369</v>
      </c>
      <c r="C359" s="18" t="s">
        <v>2867</v>
      </c>
      <c r="D359" s="18" t="s">
        <v>2916</v>
      </c>
      <c r="E359" s="18" t="s">
        <v>3300</v>
      </c>
      <c r="F359" s="18" t="s">
        <v>2918</v>
      </c>
      <c r="G359" s="14"/>
      <c r="H359" s="18" t="s">
        <v>3301</v>
      </c>
      <c r="I359" s="14"/>
      <c r="J359" s="14"/>
      <c r="K359" s="18" t="s">
        <v>3370</v>
      </c>
      <c r="L359" s="18">
        <v>140</v>
      </c>
      <c r="M359" s="18">
        <v>300</v>
      </c>
      <c r="N359" s="18">
        <v>100</v>
      </c>
      <c r="O359" s="18">
        <v>552</v>
      </c>
      <c r="P359" s="18">
        <v>45.685000000000002</v>
      </c>
      <c r="Q359" s="18">
        <v>156</v>
      </c>
      <c r="R359" s="18" t="s">
        <v>3303</v>
      </c>
      <c r="S359" s="18"/>
      <c r="T359" s="18">
        <v>244.8</v>
      </c>
      <c r="U359" s="18">
        <v>456.85</v>
      </c>
      <c r="V359" s="20">
        <v>8.4234255483133786</v>
      </c>
      <c r="W359" s="18" t="s">
        <v>2954</v>
      </c>
      <c r="X359" s="14"/>
      <c r="Y359" s="14"/>
      <c r="Z359" s="14"/>
      <c r="AA359" s="14"/>
      <c r="AB359" s="14"/>
      <c r="AC359" s="14"/>
      <c r="AD359" s="14"/>
      <c r="AE359" s="14"/>
      <c r="AF359" s="14"/>
      <c r="AG359" s="14"/>
      <c r="AH359" s="18" t="s">
        <v>3369</v>
      </c>
      <c r="AI359" s="14"/>
      <c r="AJ359" s="21">
        <v>0.33198863580560978</v>
      </c>
      <c r="AK359" s="18">
        <v>1</v>
      </c>
      <c r="AL359" s="18">
        <v>0</v>
      </c>
      <c r="AM359" s="18">
        <v>100</v>
      </c>
      <c r="AN359" s="17">
        <v>4.2831721700000002E-3</v>
      </c>
      <c r="AO359" s="17">
        <v>3.02961949E-2</v>
      </c>
      <c r="AP359" s="17">
        <v>-9.90505693E-5</v>
      </c>
      <c r="AQ359" s="17">
        <v>7.11181073E-6</v>
      </c>
      <c r="AR359" s="17">
        <v>-2.4168483399999999E-7</v>
      </c>
      <c r="AS359" s="17">
        <v>4.1449838099999997E-9</v>
      </c>
      <c r="AT359" s="17">
        <v>-3.4544541299999999E-11</v>
      </c>
      <c r="AU359" s="17">
        <v>1.08633561E-13</v>
      </c>
      <c r="AV359" s="17">
        <v>0</v>
      </c>
      <c r="AW359" s="17">
        <v>0</v>
      </c>
    </row>
    <row r="360" spans="1:49" ht="17" customHeight="1">
      <c r="A360" s="11" t="s">
        <v>3371</v>
      </c>
      <c r="B360" s="11" t="s">
        <v>3371</v>
      </c>
      <c r="C360" s="18" t="s">
        <v>2867</v>
      </c>
      <c r="D360" s="18" t="s">
        <v>2916</v>
      </c>
      <c r="E360" s="18" t="s">
        <v>3300</v>
      </c>
      <c r="F360" s="18" t="s">
        <v>2918</v>
      </c>
      <c r="G360" s="14"/>
      <c r="H360" s="18" t="s">
        <v>3301</v>
      </c>
      <c r="I360" s="14"/>
      <c r="J360" s="14"/>
      <c r="K360" s="18" t="s">
        <v>3372</v>
      </c>
      <c r="L360" s="18">
        <v>140</v>
      </c>
      <c r="M360" s="18">
        <v>300</v>
      </c>
      <c r="N360" s="18">
        <v>100</v>
      </c>
      <c r="O360" s="18">
        <v>552</v>
      </c>
      <c r="P360" s="18">
        <v>45.359000000000002</v>
      </c>
      <c r="Q360" s="18">
        <v>156</v>
      </c>
      <c r="R360" s="18" t="s">
        <v>3303</v>
      </c>
      <c r="S360" s="18"/>
      <c r="T360" s="18">
        <v>244.4</v>
      </c>
      <c r="U360" s="18">
        <v>453.59</v>
      </c>
      <c r="V360" s="20">
        <v>8.4191875362332276</v>
      </c>
      <c r="W360" s="18" t="s">
        <v>2954</v>
      </c>
      <c r="X360" s="14"/>
      <c r="Y360" s="14"/>
      <c r="Z360" s="14"/>
      <c r="AA360" s="14"/>
      <c r="AB360" s="14"/>
      <c r="AC360" s="14"/>
      <c r="AD360" s="14"/>
      <c r="AE360" s="14"/>
      <c r="AF360" s="14"/>
      <c r="AG360" s="14"/>
      <c r="AH360" s="18" t="s">
        <v>3371</v>
      </c>
      <c r="AI360" s="14"/>
      <c r="AJ360" s="21">
        <v>0.33198863580560978</v>
      </c>
      <c r="AK360" s="18">
        <v>1</v>
      </c>
      <c r="AL360" s="18">
        <v>0</v>
      </c>
      <c r="AM360" s="18">
        <v>100</v>
      </c>
      <c r="AN360" s="17">
        <v>4.3386140100000001E-3</v>
      </c>
      <c r="AO360" s="17">
        <v>3.0257770600000001E-2</v>
      </c>
      <c r="AP360" s="17">
        <v>-9.7410762400000002E-5</v>
      </c>
      <c r="AQ360" s="17">
        <v>7.01659478E-6</v>
      </c>
      <c r="AR360" s="17">
        <v>-2.3923846800000002E-7</v>
      </c>
      <c r="AS360" s="17">
        <v>4.1133631699999998E-9</v>
      </c>
      <c r="AT360" s="17">
        <v>-3.4335881200000002E-11</v>
      </c>
      <c r="AU360" s="17">
        <v>1.08067537E-13</v>
      </c>
      <c r="AV360" s="17">
        <v>0</v>
      </c>
      <c r="AW360" s="17">
        <v>0</v>
      </c>
    </row>
    <row r="361" spans="1:49" ht="17" customHeight="1">
      <c r="A361" s="11" t="s">
        <v>3373</v>
      </c>
      <c r="B361" s="11" t="s">
        <v>3373</v>
      </c>
      <c r="C361" s="18" t="s">
        <v>2867</v>
      </c>
      <c r="D361" s="18" t="s">
        <v>2916</v>
      </c>
      <c r="E361" s="18" t="s">
        <v>3300</v>
      </c>
      <c r="F361" s="18" t="s">
        <v>2918</v>
      </c>
      <c r="G361" s="14"/>
      <c r="H361" s="18" t="s">
        <v>3301</v>
      </c>
      <c r="I361" s="14"/>
      <c r="J361" s="14"/>
      <c r="K361" s="18" t="s">
        <v>3374</v>
      </c>
      <c r="L361" s="18">
        <v>140</v>
      </c>
      <c r="M361" s="18">
        <v>300</v>
      </c>
      <c r="N361" s="18">
        <v>100</v>
      </c>
      <c r="O361" s="18">
        <v>552</v>
      </c>
      <c r="P361" s="18">
        <v>45.664000000000001</v>
      </c>
      <c r="Q361" s="18">
        <v>156</v>
      </c>
      <c r="R361" s="18" t="s">
        <v>3303</v>
      </c>
      <c r="S361" s="18"/>
      <c r="T361" s="18">
        <v>244.3</v>
      </c>
      <c r="U361" s="18">
        <v>456.64</v>
      </c>
      <c r="V361" s="20">
        <v>8.4394671143093465</v>
      </c>
      <c r="W361" s="18" t="s">
        <v>2954</v>
      </c>
      <c r="X361" s="14"/>
      <c r="Y361" s="14"/>
      <c r="Z361" s="14"/>
      <c r="AA361" s="14"/>
      <c r="AB361" s="14"/>
      <c r="AC361" s="14"/>
      <c r="AD361" s="14"/>
      <c r="AE361" s="14"/>
      <c r="AF361" s="14"/>
      <c r="AG361" s="14"/>
      <c r="AH361" s="18" t="s">
        <v>3373</v>
      </c>
      <c r="AI361" s="14"/>
      <c r="AJ361" s="21">
        <v>0.33198863580560978</v>
      </c>
      <c r="AK361" s="18">
        <v>1</v>
      </c>
      <c r="AL361" s="18">
        <v>0</v>
      </c>
      <c r="AM361" s="18">
        <v>100</v>
      </c>
      <c r="AN361" s="17">
        <v>4.3381324099999998E-3</v>
      </c>
      <c r="AO361" s="17">
        <v>3.0239338000000001E-2</v>
      </c>
      <c r="AP361" s="17">
        <v>-1.02599241E-4</v>
      </c>
      <c r="AQ361" s="17">
        <v>7.3180277799999996E-6</v>
      </c>
      <c r="AR361" s="17">
        <v>-2.4676582200000002E-7</v>
      </c>
      <c r="AS361" s="17">
        <v>4.1988949100000003E-9</v>
      </c>
      <c r="AT361" s="17">
        <v>-3.4726293500000002E-11</v>
      </c>
      <c r="AU361" s="17">
        <v>1.08447665E-13</v>
      </c>
      <c r="AV361" s="17">
        <v>0</v>
      </c>
      <c r="AW361" s="17">
        <v>0</v>
      </c>
    </row>
    <row r="362" spans="1:49" ht="17" customHeight="1">
      <c r="A362" s="11" t="s">
        <v>3375</v>
      </c>
      <c r="B362" s="11" t="s">
        <v>3375</v>
      </c>
      <c r="C362" s="18" t="s">
        <v>2867</v>
      </c>
      <c r="D362" s="18" t="s">
        <v>2916</v>
      </c>
      <c r="E362" s="18" t="s">
        <v>3300</v>
      </c>
      <c r="F362" s="18" t="s">
        <v>2918</v>
      </c>
      <c r="G362" s="14"/>
      <c r="H362" s="18" t="s">
        <v>3301</v>
      </c>
      <c r="I362" s="14"/>
      <c r="J362" s="14"/>
      <c r="K362" s="18" t="s">
        <v>3376</v>
      </c>
      <c r="L362" s="18">
        <v>44</v>
      </c>
      <c r="M362" s="18">
        <v>160</v>
      </c>
      <c r="N362" s="18">
        <v>80</v>
      </c>
      <c r="O362" s="18">
        <v>432</v>
      </c>
      <c r="P362" s="18">
        <v>6.8064</v>
      </c>
      <c r="Q362" s="18">
        <v>47</v>
      </c>
      <c r="R362" s="18" t="s">
        <v>3303</v>
      </c>
      <c r="S362" s="18"/>
      <c r="T362" s="18">
        <v>30.1</v>
      </c>
      <c r="U362" s="18">
        <v>85.08</v>
      </c>
      <c r="V362" s="20">
        <v>20.944458469804189</v>
      </c>
      <c r="W362" s="18" t="s">
        <v>2954</v>
      </c>
      <c r="X362" s="14"/>
      <c r="Y362" s="14"/>
      <c r="Z362" s="14"/>
      <c r="AA362" s="14"/>
      <c r="AB362" s="14"/>
      <c r="AC362" s="14"/>
      <c r="AD362" s="14"/>
      <c r="AE362" s="14"/>
      <c r="AF362" s="14"/>
      <c r="AG362" s="14"/>
      <c r="AH362" s="18" t="s">
        <v>3375</v>
      </c>
      <c r="AI362" s="14"/>
      <c r="AJ362" s="21">
        <v>0.17374887133613809</v>
      </c>
      <c r="AK362" s="18">
        <v>1</v>
      </c>
      <c r="AL362" s="18">
        <v>0</v>
      </c>
      <c r="AM362" s="18">
        <v>80</v>
      </c>
      <c r="AN362" s="17">
        <v>2.1181878299999998E-2</v>
      </c>
      <c r="AO362" s="17">
        <v>4.58748005E-2</v>
      </c>
      <c r="AP362" s="17">
        <v>5.0924297800000001E-5</v>
      </c>
      <c r="AQ362" s="17">
        <v>-4.5969574800000001E-6</v>
      </c>
      <c r="AR362" s="17">
        <v>1.94362648E-7</v>
      </c>
      <c r="AS362" s="17">
        <v>-4.24853497E-9</v>
      </c>
      <c r="AT362" s="17">
        <v>4.5906783599999998E-11</v>
      </c>
      <c r="AU362" s="17">
        <v>-1.9608411800000001E-13</v>
      </c>
      <c r="AV362" s="17">
        <v>0</v>
      </c>
      <c r="AW362" s="17">
        <v>0</v>
      </c>
    </row>
    <row r="363" spans="1:49" ht="17" customHeight="1">
      <c r="A363" s="11" t="s">
        <v>3377</v>
      </c>
      <c r="B363" s="11" t="s">
        <v>3377</v>
      </c>
      <c r="C363" s="18" t="s">
        <v>2867</v>
      </c>
      <c r="D363" s="18" t="s">
        <v>2916</v>
      </c>
      <c r="E363" s="18" t="s">
        <v>3300</v>
      </c>
      <c r="F363" s="18" t="s">
        <v>2918</v>
      </c>
      <c r="G363" s="14"/>
      <c r="H363" s="18" t="s">
        <v>3301</v>
      </c>
      <c r="I363" s="14"/>
      <c r="J363" s="14"/>
      <c r="K363" s="18" t="s">
        <v>3378</v>
      </c>
      <c r="L363" s="18">
        <v>140</v>
      </c>
      <c r="M363" s="18">
        <v>300</v>
      </c>
      <c r="N363" s="18">
        <v>100</v>
      </c>
      <c r="O363" s="18">
        <v>552</v>
      </c>
      <c r="P363" s="18">
        <v>45.417000000000002</v>
      </c>
      <c r="Q363" s="18">
        <v>156</v>
      </c>
      <c r="R363" s="18" t="s">
        <v>3303</v>
      </c>
      <c r="S363" s="18"/>
      <c r="T363" s="18">
        <v>244.6</v>
      </c>
      <c r="U363" s="18">
        <v>454.17</v>
      </c>
      <c r="V363" s="20">
        <v>8.4200558195876205</v>
      </c>
      <c r="W363" s="18" t="s">
        <v>2954</v>
      </c>
      <c r="X363" s="14"/>
      <c r="Y363" s="14"/>
      <c r="Z363" s="14"/>
      <c r="AA363" s="14"/>
      <c r="AB363" s="14"/>
      <c r="AC363" s="14"/>
      <c r="AD363" s="14"/>
      <c r="AE363" s="14"/>
      <c r="AF363" s="14"/>
      <c r="AG363" s="14"/>
      <c r="AH363" s="18" t="s">
        <v>3377</v>
      </c>
      <c r="AI363" s="14"/>
      <c r="AJ363" s="21">
        <v>0.33198863580560978</v>
      </c>
      <c r="AK363" s="18">
        <v>1</v>
      </c>
      <c r="AL363" s="18">
        <v>0</v>
      </c>
      <c r="AM363" s="18">
        <v>100</v>
      </c>
      <c r="AN363" s="17">
        <v>2.1210873500000001E-2</v>
      </c>
      <c r="AO363" s="17">
        <v>3.0219188300000002E-2</v>
      </c>
      <c r="AP363" s="17">
        <v>-9.1164698400000006E-5</v>
      </c>
      <c r="AQ363" s="17">
        <v>6.6928799699999999E-6</v>
      </c>
      <c r="AR363" s="17">
        <v>-2.2951177000000001E-7</v>
      </c>
      <c r="AS363" s="17">
        <v>3.9520097400000004E-9</v>
      </c>
      <c r="AT363" s="17">
        <v>-3.30245849E-11</v>
      </c>
      <c r="AU363" s="17">
        <v>1.0403769E-13</v>
      </c>
      <c r="AV363" s="17">
        <v>0</v>
      </c>
      <c r="AW363" s="17">
        <v>0</v>
      </c>
    </row>
    <row r="364" spans="1:49" ht="17" customHeight="1">
      <c r="A364" s="11" t="s">
        <v>3379</v>
      </c>
      <c r="B364" s="11" t="s">
        <v>3379</v>
      </c>
      <c r="C364" s="18" t="s">
        <v>2867</v>
      </c>
      <c r="D364" s="18" t="s">
        <v>2916</v>
      </c>
      <c r="E364" s="18" t="s">
        <v>3300</v>
      </c>
      <c r="F364" s="18" t="s">
        <v>2918</v>
      </c>
      <c r="G364" s="14"/>
      <c r="H364" s="18" t="s">
        <v>3301</v>
      </c>
      <c r="I364" s="14"/>
      <c r="J364" s="14"/>
      <c r="K364" s="18" t="s">
        <v>3380</v>
      </c>
      <c r="L364" s="18">
        <v>140</v>
      </c>
      <c r="M364" s="18">
        <v>300</v>
      </c>
      <c r="N364" s="18">
        <v>100</v>
      </c>
      <c r="O364" s="18">
        <v>552</v>
      </c>
      <c r="P364" s="18">
        <v>45.569000000000003</v>
      </c>
      <c r="Q364" s="18">
        <v>156</v>
      </c>
      <c r="R364" s="18" t="s">
        <v>3303</v>
      </c>
      <c r="S364" s="18"/>
      <c r="T364" s="18">
        <v>244.8</v>
      </c>
      <c r="U364" s="18">
        <v>455.69</v>
      </c>
      <c r="V364" s="20">
        <v>8.4334750888072154</v>
      </c>
      <c r="W364" s="18" t="s">
        <v>2954</v>
      </c>
      <c r="X364" s="14"/>
      <c r="Y364" s="14"/>
      <c r="Z364" s="14"/>
      <c r="AA364" s="14"/>
      <c r="AB364" s="14"/>
      <c r="AC364" s="14"/>
      <c r="AD364" s="14"/>
      <c r="AE364" s="14"/>
      <c r="AF364" s="14"/>
      <c r="AG364" s="14"/>
      <c r="AH364" s="18" t="s">
        <v>3379</v>
      </c>
      <c r="AI364" s="14"/>
      <c r="AJ364" s="21">
        <v>0.33198863580560978</v>
      </c>
      <c r="AK364" s="18">
        <v>1</v>
      </c>
      <c r="AL364" s="18">
        <v>0</v>
      </c>
      <c r="AM364" s="18">
        <v>100</v>
      </c>
      <c r="AN364" s="17">
        <v>2.20919197E-2</v>
      </c>
      <c r="AO364" s="17">
        <v>3.0196069799999999E-2</v>
      </c>
      <c r="AP364" s="17">
        <v>-8.8203627499999995E-5</v>
      </c>
      <c r="AQ364" s="17">
        <v>6.4787989299999998E-6</v>
      </c>
      <c r="AR364" s="17">
        <v>-2.2260937499999999E-7</v>
      </c>
      <c r="AS364" s="17">
        <v>3.8399793199999997E-9</v>
      </c>
      <c r="AT364" s="17">
        <v>-3.2145935199999999E-11</v>
      </c>
      <c r="AU364" s="17">
        <v>1.01401463E-13</v>
      </c>
      <c r="AV364" s="17">
        <v>0</v>
      </c>
      <c r="AW364" s="17">
        <v>0</v>
      </c>
    </row>
    <row r="365" spans="1:49" ht="17" customHeight="1">
      <c r="A365" s="11" t="s">
        <v>3381</v>
      </c>
      <c r="B365" s="11" t="s">
        <v>3381</v>
      </c>
      <c r="C365" s="18" t="s">
        <v>2867</v>
      </c>
      <c r="D365" s="18" t="s">
        <v>2916</v>
      </c>
      <c r="E365" s="18" t="s">
        <v>3300</v>
      </c>
      <c r="F365" s="18" t="s">
        <v>2918</v>
      </c>
      <c r="G365" s="14"/>
      <c r="H365" s="18" t="s">
        <v>3301</v>
      </c>
      <c r="I365" s="14"/>
      <c r="J365" s="14"/>
      <c r="K365" s="18" t="s">
        <v>3382</v>
      </c>
      <c r="L365" s="18">
        <v>140</v>
      </c>
      <c r="M365" s="18">
        <v>300</v>
      </c>
      <c r="N365" s="18">
        <v>100</v>
      </c>
      <c r="O365" s="18">
        <v>552</v>
      </c>
      <c r="P365" s="18">
        <v>45.537999999999997</v>
      </c>
      <c r="Q365" s="18">
        <v>156</v>
      </c>
      <c r="R365" s="18" t="s">
        <v>3303</v>
      </c>
      <c r="S365" s="18"/>
      <c r="T365" s="18">
        <v>244.5</v>
      </c>
      <c r="U365" s="18">
        <v>455.38</v>
      </c>
      <c r="V365" s="20">
        <v>8.4438532593278719</v>
      </c>
      <c r="W365" s="18" t="s">
        <v>2954</v>
      </c>
      <c r="X365" s="14"/>
      <c r="Y365" s="14"/>
      <c r="Z365" s="14"/>
      <c r="AA365" s="14"/>
      <c r="AB365" s="14"/>
      <c r="AC365" s="14"/>
      <c r="AD365" s="14"/>
      <c r="AE365" s="14"/>
      <c r="AF365" s="14"/>
      <c r="AG365" s="14"/>
      <c r="AH365" s="18" t="s">
        <v>3381</v>
      </c>
      <c r="AI365" s="14"/>
      <c r="AJ365" s="21">
        <v>0.33198863580560978</v>
      </c>
      <c r="AK365" s="18">
        <v>1</v>
      </c>
      <c r="AL365" s="18">
        <v>0</v>
      </c>
      <c r="AM365" s="18">
        <v>100</v>
      </c>
      <c r="AN365" s="17">
        <v>2.11222041E-2</v>
      </c>
      <c r="AO365" s="17">
        <v>3.01525024E-2</v>
      </c>
      <c r="AP365" s="17">
        <v>-9.3497055199999996E-5</v>
      </c>
      <c r="AQ365" s="17">
        <v>6.8055044900000003E-6</v>
      </c>
      <c r="AR365" s="17">
        <v>-2.3198998199999999E-7</v>
      </c>
      <c r="AS365" s="17">
        <v>3.9761841000000003E-9</v>
      </c>
      <c r="AT365" s="17">
        <v>-3.3104080300000001E-11</v>
      </c>
      <c r="AU365" s="17">
        <v>1.03992448E-13</v>
      </c>
      <c r="AV365" s="17">
        <v>0</v>
      </c>
      <c r="AW365" s="17">
        <v>0</v>
      </c>
    </row>
    <row r="366" spans="1:49" ht="17" customHeight="1">
      <c r="A366" s="11" t="s">
        <v>3383</v>
      </c>
      <c r="B366" s="11" t="s">
        <v>3383</v>
      </c>
      <c r="C366" s="18" t="s">
        <v>2867</v>
      </c>
      <c r="D366" s="18" t="s">
        <v>2916</v>
      </c>
      <c r="E366" s="18" t="s">
        <v>3300</v>
      </c>
      <c r="F366" s="18" t="s">
        <v>2918</v>
      </c>
      <c r="G366" s="14"/>
      <c r="H366" s="18" t="s">
        <v>3301</v>
      </c>
      <c r="I366" s="14"/>
      <c r="J366" s="14"/>
      <c r="K366" s="18" t="s">
        <v>3384</v>
      </c>
      <c r="L366" s="18">
        <v>44</v>
      </c>
      <c r="M366" s="18">
        <v>160</v>
      </c>
      <c r="N366" s="18">
        <v>80</v>
      </c>
      <c r="O366" s="18">
        <v>432</v>
      </c>
      <c r="P366" s="18">
        <v>6.8096000000000014</v>
      </c>
      <c r="Q366" s="18">
        <v>47</v>
      </c>
      <c r="R366" s="18" t="s">
        <v>3303</v>
      </c>
      <c r="S366" s="18"/>
      <c r="T366" s="18">
        <v>30.1</v>
      </c>
      <c r="U366" s="18">
        <v>85.12</v>
      </c>
      <c r="V366" s="20">
        <v>20.93300590330513</v>
      </c>
      <c r="W366" s="18" t="s">
        <v>2954</v>
      </c>
      <c r="X366" s="14"/>
      <c r="Y366" s="14"/>
      <c r="Z366" s="14"/>
      <c r="AA366" s="14"/>
      <c r="AB366" s="14"/>
      <c r="AC366" s="14"/>
      <c r="AD366" s="14"/>
      <c r="AE366" s="14"/>
      <c r="AF366" s="14"/>
      <c r="AG366" s="14"/>
      <c r="AH366" s="18" t="s">
        <v>3383</v>
      </c>
      <c r="AI366" s="14"/>
      <c r="AJ366" s="21">
        <v>0.17374887133613809</v>
      </c>
      <c r="AK366" s="18">
        <v>1</v>
      </c>
      <c r="AL366" s="18">
        <v>0</v>
      </c>
      <c r="AM366" s="18">
        <v>80</v>
      </c>
      <c r="AN366" s="17">
        <v>2.1509337699999999E-2</v>
      </c>
      <c r="AO366" s="17">
        <v>4.5854878299999999E-2</v>
      </c>
      <c r="AP366" s="17">
        <v>5.0939116900000003E-5</v>
      </c>
      <c r="AQ366" s="17">
        <v>-4.4977953700000003E-6</v>
      </c>
      <c r="AR366" s="17">
        <v>1.8707962499999999E-7</v>
      </c>
      <c r="AS366" s="17">
        <v>-4.0646127199999998E-9</v>
      </c>
      <c r="AT366" s="17">
        <v>4.3907379700000003E-11</v>
      </c>
      <c r="AU366" s="17">
        <v>-1.8805886000000001E-13</v>
      </c>
      <c r="AV366" s="17">
        <v>0</v>
      </c>
      <c r="AW366" s="17">
        <v>0</v>
      </c>
    </row>
    <row r="367" spans="1:49" ht="17" customHeight="1">
      <c r="A367" s="11" t="s">
        <v>3385</v>
      </c>
      <c r="B367" s="11" t="s">
        <v>3385</v>
      </c>
      <c r="C367" s="18" t="s">
        <v>2867</v>
      </c>
      <c r="D367" s="18" t="s">
        <v>2916</v>
      </c>
      <c r="E367" s="18" t="s">
        <v>3300</v>
      </c>
      <c r="F367" s="18" t="s">
        <v>2918</v>
      </c>
      <c r="G367" s="14"/>
      <c r="H367" s="18" t="s">
        <v>3301</v>
      </c>
      <c r="I367" s="14"/>
      <c r="J367" s="14"/>
      <c r="K367" s="18" t="s">
        <v>3386</v>
      </c>
      <c r="L367" s="18">
        <v>44</v>
      </c>
      <c r="M367" s="18">
        <v>160</v>
      </c>
      <c r="N367" s="18">
        <v>80</v>
      </c>
      <c r="O367" s="18">
        <v>432</v>
      </c>
      <c r="P367" s="18">
        <v>6.8255999999999997</v>
      </c>
      <c r="Q367" s="18">
        <v>47</v>
      </c>
      <c r="R367" s="18" t="s">
        <v>3303</v>
      </c>
      <c r="S367" s="18"/>
      <c r="T367" s="18">
        <v>30.2</v>
      </c>
      <c r="U367" s="18">
        <v>85.32</v>
      </c>
      <c r="V367" s="20">
        <v>20.943440196871389</v>
      </c>
      <c r="W367" s="18" t="s">
        <v>2954</v>
      </c>
      <c r="X367" s="14"/>
      <c r="Y367" s="14"/>
      <c r="Z367" s="14"/>
      <c r="AA367" s="14"/>
      <c r="AB367" s="14"/>
      <c r="AC367" s="14"/>
      <c r="AD367" s="14"/>
      <c r="AE367" s="14"/>
      <c r="AF367" s="14"/>
      <c r="AG367" s="14"/>
      <c r="AH367" s="18" t="s">
        <v>3385</v>
      </c>
      <c r="AI367" s="14"/>
      <c r="AJ367" s="21">
        <v>0.17374887133613809</v>
      </c>
      <c r="AK367" s="18">
        <v>1</v>
      </c>
      <c r="AL367" s="18">
        <v>0</v>
      </c>
      <c r="AM367" s="18">
        <v>80</v>
      </c>
      <c r="AN367" s="17">
        <v>2.07513218E-2</v>
      </c>
      <c r="AO367" s="17">
        <v>4.5663867400000002E-2</v>
      </c>
      <c r="AP367" s="17">
        <v>9.68240471E-5</v>
      </c>
      <c r="AQ367" s="17">
        <v>-8.0322970799999997E-6</v>
      </c>
      <c r="AR367" s="17">
        <v>3.1397447499999998E-7</v>
      </c>
      <c r="AS367" s="17">
        <v>-6.3832472699999999E-9</v>
      </c>
      <c r="AT367" s="17">
        <v>6.4895111000000005E-11</v>
      </c>
      <c r="AU367" s="17">
        <v>-2.62839369E-13</v>
      </c>
      <c r="AV367" s="17">
        <v>0</v>
      </c>
      <c r="AW367" s="17">
        <v>0</v>
      </c>
    </row>
    <row r="368" spans="1:49" ht="17" customHeight="1">
      <c r="A368" s="11" t="s">
        <v>3387</v>
      </c>
      <c r="B368" s="11" t="s">
        <v>3387</v>
      </c>
      <c r="C368" s="18" t="s">
        <v>2867</v>
      </c>
      <c r="D368" s="18" t="s">
        <v>2916</v>
      </c>
      <c r="E368" s="18" t="s">
        <v>3300</v>
      </c>
      <c r="F368" s="18" t="s">
        <v>2918</v>
      </c>
      <c r="G368" s="14"/>
      <c r="H368" s="18" t="s">
        <v>3301</v>
      </c>
      <c r="I368" s="14"/>
      <c r="J368" s="14"/>
      <c r="K368" s="18" t="s">
        <v>3388</v>
      </c>
      <c r="L368" s="18">
        <v>140</v>
      </c>
      <c r="M368" s="18">
        <v>300</v>
      </c>
      <c r="N368" s="18">
        <v>100</v>
      </c>
      <c r="O368" s="18">
        <v>552</v>
      </c>
      <c r="P368" s="18">
        <v>45.56</v>
      </c>
      <c r="Q368" s="18">
        <v>156</v>
      </c>
      <c r="R368" s="18" t="s">
        <v>3303</v>
      </c>
      <c r="S368" s="18"/>
      <c r="T368" s="18">
        <v>245.4</v>
      </c>
      <c r="U368" s="18">
        <v>455.6</v>
      </c>
      <c r="V368" s="20">
        <v>8.4460896382910295</v>
      </c>
      <c r="W368" s="18" t="s">
        <v>2954</v>
      </c>
      <c r="X368" s="14"/>
      <c r="Y368" s="14"/>
      <c r="Z368" s="14"/>
      <c r="AA368" s="14"/>
      <c r="AB368" s="14"/>
      <c r="AC368" s="14"/>
      <c r="AD368" s="14"/>
      <c r="AE368" s="14"/>
      <c r="AF368" s="14"/>
      <c r="AG368" s="14"/>
      <c r="AH368" s="18" t="s">
        <v>3387</v>
      </c>
      <c r="AI368" s="14"/>
      <c r="AJ368" s="21">
        <v>0.33198863580560978</v>
      </c>
      <c r="AK368" s="18">
        <v>1</v>
      </c>
      <c r="AL368" s="18">
        <v>0</v>
      </c>
      <c r="AM368" s="18">
        <v>100</v>
      </c>
      <c r="AN368" s="17">
        <v>2.12088769E-2</v>
      </c>
      <c r="AO368" s="17">
        <v>3.0126389999999999E-2</v>
      </c>
      <c r="AP368" s="17">
        <v>-8.9530856100000005E-5</v>
      </c>
      <c r="AQ368" s="17">
        <v>6.5635349200000004E-6</v>
      </c>
      <c r="AR368" s="17">
        <v>-2.25443471E-7</v>
      </c>
      <c r="AS368" s="17">
        <v>3.8885482599999999E-9</v>
      </c>
      <c r="AT368" s="17">
        <v>-3.2555833499999997E-11</v>
      </c>
      <c r="AU368" s="17">
        <v>1.02733447E-13</v>
      </c>
      <c r="AV368" s="17">
        <v>0</v>
      </c>
      <c r="AW368" s="17">
        <v>0</v>
      </c>
    </row>
    <row r="369" spans="1:49" ht="17" customHeight="1">
      <c r="A369" s="11" t="s">
        <v>3389</v>
      </c>
      <c r="B369" s="11" t="s">
        <v>3389</v>
      </c>
      <c r="C369" s="18" t="s">
        <v>2867</v>
      </c>
      <c r="D369" s="18" t="s">
        <v>2916</v>
      </c>
      <c r="E369" s="18" t="s">
        <v>3300</v>
      </c>
      <c r="F369" s="18" t="s">
        <v>2918</v>
      </c>
      <c r="G369" s="14"/>
      <c r="H369" s="18" t="s">
        <v>3301</v>
      </c>
      <c r="I369" s="14"/>
      <c r="J369" s="14"/>
      <c r="K369" s="18" t="s">
        <v>3390</v>
      </c>
      <c r="L369" s="18">
        <v>140</v>
      </c>
      <c r="M369" s="18">
        <v>300</v>
      </c>
      <c r="N369" s="18">
        <v>100</v>
      </c>
      <c r="O369" s="18">
        <v>552</v>
      </c>
      <c r="P369" s="18">
        <v>45.28</v>
      </c>
      <c r="Q369" s="18">
        <v>156</v>
      </c>
      <c r="R369" s="18" t="s">
        <v>3303</v>
      </c>
      <c r="S369" s="18"/>
      <c r="T369" s="18">
        <v>245.3</v>
      </c>
      <c r="U369" s="18">
        <v>452.8</v>
      </c>
      <c r="V369" s="20">
        <v>8.4323528730151303</v>
      </c>
      <c r="W369" s="18" t="s">
        <v>2954</v>
      </c>
      <c r="X369" s="14"/>
      <c r="Y369" s="14"/>
      <c r="Z369" s="14"/>
      <c r="AA369" s="14"/>
      <c r="AB369" s="14"/>
      <c r="AC369" s="14"/>
      <c r="AD369" s="14"/>
      <c r="AE369" s="14"/>
      <c r="AF369" s="14"/>
      <c r="AG369" s="14"/>
      <c r="AH369" s="18" t="s">
        <v>3389</v>
      </c>
      <c r="AI369" s="14"/>
      <c r="AJ369" s="21">
        <v>0.33198863580560978</v>
      </c>
      <c r="AK369" s="18">
        <v>1</v>
      </c>
      <c r="AL369" s="18">
        <v>0</v>
      </c>
      <c r="AM369" s="18">
        <v>100</v>
      </c>
      <c r="AN369" s="17">
        <v>1.3040004399999999E-2</v>
      </c>
      <c r="AO369" s="17">
        <v>3.0143736899999999E-2</v>
      </c>
      <c r="AP369" s="17">
        <v>-9.4152691399999999E-5</v>
      </c>
      <c r="AQ369" s="17">
        <v>6.8304316699999998E-6</v>
      </c>
      <c r="AR369" s="17">
        <v>-2.3272551099999999E-7</v>
      </c>
      <c r="AS369" s="17">
        <v>3.9910713600000002E-9</v>
      </c>
      <c r="AT369" s="17">
        <v>-3.3249490300000001E-11</v>
      </c>
      <c r="AU369" s="17">
        <v>1.0450857400000001E-13</v>
      </c>
      <c r="AV369" s="17">
        <v>0</v>
      </c>
      <c r="AW369" s="17">
        <v>0</v>
      </c>
    </row>
    <row r="370" spans="1:49" ht="17" customHeight="1">
      <c r="A370" s="11" t="s">
        <v>3391</v>
      </c>
      <c r="B370" s="11" t="s">
        <v>3391</v>
      </c>
      <c r="C370" s="18" t="s">
        <v>2867</v>
      </c>
      <c r="D370" s="18" t="s">
        <v>2916</v>
      </c>
      <c r="E370" s="18" t="s">
        <v>3300</v>
      </c>
      <c r="F370" s="18" t="s">
        <v>2918</v>
      </c>
      <c r="G370" s="14"/>
      <c r="H370" s="18" t="s">
        <v>3301</v>
      </c>
      <c r="I370" s="14"/>
      <c r="J370" s="14"/>
      <c r="K370" s="18" t="s">
        <v>3392</v>
      </c>
      <c r="L370" s="18">
        <v>140</v>
      </c>
      <c r="M370" s="18">
        <v>300</v>
      </c>
      <c r="N370" s="18">
        <v>100</v>
      </c>
      <c r="O370" s="18">
        <v>552</v>
      </c>
      <c r="P370" s="18">
        <v>45.427</v>
      </c>
      <c r="Q370" s="18">
        <v>156</v>
      </c>
      <c r="R370" s="18" t="s">
        <v>3303</v>
      </c>
      <c r="S370" s="18"/>
      <c r="T370" s="18">
        <v>244.9</v>
      </c>
      <c r="U370" s="18">
        <v>454.27</v>
      </c>
      <c r="V370" s="20">
        <v>8.4294642765982779</v>
      </c>
      <c r="W370" s="18" t="s">
        <v>2954</v>
      </c>
      <c r="X370" s="14"/>
      <c r="Y370" s="14"/>
      <c r="Z370" s="14"/>
      <c r="AA370" s="14"/>
      <c r="AB370" s="14"/>
      <c r="AC370" s="14"/>
      <c r="AD370" s="14"/>
      <c r="AE370" s="14"/>
      <c r="AF370" s="14"/>
      <c r="AG370" s="14"/>
      <c r="AH370" s="18" t="s">
        <v>3391</v>
      </c>
      <c r="AI370" s="14"/>
      <c r="AJ370" s="21">
        <v>0.33198863580560978</v>
      </c>
      <c r="AK370" s="18">
        <v>1</v>
      </c>
      <c r="AL370" s="18">
        <v>0</v>
      </c>
      <c r="AM370" s="18">
        <v>100</v>
      </c>
      <c r="AN370" s="17">
        <v>1.44390795E-2</v>
      </c>
      <c r="AO370" s="17">
        <v>2.9732740899999999E-2</v>
      </c>
      <c r="AP370" s="17">
        <v>-3.2763454899999998E-5</v>
      </c>
      <c r="AQ370" s="17">
        <v>3.8342234999999998E-6</v>
      </c>
      <c r="AR370" s="17">
        <v>-1.6365358200000001E-7</v>
      </c>
      <c r="AS370" s="17">
        <v>3.15747835E-9</v>
      </c>
      <c r="AT370" s="17">
        <v>-2.81407521E-11</v>
      </c>
      <c r="AU370" s="17">
        <v>9.1939156099999995E-14</v>
      </c>
      <c r="AV370" s="17">
        <v>0</v>
      </c>
      <c r="AW370" s="17">
        <v>0</v>
      </c>
    </row>
    <row r="371" spans="1:49" ht="17" customHeight="1">
      <c r="A371" s="11" t="s">
        <v>3393</v>
      </c>
      <c r="B371" s="11" t="s">
        <v>3393</v>
      </c>
      <c r="C371" s="18" t="s">
        <v>2867</v>
      </c>
      <c r="D371" s="18" t="s">
        <v>2916</v>
      </c>
      <c r="E371" s="18" t="s">
        <v>3300</v>
      </c>
      <c r="F371" s="18" t="s">
        <v>2918</v>
      </c>
      <c r="G371" s="14"/>
      <c r="H371" s="18" t="s">
        <v>3301</v>
      </c>
      <c r="I371" s="14"/>
      <c r="J371" s="14"/>
      <c r="K371" s="18" t="s">
        <v>3394</v>
      </c>
      <c r="L371" s="18">
        <v>44</v>
      </c>
      <c r="M371" s="18">
        <v>160</v>
      </c>
      <c r="N371" s="18">
        <v>80</v>
      </c>
      <c r="O371" s="18">
        <v>432</v>
      </c>
      <c r="P371" s="18">
        <v>6.8120000000000003</v>
      </c>
      <c r="Q371" s="18">
        <v>47</v>
      </c>
      <c r="R371" s="18" t="s">
        <v>3303</v>
      </c>
      <c r="S371" s="18"/>
      <c r="T371" s="18">
        <v>30.2</v>
      </c>
      <c r="U371" s="18">
        <v>85.15</v>
      </c>
      <c r="V371" s="20">
        <v>20.910311839355469</v>
      </c>
      <c r="W371" s="18" t="s">
        <v>2954</v>
      </c>
      <c r="X371" s="14"/>
      <c r="Y371" s="14"/>
      <c r="Z371" s="14"/>
      <c r="AA371" s="14"/>
      <c r="AB371" s="14"/>
      <c r="AC371" s="14"/>
      <c r="AD371" s="14"/>
      <c r="AE371" s="14"/>
      <c r="AF371" s="14"/>
      <c r="AG371" s="14"/>
      <c r="AH371" s="18" t="s">
        <v>3393</v>
      </c>
      <c r="AI371" s="14"/>
      <c r="AJ371" s="21">
        <v>0.17374887133613809</v>
      </c>
      <c r="AK371" s="18">
        <v>1</v>
      </c>
      <c r="AL371" s="18">
        <v>0</v>
      </c>
      <c r="AM371" s="18">
        <v>80</v>
      </c>
      <c r="AN371" s="17">
        <v>2.0380169199999999E-2</v>
      </c>
      <c r="AO371" s="17">
        <v>4.5732381799999999E-2</v>
      </c>
      <c r="AP371" s="17">
        <v>6.3621342599999998E-5</v>
      </c>
      <c r="AQ371" s="17">
        <v>-5.5792737699999996E-6</v>
      </c>
      <c r="AR371" s="17">
        <v>2.2724929699999999E-7</v>
      </c>
      <c r="AS371" s="17">
        <v>-4.8018680300000002E-9</v>
      </c>
      <c r="AT371" s="17">
        <v>5.0502782199999997E-11</v>
      </c>
      <c r="AU371" s="17">
        <v>-2.1103550199999999E-13</v>
      </c>
      <c r="AV371" s="17">
        <v>0</v>
      </c>
      <c r="AW371" s="17">
        <v>0</v>
      </c>
    </row>
    <row r="372" spans="1:49" ht="17" customHeight="1">
      <c r="A372" s="11" t="s">
        <v>3395</v>
      </c>
      <c r="B372" s="11" t="s">
        <v>3395</v>
      </c>
      <c r="C372" s="18" t="s">
        <v>2867</v>
      </c>
      <c r="D372" s="18" t="s">
        <v>2916</v>
      </c>
      <c r="E372" s="18" t="s">
        <v>3300</v>
      </c>
      <c r="F372" s="18" t="s">
        <v>2918</v>
      </c>
      <c r="G372" s="14"/>
      <c r="H372" s="18" t="s">
        <v>3301</v>
      </c>
      <c r="I372" s="14"/>
      <c r="J372" s="14"/>
      <c r="K372" s="18" t="s">
        <v>3396</v>
      </c>
      <c r="L372" s="18">
        <v>140</v>
      </c>
      <c r="M372" s="18">
        <v>300</v>
      </c>
      <c r="N372" s="18">
        <v>100</v>
      </c>
      <c r="O372" s="18">
        <v>552</v>
      </c>
      <c r="P372" s="18">
        <v>45.430999999999997</v>
      </c>
      <c r="Q372" s="18">
        <v>156</v>
      </c>
      <c r="R372" s="18" t="s">
        <v>3303</v>
      </c>
      <c r="S372" s="18"/>
      <c r="T372" s="18">
        <v>244.5</v>
      </c>
      <c r="U372" s="18">
        <v>454.31</v>
      </c>
      <c r="V372" s="20">
        <v>8.4326991208073121</v>
      </c>
      <c r="W372" s="18" t="s">
        <v>2954</v>
      </c>
      <c r="X372" s="14"/>
      <c r="Y372" s="14"/>
      <c r="Z372" s="14"/>
      <c r="AA372" s="14"/>
      <c r="AB372" s="14"/>
      <c r="AC372" s="14"/>
      <c r="AD372" s="14"/>
      <c r="AE372" s="14"/>
      <c r="AF372" s="14"/>
      <c r="AG372" s="14"/>
      <c r="AH372" s="18" t="s">
        <v>3395</v>
      </c>
      <c r="AI372" s="14"/>
      <c r="AJ372" s="21">
        <v>0.33198863580560978</v>
      </c>
      <c r="AK372" s="18">
        <v>1</v>
      </c>
      <c r="AL372" s="18">
        <v>0</v>
      </c>
      <c r="AM372" s="18">
        <v>100</v>
      </c>
      <c r="AN372" s="17">
        <v>1.3686182099999999E-2</v>
      </c>
      <c r="AO372" s="17">
        <v>3.0877997899999999E-2</v>
      </c>
      <c r="AP372" s="17">
        <v>-2.58933824E-4</v>
      </c>
      <c r="AQ372" s="17">
        <v>1.8354119700000001E-5</v>
      </c>
      <c r="AR372" s="17">
        <v>-5.8201514699999999E-7</v>
      </c>
      <c r="AS372" s="17">
        <v>9.1823393400000007E-9</v>
      </c>
      <c r="AT372" s="17">
        <v>-7.0663374899999998E-11</v>
      </c>
      <c r="AU372" s="17">
        <v>2.09323824E-13</v>
      </c>
      <c r="AV372" s="17">
        <v>0</v>
      </c>
      <c r="AW372" s="17">
        <v>0</v>
      </c>
    </row>
    <row r="373" spans="1:49" ht="17" customHeight="1">
      <c r="A373" s="11" t="s">
        <v>3397</v>
      </c>
      <c r="B373" s="11" t="s">
        <v>3397</v>
      </c>
      <c r="C373" s="18" t="s">
        <v>2867</v>
      </c>
      <c r="D373" s="18" t="s">
        <v>2916</v>
      </c>
      <c r="E373" s="18" t="s">
        <v>3300</v>
      </c>
      <c r="F373" s="18" t="s">
        <v>2918</v>
      </c>
      <c r="G373" s="14"/>
      <c r="H373" s="18" t="s">
        <v>3301</v>
      </c>
      <c r="I373" s="14"/>
      <c r="J373" s="14"/>
      <c r="K373" s="18" t="s">
        <v>3398</v>
      </c>
      <c r="L373" s="18">
        <v>140</v>
      </c>
      <c r="M373" s="18">
        <v>300</v>
      </c>
      <c r="N373" s="18">
        <v>100</v>
      </c>
      <c r="O373" s="18">
        <v>552</v>
      </c>
      <c r="P373" s="18">
        <v>45.628</v>
      </c>
      <c r="Q373" s="18">
        <v>156</v>
      </c>
      <c r="R373" s="18" t="s">
        <v>3303</v>
      </c>
      <c r="S373" s="18"/>
      <c r="T373" s="18">
        <v>245.2</v>
      </c>
      <c r="U373" s="18">
        <v>456.28</v>
      </c>
      <c r="V373" s="20">
        <v>8.4433351085822999</v>
      </c>
      <c r="W373" s="18" t="s">
        <v>2954</v>
      </c>
      <c r="X373" s="14"/>
      <c r="Y373" s="14"/>
      <c r="Z373" s="14"/>
      <c r="AA373" s="14"/>
      <c r="AB373" s="14"/>
      <c r="AC373" s="14"/>
      <c r="AD373" s="14"/>
      <c r="AE373" s="14"/>
      <c r="AF373" s="14"/>
      <c r="AG373" s="14"/>
      <c r="AH373" s="18" t="s">
        <v>3397</v>
      </c>
      <c r="AI373" s="14"/>
      <c r="AJ373" s="21">
        <v>0.33198863580560978</v>
      </c>
      <c r="AK373" s="18">
        <v>1</v>
      </c>
      <c r="AL373" s="18">
        <v>0</v>
      </c>
      <c r="AM373" s="18">
        <v>100</v>
      </c>
      <c r="AN373" s="17">
        <v>2.1196614400000001E-2</v>
      </c>
      <c r="AO373" s="17">
        <v>2.99904065E-2</v>
      </c>
      <c r="AP373" s="17">
        <v>-7.6348816900000005E-5</v>
      </c>
      <c r="AQ373" s="17">
        <v>5.8740607799999998E-6</v>
      </c>
      <c r="AR373" s="17">
        <v>-2.0714769600000001E-7</v>
      </c>
      <c r="AS373" s="17">
        <v>3.6354567799999999E-9</v>
      </c>
      <c r="AT373" s="17">
        <v>-3.0841216900000002E-11</v>
      </c>
      <c r="AU373" s="17">
        <v>9.8247624200000003E-14</v>
      </c>
      <c r="AV373" s="17">
        <v>0</v>
      </c>
      <c r="AW373" s="17">
        <v>0</v>
      </c>
    </row>
    <row r="374" spans="1:49" ht="17" customHeight="1">
      <c r="A374" s="11" t="s">
        <v>3399</v>
      </c>
      <c r="B374" s="11" t="s">
        <v>3399</v>
      </c>
      <c r="C374" s="18" t="s">
        <v>2867</v>
      </c>
      <c r="D374" s="18" t="s">
        <v>2916</v>
      </c>
      <c r="E374" s="18" t="s">
        <v>3300</v>
      </c>
      <c r="F374" s="18" t="s">
        <v>2918</v>
      </c>
      <c r="G374" s="14"/>
      <c r="H374" s="18" t="s">
        <v>3301</v>
      </c>
      <c r="I374" s="14"/>
      <c r="J374" s="14"/>
      <c r="K374" s="18" t="s">
        <v>3400</v>
      </c>
      <c r="L374" s="18">
        <v>140</v>
      </c>
      <c r="M374" s="18">
        <v>300</v>
      </c>
      <c r="N374" s="18">
        <v>100</v>
      </c>
      <c r="O374" s="18">
        <v>552</v>
      </c>
      <c r="P374" s="18">
        <v>45.750999999999998</v>
      </c>
      <c r="Q374" s="18">
        <v>156</v>
      </c>
      <c r="R374" s="18" t="s">
        <v>3303</v>
      </c>
      <c r="S374" s="18"/>
      <c r="T374" s="18">
        <v>245</v>
      </c>
      <c r="U374" s="18">
        <v>457.51</v>
      </c>
      <c r="V374" s="20">
        <v>8.4302623664449587</v>
      </c>
      <c r="W374" s="18" t="s">
        <v>2954</v>
      </c>
      <c r="X374" s="14"/>
      <c r="Y374" s="14"/>
      <c r="Z374" s="14"/>
      <c r="AA374" s="14"/>
      <c r="AB374" s="14"/>
      <c r="AC374" s="14"/>
      <c r="AD374" s="14"/>
      <c r="AE374" s="14"/>
      <c r="AF374" s="14"/>
      <c r="AG374" s="14"/>
      <c r="AH374" s="18" t="s">
        <v>3399</v>
      </c>
      <c r="AI374" s="14"/>
      <c r="AJ374" s="21">
        <v>0.33198863580560978</v>
      </c>
      <c r="AK374" s="18">
        <v>1</v>
      </c>
      <c r="AL374" s="18">
        <v>0</v>
      </c>
      <c r="AM374" s="18">
        <v>100</v>
      </c>
      <c r="AN374" s="17">
        <v>2.13906086E-2</v>
      </c>
      <c r="AO374" s="17">
        <v>3.0075864300000001E-2</v>
      </c>
      <c r="AP374" s="17">
        <v>-7.8108898400000001E-5</v>
      </c>
      <c r="AQ374" s="17">
        <v>5.9220945299999999E-6</v>
      </c>
      <c r="AR374" s="17">
        <v>-2.0811454299999999E-7</v>
      </c>
      <c r="AS374" s="17">
        <v>3.6500714E-9</v>
      </c>
      <c r="AT374" s="17">
        <v>-3.0972402899999998E-11</v>
      </c>
      <c r="AU374" s="17">
        <v>9.8721999600000001E-14</v>
      </c>
      <c r="AV374" s="17">
        <v>0</v>
      </c>
      <c r="AW374" s="17">
        <v>0</v>
      </c>
    </row>
    <row r="375" spans="1:49" ht="17" customHeight="1">
      <c r="A375" s="11" t="s">
        <v>3401</v>
      </c>
      <c r="B375" s="11" t="s">
        <v>3401</v>
      </c>
      <c r="C375" s="18" t="s">
        <v>2867</v>
      </c>
      <c r="D375" s="18" t="s">
        <v>2916</v>
      </c>
      <c r="E375" s="18" t="s">
        <v>3300</v>
      </c>
      <c r="F375" s="18" t="s">
        <v>2918</v>
      </c>
      <c r="G375" s="14"/>
      <c r="H375" s="18" t="s">
        <v>3301</v>
      </c>
      <c r="I375" s="14"/>
      <c r="J375" s="14"/>
      <c r="K375" s="18" t="s">
        <v>3402</v>
      </c>
      <c r="L375" s="18">
        <v>44</v>
      </c>
      <c r="M375" s="18">
        <v>160</v>
      </c>
      <c r="N375" s="18">
        <v>80</v>
      </c>
      <c r="O375" s="18">
        <v>432</v>
      </c>
      <c r="P375" s="18">
        <v>6.8</v>
      </c>
      <c r="Q375" s="18">
        <v>47</v>
      </c>
      <c r="R375" s="18" t="s">
        <v>3303</v>
      </c>
      <c r="S375" s="18"/>
      <c r="T375" s="18">
        <v>30.3</v>
      </c>
      <c r="U375" s="18">
        <v>85</v>
      </c>
      <c r="V375" s="20">
        <v>20.955005695857398</v>
      </c>
      <c r="W375" s="18" t="s">
        <v>2954</v>
      </c>
      <c r="X375" s="14"/>
      <c r="Y375" s="14"/>
      <c r="Z375" s="14"/>
      <c r="AA375" s="14"/>
      <c r="AB375" s="14"/>
      <c r="AC375" s="14"/>
      <c r="AD375" s="14"/>
      <c r="AE375" s="14"/>
      <c r="AF375" s="14"/>
      <c r="AG375" s="14"/>
      <c r="AH375" s="18" t="s">
        <v>3401</v>
      </c>
      <c r="AI375" s="14"/>
      <c r="AJ375" s="21">
        <v>0.17374887133613809</v>
      </c>
      <c r="AK375" s="18">
        <v>1</v>
      </c>
      <c r="AL375" s="18">
        <v>0</v>
      </c>
      <c r="AM375" s="18">
        <v>80</v>
      </c>
      <c r="AN375" s="17">
        <v>2.0570003100000001E-2</v>
      </c>
      <c r="AO375" s="17">
        <v>4.5842123200000001E-2</v>
      </c>
      <c r="AP375" s="17">
        <v>5.4685127400000003E-5</v>
      </c>
      <c r="AQ375" s="17">
        <v>-4.84599869E-6</v>
      </c>
      <c r="AR375" s="17">
        <v>2.00060983E-7</v>
      </c>
      <c r="AS375" s="17">
        <v>-4.2862809700000002E-9</v>
      </c>
      <c r="AT375" s="17">
        <v>4.5608701100000001E-11</v>
      </c>
      <c r="AU375" s="17">
        <v>-1.9261692799999999E-13</v>
      </c>
      <c r="AV375" s="17">
        <v>0</v>
      </c>
      <c r="AW375" s="17">
        <v>0</v>
      </c>
    </row>
    <row r="376" spans="1:49" ht="17" customHeight="1">
      <c r="A376" s="11" t="s">
        <v>3403</v>
      </c>
      <c r="B376" s="11" t="s">
        <v>3403</v>
      </c>
      <c r="C376" s="18" t="s">
        <v>2867</v>
      </c>
      <c r="D376" s="18" t="s">
        <v>2916</v>
      </c>
      <c r="E376" s="18" t="s">
        <v>3300</v>
      </c>
      <c r="F376" s="18" t="s">
        <v>2918</v>
      </c>
      <c r="G376" s="14"/>
      <c r="H376" s="18" t="s">
        <v>3301</v>
      </c>
      <c r="I376" s="14"/>
      <c r="J376" s="14"/>
      <c r="K376" s="18" t="s">
        <v>3404</v>
      </c>
      <c r="L376" s="18">
        <v>44</v>
      </c>
      <c r="M376" s="18">
        <v>160</v>
      </c>
      <c r="N376" s="18">
        <v>80</v>
      </c>
      <c r="O376" s="18">
        <v>432</v>
      </c>
      <c r="P376" s="18">
        <v>6.7984000000000009</v>
      </c>
      <c r="Q376" s="18">
        <v>47</v>
      </c>
      <c r="R376" s="18" t="s">
        <v>3303</v>
      </c>
      <c r="S376" s="18"/>
      <c r="T376" s="18">
        <v>30.2</v>
      </c>
      <c r="U376" s="18">
        <v>84.98</v>
      </c>
      <c r="V376" s="20">
        <v>20.949681975695611</v>
      </c>
      <c r="W376" s="18" t="s">
        <v>2954</v>
      </c>
      <c r="X376" s="14"/>
      <c r="Y376" s="14"/>
      <c r="Z376" s="14"/>
      <c r="AA376" s="14"/>
      <c r="AB376" s="14"/>
      <c r="AC376" s="14"/>
      <c r="AD376" s="14"/>
      <c r="AE376" s="14"/>
      <c r="AF376" s="14"/>
      <c r="AG376" s="14"/>
      <c r="AH376" s="18" t="s">
        <v>3403</v>
      </c>
      <c r="AI376" s="14"/>
      <c r="AJ376" s="21">
        <v>0.17374887133613809</v>
      </c>
      <c r="AK376" s="18">
        <v>1</v>
      </c>
      <c r="AL376" s="18">
        <v>0</v>
      </c>
      <c r="AM376" s="18">
        <v>80</v>
      </c>
      <c r="AN376" s="17">
        <v>2.0937180199999999E-2</v>
      </c>
      <c r="AO376" s="17">
        <v>4.5862342899999999E-2</v>
      </c>
      <c r="AP376" s="17">
        <v>4.8897281900000003E-5</v>
      </c>
      <c r="AQ376" s="17">
        <v>-4.3700378000000004E-6</v>
      </c>
      <c r="AR376" s="17">
        <v>1.83019919E-7</v>
      </c>
      <c r="AS376" s="17">
        <v>-3.9860905199999997E-9</v>
      </c>
      <c r="AT376" s="17">
        <v>4.3150412500000003E-11</v>
      </c>
      <c r="AU376" s="17">
        <v>-1.8538804300000001E-13</v>
      </c>
      <c r="AV376" s="17">
        <v>0</v>
      </c>
      <c r="AW376" s="17">
        <v>0</v>
      </c>
    </row>
    <row r="377" spans="1:49" ht="17" customHeight="1">
      <c r="A377" s="11" t="s">
        <v>3405</v>
      </c>
      <c r="B377" s="11" t="s">
        <v>3405</v>
      </c>
      <c r="C377" s="18" t="s">
        <v>2867</v>
      </c>
      <c r="D377" s="18" t="s">
        <v>2916</v>
      </c>
      <c r="E377" s="18" t="s">
        <v>3300</v>
      </c>
      <c r="F377" s="18" t="s">
        <v>2918</v>
      </c>
      <c r="G377" s="14"/>
      <c r="H377" s="18" t="s">
        <v>3301</v>
      </c>
      <c r="I377" s="14"/>
      <c r="J377" s="14"/>
      <c r="K377" s="18" t="s">
        <v>3406</v>
      </c>
      <c r="L377" s="18">
        <v>44</v>
      </c>
      <c r="M377" s="18">
        <v>160</v>
      </c>
      <c r="N377" s="18">
        <v>80</v>
      </c>
      <c r="O377" s="18">
        <v>432</v>
      </c>
      <c r="P377" s="18">
        <v>6.8208000000000002</v>
      </c>
      <c r="Q377" s="18">
        <v>47</v>
      </c>
      <c r="R377" s="18" t="s">
        <v>3303</v>
      </c>
      <c r="S377" s="18"/>
      <c r="T377" s="18">
        <v>30.2</v>
      </c>
      <c r="U377" s="18">
        <v>85.26</v>
      </c>
      <c r="V377" s="20">
        <v>20.941468695091189</v>
      </c>
      <c r="W377" s="18" t="s">
        <v>2954</v>
      </c>
      <c r="X377" s="14"/>
      <c r="Y377" s="14"/>
      <c r="Z377" s="14"/>
      <c r="AA377" s="14"/>
      <c r="AB377" s="14"/>
      <c r="AC377" s="14"/>
      <c r="AD377" s="14"/>
      <c r="AE377" s="14"/>
      <c r="AF377" s="14"/>
      <c r="AG377" s="14"/>
      <c r="AH377" s="18" t="s">
        <v>3405</v>
      </c>
      <c r="AI377" s="14"/>
      <c r="AJ377" s="21">
        <v>0.17374887133613809</v>
      </c>
      <c r="AK377" s="18">
        <v>1</v>
      </c>
      <c r="AL377" s="18">
        <v>0</v>
      </c>
      <c r="AM377" s="18">
        <v>80</v>
      </c>
      <c r="AN377" s="17">
        <v>2.1742674199999999E-2</v>
      </c>
      <c r="AO377" s="17">
        <v>4.5803471800000002E-2</v>
      </c>
      <c r="AP377" s="17">
        <v>6.2767326300000004E-5</v>
      </c>
      <c r="AQ377" s="17">
        <v>-5.3628452900000003E-6</v>
      </c>
      <c r="AR377" s="17">
        <v>2.16265757E-7</v>
      </c>
      <c r="AS377" s="17">
        <v>-4.5550547400000003E-9</v>
      </c>
      <c r="AT377" s="17">
        <v>4.7962530899999999E-11</v>
      </c>
      <c r="AU377" s="17">
        <v>-2.01244442E-13</v>
      </c>
      <c r="AV377" s="17">
        <v>0</v>
      </c>
      <c r="AW377" s="17">
        <v>0</v>
      </c>
    </row>
    <row r="378" spans="1:49" ht="17" customHeight="1">
      <c r="A378" s="11" t="s">
        <v>3407</v>
      </c>
      <c r="B378" s="11" t="s">
        <v>3407</v>
      </c>
      <c r="C378" s="18" t="s">
        <v>2867</v>
      </c>
      <c r="D378" s="18" t="s">
        <v>2916</v>
      </c>
      <c r="E378" s="18" t="s">
        <v>3300</v>
      </c>
      <c r="F378" s="18" t="s">
        <v>2918</v>
      </c>
      <c r="G378" s="14"/>
      <c r="H378" s="18" t="s">
        <v>3301</v>
      </c>
      <c r="I378" s="14"/>
      <c r="J378" s="14"/>
      <c r="K378" s="18" t="s">
        <v>3408</v>
      </c>
      <c r="L378" s="18">
        <v>44</v>
      </c>
      <c r="M378" s="18">
        <v>160</v>
      </c>
      <c r="N378" s="18">
        <v>80</v>
      </c>
      <c r="O378" s="18">
        <v>432</v>
      </c>
      <c r="P378" s="18">
        <v>6.8232000000000008</v>
      </c>
      <c r="Q378" s="18">
        <v>47</v>
      </c>
      <c r="R378" s="18" t="s">
        <v>3303</v>
      </c>
      <c r="S378" s="18"/>
      <c r="T378" s="18">
        <v>30.1</v>
      </c>
      <c r="U378" s="18">
        <v>85.29</v>
      </c>
      <c r="V378" s="20">
        <v>20.96088875435504</v>
      </c>
      <c r="W378" s="18" t="s">
        <v>2954</v>
      </c>
      <c r="X378" s="14"/>
      <c r="Y378" s="14"/>
      <c r="Z378" s="14"/>
      <c r="AA378" s="14"/>
      <c r="AB378" s="14"/>
      <c r="AC378" s="14"/>
      <c r="AD378" s="14"/>
      <c r="AE378" s="14"/>
      <c r="AF378" s="14"/>
      <c r="AG378" s="14"/>
      <c r="AH378" s="18" t="s">
        <v>3407</v>
      </c>
      <c r="AI378" s="14"/>
      <c r="AJ378" s="21">
        <v>0.17374887133613809</v>
      </c>
      <c r="AK378" s="18">
        <v>1</v>
      </c>
      <c r="AL378" s="18">
        <v>0</v>
      </c>
      <c r="AM378" s="18">
        <v>80</v>
      </c>
      <c r="AN378" s="17">
        <v>2.08242675E-2</v>
      </c>
      <c r="AO378" s="17">
        <v>4.5856593199999997E-2</v>
      </c>
      <c r="AP378" s="17">
        <v>5.0699726000000003E-5</v>
      </c>
      <c r="AQ378" s="17">
        <v>-4.6802233200000004E-6</v>
      </c>
      <c r="AR378" s="17">
        <v>1.9694415899999999E-7</v>
      </c>
      <c r="AS378" s="17">
        <v>-4.2727733900000003E-9</v>
      </c>
      <c r="AT378" s="17">
        <v>4.5910860500000002E-11</v>
      </c>
      <c r="AU378" s="17">
        <v>-1.9536569400000001E-13</v>
      </c>
      <c r="AV378" s="17">
        <v>0</v>
      </c>
      <c r="AW378" s="17">
        <v>0</v>
      </c>
    </row>
    <row r="379" spans="1:49" ht="17" customHeight="1">
      <c r="A379" s="11" t="s">
        <v>3409</v>
      </c>
      <c r="B379" s="11" t="s">
        <v>3409</v>
      </c>
      <c r="C379" s="18" t="s">
        <v>2867</v>
      </c>
      <c r="D379" s="18" t="s">
        <v>2916</v>
      </c>
      <c r="E379" s="18" t="s">
        <v>3300</v>
      </c>
      <c r="F379" s="18" t="s">
        <v>2918</v>
      </c>
      <c r="G379" s="14"/>
      <c r="H379" s="18" t="s">
        <v>3301</v>
      </c>
      <c r="I379" s="14"/>
      <c r="J379" s="14"/>
      <c r="K379" s="18" t="s">
        <v>3410</v>
      </c>
      <c r="L379" s="18">
        <v>44</v>
      </c>
      <c r="M379" s="18">
        <v>160</v>
      </c>
      <c r="N379" s="18">
        <v>80</v>
      </c>
      <c r="O379" s="18">
        <v>432</v>
      </c>
      <c r="P379" s="18">
        <v>6.8208000000000002</v>
      </c>
      <c r="Q379" s="18">
        <v>47</v>
      </c>
      <c r="R379" s="18" t="s">
        <v>3303</v>
      </c>
      <c r="S379" s="18"/>
      <c r="T379" s="18">
        <v>30.2</v>
      </c>
      <c r="U379" s="18">
        <v>85.26</v>
      </c>
      <c r="V379" s="20">
        <v>20.966458411840222</v>
      </c>
      <c r="W379" s="18" t="s">
        <v>2954</v>
      </c>
      <c r="X379" s="14"/>
      <c r="Y379" s="14"/>
      <c r="Z379" s="14"/>
      <c r="AA379" s="14"/>
      <c r="AB379" s="14"/>
      <c r="AC379" s="14"/>
      <c r="AD379" s="14"/>
      <c r="AE379" s="14"/>
      <c r="AF379" s="14"/>
      <c r="AG379" s="14"/>
      <c r="AH379" s="18" t="s">
        <v>3409</v>
      </c>
      <c r="AI379" s="14"/>
      <c r="AJ379" s="21">
        <v>0.17374887133613809</v>
      </c>
      <c r="AK379" s="18">
        <v>1</v>
      </c>
      <c r="AL379" s="18">
        <v>0</v>
      </c>
      <c r="AM379" s="18">
        <v>80</v>
      </c>
      <c r="AN379" s="17">
        <v>2.0073086300000001E-2</v>
      </c>
      <c r="AO379" s="17">
        <v>4.57782677E-2</v>
      </c>
      <c r="AP379" s="17">
        <v>7.4044956999999996E-5</v>
      </c>
      <c r="AQ379" s="17">
        <v>-6.3440146000000002E-6</v>
      </c>
      <c r="AR379" s="17">
        <v>2.54361296E-7</v>
      </c>
      <c r="AS379" s="17">
        <v>-5.2966313900000003E-9</v>
      </c>
      <c r="AT379" s="17">
        <v>5.4998929899999997E-11</v>
      </c>
      <c r="AU379" s="17">
        <v>-2.2709304199999999E-13</v>
      </c>
      <c r="AV379" s="17">
        <v>0</v>
      </c>
      <c r="AW379" s="17">
        <v>0</v>
      </c>
    </row>
    <row r="380" spans="1:49" ht="17" customHeight="1">
      <c r="A380" s="11" t="s">
        <v>3411</v>
      </c>
      <c r="B380" s="11" t="s">
        <v>3411</v>
      </c>
      <c r="C380" s="18" t="s">
        <v>2867</v>
      </c>
      <c r="D380" s="18" t="s">
        <v>2916</v>
      </c>
      <c r="E380" s="18" t="s">
        <v>3300</v>
      </c>
      <c r="F380" s="18" t="s">
        <v>2918</v>
      </c>
      <c r="G380" s="14"/>
      <c r="H380" s="18" t="s">
        <v>3301</v>
      </c>
      <c r="I380" s="14"/>
      <c r="J380" s="14"/>
      <c r="K380" s="18" t="s">
        <v>3412</v>
      </c>
      <c r="L380" s="18">
        <v>44</v>
      </c>
      <c r="M380" s="18">
        <v>160</v>
      </c>
      <c r="N380" s="18">
        <v>80</v>
      </c>
      <c r="O380" s="18">
        <v>432</v>
      </c>
      <c r="P380" s="18">
        <v>6.7927999999999997</v>
      </c>
      <c r="Q380" s="18">
        <v>47</v>
      </c>
      <c r="R380" s="18" t="s">
        <v>3303</v>
      </c>
      <c r="S380" s="18"/>
      <c r="T380" s="18">
        <v>30.3</v>
      </c>
      <c r="U380" s="18">
        <v>84.91</v>
      </c>
      <c r="V380" s="20">
        <v>20.969366496007769</v>
      </c>
      <c r="W380" s="18" t="s">
        <v>2954</v>
      </c>
      <c r="X380" s="14"/>
      <c r="Y380" s="14"/>
      <c r="Z380" s="14"/>
      <c r="AA380" s="14"/>
      <c r="AB380" s="14"/>
      <c r="AC380" s="14"/>
      <c r="AD380" s="14"/>
      <c r="AE380" s="14"/>
      <c r="AF380" s="14"/>
      <c r="AG380" s="14"/>
      <c r="AH380" s="18" t="s">
        <v>3411</v>
      </c>
      <c r="AI380" s="14"/>
      <c r="AJ380" s="21">
        <v>0.17374887133613809</v>
      </c>
      <c r="AK380" s="18">
        <v>1</v>
      </c>
      <c r="AL380" s="18">
        <v>0</v>
      </c>
      <c r="AM380" s="18">
        <v>80</v>
      </c>
      <c r="AN380" s="17">
        <v>2.03743615E-2</v>
      </c>
      <c r="AO380" s="17">
        <v>4.5888846099999998E-2</v>
      </c>
      <c r="AP380" s="17">
        <v>4.8670778199999998E-5</v>
      </c>
      <c r="AQ380" s="17">
        <v>-4.4335294300000002E-6</v>
      </c>
      <c r="AR380" s="17">
        <v>1.8916111099999999E-7</v>
      </c>
      <c r="AS380" s="17">
        <v>-4.1658516899999999E-9</v>
      </c>
      <c r="AT380" s="17">
        <v>4.5255043899999999E-11</v>
      </c>
      <c r="AU380" s="17">
        <v>-1.9395457600000001E-13</v>
      </c>
      <c r="AV380" s="17">
        <v>0</v>
      </c>
      <c r="AW380" s="17">
        <v>0</v>
      </c>
    </row>
    <row r="381" spans="1:49" ht="17" customHeight="1">
      <c r="A381" s="11" t="s">
        <v>3413</v>
      </c>
      <c r="B381" s="11" t="s">
        <v>3413</v>
      </c>
      <c r="C381" s="18" t="s">
        <v>2867</v>
      </c>
      <c r="D381" s="18" t="s">
        <v>2916</v>
      </c>
      <c r="E381" s="18" t="s">
        <v>2917</v>
      </c>
      <c r="F381" s="18" t="s">
        <v>2918</v>
      </c>
      <c r="G381" s="14"/>
      <c r="H381" s="18" t="s">
        <v>2948</v>
      </c>
      <c r="I381" s="14"/>
      <c r="J381" s="14"/>
      <c r="K381" s="18"/>
      <c r="L381" s="18">
        <v>39</v>
      </c>
      <c r="M381" s="18">
        <v>80</v>
      </c>
      <c r="N381" s="18">
        <v>10</v>
      </c>
      <c r="O381" s="18"/>
      <c r="P381" s="18">
        <v>756</v>
      </c>
      <c r="Q381" s="18">
        <v>36</v>
      </c>
      <c r="R381" s="18" t="s">
        <v>2936</v>
      </c>
      <c r="S381" s="18"/>
      <c r="T381" s="18">
        <v>2.5859999999999999</v>
      </c>
      <c r="U381" s="18">
        <v>126</v>
      </c>
      <c r="V381" s="20">
        <v>2.2825000000000002E-2</v>
      </c>
      <c r="W381" s="18" t="s">
        <v>2873</v>
      </c>
      <c r="X381" s="14"/>
      <c r="Y381" s="14"/>
      <c r="Z381" s="14"/>
      <c r="AA381" s="14"/>
      <c r="AB381" s="14"/>
      <c r="AC381" s="14"/>
      <c r="AD381" s="14"/>
      <c r="AE381" s="14"/>
      <c r="AF381" s="14"/>
      <c r="AG381" s="14"/>
      <c r="AH381" s="18" t="s">
        <v>3413</v>
      </c>
      <c r="AI381" s="14"/>
      <c r="AJ381" s="21">
        <v>0.1204063936938909</v>
      </c>
      <c r="AK381" s="18">
        <v>1</v>
      </c>
      <c r="AL381" s="18">
        <v>-10</v>
      </c>
      <c r="AM381" s="18">
        <v>10</v>
      </c>
      <c r="AN381" s="17">
        <v>0</v>
      </c>
      <c r="AO381" s="17">
        <v>2.7483E-4</v>
      </c>
      <c r="AP381" s="17">
        <v>0</v>
      </c>
      <c r="AQ381" s="17">
        <v>0</v>
      </c>
      <c r="AR381" s="17">
        <v>0</v>
      </c>
      <c r="AS381" s="17">
        <v>0</v>
      </c>
      <c r="AT381" s="17">
        <v>0</v>
      </c>
      <c r="AU381" s="17">
        <v>0</v>
      </c>
      <c r="AV381" s="17">
        <v>0</v>
      </c>
      <c r="AW381" s="17">
        <v>0</v>
      </c>
    </row>
    <row r="382" spans="1:49" ht="17" customHeight="1">
      <c r="A382" s="11" t="s">
        <v>3414</v>
      </c>
      <c r="B382" s="11" t="s">
        <v>3414</v>
      </c>
      <c r="C382" s="18" t="s">
        <v>2867</v>
      </c>
      <c r="D382" s="18" t="s">
        <v>2916</v>
      </c>
      <c r="E382" s="18" t="s">
        <v>2917</v>
      </c>
      <c r="F382" s="18" t="s">
        <v>2918</v>
      </c>
      <c r="G382" s="14"/>
      <c r="H382" s="18" t="s">
        <v>2948</v>
      </c>
      <c r="I382" s="14"/>
      <c r="J382" s="14"/>
      <c r="K382" s="18"/>
      <c r="L382" s="18">
        <v>39</v>
      </c>
      <c r="M382" s="18">
        <v>80</v>
      </c>
      <c r="N382" s="18">
        <v>10</v>
      </c>
      <c r="O382" s="18"/>
      <c r="P382" s="18">
        <v>756</v>
      </c>
      <c r="Q382" s="18">
        <v>36</v>
      </c>
      <c r="R382" s="18" t="s">
        <v>2936</v>
      </c>
      <c r="S382" s="18"/>
      <c r="T382" s="18">
        <v>2.5859999999999999</v>
      </c>
      <c r="U382" s="18">
        <v>126</v>
      </c>
      <c r="V382" s="20">
        <v>2.2825000000000002E-2</v>
      </c>
      <c r="W382" s="18" t="s">
        <v>2873</v>
      </c>
      <c r="X382" s="14"/>
      <c r="Y382" s="14"/>
      <c r="Z382" s="14"/>
      <c r="AA382" s="14"/>
      <c r="AB382" s="14"/>
      <c r="AC382" s="14"/>
      <c r="AD382" s="14"/>
      <c r="AE382" s="14"/>
      <c r="AF382" s="14"/>
      <c r="AG382" s="14"/>
      <c r="AH382" s="18" t="s">
        <v>3413</v>
      </c>
      <c r="AI382" s="14"/>
      <c r="AJ382" s="21">
        <v>0.1204063936938909</v>
      </c>
      <c r="AK382" s="18">
        <v>1</v>
      </c>
      <c r="AL382" s="18">
        <v>-10</v>
      </c>
      <c r="AM382" s="18">
        <v>10</v>
      </c>
      <c r="AN382" s="17">
        <v>0</v>
      </c>
      <c r="AO382" s="17">
        <v>2.7483E-4</v>
      </c>
      <c r="AP382" s="17">
        <v>0</v>
      </c>
      <c r="AQ382" s="17">
        <v>0</v>
      </c>
      <c r="AR382" s="17">
        <v>0</v>
      </c>
      <c r="AS382" s="17">
        <v>0</v>
      </c>
      <c r="AT382" s="17">
        <v>0</v>
      </c>
      <c r="AU382" s="17">
        <v>0</v>
      </c>
      <c r="AV382" s="17">
        <v>0</v>
      </c>
      <c r="AW382" s="17">
        <v>0</v>
      </c>
    </row>
    <row r="383" spans="1:49" ht="17" customHeight="1">
      <c r="A383" s="11" t="s">
        <v>3290</v>
      </c>
      <c r="B383" s="11" t="s">
        <v>3290</v>
      </c>
      <c r="C383" s="18" t="s">
        <v>2867</v>
      </c>
      <c r="D383" s="18" t="s">
        <v>2916</v>
      </c>
      <c r="E383" s="18" t="s">
        <v>2917</v>
      </c>
      <c r="F383" s="18" t="s">
        <v>2918</v>
      </c>
      <c r="G383" s="14"/>
      <c r="H383" s="18" t="s">
        <v>2919</v>
      </c>
      <c r="I383" s="14"/>
      <c r="J383" s="14"/>
      <c r="K383" s="18"/>
      <c r="L383" s="18">
        <v>35</v>
      </c>
      <c r="M383" s="18">
        <v>150</v>
      </c>
      <c r="N383" s="18">
        <v>16</v>
      </c>
      <c r="O383" s="18"/>
      <c r="P383" s="18" t="s">
        <v>2920</v>
      </c>
      <c r="Q383" s="18" t="s">
        <v>2920</v>
      </c>
      <c r="R383" s="18" t="s">
        <v>2920</v>
      </c>
      <c r="S383" s="18"/>
      <c r="T383" s="18" t="s">
        <v>2920</v>
      </c>
      <c r="U383" s="18" t="s">
        <v>2920</v>
      </c>
      <c r="V383" s="20">
        <v>5.6800000000000003E-2</v>
      </c>
      <c r="W383" s="18" t="s">
        <v>2873</v>
      </c>
      <c r="X383" s="14"/>
      <c r="Y383" s="14"/>
      <c r="Z383" s="14"/>
      <c r="AA383" s="14"/>
      <c r="AB383" s="14"/>
      <c r="AC383" s="14"/>
      <c r="AD383" s="14"/>
      <c r="AE383" s="14"/>
      <c r="AF383" s="14"/>
      <c r="AG383" s="14"/>
      <c r="AH383" s="18" t="s">
        <v>3290</v>
      </c>
      <c r="AI383" s="14"/>
      <c r="AJ383" s="21">
        <v>0.18992999999999999</v>
      </c>
      <c r="AK383" s="18">
        <v>1</v>
      </c>
      <c r="AL383" s="18">
        <v>-16</v>
      </c>
      <c r="AM383" s="18">
        <v>16</v>
      </c>
      <c r="AN383" s="17">
        <v>0</v>
      </c>
      <c r="AO383" s="17">
        <v>6.7425000000000004E-4</v>
      </c>
      <c r="AP383" s="17">
        <v>0</v>
      </c>
      <c r="AQ383" s="17">
        <v>0</v>
      </c>
      <c r="AR383" s="17">
        <v>0</v>
      </c>
      <c r="AS383" s="17">
        <v>0</v>
      </c>
      <c r="AT383" s="17">
        <v>0</v>
      </c>
      <c r="AU383" s="17">
        <v>0</v>
      </c>
      <c r="AV383" s="17">
        <v>0</v>
      </c>
      <c r="AW383" s="17">
        <v>0</v>
      </c>
    </row>
    <row r="384" spans="1:49" ht="17" customHeight="1">
      <c r="A384" s="11" t="s">
        <v>3415</v>
      </c>
      <c r="B384" s="11" t="s">
        <v>3415</v>
      </c>
      <c r="C384" s="18" t="s">
        <v>2867</v>
      </c>
      <c r="D384" s="18" t="s">
        <v>2916</v>
      </c>
      <c r="E384" s="18" t="s">
        <v>2917</v>
      </c>
      <c r="F384" s="18" t="s">
        <v>2918</v>
      </c>
      <c r="G384" s="14"/>
      <c r="H384" s="18" t="s">
        <v>2919</v>
      </c>
      <c r="I384" s="14"/>
      <c r="J384" s="14"/>
      <c r="K384" s="18"/>
      <c r="L384" s="18">
        <v>35</v>
      </c>
      <c r="M384" s="18">
        <v>150</v>
      </c>
      <c r="N384" s="18">
        <v>20</v>
      </c>
      <c r="O384" s="18"/>
      <c r="P384" s="18">
        <v>5</v>
      </c>
      <c r="Q384" s="18">
        <v>108</v>
      </c>
      <c r="R384" s="18" t="s">
        <v>3020</v>
      </c>
      <c r="S384" s="18"/>
      <c r="T384" s="18" t="s">
        <v>2920</v>
      </c>
      <c r="U384" s="18">
        <v>0.25</v>
      </c>
      <c r="V384" s="20">
        <v>8.8999999999999996E-2</v>
      </c>
      <c r="W384" s="18" t="s">
        <v>2873</v>
      </c>
      <c r="X384" s="14"/>
      <c r="Y384" s="14"/>
      <c r="Z384" s="14"/>
      <c r="AA384" s="14"/>
      <c r="AB384" s="14"/>
      <c r="AC384" s="14"/>
      <c r="AD384" s="14"/>
      <c r="AE384" s="14"/>
      <c r="AF384" s="14"/>
      <c r="AG384" s="14"/>
      <c r="AH384" s="18" t="s">
        <v>3283</v>
      </c>
      <c r="AI384" s="14"/>
      <c r="AJ384" s="21">
        <v>0.18626200000000001</v>
      </c>
      <c r="AK384" s="18">
        <v>1</v>
      </c>
      <c r="AL384" s="18">
        <v>-20</v>
      </c>
      <c r="AM384" s="18">
        <v>20</v>
      </c>
      <c r="AN384" s="17">
        <v>0</v>
      </c>
      <c r="AO384" s="17">
        <v>8.2887E-4</v>
      </c>
      <c r="AP384" s="17">
        <v>0</v>
      </c>
      <c r="AQ384" s="17">
        <v>0</v>
      </c>
      <c r="AR384" s="17">
        <v>0</v>
      </c>
      <c r="AS384" s="17">
        <v>0</v>
      </c>
      <c r="AT384" s="17">
        <v>0</v>
      </c>
      <c r="AU384" s="17">
        <v>0</v>
      </c>
      <c r="AV384" s="17">
        <v>0</v>
      </c>
      <c r="AW384" s="17">
        <v>0</v>
      </c>
    </row>
    <row r="385" spans="1:49" ht="17" customHeight="1">
      <c r="A385" s="11" t="s">
        <v>3416</v>
      </c>
      <c r="B385" s="11" t="s">
        <v>3416</v>
      </c>
      <c r="C385" s="18" t="s">
        <v>2867</v>
      </c>
      <c r="D385" s="18" t="s">
        <v>2916</v>
      </c>
      <c r="E385" s="18" t="s">
        <v>2917</v>
      </c>
      <c r="F385" s="18" t="s">
        <v>2918</v>
      </c>
      <c r="G385" s="14"/>
      <c r="H385" s="18" t="s">
        <v>2948</v>
      </c>
      <c r="I385" s="14"/>
      <c r="J385" s="14"/>
      <c r="K385" s="18"/>
      <c r="L385" s="18">
        <v>39</v>
      </c>
      <c r="M385" s="18">
        <v>80</v>
      </c>
      <c r="N385" s="18">
        <v>10</v>
      </c>
      <c r="O385" s="18"/>
      <c r="P385" s="18">
        <v>756</v>
      </c>
      <c r="Q385" s="18">
        <v>36</v>
      </c>
      <c r="R385" s="18" t="s">
        <v>2936</v>
      </c>
      <c r="S385" s="18"/>
      <c r="T385" s="18">
        <v>2.5859999999999999</v>
      </c>
      <c r="U385" s="18">
        <v>126</v>
      </c>
      <c r="V385" s="20">
        <v>2.2825000000000002E-2</v>
      </c>
      <c r="W385" s="18" t="s">
        <v>2873</v>
      </c>
      <c r="X385" s="14"/>
      <c r="Y385" s="14"/>
      <c r="Z385" s="14"/>
      <c r="AA385" s="14"/>
      <c r="AB385" s="14"/>
      <c r="AC385" s="14"/>
      <c r="AD385" s="14"/>
      <c r="AE385" s="14"/>
      <c r="AF385" s="14"/>
      <c r="AG385" s="14"/>
      <c r="AH385" s="18" t="s">
        <v>3413</v>
      </c>
      <c r="AI385" s="14"/>
      <c r="AJ385" s="21">
        <v>0.1204063936938909</v>
      </c>
      <c r="AK385" s="18">
        <v>1</v>
      </c>
      <c r="AL385" s="18">
        <v>-10</v>
      </c>
      <c r="AM385" s="18">
        <v>10</v>
      </c>
      <c r="AN385" s="17">
        <v>0</v>
      </c>
      <c r="AO385" s="17">
        <v>2.7483E-4</v>
      </c>
      <c r="AP385" s="17">
        <v>0</v>
      </c>
      <c r="AQ385" s="17">
        <v>0</v>
      </c>
      <c r="AR385" s="17">
        <v>0</v>
      </c>
      <c r="AS385" s="17">
        <v>0</v>
      </c>
      <c r="AT385" s="17">
        <v>0</v>
      </c>
      <c r="AU385" s="17">
        <v>0</v>
      </c>
      <c r="AV385" s="17">
        <v>0</v>
      </c>
      <c r="AW385" s="17">
        <v>0</v>
      </c>
    </row>
    <row r="386" spans="1:49" ht="17" customHeight="1">
      <c r="A386" s="11" t="s">
        <v>3417</v>
      </c>
      <c r="B386" s="11" t="s">
        <v>3417</v>
      </c>
      <c r="C386" s="18" t="s">
        <v>2867</v>
      </c>
      <c r="D386" s="18" t="s">
        <v>2916</v>
      </c>
      <c r="E386" s="18" t="s">
        <v>2917</v>
      </c>
      <c r="F386" s="18" t="s">
        <v>2918</v>
      </c>
      <c r="G386" s="14"/>
      <c r="H386" s="18" t="s">
        <v>2948</v>
      </c>
      <c r="I386" s="14"/>
      <c r="J386" s="14"/>
      <c r="K386" s="18"/>
      <c r="L386" s="18">
        <v>39</v>
      </c>
      <c r="M386" s="18">
        <v>80</v>
      </c>
      <c r="N386" s="18">
        <v>10</v>
      </c>
      <c r="O386" s="18"/>
      <c r="P386" s="18">
        <v>756</v>
      </c>
      <c r="Q386" s="18">
        <v>36</v>
      </c>
      <c r="R386" s="18" t="s">
        <v>2936</v>
      </c>
      <c r="S386" s="18"/>
      <c r="T386" s="18">
        <v>2.5859999999999999</v>
      </c>
      <c r="U386" s="18">
        <v>126</v>
      </c>
      <c r="V386" s="20">
        <v>2.2825000000000002E-2</v>
      </c>
      <c r="W386" s="18" t="s">
        <v>2873</v>
      </c>
      <c r="X386" s="14"/>
      <c r="Y386" s="14"/>
      <c r="Z386" s="14"/>
      <c r="AA386" s="14"/>
      <c r="AB386" s="14"/>
      <c r="AC386" s="14"/>
      <c r="AD386" s="14"/>
      <c r="AE386" s="14"/>
      <c r="AF386" s="14"/>
      <c r="AG386" s="14"/>
      <c r="AH386" s="18" t="s">
        <v>3413</v>
      </c>
      <c r="AI386" s="14"/>
      <c r="AJ386" s="21">
        <v>0.1204063936938909</v>
      </c>
      <c r="AK386" s="18">
        <v>1</v>
      </c>
      <c r="AL386" s="18">
        <v>-10</v>
      </c>
      <c r="AM386" s="18">
        <v>10</v>
      </c>
      <c r="AN386" s="17">
        <v>0</v>
      </c>
      <c r="AO386" s="17">
        <v>2.7483E-4</v>
      </c>
      <c r="AP386" s="17">
        <v>0</v>
      </c>
      <c r="AQ386" s="17">
        <v>0</v>
      </c>
      <c r="AR386" s="17">
        <v>0</v>
      </c>
      <c r="AS386" s="17">
        <v>0</v>
      </c>
      <c r="AT386" s="17">
        <v>0</v>
      </c>
      <c r="AU386" s="17">
        <v>0</v>
      </c>
      <c r="AV386" s="17">
        <v>0</v>
      </c>
      <c r="AW386" s="17">
        <v>0</v>
      </c>
    </row>
    <row r="387" spans="1:49" ht="17" customHeight="1">
      <c r="A387" s="11" t="s">
        <v>3418</v>
      </c>
      <c r="B387" s="11" t="s">
        <v>3418</v>
      </c>
      <c r="C387" s="18" t="s">
        <v>2867</v>
      </c>
      <c r="D387" s="18" t="s">
        <v>2916</v>
      </c>
      <c r="E387" s="18" t="s">
        <v>2917</v>
      </c>
      <c r="F387" s="18" t="s">
        <v>2918</v>
      </c>
      <c r="G387" s="14"/>
      <c r="H387" s="18" t="s">
        <v>2919</v>
      </c>
      <c r="I387" s="14"/>
      <c r="J387" s="14"/>
      <c r="K387" s="18"/>
      <c r="L387" s="18">
        <v>35</v>
      </c>
      <c r="M387" s="18">
        <v>150</v>
      </c>
      <c r="N387" s="18">
        <v>16</v>
      </c>
      <c r="O387" s="18"/>
      <c r="P387" s="18" t="s">
        <v>2920</v>
      </c>
      <c r="Q387" s="18" t="s">
        <v>2920</v>
      </c>
      <c r="R387" s="18" t="s">
        <v>2920</v>
      </c>
      <c r="S387" s="18"/>
      <c r="T387" s="18" t="s">
        <v>2920</v>
      </c>
      <c r="U387" s="18" t="s">
        <v>2920</v>
      </c>
      <c r="V387" s="20">
        <v>5.6800000000000003E-2</v>
      </c>
      <c r="W387" s="18" t="s">
        <v>2873</v>
      </c>
      <c r="X387" s="14"/>
      <c r="Y387" s="14"/>
      <c r="Z387" s="14"/>
      <c r="AA387" s="14"/>
      <c r="AB387" s="14"/>
      <c r="AC387" s="14"/>
      <c r="AD387" s="14"/>
      <c r="AE387" s="14"/>
      <c r="AF387" s="14"/>
      <c r="AG387" s="14"/>
      <c r="AH387" s="18" t="s">
        <v>3290</v>
      </c>
      <c r="AI387" s="14"/>
      <c r="AJ387" s="21">
        <v>0.18992999999999999</v>
      </c>
      <c r="AK387" s="18">
        <v>1</v>
      </c>
      <c r="AL387" s="18">
        <v>-16</v>
      </c>
      <c r="AM387" s="18">
        <v>16</v>
      </c>
      <c r="AN387" s="17">
        <v>0</v>
      </c>
      <c r="AO387" s="17">
        <v>6.7425000000000004E-4</v>
      </c>
      <c r="AP387" s="17">
        <v>0</v>
      </c>
      <c r="AQ387" s="17">
        <v>0</v>
      </c>
      <c r="AR387" s="17">
        <v>0</v>
      </c>
      <c r="AS387" s="17">
        <v>0</v>
      </c>
      <c r="AT387" s="17">
        <v>0</v>
      </c>
      <c r="AU387" s="17">
        <v>0</v>
      </c>
      <c r="AV387" s="17">
        <v>0</v>
      </c>
      <c r="AW387" s="17">
        <v>0</v>
      </c>
    </row>
    <row r="388" spans="1:49" ht="17" customHeight="1">
      <c r="A388" s="11" t="s">
        <v>3419</v>
      </c>
      <c r="B388" s="11" t="s">
        <v>3419</v>
      </c>
      <c r="C388" s="18" t="s">
        <v>2867</v>
      </c>
      <c r="D388" s="18" t="s">
        <v>2916</v>
      </c>
      <c r="E388" s="18" t="s">
        <v>2917</v>
      </c>
      <c r="F388" s="18" t="s">
        <v>2918</v>
      </c>
      <c r="G388" s="14"/>
      <c r="H388" s="18" t="s">
        <v>2919</v>
      </c>
      <c r="I388" s="14"/>
      <c r="J388" s="14"/>
      <c r="K388" s="18"/>
      <c r="L388" s="18">
        <v>35</v>
      </c>
      <c r="M388" s="18">
        <v>150</v>
      </c>
      <c r="N388" s="18">
        <v>20</v>
      </c>
      <c r="O388" s="18"/>
      <c r="P388" s="18">
        <v>5</v>
      </c>
      <c r="Q388" s="18">
        <v>108</v>
      </c>
      <c r="R388" s="18" t="s">
        <v>3020</v>
      </c>
      <c r="S388" s="18"/>
      <c r="T388" s="18" t="s">
        <v>2920</v>
      </c>
      <c r="U388" s="18">
        <v>0.25</v>
      </c>
      <c r="V388" s="20">
        <v>8.8999999999999996E-2</v>
      </c>
      <c r="W388" s="18" t="s">
        <v>2873</v>
      </c>
      <c r="X388" s="14"/>
      <c r="Y388" s="14"/>
      <c r="Z388" s="14"/>
      <c r="AA388" s="14"/>
      <c r="AB388" s="14"/>
      <c r="AC388" s="14"/>
      <c r="AD388" s="14"/>
      <c r="AE388" s="14"/>
      <c r="AF388" s="14"/>
      <c r="AG388" s="14"/>
      <c r="AH388" s="18" t="s">
        <v>3283</v>
      </c>
      <c r="AI388" s="14"/>
      <c r="AJ388" s="21">
        <v>0.18626200000000001</v>
      </c>
      <c r="AK388" s="18">
        <v>1</v>
      </c>
      <c r="AL388" s="18">
        <v>-20</v>
      </c>
      <c r="AM388" s="18">
        <v>20</v>
      </c>
      <c r="AN388" s="17">
        <v>0</v>
      </c>
      <c r="AO388" s="17">
        <v>8.2887E-4</v>
      </c>
      <c r="AP388" s="17">
        <v>0</v>
      </c>
      <c r="AQ388" s="17">
        <v>0</v>
      </c>
      <c r="AR388" s="17">
        <v>0</v>
      </c>
      <c r="AS388" s="17">
        <v>0</v>
      </c>
      <c r="AT388" s="17">
        <v>0</v>
      </c>
      <c r="AU388" s="17">
        <v>0</v>
      </c>
      <c r="AV388" s="17">
        <v>0</v>
      </c>
      <c r="AW388" s="17">
        <v>0</v>
      </c>
    </row>
    <row r="389" spans="1:49" ht="17" customHeight="1">
      <c r="A389" s="11" t="s">
        <v>3420</v>
      </c>
      <c r="B389" s="11" t="s">
        <v>3420</v>
      </c>
      <c r="C389" s="18" t="s">
        <v>2867</v>
      </c>
      <c r="D389" s="18" t="s">
        <v>2916</v>
      </c>
      <c r="E389" s="18" t="s">
        <v>2917</v>
      </c>
      <c r="F389" s="18" t="s">
        <v>2918</v>
      </c>
      <c r="G389" s="14"/>
      <c r="H389" s="18" t="s">
        <v>2948</v>
      </c>
      <c r="I389" s="14"/>
      <c r="J389" s="14"/>
      <c r="K389" s="18"/>
      <c r="L389" s="18">
        <v>39</v>
      </c>
      <c r="M389" s="18">
        <v>80</v>
      </c>
      <c r="N389" s="18">
        <v>10</v>
      </c>
      <c r="O389" s="18"/>
      <c r="P389" s="18">
        <v>756</v>
      </c>
      <c r="Q389" s="18">
        <v>36</v>
      </c>
      <c r="R389" s="18" t="s">
        <v>2936</v>
      </c>
      <c r="S389" s="18"/>
      <c r="T389" s="18">
        <v>2.5859999999999999</v>
      </c>
      <c r="U389" s="18">
        <v>126</v>
      </c>
      <c r="V389" s="20">
        <v>2.2825000000000002E-2</v>
      </c>
      <c r="W389" s="18" t="s">
        <v>2873</v>
      </c>
      <c r="X389" s="14"/>
      <c r="Y389" s="14"/>
      <c r="Z389" s="14"/>
      <c r="AA389" s="14"/>
      <c r="AB389" s="14"/>
      <c r="AC389" s="14"/>
      <c r="AD389" s="14"/>
      <c r="AE389" s="14"/>
      <c r="AF389" s="14"/>
      <c r="AG389" s="14"/>
      <c r="AH389" s="18" t="s">
        <v>3413</v>
      </c>
      <c r="AI389" s="14"/>
      <c r="AJ389" s="21">
        <v>0.1204063936938909</v>
      </c>
      <c r="AK389" s="18">
        <v>1</v>
      </c>
      <c r="AL389" s="18">
        <v>-10</v>
      </c>
      <c r="AM389" s="18">
        <v>10</v>
      </c>
      <c r="AN389" s="17">
        <v>0</v>
      </c>
      <c r="AO389" s="17">
        <v>2.7483E-4</v>
      </c>
      <c r="AP389" s="17">
        <v>0</v>
      </c>
      <c r="AQ389" s="17">
        <v>0</v>
      </c>
      <c r="AR389" s="17">
        <v>0</v>
      </c>
      <c r="AS389" s="17">
        <v>0</v>
      </c>
      <c r="AT389" s="17">
        <v>0</v>
      </c>
      <c r="AU389" s="17">
        <v>0</v>
      </c>
      <c r="AV389" s="17">
        <v>0</v>
      </c>
      <c r="AW389" s="17">
        <v>0</v>
      </c>
    </row>
    <row r="390" spans="1:49" ht="17" customHeight="1">
      <c r="A390" s="11" t="s">
        <v>3421</v>
      </c>
      <c r="B390" s="11" t="s">
        <v>3421</v>
      </c>
      <c r="C390" s="18" t="s">
        <v>2867</v>
      </c>
      <c r="D390" s="18" t="s">
        <v>2916</v>
      </c>
      <c r="E390" s="18" t="s">
        <v>2917</v>
      </c>
      <c r="F390" s="18" t="s">
        <v>2918</v>
      </c>
      <c r="G390" s="14"/>
      <c r="H390" s="18" t="s">
        <v>2948</v>
      </c>
      <c r="I390" s="14"/>
      <c r="J390" s="14"/>
      <c r="K390" s="18"/>
      <c r="L390" s="18">
        <v>39</v>
      </c>
      <c r="M390" s="18">
        <v>80</v>
      </c>
      <c r="N390" s="18">
        <v>10</v>
      </c>
      <c r="O390" s="18"/>
      <c r="P390" s="18">
        <v>756</v>
      </c>
      <c r="Q390" s="18">
        <v>36</v>
      </c>
      <c r="R390" s="18" t="s">
        <v>2936</v>
      </c>
      <c r="S390" s="18"/>
      <c r="T390" s="18">
        <v>2.5859999999999999</v>
      </c>
      <c r="U390" s="18">
        <v>126</v>
      </c>
      <c r="V390" s="20">
        <v>2.2825000000000002E-2</v>
      </c>
      <c r="W390" s="18" t="s">
        <v>2873</v>
      </c>
      <c r="X390" s="14"/>
      <c r="Y390" s="14"/>
      <c r="Z390" s="14"/>
      <c r="AA390" s="14"/>
      <c r="AB390" s="14"/>
      <c r="AC390" s="14"/>
      <c r="AD390" s="14"/>
      <c r="AE390" s="14"/>
      <c r="AF390" s="14"/>
      <c r="AG390" s="14"/>
      <c r="AH390" s="18" t="s">
        <v>3413</v>
      </c>
      <c r="AI390" s="14"/>
      <c r="AJ390" s="21">
        <v>0.1204063936938909</v>
      </c>
      <c r="AK390" s="18">
        <v>1</v>
      </c>
      <c r="AL390" s="18">
        <v>-10</v>
      </c>
      <c r="AM390" s="18">
        <v>10</v>
      </c>
      <c r="AN390" s="17">
        <v>0</v>
      </c>
      <c r="AO390" s="17">
        <v>2.7483E-4</v>
      </c>
      <c r="AP390" s="17">
        <v>0</v>
      </c>
      <c r="AQ390" s="17">
        <v>0</v>
      </c>
      <c r="AR390" s="17">
        <v>0</v>
      </c>
      <c r="AS390" s="17">
        <v>0</v>
      </c>
      <c r="AT390" s="17">
        <v>0</v>
      </c>
      <c r="AU390" s="17">
        <v>0</v>
      </c>
      <c r="AV390" s="17">
        <v>0</v>
      </c>
      <c r="AW390" s="17">
        <v>0</v>
      </c>
    </row>
    <row r="391" spans="1:49" ht="17" customHeight="1">
      <c r="A391" s="11" t="s">
        <v>3422</v>
      </c>
      <c r="B391" s="11" t="s">
        <v>3422</v>
      </c>
      <c r="C391" s="18" t="s">
        <v>2867</v>
      </c>
      <c r="D391" s="18" t="s">
        <v>2916</v>
      </c>
      <c r="E391" s="18" t="s">
        <v>2917</v>
      </c>
      <c r="F391" s="18" t="s">
        <v>2918</v>
      </c>
      <c r="G391" s="14"/>
      <c r="H391" s="18" t="s">
        <v>2919</v>
      </c>
      <c r="I391" s="14"/>
      <c r="J391" s="14"/>
      <c r="K391" s="18"/>
      <c r="L391" s="18">
        <v>35</v>
      </c>
      <c r="M391" s="18">
        <v>150</v>
      </c>
      <c r="N391" s="18">
        <v>16</v>
      </c>
      <c r="O391" s="18"/>
      <c r="P391" s="18" t="s">
        <v>2920</v>
      </c>
      <c r="Q391" s="18" t="s">
        <v>2920</v>
      </c>
      <c r="R391" s="18" t="s">
        <v>2920</v>
      </c>
      <c r="S391" s="18"/>
      <c r="T391" s="18" t="s">
        <v>2920</v>
      </c>
      <c r="U391" s="18" t="s">
        <v>2920</v>
      </c>
      <c r="V391" s="20">
        <v>5.6800000000000003E-2</v>
      </c>
      <c r="W391" s="18" t="s">
        <v>2873</v>
      </c>
      <c r="X391" s="14"/>
      <c r="Y391" s="14"/>
      <c r="Z391" s="14"/>
      <c r="AA391" s="14"/>
      <c r="AB391" s="14"/>
      <c r="AC391" s="14"/>
      <c r="AD391" s="14"/>
      <c r="AE391" s="14"/>
      <c r="AF391" s="14"/>
      <c r="AG391" s="14"/>
      <c r="AH391" s="18" t="s">
        <v>3290</v>
      </c>
      <c r="AI391" s="14"/>
      <c r="AJ391" s="21">
        <v>0.18992999999999999</v>
      </c>
      <c r="AK391" s="18">
        <v>1</v>
      </c>
      <c r="AL391" s="18">
        <v>-16</v>
      </c>
      <c r="AM391" s="18">
        <v>16</v>
      </c>
      <c r="AN391" s="17">
        <v>0</v>
      </c>
      <c r="AO391" s="17">
        <v>6.7425000000000004E-4</v>
      </c>
      <c r="AP391" s="17">
        <v>0</v>
      </c>
      <c r="AQ391" s="17">
        <v>0</v>
      </c>
      <c r="AR391" s="17">
        <v>0</v>
      </c>
      <c r="AS391" s="17">
        <v>0</v>
      </c>
      <c r="AT391" s="17">
        <v>0</v>
      </c>
      <c r="AU391" s="17">
        <v>0</v>
      </c>
      <c r="AV391" s="17">
        <v>0</v>
      </c>
      <c r="AW391" s="17">
        <v>0</v>
      </c>
    </row>
    <row r="392" spans="1:49" ht="17" customHeight="1">
      <c r="A392" s="11" t="s">
        <v>3423</v>
      </c>
      <c r="B392" s="11" t="s">
        <v>3423</v>
      </c>
      <c r="C392" s="18" t="s">
        <v>2867</v>
      </c>
      <c r="D392" s="18" t="s">
        <v>2916</v>
      </c>
      <c r="E392" s="18" t="s">
        <v>2917</v>
      </c>
      <c r="F392" s="18" t="s">
        <v>2918</v>
      </c>
      <c r="G392" s="14"/>
      <c r="H392" s="18" t="s">
        <v>2919</v>
      </c>
      <c r="I392" s="14"/>
      <c r="J392" s="14"/>
      <c r="K392" s="18"/>
      <c r="L392" s="18">
        <v>35</v>
      </c>
      <c r="M392" s="18">
        <v>150</v>
      </c>
      <c r="N392" s="18">
        <v>16</v>
      </c>
      <c r="O392" s="18"/>
      <c r="P392" s="18" t="s">
        <v>2920</v>
      </c>
      <c r="Q392" s="18" t="s">
        <v>2920</v>
      </c>
      <c r="R392" s="18" t="s">
        <v>2920</v>
      </c>
      <c r="S392" s="18"/>
      <c r="T392" s="18" t="s">
        <v>2920</v>
      </c>
      <c r="U392" s="18" t="s">
        <v>2920</v>
      </c>
      <c r="V392" s="20">
        <v>5.6800000000000003E-2</v>
      </c>
      <c r="W392" s="18" t="s">
        <v>2873</v>
      </c>
      <c r="X392" s="14"/>
      <c r="Y392" s="14"/>
      <c r="Z392" s="14"/>
      <c r="AA392" s="14"/>
      <c r="AB392" s="14"/>
      <c r="AC392" s="14"/>
      <c r="AD392" s="14"/>
      <c r="AE392" s="14"/>
      <c r="AF392" s="14"/>
      <c r="AG392" s="14"/>
      <c r="AH392" s="18" t="s">
        <v>3290</v>
      </c>
      <c r="AI392" s="14"/>
      <c r="AJ392" s="21">
        <v>0.18992999999999999</v>
      </c>
      <c r="AK392" s="18">
        <v>1</v>
      </c>
      <c r="AL392" s="18">
        <v>-16</v>
      </c>
      <c r="AM392" s="18">
        <v>16</v>
      </c>
      <c r="AN392" s="17">
        <v>0</v>
      </c>
      <c r="AO392" s="17">
        <v>6.7425000000000004E-4</v>
      </c>
      <c r="AP392" s="17">
        <v>0</v>
      </c>
      <c r="AQ392" s="17">
        <v>0</v>
      </c>
      <c r="AR392" s="17">
        <v>0</v>
      </c>
      <c r="AS392" s="17">
        <v>0</v>
      </c>
      <c r="AT392" s="17">
        <v>0</v>
      </c>
      <c r="AU392" s="17">
        <v>0</v>
      </c>
      <c r="AV392" s="17">
        <v>0</v>
      </c>
      <c r="AW392" s="17">
        <v>0</v>
      </c>
    </row>
    <row r="393" spans="1:49" ht="17" customHeight="1">
      <c r="A393" s="11" t="s">
        <v>3424</v>
      </c>
      <c r="B393" s="11" t="s">
        <v>3424</v>
      </c>
      <c r="C393" s="18" t="s">
        <v>2867</v>
      </c>
      <c r="D393" s="18" t="s">
        <v>2916</v>
      </c>
      <c r="E393" s="18" t="s">
        <v>2917</v>
      </c>
      <c r="F393" s="18" t="s">
        <v>2918</v>
      </c>
      <c r="G393" s="14"/>
      <c r="H393" s="18" t="s">
        <v>2948</v>
      </c>
      <c r="I393" s="14"/>
      <c r="J393" s="14"/>
      <c r="K393" s="18"/>
      <c r="L393" s="18">
        <v>39</v>
      </c>
      <c r="M393" s="18">
        <v>80</v>
      </c>
      <c r="N393" s="18">
        <v>10</v>
      </c>
      <c r="O393" s="18"/>
      <c r="P393" s="18">
        <v>756</v>
      </c>
      <c r="Q393" s="18">
        <v>36</v>
      </c>
      <c r="R393" s="18" t="s">
        <v>2936</v>
      </c>
      <c r="S393" s="18"/>
      <c r="T393" s="18">
        <v>2.5859999999999999</v>
      </c>
      <c r="U393" s="18">
        <v>126</v>
      </c>
      <c r="V393" s="20">
        <v>2.2825000000000002E-2</v>
      </c>
      <c r="W393" s="18" t="s">
        <v>2873</v>
      </c>
      <c r="X393" s="14"/>
      <c r="Y393" s="14"/>
      <c r="Z393" s="14"/>
      <c r="AA393" s="14"/>
      <c r="AB393" s="14"/>
      <c r="AC393" s="14"/>
      <c r="AD393" s="14"/>
      <c r="AE393" s="14"/>
      <c r="AF393" s="14"/>
      <c r="AG393" s="14"/>
      <c r="AH393" s="18" t="s">
        <v>3413</v>
      </c>
      <c r="AI393" s="14"/>
      <c r="AJ393" s="21">
        <v>0.1204063936938909</v>
      </c>
      <c r="AK393" s="18">
        <v>1</v>
      </c>
      <c r="AL393" s="18">
        <v>-10</v>
      </c>
      <c r="AM393" s="18">
        <v>10</v>
      </c>
      <c r="AN393" s="17">
        <v>0</v>
      </c>
      <c r="AO393" s="17">
        <v>2.7483E-4</v>
      </c>
      <c r="AP393" s="17">
        <v>0</v>
      </c>
      <c r="AQ393" s="17">
        <v>0</v>
      </c>
      <c r="AR393" s="17">
        <v>0</v>
      </c>
      <c r="AS393" s="17">
        <v>0</v>
      </c>
      <c r="AT393" s="17">
        <v>0</v>
      </c>
      <c r="AU393" s="17">
        <v>0</v>
      </c>
      <c r="AV393" s="17">
        <v>0</v>
      </c>
      <c r="AW393" s="17">
        <v>0</v>
      </c>
    </row>
    <row r="394" spans="1:49" ht="17" customHeight="1">
      <c r="A394" s="11" t="s">
        <v>3425</v>
      </c>
      <c r="B394" s="11" t="s">
        <v>3425</v>
      </c>
      <c r="C394" s="18" t="s">
        <v>2867</v>
      </c>
      <c r="D394" s="18" t="s">
        <v>2916</v>
      </c>
      <c r="E394" s="18" t="s">
        <v>2917</v>
      </c>
      <c r="F394" s="18" t="s">
        <v>2918</v>
      </c>
      <c r="G394" s="14"/>
      <c r="H394" s="18" t="s">
        <v>2948</v>
      </c>
      <c r="I394" s="14"/>
      <c r="J394" s="14"/>
      <c r="K394" s="18"/>
      <c r="L394" s="18">
        <v>39</v>
      </c>
      <c r="M394" s="18">
        <v>80</v>
      </c>
      <c r="N394" s="18">
        <v>10</v>
      </c>
      <c r="O394" s="18"/>
      <c r="P394" s="18">
        <v>756</v>
      </c>
      <c r="Q394" s="18">
        <v>36</v>
      </c>
      <c r="R394" s="18" t="s">
        <v>2936</v>
      </c>
      <c r="S394" s="18"/>
      <c r="T394" s="18">
        <v>2.5859999999999999</v>
      </c>
      <c r="U394" s="18">
        <v>126</v>
      </c>
      <c r="V394" s="20">
        <v>2.2825000000000002E-2</v>
      </c>
      <c r="W394" s="18" t="s">
        <v>2873</v>
      </c>
      <c r="X394" s="14"/>
      <c r="Y394" s="14"/>
      <c r="Z394" s="14"/>
      <c r="AA394" s="14"/>
      <c r="AB394" s="14"/>
      <c r="AC394" s="14"/>
      <c r="AD394" s="14"/>
      <c r="AE394" s="14"/>
      <c r="AF394" s="14"/>
      <c r="AG394" s="14"/>
      <c r="AH394" s="18" t="s">
        <v>3413</v>
      </c>
      <c r="AI394" s="14"/>
      <c r="AJ394" s="21">
        <v>0.1204063936938909</v>
      </c>
      <c r="AK394" s="18">
        <v>1</v>
      </c>
      <c r="AL394" s="18">
        <v>-10</v>
      </c>
      <c r="AM394" s="18">
        <v>10</v>
      </c>
      <c r="AN394" s="17">
        <v>0</v>
      </c>
      <c r="AO394" s="17">
        <v>2.7483E-4</v>
      </c>
      <c r="AP394" s="17">
        <v>0</v>
      </c>
      <c r="AQ394" s="17">
        <v>0</v>
      </c>
      <c r="AR394" s="17">
        <v>0</v>
      </c>
      <c r="AS394" s="17">
        <v>0</v>
      </c>
      <c r="AT394" s="17">
        <v>0</v>
      </c>
      <c r="AU394" s="17">
        <v>0</v>
      </c>
      <c r="AV394" s="17">
        <v>0</v>
      </c>
      <c r="AW394" s="17">
        <v>0</v>
      </c>
    </row>
    <row r="395" spans="1:49" ht="17" customHeight="1">
      <c r="A395" s="11" t="s">
        <v>3426</v>
      </c>
      <c r="B395" s="11" t="s">
        <v>3426</v>
      </c>
      <c r="C395" s="18" t="s">
        <v>2867</v>
      </c>
      <c r="D395" s="18" t="s">
        <v>2916</v>
      </c>
      <c r="E395" s="18" t="s">
        <v>2917</v>
      </c>
      <c r="F395" s="18" t="s">
        <v>2918</v>
      </c>
      <c r="G395" s="14"/>
      <c r="H395" s="18" t="s">
        <v>2919</v>
      </c>
      <c r="I395" s="14"/>
      <c r="J395" s="14"/>
      <c r="K395" s="18"/>
      <c r="L395" s="18">
        <v>35</v>
      </c>
      <c r="M395" s="18">
        <v>150</v>
      </c>
      <c r="N395" s="18">
        <v>20</v>
      </c>
      <c r="O395" s="18"/>
      <c r="P395" s="18">
        <v>5</v>
      </c>
      <c r="Q395" s="18">
        <v>108</v>
      </c>
      <c r="R395" s="18" t="s">
        <v>3020</v>
      </c>
      <c r="S395" s="18"/>
      <c r="T395" s="18" t="s">
        <v>2920</v>
      </c>
      <c r="U395" s="18">
        <v>0.25</v>
      </c>
      <c r="V395" s="20">
        <v>8.8999999999999996E-2</v>
      </c>
      <c r="W395" s="18" t="s">
        <v>2873</v>
      </c>
      <c r="X395" s="14"/>
      <c r="Y395" s="14"/>
      <c r="Z395" s="14"/>
      <c r="AA395" s="14"/>
      <c r="AB395" s="14"/>
      <c r="AC395" s="14"/>
      <c r="AD395" s="14"/>
      <c r="AE395" s="14"/>
      <c r="AF395" s="14"/>
      <c r="AG395" s="14"/>
      <c r="AH395" s="18" t="s">
        <v>3283</v>
      </c>
      <c r="AI395" s="14"/>
      <c r="AJ395" s="21">
        <v>0.18626200000000001</v>
      </c>
      <c r="AK395" s="18">
        <v>1</v>
      </c>
      <c r="AL395" s="18">
        <v>-20</v>
      </c>
      <c r="AM395" s="18">
        <v>20</v>
      </c>
      <c r="AN395" s="17">
        <v>0</v>
      </c>
      <c r="AO395" s="17">
        <v>8.2887E-4</v>
      </c>
      <c r="AP395" s="17">
        <v>0</v>
      </c>
      <c r="AQ395" s="17">
        <v>0</v>
      </c>
      <c r="AR395" s="17">
        <v>0</v>
      </c>
      <c r="AS395" s="17">
        <v>0</v>
      </c>
      <c r="AT395" s="17">
        <v>0</v>
      </c>
      <c r="AU395" s="17">
        <v>0</v>
      </c>
      <c r="AV395" s="17">
        <v>0</v>
      </c>
      <c r="AW395" s="17">
        <v>0</v>
      </c>
    </row>
    <row r="396" spans="1:49" ht="17" customHeight="1">
      <c r="A396" s="11" t="s">
        <v>3427</v>
      </c>
      <c r="B396" s="11" t="s">
        <v>3427</v>
      </c>
      <c r="C396" s="18" t="s">
        <v>2867</v>
      </c>
      <c r="D396" s="18" t="s">
        <v>2916</v>
      </c>
      <c r="E396" s="18" t="s">
        <v>2917</v>
      </c>
      <c r="F396" s="18" t="s">
        <v>2918</v>
      </c>
      <c r="G396" s="14"/>
      <c r="H396" s="18" t="s">
        <v>2919</v>
      </c>
      <c r="I396" s="14"/>
      <c r="J396" s="14"/>
      <c r="K396" s="14"/>
      <c r="L396" s="18">
        <v>35</v>
      </c>
      <c r="M396" s="18">
        <v>150</v>
      </c>
      <c r="N396" s="18">
        <v>20</v>
      </c>
      <c r="O396" s="14"/>
      <c r="P396" s="18">
        <v>5</v>
      </c>
      <c r="Q396" s="18">
        <v>108</v>
      </c>
      <c r="R396" s="18" t="s">
        <v>3020</v>
      </c>
      <c r="S396" s="18"/>
      <c r="T396" s="18" t="s">
        <v>2920</v>
      </c>
      <c r="U396" s="18">
        <v>0.25</v>
      </c>
      <c r="V396" s="20">
        <v>8.8999999999999996E-2</v>
      </c>
      <c r="W396" s="18" t="s">
        <v>2873</v>
      </c>
      <c r="X396" s="14"/>
      <c r="Y396" s="14"/>
      <c r="Z396" s="14"/>
      <c r="AA396" s="14"/>
      <c r="AB396" s="14"/>
      <c r="AC396" s="14"/>
      <c r="AD396" s="14"/>
      <c r="AE396" s="14"/>
      <c r="AF396" s="14"/>
      <c r="AG396" s="14"/>
      <c r="AH396" s="18" t="s">
        <v>3283</v>
      </c>
      <c r="AI396" s="14"/>
      <c r="AJ396" s="21">
        <v>0.18626200000000001</v>
      </c>
      <c r="AK396" s="18">
        <v>1</v>
      </c>
      <c r="AL396" s="18">
        <v>-20</v>
      </c>
      <c r="AM396" s="18">
        <v>20</v>
      </c>
      <c r="AN396" s="17">
        <v>0</v>
      </c>
      <c r="AO396" s="17">
        <v>8.2887E-4</v>
      </c>
      <c r="AP396" s="19">
        <v>0</v>
      </c>
      <c r="AQ396" s="19">
        <v>0</v>
      </c>
      <c r="AR396" s="19">
        <v>0</v>
      </c>
      <c r="AS396" s="19">
        <v>0</v>
      </c>
      <c r="AT396" s="19">
        <v>0</v>
      </c>
      <c r="AU396" s="19">
        <v>0</v>
      </c>
      <c r="AV396" s="19">
        <v>0</v>
      </c>
      <c r="AW396" s="19">
        <v>0</v>
      </c>
    </row>
    <row r="397" spans="1:49" ht="17" customHeight="1">
      <c r="A397" s="11" t="s">
        <v>3428</v>
      </c>
      <c r="B397" s="11" t="s">
        <v>3428</v>
      </c>
      <c r="C397" s="18" t="s">
        <v>2867</v>
      </c>
      <c r="D397" s="18" t="s">
        <v>2916</v>
      </c>
      <c r="E397" s="18" t="s">
        <v>3300</v>
      </c>
      <c r="F397" s="18" t="s">
        <v>2918</v>
      </c>
      <c r="G397" s="14"/>
      <c r="H397" s="18" t="s">
        <v>3301</v>
      </c>
      <c r="I397" s="14"/>
      <c r="J397" s="14"/>
      <c r="K397" s="14" t="s">
        <v>3429</v>
      </c>
      <c r="L397" s="18">
        <v>120</v>
      </c>
      <c r="M397" s="18">
        <v>300</v>
      </c>
      <c r="N397" s="18">
        <v>80</v>
      </c>
      <c r="O397" s="14">
        <v>552</v>
      </c>
      <c r="P397" s="18">
        <v>36.357600000000012</v>
      </c>
      <c r="Q397" s="18">
        <v>156</v>
      </c>
      <c r="R397" s="18" t="s">
        <v>3303</v>
      </c>
      <c r="S397" s="18"/>
      <c r="T397" s="18">
        <v>286.10000000000002</v>
      </c>
      <c r="U397" s="18">
        <v>454.47</v>
      </c>
      <c r="V397" s="20">
        <v>9.305865338515332</v>
      </c>
      <c r="W397" s="18" t="s">
        <v>2954</v>
      </c>
      <c r="X397" s="14"/>
      <c r="Y397" s="14"/>
      <c r="Z397" s="14"/>
      <c r="AA397" s="14"/>
      <c r="AB397" s="14"/>
      <c r="AC397" s="14"/>
      <c r="AD397" s="14"/>
      <c r="AE397" s="14"/>
      <c r="AF397" s="14"/>
      <c r="AG397" s="14"/>
      <c r="AH397" s="18" t="s">
        <v>3428</v>
      </c>
      <c r="AI397" s="14"/>
      <c r="AJ397" s="21">
        <v>0.32714527067797677</v>
      </c>
      <c r="AK397" s="18">
        <v>1</v>
      </c>
      <c r="AL397" s="18">
        <v>0</v>
      </c>
      <c r="AM397" s="18">
        <v>80</v>
      </c>
      <c r="AN397" s="17">
        <v>5.0409939400000003E-3</v>
      </c>
      <c r="AO397" s="17">
        <v>4.0669302400000003E-2</v>
      </c>
      <c r="AP397" s="19">
        <v>-1.6967338000000001E-4</v>
      </c>
      <c r="AQ397" s="19">
        <v>1.42423826E-5</v>
      </c>
      <c r="AR397" s="19">
        <v>-5.5634675100000005E-7</v>
      </c>
      <c r="AS397" s="19">
        <v>1.0969690800000001E-8</v>
      </c>
      <c r="AT397" s="19">
        <v>-1.0552833600000001E-10</v>
      </c>
      <c r="AU397" s="19">
        <v>3.8390319100000002E-13</v>
      </c>
      <c r="AV397" s="19">
        <v>0</v>
      </c>
      <c r="AW397" s="19">
        <v>0</v>
      </c>
    </row>
    <row r="398" spans="1:49" ht="17" customHeight="1">
      <c r="A398" s="11" t="s">
        <v>3430</v>
      </c>
      <c r="B398" s="11" t="s">
        <v>3430</v>
      </c>
      <c r="C398" s="18" t="s">
        <v>2867</v>
      </c>
      <c r="D398" s="18" t="s">
        <v>2916</v>
      </c>
      <c r="E398" s="18" t="s">
        <v>3300</v>
      </c>
      <c r="F398" s="18" t="s">
        <v>2918</v>
      </c>
      <c r="G398" s="14"/>
      <c r="H398" s="18" t="s">
        <v>3301</v>
      </c>
      <c r="I398" s="14"/>
      <c r="J398" s="14"/>
      <c r="K398" s="14" t="s">
        <v>3431</v>
      </c>
      <c r="L398" s="18">
        <v>120</v>
      </c>
      <c r="M398" s="18">
        <v>300</v>
      </c>
      <c r="N398" s="18">
        <v>80</v>
      </c>
      <c r="O398" s="14">
        <v>552</v>
      </c>
      <c r="P398" s="18">
        <v>36.869599999999998</v>
      </c>
      <c r="Q398" s="18">
        <v>156</v>
      </c>
      <c r="R398" s="18" t="s">
        <v>3303</v>
      </c>
      <c r="S398" s="18"/>
      <c r="T398" s="18">
        <v>286.39999999999998</v>
      </c>
      <c r="U398" s="18">
        <v>460.87</v>
      </c>
      <c r="V398" s="20">
        <v>9.2775540532333061</v>
      </c>
      <c r="W398" s="18" t="s">
        <v>2954</v>
      </c>
      <c r="X398" s="14"/>
      <c r="Y398" s="14"/>
      <c r="Z398" s="14"/>
      <c r="AA398" s="14"/>
      <c r="AB398" s="14"/>
      <c r="AC398" s="14"/>
      <c r="AD398" s="14"/>
      <c r="AE398" s="14"/>
      <c r="AF398" s="14"/>
      <c r="AG398" s="14"/>
      <c r="AH398" s="18" t="s">
        <v>3430</v>
      </c>
      <c r="AI398" s="14"/>
      <c r="AJ398" s="21">
        <v>0.32714527067797677</v>
      </c>
      <c r="AK398" s="18">
        <v>1</v>
      </c>
      <c r="AL398" s="18">
        <v>0</v>
      </c>
      <c r="AM398" s="18">
        <v>80</v>
      </c>
      <c r="AN398" s="17">
        <v>5.0341820599999997E-3</v>
      </c>
      <c r="AO398" s="17">
        <v>4.0819468900000003E-2</v>
      </c>
      <c r="AP398" s="19">
        <v>-1.8014587700000001E-4</v>
      </c>
      <c r="AQ398" s="19">
        <v>1.50884602E-5</v>
      </c>
      <c r="AR398" s="19">
        <v>-5.9241827500000005E-7</v>
      </c>
      <c r="AS398" s="19">
        <v>1.1733770800000001E-8</v>
      </c>
      <c r="AT398" s="19">
        <v>-1.13163665E-10</v>
      </c>
      <c r="AU398" s="19">
        <v>4.1265567000000002E-13</v>
      </c>
      <c r="AV398" s="19">
        <v>0</v>
      </c>
      <c r="AW398" s="19">
        <v>0</v>
      </c>
    </row>
    <row r="399" spans="1:49" ht="17" customHeight="1">
      <c r="A399" s="11" t="s">
        <v>3432</v>
      </c>
      <c r="B399" s="11" t="s">
        <v>3432</v>
      </c>
      <c r="C399" s="18" t="s">
        <v>2867</v>
      </c>
      <c r="D399" s="18" t="s">
        <v>2916</v>
      </c>
      <c r="E399" s="18" t="s">
        <v>3300</v>
      </c>
      <c r="F399" s="18" t="s">
        <v>2918</v>
      </c>
      <c r="G399" s="14"/>
      <c r="H399" s="18" t="s">
        <v>3301</v>
      </c>
      <c r="I399" s="14"/>
      <c r="J399" s="14"/>
      <c r="K399" s="14" t="s">
        <v>3433</v>
      </c>
      <c r="L399" s="18">
        <v>120</v>
      </c>
      <c r="M399" s="18">
        <v>300</v>
      </c>
      <c r="N399" s="18">
        <v>80</v>
      </c>
      <c r="O399" s="14">
        <v>552</v>
      </c>
      <c r="P399" s="18">
        <v>36.540799999999997</v>
      </c>
      <c r="Q399" s="18">
        <v>156</v>
      </c>
      <c r="R399" s="18" t="s">
        <v>3303</v>
      </c>
      <c r="S399" s="18"/>
      <c r="T399" s="18">
        <v>285.3</v>
      </c>
      <c r="U399" s="18">
        <v>456.76</v>
      </c>
      <c r="V399" s="20">
        <v>9.3124239181198281</v>
      </c>
      <c r="W399" s="18" t="s">
        <v>2954</v>
      </c>
      <c r="X399" s="14"/>
      <c r="Y399" s="14"/>
      <c r="Z399" s="14"/>
      <c r="AA399" s="14"/>
      <c r="AB399" s="14"/>
      <c r="AC399" s="14"/>
      <c r="AD399" s="14"/>
      <c r="AE399" s="14"/>
      <c r="AF399" s="14"/>
      <c r="AG399" s="14"/>
      <c r="AH399" s="18" t="s">
        <v>3432</v>
      </c>
      <c r="AI399" s="14"/>
      <c r="AJ399" s="21">
        <v>0.32714527067797677</v>
      </c>
      <c r="AK399" s="18">
        <v>1</v>
      </c>
      <c r="AL399" s="18">
        <v>0</v>
      </c>
      <c r="AM399" s="18">
        <v>80</v>
      </c>
      <c r="AN399" s="17">
        <v>5.0726131600000003E-3</v>
      </c>
      <c r="AO399" s="17">
        <v>4.0540679400000001E-2</v>
      </c>
      <c r="AP399" s="19">
        <v>-1.5782999499999999E-4</v>
      </c>
      <c r="AQ399" s="19">
        <v>1.3785017200000001E-5</v>
      </c>
      <c r="AR399" s="19">
        <v>-5.5333943899999998E-7</v>
      </c>
      <c r="AS399" s="19">
        <v>1.11155438E-8</v>
      </c>
      <c r="AT399" s="19">
        <v>-1.0823836E-10</v>
      </c>
      <c r="AU399" s="19">
        <v>3.9697543200000001E-13</v>
      </c>
      <c r="AV399" s="19">
        <v>0</v>
      </c>
      <c r="AW399" s="19">
        <v>0</v>
      </c>
    </row>
    <row r="400" spans="1:49" ht="17" customHeight="1">
      <c r="A400" s="11" t="s">
        <v>3434</v>
      </c>
      <c r="B400" s="11" t="s">
        <v>3434</v>
      </c>
      <c r="C400" s="18" t="s">
        <v>2867</v>
      </c>
      <c r="D400" s="18" t="s">
        <v>2916</v>
      </c>
      <c r="E400" s="18" t="s">
        <v>3300</v>
      </c>
      <c r="F400" s="18" t="s">
        <v>2918</v>
      </c>
      <c r="G400" s="14"/>
      <c r="H400" s="18" t="s">
        <v>3301</v>
      </c>
      <c r="I400" s="14"/>
      <c r="J400" s="14"/>
      <c r="K400" s="14" t="s">
        <v>3435</v>
      </c>
      <c r="L400" s="18">
        <v>44</v>
      </c>
      <c r="M400" s="18">
        <v>160</v>
      </c>
      <c r="N400" s="18">
        <v>80</v>
      </c>
      <c r="O400" s="14">
        <v>432</v>
      </c>
      <c r="P400" s="18">
        <v>6.8360000000000003</v>
      </c>
      <c r="Q400" s="18">
        <v>47</v>
      </c>
      <c r="R400" s="18" t="s">
        <v>3303</v>
      </c>
      <c r="S400" s="18"/>
      <c r="T400" s="18">
        <v>30.2</v>
      </c>
      <c r="U400" s="18">
        <v>85.45</v>
      </c>
      <c r="V400" s="20">
        <v>20.975044709206021</v>
      </c>
      <c r="W400" s="18" t="s">
        <v>2954</v>
      </c>
      <c r="X400" s="14"/>
      <c r="Y400" s="14"/>
      <c r="Z400" s="14"/>
      <c r="AA400" s="14"/>
      <c r="AB400" s="14"/>
      <c r="AC400" s="14"/>
      <c r="AD400" s="14"/>
      <c r="AE400" s="14"/>
      <c r="AF400" s="14"/>
      <c r="AG400" s="14"/>
      <c r="AH400" s="18" t="s">
        <v>3434</v>
      </c>
      <c r="AI400" s="14"/>
      <c r="AJ400" s="21">
        <v>0.17374887133613809</v>
      </c>
      <c r="AK400" s="18">
        <v>1</v>
      </c>
      <c r="AL400" s="18">
        <v>0</v>
      </c>
      <c r="AM400" s="18">
        <v>80</v>
      </c>
      <c r="AN400" s="17">
        <v>2.04638623E-2</v>
      </c>
      <c r="AO400" s="17">
        <v>4.5825831400000003E-2</v>
      </c>
      <c r="AP400" s="19">
        <v>5.2016882699999999E-5</v>
      </c>
      <c r="AQ400" s="19">
        <v>-4.5874124100000002E-6</v>
      </c>
      <c r="AR400" s="19">
        <v>1.9096913099999999E-7</v>
      </c>
      <c r="AS400" s="19">
        <v>-4.1333824599999998E-9</v>
      </c>
      <c r="AT400" s="19">
        <v>4.4450568999999998E-11</v>
      </c>
      <c r="AU400" s="19">
        <v>-1.8964031499999999E-13</v>
      </c>
      <c r="AV400" s="19">
        <v>0</v>
      </c>
      <c r="AW400" s="19">
        <v>0</v>
      </c>
    </row>
    <row r="401" spans="1:49" ht="17" customHeight="1">
      <c r="A401" s="11" t="s">
        <v>3436</v>
      </c>
      <c r="B401" s="11" t="s">
        <v>3436</v>
      </c>
      <c r="C401" s="18" t="s">
        <v>2867</v>
      </c>
      <c r="D401" s="18" t="s">
        <v>2916</v>
      </c>
      <c r="E401" s="18" t="s">
        <v>3300</v>
      </c>
      <c r="F401" s="18" t="s">
        <v>2918</v>
      </c>
      <c r="G401" s="14"/>
      <c r="H401" s="18" t="s">
        <v>3301</v>
      </c>
      <c r="I401" s="14"/>
      <c r="J401" s="14"/>
      <c r="K401" s="14" t="s">
        <v>3437</v>
      </c>
      <c r="L401" s="18">
        <v>120</v>
      </c>
      <c r="M401" s="18">
        <v>300</v>
      </c>
      <c r="N401" s="18">
        <v>80</v>
      </c>
      <c r="O401" s="14">
        <v>552</v>
      </c>
      <c r="P401" s="18">
        <v>36.328000000000003</v>
      </c>
      <c r="Q401" s="18">
        <v>156</v>
      </c>
      <c r="R401" s="18" t="s">
        <v>3303</v>
      </c>
      <c r="S401" s="18"/>
      <c r="T401" s="18">
        <v>286.8</v>
      </c>
      <c r="U401" s="18">
        <v>454.1</v>
      </c>
      <c r="V401" s="20">
        <v>9.3269451241658672</v>
      </c>
      <c r="W401" s="18" t="s">
        <v>2954</v>
      </c>
      <c r="X401" s="14"/>
      <c r="Y401" s="14"/>
      <c r="Z401" s="14"/>
      <c r="AA401" s="14"/>
      <c r="AB401" s="14"/>
      <c r="AC401" s="14"/>
      <c r="AD401" s="14"/>
      <c r="AE401" s="14"/>
      <c r="AF401" s="14"/>
      <c r="AG401" s="14"/>
      <c r="AH401" s="18" t="s">
        <v>3436</v>
      </c>
      <c r="AI401" s="14"/>
      <c r="AJ401" s="21">
        <v>0.32714527067797677</v>
      </c>
      <c r="AK401" s="18">
        <v>1</v>
      </c>
      <c r="AL401" s="18">
        <v>0</v>
      </c>
      <c r="AM401" s="18">
        <v>80</v>
      </c>
      <c r="AN401" s="17">
        <v>4.9901760499999996E-3</v>
      </c>
      <c r="AO401" s="17">
        <v>4.05893674E-2</v>
      </c>
      <c r="AP401" s="19">
        <v>-1.61585728E-4</v>
      </c>
      <c r="AQ401" s="19">
        <v>1.33046723E-5</v>
      </c>
      <c r="AR401" s="19">
        <v>-5.16363969E-7</v>
      </c>
      <c r="AS401" s="19">
        <v>1.01577337E-8</v>
      </c>
      <c r="AT401" s="19">
        <v>-9.75512952E-11</v>
      </c>
      <c r="AU401" s="19">
        <v>3.5344161099999998E-13</v>
      </c>
      <c r="AV401" s="19">
        <v>0</v>
      </c>
      <c r="AW401" s="19">
        <v>0</v>
      </c>
    </row>
    <row r="402" spans="1:49" ht="17" customHeight="1">
      <c r="A402" s="11" t="s">
        <v>3438</v>
      </c>
      <c r="B402" s="11" t="s">
        <v>3438</v>
      </c>
      <c r="C402" s="18" t="s">
        <v>2867</v>
      </c>
      <c r="D402" s="18" t="s">
        <v>2916</v>
      </c>
      <c r="E402" s="18" t="s">
        <v>3300</v>
      </c>
      <c r="F402" s="18" t="s">
        <v>2918</v>
      </c>
      <c r="G402" s="14"/>
      <c r="H402" s="18" t="s">
        <v>3301</v>
      </c>
      <c r="I402" s="14"/>
      <c r="J402" s="14"/>
      <c r="K402" s="14" t="s">
        <v>3439</v>
      </c>
      <c r="L402" s="18">
        <v>120</v>
      </c>
      <c r="M402" s="18">
        <v>300</v>
      </c>
      <c r="N402" s="18">
        <v>80</v>
      </c>
      <c r="O402" s="14">
        <v>552</v>
      </c>
      <c r="P402" s="18">
        <v>36.285600000000002</v>
      </c>
      <c r="Q402" s="18">
        <v>156</v>
      </c>
      <c r="R402" s="18" t="s">
        <v>3303</v>
      </c>
      <c r="S402" s="18"/>
      <c r="T402" s="18">
        <v>286.39999999999998</v>
      </c>
      <c r="U402" s="18">
        <v>453.57</v>
      </c>
      <c r="V402" s="20">
        <v>9.3167875211174085</v>
      </c>
      <c r="W402" s="18" t="s">
        <v>2954</v>
      </c>
      <c r="X402" s="14"/>
      <c r="Y402" s="14"/>
      <c r="Z402" s="14"/>
      <c r="AA402" s="14"/>
      <c r="AB402" s="14"/>
      <c r="AC402" s="14"/>
      <c r="AD402" s="14"/>
      <c r="AE402" s="14"/>
      <c r="AF402" s="14"/>
      <c r="AG402" s="14"/>
      <c r="AH402" s="18" t="s">
        <v>3438</v>
      </c>
      <c r="AI402" s="14"/>
      <c r="AJ402" s="21">
        <v>0.32714527067797677</v>
      </c>
      <c r="AK402" s="18">
        <v>1</v>
      </c>
      <c r="AL402" s="18">
        <v>0</v>
      </c>
      <c r="AM402" s="18">
        <v>80</v>
      </c>
      <c r="AN402" s="17">
        <v>5.1559677299999997E-3</v>
      </c>
      <c r="AO402" s="17">
        <v>4.0550060999999998E-2</v>
      </c>
      <c r="AP402" s="19">
        <v>-1.53491463E-4</v>
      </c>
      <c r="AQ402" s="19">
        <v>1.30909647E-5</v>
      </c>
      <c r="AR402" s="19">
        <v>-5.2222635599999995E-7</v>
      </c>
      <c r="AS402" s="19">
        <v>1.05240286E-8</v>
      </c>
      <c r="AT402" s="19">
        <v>-1.03276322E-10</v>
      </c>
      <c r="AU402" s="19">
        <v>3.8219027800000002E-13</v>
      </c>
      <c r="AV402" s="19">
        <v>0</v>
      </c>
      <c r="AW402" s="19">
        <v>0</v>
      </c>
    </row>
    <row r="403" spans="1:49" ht="17" customHeight="1">
      <c r="A403" s="11" t="s">
        <v>3440</v>
      </c>
      <c r="B403" s="11" t="s">
        <v>3440</v>
      </c>
      <c r="C403" s="18" t="s">
        <v>2867</v>
      </c>
      <c r="D403" s="18" t="s">
        <v>2916</v>
      </c>
      <c r="E403" s="18" t="s">
        <v>3300</v>
      </c>
      <c r="F403" s="18" t="s">
        <v>2918</v>
      </c>
      <c r="G403" s="14"/>
      <c r="H403" s="18" t="s">
        <v>3301</v>
      </c>
      <c r="I403" s="14"/>
      <c r="J403" s="14"/>
      <c r="K403" s="14" t="s">
        <v>3441</v>
      </c>
      <c r="L403" s="18">
        <v>120</v>
      </c>
      <c r="M403" s="18">
        <v>300</v>
      </c>
      <c r="N403" s="18">
        <v>80</v>
      </c>
      <c r="O403" s="14">
        <v>552</v>
      </c>
      <c r="P403" s="18">
        <v>36.203200000000002</v>
      </c>
      <c r="Q403" s="18">
        <v>156</v>
      </c>
      <c r="R403" s="18" t="s">
        <v>3303</v>
      </c>
      <c r="S403" s="18"/>
      <c r="T403" s="18">
        <v>287.39999999999998</v>
      </c>
      <c r="U403" s="18">
        <v>452.54</v>
      </c>
      <c r="V403" s="20">
        <v>9.3209835751566281</v>
      </c>
      <c r="W403" s="18" t="s">
        <v>2954</v>
      </c>
      <c r="X403" s="14"/>
      <c r="Y403" s="14"/>
      <c r="Z403" s="14"/>
      <c r="AA403" s="14"/>
      <c r="AB403" s="14"/>
      <c r="AC403" s="14"/>
      <c r="AD403" s="14"/>
      <c r="AE403" s="14"/>
      <c r="AF403" s="14"/>
      <c r="AG403" s="14"/>
      <c r="AH403" s="18" t="s">
        <v>3440</v>
      </c>
      <c r="AI403" s="14"/>
      <c r="AJ403" s="21">
        <v>0.32714527067797677</v>
      </c>
      <c r="AK403" s="18">
        <v>1</v>
      </c>
      <c r="AL403" s="18">
        <v>0</v>
      </c>
      <c r="AM403" s="18">
        <v>80</v>
      </c>
      <c r="AN403" s="17">
        <v>5.0276722200000004E-3</v>
      </c>
      <c r="AO403" s="17">
        <v>4.0289345400000003E-2</v>
      </c>
      <c r="AP403" s="19">
        <v>-1.14248788E-4</v>
      </c>
      <c r="AQ403" s="19">
        <v>9.9814631199999993E-6</v>
      </c>
      <c r="AR403" s="19">
        <v>-4.0250779300000001E-7</v>
      </c>
      <c r="AS403" s="19">
        <v>8.1044102200000007E-9</v>
      </c>
      <c r="AT403" s="19">
        <v>-7.88987959E-11</v>
      </c>
      <c r="AU403" s="19">
        <v>2.85972714E-13</v>
      </c>
      <c r="AV403" s="19">
        <v>0</v>
      </c>
      <c r="AW403" s="19">
        <v>0</v>
      </c>
    </row>
    <row r="404" spans="1:49" ht="17" customHeight="1">
      <c r="A404" s="11" t="s">
        <v>3442</v>
      </c>
      <c r="B404" s="11" t="s">
        <v>3442</v>
      </c>
      <c r="C404" s="18" t="s">
        <v>2867</v>
      </c>
      <c r="D404" s="18" t="s">
        <v>2916</v>
      </c>
      <c r="E404" s="18" t="s">
        <v>3300</v>
      </c>
      <c r="F404" s="18" t="s">
        <v>2918</v>
      </c>
      <c r="G404" s="14"/>
      <c r="H404" s="18" t="s">
        <v>3301</v>
      </c>
      <c r="I404" s="14"/>
      <c r="J404" s="14"/>
      <c r="K404" s="14" t="s">
        <v>3443</v>
      </c>
      <c r="L404" s="18">
        <v>44</v>
      </c>
      <c r="M404" s="18">
        <v>160</v>
      </c>
      <c r="N404" s="18">
        <v>80</v>
      </c>
      <c r="O404" s="14">
        <v>432</v>
      </c>
      <c r="P404" s="18">
        <v>6.8808000000000007</v>
      </c>
      <c r="Q404" s="18">
        <v>47</v>
      </c>
      <c r="R404" s="18" t="s">
        <v>3303</v>
      </c>
      <c r="S404" s="18"/>
      <c r="T404" s="18">
        <v>30.2</v>
      </c>
      <c r="U404" s="18">
        <v>86.01</v>
      </c>
      <c r="V404" s="20">
        <v>20.95810670443295</v>
      </c>
      <c r="W404" s="18" t="s">
        <v>2954</v>
      </c>
      <c r="X404" s="14"/>
      <c r="Y404" s="14"/>
      <c r="Z404" s="14"/>
      <c r="AA404" s="14"/>
      <c r="AB404" s="14"/>
      <c r="AC404" s="14"/>
      <c r="AD404" s="14"/>
      <c r="AE404" s="14"/>
      <c r="AF404" s="14"/>
      <c r="AG404" s="14"/>
      <c r="AH404" s="18" t="s">
        <v>3442</v>
      </c>
      <c r="AI404" s="14"/>
      <c r="AJ404" s="21">
        <v>0.17374887133613809</v>
      </c>
      <c r="AK404" s="18">
        <v>1</v>
      </c>
      <c r="AL404" s="18">
        <v>0</v>
      </c>
      <c r="AM404" s="18">
        <v>80</v>
      </c>
      <c r="AN404" s="17">
        <v>2.1082807499999998E-2</v>
      </c>
      <c r="AO404" s="17">
        <v>4.5670506200000002E-2</v>
      </c>
      <c r="AP404" s="19">
        <v>7.7167905300000005E-5</v>
      </c>
      <c r="AQ404" s="19">
        <v>-6.3715756700000002E-6</v>
      </c>
      <c r="AR404" s="19">
        <v>2.5250596600000001E-7</v>
      </c>
      <c r="AS404" s="19">
        <v>-5.2425147900000004E-9</v>
      </c>
      <c r="AT404" s="19">
        <v>5.4521888400000001E-11</v>
      </c>
      <c r="AU404" s="19">
        <v>-2.26100134E-13</v>
      </c>
      <c r="AV404" s="19">
        <v>0</v>
      </c>
      <c r="AW404" s="19">
        <v>0</v>
      </c>
    </row>
    <row r="405" spans="1:49" ht="17" customHeight="1">
      <c r="A405" s="11" t="s">
        <v>3444</v>
      </c>
      <c r="B405" s="11" t="s">
        <v>3444</v>
      </c>
      <c r="C405" s="18" t="s">
        <v>2867</v>
      </c>
      <c r="D405" s="18" t="s">
        <v>2916</v>
      </c>
      <c r="E405" s="18" t="s">
        <v>3300</v>
      </c>
      <c r="F405" s="18" t="s">
        <v>2918</v>
      </c>
      <c r="G405" s="14"/>
      <c r="H405" s="18" t="s">
        <v>3301</v>
      </c>
      <c r="I405" s="14"/>
      <c r="J405" s="14"/>
      <c r="K405" s="14" t="s">
        <v>3445</v>
      </c>
      <c r="L405" s="18">
        <v>44</v>
      </c>
      <c r="M405" s="18">
        <v>160</v>
      </c>
      <c r="N405" s="18">
        <v>80</v>
      </c>
      <c r="O405" s="14">
        <v>432</v>
      </c>
      <c r="P405" s="18">
        <v>6.8848000000000003</v>
      </c>
      <c r="Q405" s="18">
        <v>47</v>
      </c>
      <c r="R405" s="18" t="s">
        <v>3303</v>
      </c>
      <c r="S405" s="18"/>
      <c r="T405" s="18">
        <v>30.4</v>
      </c>
      <c r="U405" s="18">
        <v>86.06</v>
      </c>
      <c r="V405" s="20">
        <v>20.92357459655533</v>
      </c>
      <c r="W405" s="18" t="s">
        <v>2954</v>
      </c>
      <c r="X405" s="14"/>
      <c r="Y405" s="14"/>
      <c r="Z405" s="14"/>
      <c r="AA405" s="14"/>
      <c r="AB405" s="14"/>
      <c r="AC405" s="14"/>
      <c r="AD405" s="14"/>
      <c r="AE405" s="14"/>
      <c r="AF405" s="14"/>
      <c r="AG405" s="14"/>
      <c r="AH405" s="18" t="s">
        <v>3444</v>
      </c>
      <c r="AI405" s="14"/>
      <c r="AJ405" s="21">
        <v>0.17374887133613809</v>
      </c>
      <c r="AK405" s="18">
        <v>1</v>
      </c>
      <c r="AL405" s="18">
        <v>0</v>
      </c>
      <c r="AM405" s="18">
        <v>80</v>
      </c>
      <c r="AN405" s="17">
        <v>2.12536589E-2</v>
      </c>
      <c r="AO405" s="17">
        <v>4.5741372099999997E-2</v>
      </c>
      <c r="AP405" s="19">
        <v>6.3304791600000002E-5</v>
      </c>
      <c r="AQ405" s="19">
        <v>-5.4875913699999996E-6</v>
      </c>
      <c r="AR405" s="19">
        <v>2.25400885E-7</v>
      </c>
      <c r="AS405" s="19">
        <v>-4.8143542499999997E-9</v>
      </c>
      <c r="AT405" s="19">
        <v>5.11295873E-11</v>
      </c>
      <c r="AU405" s="19">
        <v>-2.1532687899999999E-13</v>
      </c>
      <c r="AV405" s="19">
        <v>0</v>
      </c>
      <c r="AW405" s="19">
        <v>0</v>
      </c>
    </row>
    <row r="406" spans="1:49" ht="17" customHeight="1">
      <c r="A406" s="11" t="s">
        <v>3446</v>
      </c>
      <c r="B406" s="11" t="s">
        <v>3446</v>
      </c>
      <c r="C406" s="18" t="s">
        <v>2867</v>
      </c>
      <c r="D406" s="18" t="s">
        <v>2916</v>
      </c>
      <c r="E406" s="18" t="s">
        <v>3300</v>
      </c>
      <c r="F406" s="18" t="s">
        <v>2918</v>
      </c>
      <c r="G406" s="14"/>
      <c r="H406" s="18" t="s">
        <v>3301</v>
      </c>
      <c r="I406" s="14"/>
      <c r="J406" s="14"/>
      <c r="K406" s="14" t="s">
        <v>3447</v>
      </c>
      <c r="L406" s="18">
        <v>120</v>
      </c>
      <c r="M406" s="18">
        <v>300</v>
      </c>
      <c r="N406" s="18">
        <v>80</v>
      </c>
      <c r="O406" s="14">
        <v>552</v>
      </c>
      <c r="P406" s="18">
        <v>36.409599999999998</v>
      </c>
      <c r="Q406" s="18">
        <v>156</v>
      </c>
      <c r="R406" s="18" t="s">
        <v>3303</v>
      </c>
      <c r="S406" s="18"/>
      <c r="T406" s="18">
        <v>286</v>
      </c>
      <c r="U406" s="18">
        <v>455.12</v>
      </c>
      <c r="V406" s="20">
        <v>9.3166835323766968</v>
      </c>
      <c r="W406" s="18" t="s">
        <v>2954</v>
      </c>
      <c r="X406" s="14"/>
      <c r="Y406" s="14"/>
      <c r="Z406" s="14"/>
      <c r="AA406" s="14"/>
      <c r="AB406" s="14"/>
      <c r="AC406" s="14"/>
      <c r="AD406" s="14"/>
      <c r="AE406" s="14"/>
      <c r="AF406" s="14"/>
      <c r="AG406" s="14"/>
      <c r="AH406" s="18" t="s">
        <v>3446</v>
      </c>
      <c r="AI406" s="14"/>
      <c r="AJ406" s="21">
        <v>0.32714527067797677</v>
      </c>
      <c r="AK406" s="18">
        <v>1</v>
      </c>
      <c r="AL406" s="18">
        <v>0</v>
      </c>
      <c r="AM406" s="18">
        <v>80</v>
      </c>
      <c r="AN406" s="17">
        <v>5.22615471E-3</v>
      </c>
      <c r="AO406" s="17">
        <v>4.0407499299999997E-2</v>
      </c>
      <c r="AP406" s="19">
        <v>-1.3076823099999999E-4</v>
      </c>
      <c r="AQ406" s="19">
        <v>1.1199554199999999E-5</v>
      </c>
      <c r="AR406" s="19">
        <v>-4.4927573800000001E-7</v>
      </c>
      <c r="AS406" s="19">
        <v>9.0490884200000002E-9</v>
      </c>
      <c r="AT406" s="19">
        <v>-8.8358178599999995E-11</v>
      </c>
      <c r="AU406" s="19">
        <v>3.23193435E-13</v>
      </c>
      <c r="AV406" s="19">
        <v>0</v>
      </c>
      <c r="AW406" s="19">
        <v>0</v>
      </c>
    </row>
    <row r="407" spans="1:49" ht="17" customHeight="1">
      <c r="A407" s="11" t="s">
        <v>3448</v>
      </c>
      <c r="B407" s="11" t="s">
        <v>3448</v>
      </c>
      <c r="C407" s="18" t="s">
        <v>2867</v>
      </c>
      <c r="D407" s="18" t="s">
        <v>2916</v>
      </c>
      <c r="E407" s="18" t="s">
        <v>3300</v>
      </c>
      <c r="F407" s="18" t="s">
        <v>2918</v>
      </c>
      <c r="G407" s="14"/>
      <c r="H407" s="18" t="s">
        <v>3301</v>
      </c>
      <c r="I407" s="14"/>
      <c r="J407" s="14"/>
      <c r="K407" s="14" t="s">
        <v>3449</v>
      </c>
      <c r="L407" s="18">
        <v>120</v>
      </c>
      <c r="M407" s="18">
        <v>300</v>
      </c>
      <c r="N407" s="18">
        <v>80</v>
      </c>
      <c r="O407" s="14">
        <v>552</v>
      </c>
      <c r="P407" s="18">
        <v>36.445599999999999</v>
      </c>
      <c r="Q407" s="18">
        <v>156</v>
      </c>
      <c r="R407" s="18" t="s">
        <v>3303</v>
      </c>
      <c r="S407" s="18"/>
      <c r="T407" s="18">
        <v>285.8</v>
      </c>
      <c r="U407" s="18">
        <v>455.57</v>
      </c>
      <c r="V407" s="20">
        <v>9.2992434876473364</v>
      </c>
      <c r="W407" s="18" t="s">
        <v>2954</v>
      </c>
      <c r="X407" s="14"/>
      <c r="Y407" s="14"/>
      <c r="Z407" s="14"/>
      <c r="AA407" s="14"/>
      <c r="AB407" s="14"/>
      <c r="AC407" s="14"/>
      <c r="AD407" s="14"/>
      <c r="AE407" s="14"/>
      <c r="AF407" s="14"/>
      <c r="AG407" s="14"/>
      <c r="AH407" s="18" t="s">
        <v>3448</v>
      </c>
      <c r="AI407" s="14"/>
      <c r="AJ407" s="21">
        <v>0.32714527067797677</v>
      </c>
      <c r="AK407" s="18">
        <v>1</v>
      </c>
      <c r="AL407" s="18">
        <v>0</v>
      </c>
      <c r="AM407" s="18">
        <v>80</v>
      </c>
      <c r="AN407" s="17">
        <v>5.2706380200000002E-3</v>
      </c>
      <c r="AO407" s="17">
        <v>4.05363392E-2</v>
      </c>
      <c r="AP407" s="19">
        <v>-1.4347083199999999E-4</v>
      </c>
      <c r="AQ407" s="19">
        <v>1.2181011400000001E-5</v>
      </c>
      <c r="AR407" s="19">
        <v>-4.8406960400000001E-7</v>
      </c>
      <c r="AS407" s="19">
        <v>9.66308995E-9</v>
      </c>
      <c r="AT407" s="19">
        <v>-9.3509882900000002E-11</v>
      </c>
      <c r="AU407" s="19">
        <v>3.3944459800000001E-13</v>
      </c>
      <c r="AV407" s="19">
        <v>0</v>
      </c>
      <c r="AW407" s="19">
        <v>0</v>
      </c>
    </row>
    <row r="408" spans="1:49" ht="17" customHeight="1">
      <c r="A408" s="11" t="s">
        <v>3450</v>
      </c>
      <c r="B408" s="11" t="s">
        <v>3450</v>
      </c>
      <c r="C408" s="18" t="s">
        <v>2867</v>
      </c>
      <c r="D408" s="18" t="s">
        <v>2916</v>
      </c>
      <c r="E408" s="18" t="s">
        <v>3300</v>
      </c>
      <c r="F408" s="18" t="s">
        <v>2918</v>
      </c>
      <c r="G408" s="14"/>
      <c r="H408" s="18" t="s">
        <v>3301</v>
      </c>
      <c r="I408" s="14"/>
      <c r="J408" s="14"/>
      <c r="K408" s="14" t="s">
        <v>3451</v>
      </c>
      <c r="L408" s="18">
        <v>120</v>
      </c>
      <c r="M408" s="18">
        <v>300</v>
      </c>
      <c r="N408" s="18">
        <v>80</v>
      </c>
      <c r="O408" s="14">
        <v>552</v>
      </c>
      <c r="P408" s="18">
        <v>36.570399999999999</v>
      </c>
      <c r="Q408" s="18">
        <v>156</v>
      </c>
      <c r="R408" s="18" t="s">
        <v>3303</v>
      </c>
      <c r="S408" s="18"/>
      <c r="T408" s="18">
        <v>286.5</v>
      </c>
      <c r="U408" s="18">
        <v>457.13</v>
      </c>
      <c r="V408" s="20">
        <v>9.3245647980514956</v>
      </c>
      <c r="W408" s="18" t="s">
        <v>2954</v>
      </c>
      <c r="X408" s="14"/>
      <c r="Y408" s="14"/>
      <c r="Z408" s="14"/>
      <c r="AA408" s="14"/>
      <c r="AB408" s="14"/>
      <c r="AC408" s="14"/>
      <c r="AD408" s="14"/>
      <c r="AE408" s="14"/>
      <c r="AF408" s="14"/>
      <c r="AG408" s="14"/>
      <c r="AH408" s="18" t="s">
        <v>3450</v>
      </c>
      <c r="AI408" s="14"/>
      <c r="AJ408" s="21">
        <v>0.32714527067797677</v>
      </c>
      <c r="AK408" s="18">
        <v>1</v>
      </c>
      <c r="AL408" s="18">
        <v>0</v>
      </c>
      <c r="AM408" s="18">
        <v>80</v>
      </c>
      <c r="AN408" s="17">
        <v>5.0021498400000001E-3</v>
      </c>
      <c r="AO408" s="17">
        <v>4.04589848E-2</v>
      </c>
      <c r="AP408" s="19">
        <v>-1.4328224699999999E-4</v>
      </c>
      <c r="AQ408" s="19">
        <v>1.28420587E-5</v>
      </c>
      <c r="AR408" s="19">
        <v>-5.2491476100000002E-7</v>
      </c>
      <c r="AS408" s="19">
        <v>1.06617357E-8</v>
      </c>
      <c r="AT408" s="19">
        <v>-1.04522763E-10</v>
      </c>
      <c r="AU408" s="19">
        <v>3.8479068499999999E-13</v>
      </c>
      <c r="AV408" s="19">
        <v>0</v>
      </c>
      <c r="AW408" s="19">
        <v>0</v>
      </c>
    </row>
    <row r="409" spans="1:49" ht="17" customHeight="1">
      <c r="A409" s="11" t="s">
        <v>3452</v>
      </c>
      <c r="B409" s="11" t="s">
        <v>3452</v>
      </c>
      <c r="C409" s="18" t="s">
        <v>2867</v>
      </c>
      <c r="D409" s="18" t="s">
        <v>2916</v>
      </c>
      <c r="E409" s="18" t="s">
        <v>3300</v>
      </c>
      <c r="F409" s="18" t="s">
        <v>2918</v>
      </c>
      <c r="G409" s="14"/>
      <c r="H409" s="18" t="s">
        <v>3301</v>
      </c>
      <c r="I409" s="14"/>
      <c r="J409" s="14"/>
      <c r="K409" s="14" t="s">
        <v>3453</v>
      </c>
      <c r="L409" s="18">
        <v>44</v>
      </c>
      <c r="M409" s="18">
        <v>160</v>
      </c>
      <c r="N409" s="18">
        <v>80</v>
      </c>
      <c r="O409" s="14">
        <v>432</v>
      </c>
      <c r="P409" s="18">
        <v>6.8832000000000004</v>
      </c>
      <c r="Q409" s="18">
        <v>47</v>
      </c>
      <c r="R409" s="18" t="s">
        <v>3303</v>
      </c>
      <c r="S409" s="18"/>
      <c r="T409" s="18">
        <v>30.4</v>
      </c>
      <c r="U409" s="18">
        <v>86.04</v>
      </c>
      <c r="V409" s="20">
        <v>20.95767032071716</v>
      </c>
      <c r="W409" s="18" t="s">
        <v>2954</v>
      </c>
      <c r="X409" s="14"/>
      <c r="Y409" s="14"/>
      <c r="Z409" s="14"/>
      <c r="AA409" s="14"/>
      <c r="AB409" s="14"/>
      <c r="AC409" s="14"/>
      <c r="AD409" s="14"/>
      <c r="AE409" s="14"/>
      <c r="AF409" s="14"/>
      <c r="AG409" s="14"/>
      <c r="AH409" s="18" t="s">
        <v>3452</v>
      </c>
      <c r="AI409" s="14"/>
      <c r="AJ409" s="21">
        <v>0.17374887133613809</v>
      </c>
      <c r="AK409" s="18">
        <v>1</v>
      </c>
      <c r="AL409" s="18">
        <v>0</v>
      </c>
      <c r="AM409" s="18">
        <v>80</v>
      </c>
      <c r="AN409" s="17">
        <v>2.09907015E-2</v>
      </c>
      <c r="AO409" s="17">
        <v>4.5727128700000001E-2</v>
      </c>
      <c r="AP409" s="19">
        <v>6.8198178500000005E-5</v>
      </c>
      <c r="AQ409" s="19">
        <v>-5.8205455300000002E-6</v>
      </c>
      <c r="AR409" s="19">
        <v>2.35081705E-7</v>
      </c>
      <c r="AS409" s="19">
        <v>-4.94823033E-9</v>
      </c>
      <c r="AT409" s="19">
        <v>5.1948360499999999E-11</v>
      </c>
      <c r="AU409" s="19">
        <v>-2.1686352900000001E-13</v>
      </c>
      <c r="AV409" s="19">
        <v>0</v>
      </c>
      <c r="AW409" s="19">
        <v>0</v>
      </c>
    </row>
    <row r="410" spans="1:49" ht="17" customHeight="1">
      <c r="A410" s="11" t="s">
        <v>3454</v>
      </c>
      <c r="B410" s="11" t="s">
        <v>3454</v>
      </c>
      <c r="C410" s="18" t="s">
        <v>2867</v>
      </c>
      <c r="D410" s="18" t="s">
        <v>2916</v>
      </c>
      <c r="E410" s="18" t="s">
        <v>3300</v>
      </c>
      <c r="F410" s="18" t="s">
        <v>2918</v>
      </c>
      <c r="G410" s="14"/>
      <c r="H410" s="18" t="s">
        <v>3301</v>
      </c>
      <c r="I410" s="14"/>
      <c r="J410" s="14"/>
      <c r="K410" s="14" t="s">
        <v>3455</v>
      </c>
      <c r="L410" s="18">
        <v>120</v>
      </c>
      <c r="M410" s="18">
        <v>300</v>
      </c>
      <c r="N410" s="18">
        <v>80</v>
      </c>
      <c r="O410" s="14">
        <v>552</v>
      </c>
      <c r="P410" s="18">
        <v>36.408000000000001</v>
      </c>
      <c r="Q410" s="18">
        <v>156</v>
      </c>
      <c r="R410" s="18" t="s">
        <v>3303</v>
      </c>
      <c r="S410" s="18"/>
      <c r="T410" s="18">
        <v>286.60000000000002</v>
      </c>
      <c r="U410" s="18">
        <v>455.1</v>
      </c>
      <c r="V410" s="20">
        <v>9.3223198097018773</v>
      </c>
      <c r="W410" s="18" t="s">
        <v>2954</v>
      </c>
      <c r="X410" s="14"/>
      <c r="Y410" s="14"/>
      <c r="Z410" s="14"/>
      <c r="AA410" s="14"/>
      <c r="AB410" s="14"/>
      <c r="AC410" s="14"/>
      <c r="AD410" s="14"/>
      <c r="AE410" s="14"/>
      <c r="AF410" s="14"/>
      <c r="AG410" s="14"/>
      <c r="AH410" s="18" t="s">
        <v>3454</v>
      </c>
      <c r="AI410" s="14"/>
      <c r="AJ410" s="21">
        <v>0.32714527067797677</v>
      </c>
      <c r="AK410" s="18">
        <v>1</v>
      </c>
      <c r="AL410" s="18">
        <v>0</v>
      </c>
      <c r="AM410" s="18">
        <v>80</v>
      </c>
      <c r="AN410" s="17">
        <v>4.9757972500000004E-3</v>
      </c>
      <c r="AO410" s="17">
        <v>4.0739121099999998E-2</v>
      </c>
      <c r="AP410" s="19">
        <v>-1.9554662800000001E-4</v>
      </c>
      <c r="AQ410" s="19">
        <v>1.6407584699999999E-5</v>
      </c>
      <c r="AR410" s="19">
        <v>-6.43655204E-7</v>
      </c>
      <c r="AS410" s="19">
        <v>1.27554298E-8</v>
      </c>
      <c r="AT410" s="19">
        <v>-1.2319218800000001E-10</v>
      </c>
      <c r="AU410" s="19">
        <v>4.5090225899999998E-13</v>
      </c>
      <c r="AV410" s="19">
        <v>0</v>
      </c>
      <c r="AW410" s="19">
        <v>0</v>
      </c>
    </row>
    <row r="411" spans="1:49" ht="17" customHeight="1">
      <c r="A411" s="11" t="s">
        <v>3456</v>
      </c>
      <c r="B411" s="11" t="s">
        <v>3456</v>
      </c>
      <c r="C411" s="18" t="s">
        <v>2867</v>
      </c>
      <c r="D411" s="18" t="s">
        <v>2916</v>
      </c>
      <c r="E411" s="18" t="s">
        <v>3300</v>
      </c>
      <c r="F411" s="18" t="s">
        <v>2918</v>
      </c>
      <c r="G411" s="14"/>
      <c r="H411" s="18" t="s">
        <v>3301</v>
      </c>
      <c r="I411" s="14"/>
      <c r="J411" s="14"/>
      <c r="K411" s="14" t="s">
        <v>3457</v>
      </c>
      <c r="L411" s="18">
        <v>120</v>
      </c>
      <c r="M411" s="18">
        <v>300</v>
      </c>
      <c r="N411" s="18">
        <v>80</v>
      </c>
      <c r="O411" s="14">
        <v>552</v>
      </c>
      <c r="P411" s="18">
        <v>36.212800000000001</v>
      </c>
      <c r="Q411" s="18">
        <v>156</v>
      </c>
      <c r="R411" s="18" t="s">
        <v>3303</v>
      </c>
      <c r="S411" s="18"/>
      <c r="T411" s="18">
        <v>287.2</v>
      </c>
      <c r="U411" s="18">
        <v>452.66</v>
      </c>
      <c r="V411" s="20">
        <v>9.3160070058973918</v>
      </c>
      <c r="W411" s="18" t="s">
        <v>2954</v>
      </c>
      <c r="X411" s="14"/>
      <c r="Y411" s="14"/>
      <c r="Z411" s="14"/>
      <c r="AA411" s="14"/>
      <c r="AB411" s="14"/>
      <c r="AC411" s="14"/>
      <c r="AD411" s="14"/>
      <c r="AE411" s="14"/>
      <c r="AF411" s="14"/>
      <c r="AG411" s="14"/>
      <c r="AH411" s="18" t="s">
        <v>3456</v>
      </c>
      <c r="AI411" s="14"/>
      <c r="AJ411" s="21">
        <v>0.32714527067797677</v>
      </c>
      <c r="AK411" s="18">
        <v>1</v>
      </c>
      <c r="AL411" s="18">
        <v>0</v>
      </c>
      <c r="AM411" s="18">
        <v>80</v>
      </c>
      <c r="AN411" s="17">
        <v>4.89116962E-3</v>
      </c>
      <c r="AO411" s="17">
        <v>4.0750746400000003E-2</v>
      </c>
      <c r="AP411" s="19">
        <v>-1.8816990999999999E-4</v>
      </c>
      <c r="AQ411" s="19">
        <v>1.5272215299999998E-5</v>
      </c>
      <c r="AR411" s="19">
        <v>-5.8921250699999996E-7</v>
      </c>
      <c r="AS411" s="19">
        <v>1.15752413E-8</v>
      </c>
      <c r="AT411" s="19">
        <v>-1.1122591599999999E-10</v>
      </c>
      <c r="AU411" s="19">
        <v>4.0480421199999998E-13</v>
      </c>
      <c r="AV411" s="19">
        <v>0</v>
      </c>
      <c r="AW411" s="19">
        <v>0</v>
      </c>
    </row>
    <row r="412" spans="1:49" ht="17" customHeight="1">
      <c r="A412" s="11" t="s">
        <v>3458</v>
      </c>
      <c r="B412" s="11" t="s">
        <v>3458</v>
      </c>
      <c r="C412" s="18" t="s">
        <v>2867</v>
      </c>
      <c r="D412" s="18" t="s">
        <v>2916</v>
      </c>
      <c r="E412" s="18" t="s">
        <v>3300</v>
      </c>
      <c r="F412" s="18" t="s">
        <v>2918</v>
      </c>
      <c r="G412" s="14"/>
      <c r="H412" s="18" t="s">
        <v>3301</v>
      </c>
      <c r="I412" s="14"/>
      <c r="J412" s="14"/>
      <c r="K412" s="18" t="s">
        <v>3459</v>
      </c>
      <c r="L412" s="18">
        <v>120</v>
      </c>
      <c r="M412" s="18">
        <v>300</v>
      </c>
      <c r="N412" s="18">
        <v>80</v>
      </c>
      <c r="O412" s="18">
        <v>552</v>
      </c>
      <c r="P412" s="18">
        <v>36.636799999999987</v>
      </c>
      <c r="Q412" s="18">
        <v>156</v>
      </c>
      <c r="R412" s="18" t="s">
        <v>3303</v>
      </c>
      <c r="S412" s="18"/>
      <c r="T412" s="18">
        <v>287.8</v>
      </c>
      <c r="U412" s="18">
        <v>457.96</v>
      </c>
      <c r="V412" s="20">
        <v>9.2928804791048343</v>
      </c>
      <c r="W412" s="18" t="s">
        <v>2954</v>
      </c>
      <c r="X412" s="14"/>
      <c r="Y412" s="14"/>
      <c r="Z412" s="14"/>
      <c r="AA412" s="14"/>
      <c r="AB412" s="14"/>
      <c r="AC412" s="14"/>
      <c r="AD412" s="14"/>
      <c r="AE412" s="14"/>
      <c r="AF412" s="14"/>
      <c r="AG412" s="14"/>
      <c r="AH412" s="18" t="s">
        <v>3458</v>
      </c>
      <c r="AI412" s="14"/>
      <c r="AJ412" s="21">
        <v>0.32714527067797677</v>
      </c>
      <c r="AK412" s="18">
        <v>1</v>
      </c>
      <c r="AL412" s="18">
        <v>0</v>
      </c>
      <c r="AM412" s="18">
        <v>80</v>
      </c>
      <c r="AN412" s="17">
        <v>4.5973919399999999E-3</v>
      </c>
      <c r="AO412" s="17">
        <v>4.08462775E-2</v>
      </c>
      <c r="AP412" s="17">
        <v>-1.8042583099999999E-4</v>
      </c>
      <c r="AQ412" s="17">
        <v>1.5343325099999999E-5</v>
      </c>
      <c r="AR412" s="17">
        <v>-6.1040877499999997E-7</v>
      </c>
      <c r="AS412" s="17">
        <v>1.2246201700000001E-8</v>
      </c>
      <c r="AT412" s="17">
        <v>-1.1950346800000001E-10</v>
      </c>
      <c r="AU412" s="17">
        <v>4.40770183E-13</v>
      </c>
      <c r="AV412" s="17">
        <v>0</v>
      </c>
      <c r="AW412" s="17">
        <v>0</v>
      </c>
    </row>
    <row r="413" spans="1:49" ht="17" customHeight="1">
      <c r="A413" s="11" t="s">
        <v>3460</v>
      </c>
      <c r="B413" s="11" t="s">
        <v>3460</v>
      </c>
      <c r="C413" s="18" t="s">
        <v>2867</v>
      </c>
      <c r="D413" s="18" t="s">
        <v>2916</v>
      </c>
      <c r="E413" s="18" t="s">
        <v>3300</v>
      </c>
      <c r="F413" s="18" t="s">
        <v>2918</v>
      </c>
      <c r="G413" s="14"/>
      <c r="H413" s="18" t="s">
        <v>3301</v>
      </c>
      <c r="I413" s="14"/>
      <c r="J413" s="14"/>
      <c r="K413" s="18" t="s">
        <v>3461</v>
      </c>
      <c r="L413" s="18">
        <v>44</v>
      </c>
      <c r="M413" s="18">
        <v>160</v>
      </c>
      <c r="N413" s="18">
        <v>80</v>
      </c>
      <c r="O413" s="18">
        <v>432</v>
      </c>
      <c r="P413" s="18">
        <v>6.9015999999999993</v>
      </c>
      <c r="Q413" s="18">
        <v>47</v>
      </c>
      <c r="R413" s="18" t="s">
        <v>3303</v>
      </c>
      <c r="S413" s="18"/>
      <c r="T413" s="18">
        <v>30.3</v>
      </c>
      <c r="U413" s="18">
        <v>86.27</v>
      </c>
      <c r="V413" s="20">
        <v>20.922722716354482</v>
      </c>
      <c r="W413" s="18" t="s">
        <v>2954</v>
      </c>
      <c r="X413" s="14"/>
      <c r="Y413" s="14"/>
      <c r="Z413" s="14"/>
      <c r="AA413" s="14"/>
      <c r="AB413" s="14"/>
      <c r="AC413" s="14"/>
      <c r="AD413" s="14"/>
      <c r="AE413" s="14"/>
      <c r="AF413" s="14"/>
      <c r="AG413" s="14"/>
      <c r="AH413" s="18" t="s">
        <v>3460</v>
      </c>
      <c r="AI413" s="14"/>
      <c r="AJ413" s="21">
        <v>0.17374887133613809</v>
      </c>
      <c r="AK413" s="18">
        <v>1</v>
      </c>
      <c r="AL413" s="18">
        <v>0</v>
      </c>
      <c r="AM413" s="18">
        <v>80</v>
      </c>
      <c r="AN413" s="17">
        <v>2.0724849100000001E-2</v>
      </c>
      <c r="AO413" s="17">
        <v>4.5645415600000003E-2</v>
      </c>
      <c r="AP413" s="17">
        <v>6.1365592999999995E-5</v>
      </c>
      <c r="AQ413" s="17">
        <v>-5.2971341400000002E-6</v>
      </c>
      <c r="AR413" s="17">
        <v>2.1656931200000001E-7</v>
      </c>
      <c r="AS413" s="17">
        <v>-4.6077974700000003E-9</v>
      </c>
      <c r="AT413" s="17">
        <v>4.8761786799999999E-11</v>
      </c>
      <c r="AU413" s="17">
        <v>-2.04874268E-13</v>
      </c>
      <c r="AV413" s="17">
        <v>0</v>
      </c>
      <c r="AW413" s="17">
        <v>0</v>
      </c>
    </row>
    <row r="414" spans="1:49" ht="17" customHeight="1">
      <c r="A414" s="11" t="s">
        <v>3462</v>
      </c>
      <c r="B414" s="11" t="s">
        <v>3462</v>
      </c>
      <c r="C414" s="18" t="s">
        <v>2867</v>
      </c>
      <c r="D414" s="18" t="s">
        <v>2916</v>
      </c>
      <c r="E414" s="18" t="s">
        <v>3300</v>
      </c>
      <c r="F414" s="18" t="s">
        <v>2918</v>
      </c>
      <c r="G414" s="14"/>
      <c r="H414" s="18" t="s">
        <v>3301</v>
      </c>
      <c r="I414" s="14"/>
      <c r="J414" s="14"/>
      <c r="K414" s="18" t="s">
        <v>3463</v>
      </c>
      <c r="L414" s="18">
        <v>44</v>
      </c>
      <c r="M414" s="18">
        <v>160</v>
      </c>
      <c r="N414" s="18">
        <v>80</v>
      </c>
      <c r="O414" s="18">
        <v>432</v>
      </c>
      <c r="P414" s="18">
        <v>6.9071999999999996</v>
      </c>
      <c r="Q414" s="18">
        <v>47</v>
      </c>
      <c r="R414" s="18" t="s">
        <v>3303</v>
      </c>
      <c r="S414" s="18"/>
      <c r="T414" s="18">
        <v>30.4</v>
      </c>
      <c r="U414" s="18">
        <v>86.34</v>
      </c>
      <c r="V414" s="20">
        <v>20.972112661550749</v>
      </c>
      <c r="W414" s="18" t="s">
        <v>2954</v>
      </c>
      <c r="X414" s="14"/>
      <c r="Y414" s="14"/>
      <c r="Z414" s="14"/>
      <c r="AA414" s="14"/>
      <c r="AB414" s="14"/>
      <c r="AC414" s="14"/>
      <c r="AD414" s="14"/>
      <c r="AE414" s="14"/>
      <c r="AF414" s="14"/>
      <c r="AG414" s="14"/>
      <c r="AH414" s="18" t="s">
        <v>3462</v>
      </c>
      <c r="AI414" s="14"/>
      <c r="AJ414" s="21">
        <v>0.17374887133613809</v>
      </c>
      <c r="AK414" s="18">
        <v>1</v>
      </c>
      <c r="AL414" s="18">
        <v>0</v>
      </c>
      <c r="AM414" s="18">
        <v>80</v>
      </c>
      <c r="AN414" s="17">
        <v>1.99363862E-2</v>
      </c>
      <c r="AO414" s="17">
        <v>4.5793977100000001E-2</v>
      </c>
      <c r="AP414" s="17">
        <v>6.2343007500000007E-5</v>
      </c>
      <c r="AQ414" s="17">
        <v>-5.4418059900000001E-6</v>
      </c>
      <c r="AR414" s="17">
        <v>2.2241146599999999E-7</v>
      </c>
      <c r="AS414" s="17">
        <v>-4.7137328299999996E-9</v>
      </c>
      <c r="AT414" s="17">
        <v>4.9659023199999998E-11</v>
      </c>
      <c r="AU414" s="17">
        <v>-2.07645855E-13</v>
      </c>
      <c r="AV414" s="17">
        <v>0</v>
      </c>
      <c r="AW414" s="17">
        <v>0</v>
      </c>
    </row>
    <row r="415" spans="1:49" ht="17" customHeight="1">
      <c r="A415" s="11" t="s">
        <v>3464</v>
      </c>
      <c r="B415" s="11" t="s">
        <v>3464</v>
      </c>
      <c r="C415" s="18" t="s">
        <v>2867</v>
      </c>
      <c r="D415" s="18" t="s">
        <v>2916</v>
      </c>
      <c r="E415" s="18" t="s">
        <v>3300</v>
      </c>
      <c r="F415" s="18" t="s">
        <v>2918</v>
      </c>
      <c r="G415" s="14"/>
      <c r="H415" s="18" t="s">
        <v>3301</v>
      </c>
      <c r="I415" s="14"/>
      <c r="J415" s="14"/>
      <c r="K415" s="18" t="s">
        <v>3465</v>
      </c>
      <c r="L415" s="18">
        <v>44</v>
      </c>
      <c r="M415" s="18">
        <v>160</v>
      </c>
      <c r="N415" s="18">
        <v>80</v>
      </c>
      <c r="O415" s="18">
        <v>432</v>
      </c>
      <c r="P415" s="18">
        <v>6.8391999999999999</v>
      </c>
      <c r="Q415" s="18">
        <v>47</v>
      </c>
      <c r="R415" s="18" t="s">
        <v>3303</v>
      </c>
      <c r="S415" s="18"/>
      <c r="T415" s="18">
        <v>30.4</v>
      </c>
      <c r="U415" s="18">
        <v>85.49</v>
      </c>
      <c r="V415" s="20">
        <v>20.986363720956319</v>
      </c>
      <c r="W415" s="18" t="s">
        <v>2954</v>
      </c>
      <c r="X415" s="14"/>
      <c r="Y415" s="14"/>
      <c r="Z415" s="14"/>
      <c r="AA415" s="14"/>
      <c r="AB415" s="14"/>
      <c r="AC415" s="14"/>
      <c r="AD415" s="14"/>
      <c r="AE415" s="14"/>
      <c r="AF415" s="14"/>
      <c r="AG415" s="14"/>
      <c r="AH415" s="18" t="s">
        <v>3464</v>
      </c>
      <c r="AI415" s="14"/>
      <c r="AJ415" s="21">
        <v>0.17374887133613809</v>
      </c>
      <c r="AK415" s="18">
        <v>1</v>
      </c>
      <c r="AL415" s="18">
        <v>0</v>
      </c>
      <c r="AM415" s="18">
        <v>80</v>
      </c>
      <c r="AN415" s="17">
        <v>2.0180571299999998E-2</v>
      </c>
      <c r="AO415" s="17">
        <v>4.5815524599999997E-2</v>
      </c>
      <c r="AP415" s="17">
        <v>6.6456959899999996E-5</v>
      </c>
      <c r="AQ415" s="17">
        <v>-5.8149098400000001E-6</v>
      </c>
      <c r="AR415" s="17">
        <v>2.3960668199999999E-7</v>
      </c>
      <c r="AS415" s="17">
        <v>-5.1055072100000003E-9</v>
      </c>
      <c r="AT415" s="17">
        <v>5.3928397099999997E-11</v>
      </c>
      <c r="AU415" s="17">
        <v>-2.25362218E-13</v>
      </c>
      <c r="AV415" s="17">
        <v>0</v>
      </c>
      <c r="AW415" s="17">
        <v>0</v>
      </c>
    </row>
    <row r="416" spans="1:49" ht="17" customHeight="1">
      <c r="A416" s="11" t="s">
        <v>3466</v>
      </c>
      <c r="B416" s="11" t="s">
        <v>3466</v>
      </c>
      <c r="C416" s="18" t="s">
        <v>2867</v>
      </c>
      <c r="D416" s="18" t="s">
        <v>2916</v>
      </c>
      <c r="E416" s="18" t="s">
        <v>3300</v>
      </c>
      <c r="F416" s="18" t="s">
        <v>2918</v>
      </c>
      <c r="G416" s="14"/>
      <c r="H416" s="18" t="s">
        <v>3301</v>
      </c>
      <c r="I416" s="14"/>
      <c r="J416" s="14"/>
      <c r="K416" s="18" t="s">
        <v>3467</v>
      </c>
      <c r="L416" s="18">
        <v>120</v>
      </c>
      <c r="M416" s="18">
        <v>300</v>
      </c>
      <c r="N416" s="18">
        <v>80</v>
      </c>
      <c r="O416" s="18">
        <v>552</v>
      </c>
      <c r="P416" s="18">
        <v>36.268000000000001</v>
      </c>
      <c r="Q416" s="18">
        <v>156</v>
      </c>
      <c r="R416" s="18" t="s">
        <v>3303</v>
      </c>
      <c r="S416" s="18"/>
      <c r="T416" s="18">
        <v>286.8</v>
      </c>
      <c r="U416" s="18">
        <v>453.35</v>
      </c>
      <c r="V416" s="20">
        <v>9.3213023915409803</v>
      </c>
      <c r="W416" s="18" t="s">
        <v>2954</v>
      </c>
      <c r="X416" s="14"/>
      <c r="Y416" s="14"/>
      <c r="Z416" s="14"/>
      <c r="AA416" s="14"/>
      <c r="AB416" s="14"/>
      <c r="AC416" s="14"/>
      <c r="AD416" s="14"/>
      <c r="AE416" s="14"/>
      <c r="AF416" s="14"/>
      <c r="AG416" s="14"/>
      <c r="AH416" s="18" t="s">
        <v>3466</v>
      </c>
      <c r="AI416" s="14"/>
      <c r="AJ416" s="21">
        <v>0.32714527067797677</v>
      </c>
      <c r="AK416" s="18">
        <v>1</v>
      </c>
      <c r="AL416" s="18">
        <v>0</v>
      </c>
      <c r="AM416" s="18">
        <v>80</v>
      </c>
      <c r="AN416" s="17">
        <v>4.79918284E-3</v>
      </c>
      <c r="AO416" s="17">
        <v>4.0629847300000001E-2</v>
      </c>
      <c r="AP416" s="17">
        <v>-1.5789945300000001E-4</v>
      </c>
      <c r="AQ416" s="17">
        <v>1.33556085E-5</v>
      </c>
      <c r="AR416" s="17">
        <v>-5.2806850399999996E-7</v>
      </c>
      <c r="AS416" s="17">
        <v>1.05406519E-8</v>
      </c>
      <c r="AT416" s="17">
        <v>-1.02417901E-10</v>
      </c>
      <c r="AU416" s="17">
        <v>3.7507624200000001E-13</v>
      </c>
      <c r="AV416" s="17">
        <v>0</v>
      </c>
      <c r="AW416" s="17">
        <v>0</v>
      </c>
    </row>
    <row r="417" spans="1:49" ht="17" customHeight="1">
      <c r="A417" s="11" t="s">
        <v>3468</v>
      </c>
      <c r="B417" s="11" t="s">
        <v>3468</v>
      </c>
      <c r="C417" s="18" t="s">
        <v>2867</v>
      </c>
      <c r="D417" s="18" t="s">
        <v>2916</v>
      </c>
      <c r="E417" s="18" t="s">
        <v>3300</v>
      </c>
      <c r="F417" s="18" t="s">
        <v>2918</v>
      </c>
      <c r="G417" s="14"/>
      <c r="H417" s="18" t="s">
        <v>3301</v>
      </c>
      <c r="I417" s="14"/>
      <c r="J417" s="14"/>
      <c r="K417" s="18" t="s">
        <v>3469</v>
      </c>
      <c r="L417" s="18">
        <v>120</v>
      </c>
      <c r="M417" s="18">
        <v>300</v>
      </c>
      <c r="N417" s="18">
        <v>80</v>
      </c>
      <c r="O417" s="18">
        <v>552</v>
      </c>
      <c r="P417" s="18">
        <v>36.180799999999998</v>
      </c>
      <c r="Q417" s="18">
        <v>156</v>
      </c>
      <c r="R417" s="18" t="s">
        <v>3303</v>
      </c>
      <c r="S417" s="18"/>
      <c r="T417" s="18">
        <v>286.89999999999998</v>
      </c>
      <c r="U417" s="18">
        <v>452.26</v>
      </c>
      <c r="V417" s="20">
        <v>9.2882716124054774</v>
      </c>
      <c r="W417" s="18" t="s">
        <v>2954</v>
      </c>
      <c r="X417" s="14"/>
      <c r="Y417" s="14"/>
      <c r="Z417" s="14"/>
      <c r="AA417" s="14"/>
      <c r="AB417" s="14"/>
      <c r="AC417" s="14"/>
      <c r="AD417" s="14"/>
      <c r="AE417" s="14"/>
      <c r="AF417" s="14"/>
      <c r="AG417" s="14"/>
      <c r="AH417" s="18" t="s">
        <v>3468</v>
      </c>
      <c r="AI417" s="14"/>
      <c r="AJ417" s="21">
        <v>0.32714527067797677</v>
      </c>
      <c r="AK417" s="18">
        <v>1</v>
      </c>
      <c r="AL417" s="18">
        <v>0</v>
      </c>
      <c r="AM417" s="18">
        <v>80</v>
      </c>
      <c r="AN417" s="17">
        <v>5.1519180000000001E-3</v>
      </c>
      <c r="AO417" s="17">
        <v>4.0862176E-2</v>
      </c>
      <c r="AP417" s="17">
        <v>-1.8321037599999999E-4</v>
      </c>
      <c r="AQ417" s="17">
        <v>1.47993453E-5</v>
      </c>
      <c r="AR417" s="17">
        <v>-5.6705431200000001E-7</v>
      </c>
      <c r="AS417" s="17">
        <v>1.1074800699999999E-8</v>
      </c>
      <c r="AT417" s="17">
        <v>-1.06112995E-10</v>
      </c>
      <c r="AU417" s="17">
        <v>3.8559898600000001E-13</v>
      </c>
      <c r="AV417" s="17">
        <v>0</v>
      </c>
      <c r="AW417" s="17">
        <v>0</v>
      </c>
    </row>
    <row r="418" spans="1:49" ht="17" customHeight="1">
      <c r="A418" s="11" t="s">
        <v>3470</v>
      </c>
      <c r="B418" s="11" t="s">
        <v>3470</v>
      </c>
      <c r="C418" s="18" t="s">
        <v>2867</v>
      </c>
      <c r="D418" s="18" t="s">
        <v>2916</v>
      </c>
      <c r="E418" s="18" t="s">
        <v>3300</v>
      </c>
      <c r="F418" s="18" t="s">
        <v>2918</v>
      </c>
      <c r="G418" s="14"/>
      <c r="H418" s="18" t="s">
        <v>3301</v>
      </c>
      <c r="I418" s="14"/>
      <c r="J418" s="14"/>
      <c r="K418" s="18" t="s">
        <v>3471</v>
      </c>
      <c r="L418" s="18">
        <v>44</v>
      </c>
      <c r="M418" s="18">
        <v>160</v>
      </c>
      <c r="N418" s="18">
        <v>80</v>
      </c>
      <c r="O418" s="18">
        <v>432</v>
      </c>
      <c r="P418" s="18">
        <v>6.8288000000000002</v>
      </c>
      <c r="Q418" s="18">
        <v>47</v>
      </c>
      <c r="R418" s="18" t="s">
        <v>3303</v>
      </c>
      <c r="S418" s="18"/>
      <c r="T418" s="18">
        <v>30.4</v>
      </c>
      <c r="U418" s="18">
        <v>85.36</v>
      </c>
      <c r="V418" s="20">
        <v>20.958517925013581</v>
      </c>
      <c r="W418" s="18" t="s">
        <v>2954</v>
      </c>
      <c r="X418" s="14"/>
      <c r="Y418" s="14"/>
      <c r="Z418" s="14"/>
      <c r="AA418" s="14"/>
      <c r="AB418" s="14"/>
      <c r="AC418" s="14"/>
      <c r="AD418" s="14"/>
      <c r="AE418" s="14"/>
      <c r="AF418" s="14"/>
      <c r="AG418" s="14"/>
      <c r="AH418" s="18" t="s">
        <v>3470</v>
      </c>
      <c r="AI418" s="14"/>
      <c r="AJ418" s="21">
        <v>0.17374887133613809</v>
      </c>
      <c r="AK418" s="18">
        <v>1</v>
      </c>
      <c r="AL418" s="18">
        <v>0</v>
      </c>
      <c r="AM418" s="18">
        <v>80</v>
      </c>
      <c r="AN418" s="17">
        <v>2.0752045600000001E-2</v>
      </c>
      <c r="AO418" s="17">
        <v>4.5851230299999997E-2</v>
      </c>
      <c r="AP418" s="17">
        <v>5.1334352500000001E-5</v>
      </c>
      <c r="AQ418" s="17">
        <v>-4.4899533800000001E-6</v>
      </c>
      <c r="AR418" s="17">
        <v>1.85642039E-7</v>
      </c>
      <c r="AS418" s="17">
        <v>-4.0056391799999999E-9</v>
      </c>
      <c r="AT418" s="17">
        <v>4.3013449099999999E-11</v>
      </c>
      <c r="AU418" s="17">
        <v>-1.83560413E-13</v>
      </c>
      <c r="AV418" s="17">
        <v>0</v>
      </c>
      <c r="AW418" s="17">
        <v>0</v>
      </c>
    </row>
    <row r="419" spans="1:49" ht="17" customHeight="1">
      <c r="A419" s="11" t="s">
        <v>3472</v>
      </c>
      <c r="B419" s="11" t="s">
        <v>3472</v>
      </c>
      <c r="C419" s="18" t="s">
        <v>2867</v>
      </c>
      <c r="D419" s="18" t="s">
        <v>2916</v>
      </c>
      <c r="E419" s="18" t="s">
        <v>3300</v>
      </c>
      <c r="F419" s="18" t="s">
        <v>2918</v>
      </c>
      <c r="G419" s="14"/>
      <c r="H419" s="18" t="s">
        <v>3301</v>
      </c>
      <c r="I419" s="14"/>
      <c r="J419" s="14"/>
      <c r="K419" s="18" t="s">
        <v>3473</v>
      </c>
      <c r="L419" s="18">
        <v>120</v>
      </c>
      <c r="M419" s="18">
        <v>300</v>
      </c>
      <c r="N419" s="18">
        <v>80</v>
      </c>
      <c r="O419" s="18">
        <v>552</v>
      </c>
      <c r="P419" s="18">
        <v>36.316000000000003</v>
      </c>
      <c r="Q419" s="18">
        <v>156</v>
      </c>
      <c r="R419" s="18" t="s">
        <v>3303</v>
      </c>
      <c r="S419" s="18"/>
      <c r="T419" s="18">
        <v>286.60000000000002</v>
      </c>
      <c r="U419" s="18">
        <v>453.95</v>
      </c>
      <c r="V419" s="20">
        <v>9.2872058477901493</v>
      </c>
      <c r="W419" s="18" t="s">
        <v>2954</v>
      </c>
      <c r="X419" s="14"/>
      <c r="Y419" s="14"/>
      <c r="Z419" s="14"/>
      <c r="AA419" s="14"/>
      <c r="AB419" s="14"/>
      <c r="AC419" s="14"/>
      <c r="AD419" s="14"/>
      <c r="AE419" s="14"/>
      <c r="AF419" s="14"/>
      <c r="AG419" s="14"/>
      <c r="AH419" s="18" t="s">
        <v>3472</v>
      </c>
      <c r="AI419" s="14"/>
      <c r="AJ419" s="21">
        <v>0.32714527067797677</v>
      </c>
      <c r="AK419" s="18">
        <v>1</v>
      </c>
      <c r="AL419" s="18">
        <v>0</v>
      </c>
      <c r="AM419" s="18">
        <v>80</v>
      </c>
      <c r="AN419" s="17">
        <v>4.8457631299999998E-3</v>
      </c>
      <c r="AO419" s="17">
        <v>4.0794359799999999E-2</v>
      </c>
      <c r="AP419" s="17">
        <v>-1.69683198E-4</v>
      </c>
      <c r="AQ419" s="17">
        <v>1.47510632E-5</v>
      </c>
      <c r="AR419" s="17">
        <v>-5.9518724800000005E-7</v>
      </c>
      <c r="AS419" s="17">
        <v>1.20638456E-8</v>
      </c>
      <c r="AT419" s="17">
        <v>-1.1870238899999999E-10</v>
      </c>
      <c r="AU419" s="17">
        <v>4.4099981300000002E-13</v>
      </c>
      <c r="AV419" s="17">
        <v>0</v>
      </c>
      <c r="AW419" s="17">
        <v>0</v>
      </c>
    </row>
    <row r="420" spans="1:49" ht="17" customHeight="1">
      <c r="A420" s="11" t="s">
        <v>3474</v>
      </c>
      <c r="B420" s="11" t="s">
        <v>3474</v>
      </c>
      <c r="C420" s="18" t="s">
        <v>2867</v>
      </c>
      <c r="D420" s="18" t="s">
        <v>2916</v>
      </c>
      <c r="E420" s="18" t="s">
        <v>3300</v>
      </c>
      <c r="F420" s="18" t="s">
        <v>2918</v>
      </c>
      <c r="G420" s="14"/>
      <c r="H420" s="18" t="s">
        <v>3301</v>
      </c>
      <c r="I420" s="14"/>
      <c r="J420" s="14"/>
      <c r="K420" s="18" t="s">
        <v>3475</v>
      </c>
      <c r="L420" s="18">
        <v>120</v>
      </c>
      <c r="M420" s="18">
        <v>300</v>
      </c>
      <c r="N420" s="18">
        <v>80</v>
      </c>
      <c r="O420" s="18">
        <v>552</v>
      </c>
      <c r="P420" s="18">
        <v>36.015999999999998</v>
      </c>
      <c r="Q420" s="18">
        <v>156</v>
      </c>
      <c r="R420" s="18" t="s">
        <v>3303</v>
      </c>
      <c r="S420" s="18"/>
      <c r="T420" s="18">
        <v>287.39999999999998</v>
      </c>
      <c r="U420" s="18">
        <v>450.2</v>
      </c>
      <c r="V420" s="20">
        <v>9.283523887800353</v>
      </c>
      <c r="W420" s="18" t="s">
        <v>2954</v>
      </c>
      <c r="X420" s="14"/>
      <c r="Y420" s="14"/>
      <c r="Z420" s="14"/>
      <c r="AA420" s="14"/>
      <c r="AB420" s="14"/>
      <c r="AC420" s="14"/>
      <c r="AD420" s="14"/>
      <c r="AE420" s="14"/>
      <c r="AF420" s="14"/>
      <c r="AG420" s="14"/>
      <c r="AH420" s="18" t="s">
        <v>3474</v>
      </c>
      <c r="AI420" s="14"/>
      <c r="AJ420" s="21">
        <v>0.32714527067797677</v>
      </c>
      <c r="AK420" s="18">
        <v>1</v>
      </c>
      <c r="AL420" s="18">
        <v>0</v>
      </c>
      <c r="AM420" s="18">
        <v>80</v>
      </c>
      <c r="AN420" s="17">
        <v>4.9050374400000001E-3</v>
      </c>
      <c r="AO420" s="17">
        <v>4.0740795000000003E-2</v>
      </c>
      <c r="AP420" s="17">
        <v>-1.5929139500000001E-4</v>
      </c>
      <c r="AQ420" s="17">
        <v>1.3554677699999999E-5</v>
      </c>
      <c r="AR420" s="17">
        <v>-5.3985367299999999E-7</v>
      </c>
      <c r="AS420" s="17">
        <v>1.08392059E-8</v>
      </c>
      <c r="AT420" s="17">
        <v>-1.0583326000000001E-10</v>
      </c>
      <c r="AU420" s="17">
        <v>3.8947090800000002E-13</v>
      </c>
      <c r="AV420" s="17">
        <v>0</v>
      </c>
      <c r="AW420" s="17">
        <v>0</v>
      </c>
    </row>
    <row r="421" spans="1:49" ht="17" customHeight="1">
      <c r="A421" s="11" t="s">
        <v>3476</v>
      </c>
      <c r="B421" s="11" t="s">
        <v>3476</v>
      </c>
      <c r="C421" s="18" t="s">
        <v>2867</v>
      </c>
      <c r="D421" s="18" t="s">
        <v>2916</v>
      </c>
      <c r="E421" s="18" t="s">
        <v>3300</v>
      </c>
      <c r="F421" s="18" t="s">
        <v>2918</v>
      </c>
      <c r="G421" s="14"/>
      <c r="H421" s="18" t="s">
        <v>3301</v>
      </c>
      <c r="I421" s="14"/>
      <c r="J421" s="14"/>
      <c r="K421" s="18" t="s">
        <v>3477</v>
      </c>
      <c r="L421" s="18">
        <v>44</v>
      </c>
      <c r="M421" s="18">
        <v>160</v>
      </c>
      <c r="N421" s="18">
        <v>80</v>
      </c>
      <c r="O421" s="18">
        <v>432</v>
      </c>
      <c r="P421" s="18">
        <v>6.8624000000000001</v>
      </c>
      <c r="Q421" s="18">
        <v>47</v>
      </c>
      <c r="R421" s="18" t="s">
        <v>3303</v>
      </c>
      <c r="S421" s="18"/>
      <c r="T421" s="18">
        <v>30.1</v>
      </c>
      <c r="U421" s="18">
        <v>85.78</v>
      </c>
      <c r="V421" s="20">
        <v>20.960415552268088</v>
      </c>
      <c r="W421" s="18" t="s">
        <v>2954</v>
      </c>
      <c r="X421" s="14"/>
      <c r="Y421" s="14"/>
      <c r="Z421" s="14"/>
      <c r="AA421" s="14"/>
      <c r="AB421" s="14"/>
      <c r="AC421" s="14"/>
      <c r="AD421" s="14"/>
      <c r="AE421" s="14"/>
      <c r="AF421" s="14"/>
      <c r="AG421" s="14"/>
      <c r="AH421" s="18" t="s">
        <v>3476</v>
      </c>
      <c r="AI421" s="14"/>
      <c r="AJ421" s="21">
        <v>0.17374887133613809</v>
      </c>
      <c r="AK421" s="18">
        <v>1</v>
      </c>
      <c r="AL421" s="18">
        <v>0</v>
      </c>
      <c r="AM421" s="18">
        <v>80</v>
      </c>
      <c r="AN421" s="17">
        <v>2.0309924900000002E-2</v>
      </c>
      <c r="AO421" s="17">
        <v>4.55316084E-2</v>
      </c>
      <c r="AP421" s="17">
        <v>1.10830155E-4</v>
      </c>
      <c r="AQ421" s="17">
        <v>-9.3484302100000003E-6</v>
      </c>
      <c r="AR421" s="17">
        <v>3.7436529500000002E-7</v>
      </c>
      <c r="AS421" s="17">
        <v>-7.7573554699999992E-9</v>
      </c>
      <c r="AT421" s="17">
        <v>7.98820213E-11</v>
      </c>
      <c r="AU421" s="17">
        <v>-3.2521187399999999E-13</v>
      </c>
      <c r="AV421" s="17">
        <v>0</v>
      </c>
      <c r="AW421" s="17">
        <v>0</v>
      </c>
    </row>
    <row r="422" spans="1:49" ht="17" customHeight="1">
      <c r="A422" s="11" t="s">
        <v>3478</v>
      </c>
      <c r="B422" s="11" t="s">
        <v>3478</v>
      </c>
      <c r="C422" s="18" t="s">
        <v>2867</v>
      </c>
      <c r="D422" s="18" t="s">
        <v>2916</v>
      </c>
      <c r="E422" s="18" t="s">
        <v>3300</v>
      </c>
      <c r="F422" s="18" t="s">
        <v>2918</v>
      </c>
      <c r="G422" s="14"/>
      <c r="H422" s="18" t="s">
        <v>3301</v>
      </c>
      <c r="I422" s="14"/>
      <c r="J422" s="14"/>
      <c r="K422" s="18" t="s">
        <v>3479</v>
      </c>
      <c r="L422" s="18">
        <v>120</v>
      </c>
      <c r="M422" s="18">
        <v>300</v>
      </c>
      <c r="N422" s="18">
        <v>80</v>
      </c>
      <c r="O422" s="18">
        <v>552</v>
      </c>
      <c r="P422" s="18">
        <v>36.119999999999997</v>
      </c>
      <c r="Q422" s="18">
        <v>156</v>
      </c>
      <c r="R422" s="18" t="s">
        <v>3303</v>
      </c>
      <c r="S422" s="18"/>
      <c r="T422" s="18">
        <v>287.89999999999998</v>
      </c>
      <c r="U422" s="18">
        <v>451.5</v>
      </c>
      <c r="V422" s="20">
        <v>9.3062586094223541</v>
      </c>
      <c r="W422" s="18" t="s">
        <v>2954</v>
      </c>
      <c r="X422" s="14"/>
      <c r="Y422" s="14"/>
      <c r="Z422" s="14"/>
      <c r="AA422" s="14"/>
      <c r="AB422" s="14"/>
      <c r="AC422" s="14"/>
      <c r="AD422" s="14"/>
      <c r="AE422" s="14"/>
      <c r="AF422" s="14"/>
      <c r="AG422" s="14"/>
      <c r="AH422" s="18" t="s">
        <v>3478</v>
      </c>
      <c r="AI422" s="14"/>
      <c r="AJ422" s="21">
        <v>0.32714527067797677</v>
      </c>
      <c r="AK422" s="18">
        <v>1</v>
      </c>
      <c r="AL422" s="18">
        <v>0</v>
      </c>
      <c r="AM422" s="18">
        <v>80</v>
      </c>
      <c r="AN422" s="17">
        <v>5.1264947000000003E-3</v>
      </c>
      <c r="AO422" s="17">
        <v>4.0628378899999998E-2</v>
      </c>
      <c r="AP422" s="17">
        <v>-1.3476440199999999E-4</v>
      </c>
      <c r="AQ422" s="17">
        <v>1.11040012E-5</v>
      </c>
      <c r="AR422" s="17">
        <v>-4.3715213599999999E-7</v>
      </c>
      <c r="AS422" s="17">
        <v>8.7459601900000001E-9</v>
      </c>
      <c r="AT422" s="17">
        <v>-8.5320710800000006E-11</v>
      </c>
      <c r="AU422" s="17">
        <v>3.1212361500000002E-13</v>
      </c>
      <c r="AV422" s="17">
        <v>0</v>
      </c>
      <c r="AW422" s="17">
        <v>0</v>
      </c>
    </row>
    <row r="423" spans="1:49" ht="17" customHeight="1">
      <c r="A423" s="11" t="s">
        <v>3480</v>
      </c>
      <c r="B423" s="11" t="s">
        <v>3480</v>
      </c>
      <c r="C423" s="18" t="s">
        <v>2867</v>
      </c>
      <c r="D423" s="18" t="s">
        <v>2916</v>
      </c>
      <c r="E423" s="18" t="s">
        <v>3300</v>
      </c>
      <c r="F423" s="18" t="s">
        <v>2918</v>
      </c>
      <c r="G423" s="14"/>
      <c r="H423" s="18" t="s">
        <v>3301</v>
      </c>
      <c r="I423" s="14"/>
      <c r="J423" s="14"/>
      <c r="K423" s="18" t="s">
        <v>3481</v>
      </c>
      <c r="L423" s="18">
        <v>120</v>
      </c>
      <c r="M423" s="18">
        <v>300</v>
      </c>
      <c r="N423" s="18">
        <v>80</v>
      </c>
      <c r="O423" s="18">
        <v>552</v>
      </c>
      <c r="P423" s="18">
        <v>36.234400000000001</v>
      </c>
      <c r="Q423" s="18">
        <v>156</v>
      </c>
      <c r="R423" s="18" t="s">
        <v>3303</v>
      </c>
      <c r="S423" s="18"/>
      <c r="T423" s="18">
        <v>287.5</v>
      </c>
      <c r="U423" s="18">
        <v>452.93</v>
      </c>
      <c r="V423" s="20">
        <v>9.2789303243704264</v>
      </c>
      <c r="W423" s="18" t="s">
        <v>2954</v>
      </c>
      <c r="X423" s="14"/>
      <c r="Y423" s="14"/>
      <c r="Z423" s="14"/>
      <c r="AA423" s="14"/>
      <c r="AB423" s="14"/>
      <c r="AC423" s="14"/>
      <c r="AD423" s="14"/>
      <c r="AE423" s="14"/>
      <c r="AF423" s="14"/>
      <c r="AG423" s="14"/>
      <c r="AH423" s="18" t="s">
        <v>3480</v>
      </c>
      <c r="AI423" s="14"/>
      <c r="AJ423" s="21">
        <v>0.32714527067797677</v>
      </c>
      <c r="AK423" s="18">
        <v>1</v>
      </c>
      <c r="AL423" s="18">
        <v>0</v>
      </c>
      <c r="AM423" s="18">
        <v>80</v>
      </c>
      <c r="AN423" s="17">
        <v>5.11200309E-3</v>
      </c>
      <c r="AO423" s="17">
        <v>4.0687642099999997E-2</v>
      </c>
      <c r="AP423" s="17">
        <v>-1.3838029799999999E-4</v>
      </c>
      <c r="AQ423" s="17">
        <v>1.1989633E-5</v>
      </c>
      <c r="AR423" s="17">
        <v>-4.8277936599999996E-7</v>
      </c>
      <c r="AS423" s="17">
        <v>9.7626133900000005E-9</v>
      </c>
      <c r="AT423" s="17">
        <v>-9.5785308299999996E-11</v>
      </c>
      <c r="AU423" s="17">
        <v>3.52992453E-13</v>
      </c>
      <c r="AV423" s="17">
        <v>0</v>
      </c>
      <c r="AW423" s="17">
        <v>0</v>
      </c>
    </row>
    <row r="424" spans="1:49" ht="17" customHeight="1">
      <c r="A424" s="11" t="s">
        <v>3482</v>
      </c>
      <c r="B424" s="11" t="s">
        <v>3482</v>
      </c>
      <c r="C424" s="18" t="s">
        <v>2867</v>
      </c>
      <c r="D424" s="18" t="s">
        <v>2916</v>
      </c>
      <c r="E424" s="18" t="s">
        <v>3300</v>
      </c>
      <c r="F424" s="18" t="s">
        <v>2918</v>
      </c>
      <c r="G424" s="14"/>
      <c r="H424" s="18" t="s">
        <v>3301</v>
      </c>
      <c r="I424" s="14"/>
      <c r="J424" s="14"/>
      <c r="K424" s="18" t="s">
        <v>3483</v>
      </c>
      <c r="L424" s="18">
        <v>44</v>
      </c>
      <c r="M424" s="18">
        <v>160</v>
      </c>
      <c r="N424" s="18">
        <v>80</v>
      </c>
      <c r="O424" s="18">
        <v>432</v>
      </c>
      <c r="P424" s="18">
        <v>6.8855999999999993</v>
      </c>
      <c r="Q424" s="18">
        <v>47</v>
      </c>
      <c r="R424" s="18" t="s">
        <v>3303</v>
      </c>
      <c r="S424" s="18"/>
      <c r="T424" s="18">
        <v>30.3</v>
      </c>
      <c r="U424" s="18">
        <v>86.07</v>
      </c>
      <c r="V424" s="20">
        <v>20.968423615631892</v>
      </c>
      <c r="W424" s="18" t="s">
        <v>2954</v>
      </c>
      <c r="X424" s="14"/>
      <c r="Y424" s="14"/>
      <c r="Z424" s="14"/>
      <c r="AA424" s="14"/>
      <c r="AB424" s="14"/>
      <c r="AC424" s="14"/>
      <c r="AD424" s="14"/>
      <c r="AE424" s="14"/>
      <c r="AF424" s="14"/>
      <c r="AG424" s="14"/>
      <c r="AH424" s="18" t="s">
        <v>3482</v>
      </c>
      <c r="AI424" s="14"/>
      <c r="AJ424" s="21">
        <v>0.17374887133613809</v>
      </c>
      <c r="AK424" s="18">
        <v>1</v>
      </c>
      <c r="AL424" s="18">
        <v>0</v>
      </c>
      <c r="AM424" s="18">
        <v>80</v>
      </c>
      <c r="AN424" s="17">
        <v>2.0154220600000002E-2</v>
      </c>
      <c r="AO424" s="17">
        <v>4.5674568399999997E-2</v>
      </c>
      <c r="AP424" s="17">
        <v>7.37768943E-5</v>
      </c>
      <c r="AQ424" s="17">
        <v>-6.1728763800000001E-6</v>
      </c>
      <c r="AR424" s="17">
        <v>2.47587794E-7</v>
      </c>
      <c r="AS424" s="17">
        <v>-5.1882944500000003E-9</v>
      </c>
      <c r="AT424" s="17">
        <v>5.42506046E-11</v>
      </c>
      <c r="AU424" s="17">
        <v>-2.25385549E-13</v>
      </c>
      <c r="AV424" s="17">
        <v>0</v>
      </c>
      <c r="AW424" s="17">
        <v>0</v>
      </c>
    </row>
    <row r="425" spans="1:49" ht="17" customHeight="1">
      <c r="A425" s="11" t="s">
        <v>3484</v>
      </c>
      <c r="B425" s="11" t="s">
        <v>3484</v>
      </c>
      <c r="C425" s="18" t="s">
        <v>2867</v>
      </c>
      <c r="D425" s="18" t="s">
        <v>2916</v>
      </c>
      <c r="E425" s="18" t="s">
        <v>3300</v>
      </c>
      <c r="F425" s="18" t="s">
        <v>2918</v>
      </c>
      <c r="G425" s="14"/>
      <c r="H425" s="18" t="s">
        <v>3301</v>
      </c>
      <c r="I425" s="14"/>
      <c r="J425" s="14"/>
      <c r="K425" s="18" t="s">
        <v>3485</v>
      </c>
      <c r="L425" s="18">
        <v>120</v>
      </c>
      <c r="M425" s="18">
        <v>300</v>
      </c>
      <c r="N425" s="18">
        <v>80</v>
      </c>
      <c r="O425" s="18">
        <v>552</v>
      </c>
      <c r="P425" s="18">
        <v>36.192800000000013</v>
      </c>
      <c r="Q425" s="18">
        <v>156</v>
      </c>
      <c r="R425" s="18" t="s">
        <v>3303</v>
      </c>
      <c r="S425" s="18"/>
      <c r="T425" s="18">
        <v>286.89999999999998</v>
      </c>
      <c r="U425" s="18">
        <v>452.41</v>
      </c>
      <c r="V425" s="20">
        <v>9.2827804104737712</v>
      </c>
      <c r="W425" s="18" t="s">
        <v>2954</v>
      </c>
      <c r="X425" s="14"/>
      <c r="Y425" s="14"/>
      <c r="Z425" s="14"/>
      <c r="AA425" s="14"/>
      <c r="AB425" s="14"/>
      <c r="AC425" s="14"/>
      <c r="AD425" s="14"/>
      <c r="AE425" s="14"/>
      <c r="AF425" s="14"/>
      <c r="AG425" s="14"/>
      <c r="AH425" s="18" t="s">
        <v>3484</v>
      </c>
      <c r="AI425" s="14"/>
      <c r="AJ425" s="21">
        <v>0.32714527067797677</v>
      </c>
      <c r="AK425" s="18">
        <v>1</v>
      </c>
      <c r="AL425" s="18">
        <v>0</v>
      </c>
      <c r="AM425" s="18">
        <v>80</v>
      </c>
      <c r="AN425" s="17">
        <v>4.8235014599999999E-3</v>
      </c>
      <c r="AO425" s="17">
        <v>4.0813549300000002E-2</v>
      </c>
      <c r="AP425" s="17">
        <v>-1.6600079499999999E-4</v>
      </c>
      <c r="AQ425" s="17">
        <v>1.4481780399999999E-5</v>
      </c>
      <c r="AR425" s="17">
        <v>-5.8526335199999997E-7</v>
      </c>
      <c r="AS425" s="17">
        <v>1.1856956899999999E-8</v>
      </c>
      <c r="AT425" s="17">
        <v>-1.16405795E-10</v>
      </c>
      <c r="AU425" s="17">
        <v>4.3086975800000002E-13</v>
      </c>
      <c r="AV425" s="17">
        <v>0</v>
      </c>
      <c r="AW425" s="17">
        <v>0</v>
      </c>
    </row>
    <row r="426" spans="1:49" ht="17" customHeight="1">
      <c r="A426" s="11" t="s">
        <v>3486</v>
      </c>
      <c r="B426" s="11" t="s">
        <v>3486</v>
      </c>
      <c r="C426" s="18" t="s">
        <v>2867</v>
      </c>
      <c r="D426" s="18" t="s">
        <v>2916</v>
      </c>
      <c r="E426" s="18" t="s">
        <v>3300</v>
      </c>
      <c r="F426" s="18" t="s">
        <v>2918</v>
      </c>
      <c r="G426" s="14"/>
      <c r="H426" s="18" t="s">
        <v>3301</v>
      </c>
      <c r="I426" s="14"/>
      <c r="J426" s="14"/>
      <c r="K426" s="18" t="s">
        <v>3487</v>
      </c>
      <c r="L426" s="18">
        <v>120</v>
      </c>
      <c r="M426" s="18">
        <v>300</v>
      </c>
      <c r="N426" s="18">
        <v>80</v>
      </c>
      <c r="O426" s="18">
        <v>552</v>
      </c>
      <c r="P426" s="18">
        <v>36.074399999999997</v>
      </c>
      <c r="Q426" s="18">
        <v>156</v>
      </c>
      <c r="R426" s="18" t="s">
        <v>3303</v>
      </c>
      <c r="S426" s="18"/>
      <c r="T426" s="18">
        <v>287.2</v>
      </c>
      <c r="U426" s="18">
        <v>450.93</v>
      </c>
      <c r="V426" s="20">
        <v>9.2863279334377644</v>
      </c>
      <c r="W426" s="18" t="s">
        <v>2954</v>
      </c>
      <c r="X426" s="14"/>
      <c r="Y426" s="14"/>
      <c r="Z426" s="14"/>
      <c r="AA426" s="14"/>
      <c r="AB426" s="14"/>
      <c r="AC426" s="14"/>
      <c r="AD426" s="14"/>
      <c r="AE426" s="14"/>
      <c r="AF426" s="14"/>
      <c r="AG426" s="14"/>
      <c r="AH426" s="18" t="s">
        <v>3486</v>
      </c>
      <c r="AI426" s="14"/>
      <c r="AJ426" s="21">
        <v>0.32714527067797677</v>
      </c>
      <c r="AK426" s="18">
        <v>1</v>
      </c>
      <c r="AL426" s="18">
        <v>0</v>
      </c>
      <c r="AM426" s="18">
        <v>80</v>
      </c>
      <c r="AN426" s="17">
        <v>5.0196677399999999E-3</v>
      </c>
      <c r="AO426" s="17">
        <v>4.0512875400000002E-2</v>
      </c>
      <c r="AP426" s="17">
        <v>-1.08275142E-4</v>
      </c>
      <c r="AQ426" s="17">
        <v>1.0018990900000001E-5</v>
      </c>
      <c r="AR426" s="17">
        <v>-4.22498225E-7</v>
      </c>
      <c r="AS426" s="17">
        <v>8.82527069E-9</v>
      </c>
      <c r="AT426" s="17">
        <v>-8.8545930399999997E-11</v>
      </c>
      <c r="AU426" s="17">
        <v>3.30846239E-13</v>
      </c>
      <c r="AV426" s="17">
        <v>0</v>
      </c>
      <c r="AW426" s="17">
        <v>0</v>
      </c>
    </row>
    <row r="427" spans="1:49" ht="17" customHeight="1">
      <c r="A427" s="11" t="s">
        <v>3488</v>
      </c>
      <c r="B427" s="11" t="s">
        <v>3488</v>
      </c>
      <c r="C427" s="18" t="s">
        <v>2867</v>
      </c>
      <c r="D427" s="18" t="s">
        <v>2916</v>
      </c>
      <c r="E427" s="18" t="s">
        <v>3300</v>
      </c>
      <c r="F427" s="18" t="s">
        <v>2918</v>
      </c>
      <c r="G427" s="14"/>
      <c r="H427" s="18" t="s">
        <v>3301</v>
      </c>
      <c r="I427" s="14"/>
      <c r="J427" s="14"/>
      <c r="K427" s="18" t="s">
        <v>3489</v>
      </c>
      <c r="L427" s="18">
        <v>44</v>
      </c>
      <c r="M427" s="18">
        <v>160</v>
      </c>
      <c r="N427" s="18">
        <v>80</v>
      </c>
      <c r="O427" s="18">
        <v>432</v>
      </c>
      <c r="P427" s="18">
        <v>6.8567999999999998</v>
      </c>
      <c r="Q427" s="18">
        <v>47</v>
      </c>
      <c r="R427" s="18" t="s">
        <v>3303</v>
      </c>
      <c r="S427" s="18"/>
      <c r="T427" s="18">
        <v>30.2</v>
      </c>
      <c r="U427" s="18">
        <v>85.71</v>
      </c>
      <c r="V427" s="20">
        <v>20.97826821702634</v>
      </c>
      <c r="W427" s="18" t="s">
        <v>2954</v>
      </c>
      <c r="X427" s="14"/>
      <c r="Y427" s="14"/>
      <c r="Z427" s="14"/>
      <c r="AA427" s="14"/>
      <c r="AB427" s="14"/>
      <c r="AC427" s="14"/>
      <c r="AD427" s="14"/>
      <c r="AE427" s="14"/>
      <c r="AF427" s="14"/>
      <c r="AG427" s="14"/>
      <c r="AH427" s="18" t="s">
        <v>3488</v>
      </c>
      <c r="AI427" s="14"/>
      <c r="AJ427" s="21">
        <v>0.17374887133613809</v>
      </c>
      <c r="AK427" s="18">
        <v>1</v>
      </c>
      <c r="AL427" s="18">
        <v>0</v>
      </c>
      <c r="AM427" s="18">
        <v>80</v>
      </c>
      <c r="AN427" s="17">
        <v>2.00954102E-2</v>
      </c>
      <c r="AO427" s="17">
        <v>4.5671520899999998E-2</v>
      </c>
      <c r="AP427" s="17">
        <v>7.7144263600000001E-5</v>
      </c>
      <c r="AQ427" s="17">
        <v>-6.5995072599999997E-6</v>
      </c>
      <c r="AR427" s="17">
        <v>2.6575673100000002E-7</v>
      </c>
      <c r="AS427" s="17">
        <v>-5.5540903000000003E-9</v>
      </c>
      <c r="AT427" s="17">
        <v>5.7819351099999997E-11</v>
      </c>
      <c r="AU427" s="17">
        <v>-2.3898893E-13</v>
      </c>
      <c r="AV427" s="17">
        <v>0</v>
      </c>
      <c r="AW427" s="17">
        <v>0</v>
      </c>
    </row>
    <row r="428" spans="1:49" ht="17" customHeight="1">
      <c r="A428" s="11" t="s">
        <v>3490</v>
      </c>
      <c r="B428" s="11" t="s">
        <v>3490</v>
      </c>
      <c r="C428" s="18" t="s">
        <v>2867</v>
      </c>
      <c r="D428" s="18" t="s">
        <v>2916</v>
      </c>
      <c r="E428" s="18" t="s">
        <v>3300</v>
      </c>
      <c r="F428" s="18" t="s">
        <v>2918</v>
      </c>
      <c r="G428" s="14"/>
      <c r="H428" s="18" t="s">
        <v>3301</v>
      </c>
      <c r="I428" s="14"/>
      <c r="J428" s="14"/>
      <c r="K428" s="18" t="s">
        <v>3491</v>
      </c>
      <c r="L428" s="18">
        <v>120</v>
      </c>
      <c r="M428" s="18">
        <v>300</v>
      </c>
      <c r="N428" s="18">
        <v>80</v>
      </c>
      <c r="O428" s="18">
        <v>552</v>
      </c>
      <c r="P428" s="18">
        <v>36.270400000000002</v>
      </c>
      <c r="Q428" s="18">
        <v>156</v>
      </c>
      <c r="R428" s="18" t="s">
        <v>3303</v>
      </c>
      <c r="S428" s="18"/>
      <c r="T428" s="18">
        <v>286</v>
      </c>
      <c r="U428" s="18">
        <v>453.38</v>
      </c>
      <c r="V428" s="20">
        <v>9.287874786132587</v>
      </c>
      <c r="W428" s="18" t="s">
        <v>2954</v>
      </c>
      <c r="X428" s="14"/>
      <c r="Y428" s="14"/>
      <c r="Z428" s="14"/>
      <c r="AA428" s="14"/>
      <c r="AB428" s="14"/>
      <c r="AC428" s="14"/>
      <c r="AD428" s="14"/>
      <c r="AE428" s="14"/>
      <c r="AF428" s="14"/>
      <c r="AG428" s="14"/>
      <c r="AH428" s="18" t="s">
        <v>3490</v>
      </c>
      <c r="AI428" s="14"/>
      <c r="AJ428" s="21">
        <v>0.32714527067797677</v>
      </c>
      <c r="AK428" s="18">
        <v>1</v>
      </c>
      <c r="AL428" s="18">
        <v>0</v>
      </c>
      <c r="AM428" s="18">
        <v>80</v>
      </c>
      <c r="AN428" s="17">
        <v>4.8607622600000001E-3</v>
      </c>
      <c r="AO428" s="17">
        <v>4.0567631999999999E-2</v>
      </c>
      <c r="AP428" s="17">
        <v>-1.2504448899999999E-4</v>
      </c>
      <c r="AQ428" s="17">
        <v>1.09140261E-5</v>
      </c>
      <c r="AR428" s="17">
        <v>-4.4055562699999999E-7</v>
      </c>
      <c r="AS428" s="17">
        <v>8.8992203500000007E-9</v>
      </c>
      <c r="AT428" s="17">
        <v>-8.6926694799999996E-11</v>
      </c>
      <c r="AU428" s="17">
        <v>3.1717550400000002E-13</v>
      </c>
      <c r="AV428" s="17">
        <v>0</v>
      </c>
      <c r="AW428" s="17">
        <v>0</v>
      </c>
    </row>
    <row r="429" spans="1:49" ht="17" customHeight="1">
      <c r="A429" s="11" t="s">
        <v>3492</v>
      </c>
      <c r="B429" s="11" t="s">
        <v>3492</v>
      </c>
      <c r="C429" s="18" t="s">
        <v>2867</v>
      </c>
      <c r="D429" s="18" t="s">
        <v>2916</v>
      </c>
      <c r="E429" s="18" t="s">
        <v>3300</v>
      </c>
      <c r="F429" s="18" t="s">
        <v>2918</v>
      </c>
      <c r="G429" s="14"/>
      <c r="H429" s="18" t="s">
        <v>3301</v>
      </c>
      <c r="I429" s="14"/>
      <c r="J429" s="14"/>
      <c r="K429" s="18" t="s">
        <v>3493</v>
      </c>
      <c r="L429" s="18">
        <v>120</v>
      </c>
      <c r="M429" s="18">
        <v>300</v>
      </c>
      <c r="N429" s="18">
        <v>80</v>
      </c>
      <c r="O429" s="18">
        <v>552</v>
      </c>
      <c r="P429" s="18">
        <v>36.070399999999999</v>
      </c>
      <c r="Q429" s="18">
        <v>156</v>
      </c>
      <c r="R429" s="18" t="s">
        <v>3303</v>
      </c>
      <c r="S429" s="18"/>
      <c r="T429" s="18">
        <v>286.7</v>
      </c>
      <c r="U429" s="18">
        <v>450.88</v>
      </c>
      <c r="V429" s="20">
        <v>9.2855061061983193</v>
      </c>
      <c r="W429" s="18" t="s">
        <v>2954</v>
      </c>
      <c r="X429" s="14"/>
      <c r="Y429" s="14"/>
      <c r="Z429" s="14"/>
      <c r="AA429" s="14"/>
      <c r="AB429" s="14"/>
      <c r="AC429" s="14"/>
      <c r="AD429" s="14"/>
      <c r="AE429" s="14"/>
      <c r="AF429" s="14"/>
      <c r="AG429" s="14"/>
      <c r="AH429" s="18" t="s">
        <v>3492</v>
      </c>
      <c r="AI429" s="14"/>
      <c r="AJ429" s="21">
        <v>0.32714527067797677</v>
      </c>
      <c r="AK429" s="18">
        <v>1</v>
      </c>
      <c r="AL429" s="18">
        <v>0</v>
      </c>
      <c r="AM429" s="18">
        <v>80</v>
      </c>
      <c r="AN429" s="17">
        <v>4.7452124600000003E-3</v>
      </c>
      <c r="AO429" s="17">
        <v>4.05366952E-2</v>
      </c>
      <c r="AP429" s="17">
        <v>-1.2650756E-4</v>
      </c>
      <c r="AQ429" s="17">
        <v>1.1195944199999999E-5</v>
      </c>
      <c r="AR429" s="17">
        <v>-4.5747567200000001E-7</v>
      </c>
      <c r="AS429" s="17">
        <v>9.3590332299999998E-9</v>
      </c>
      <c r="AT429" s="17">
        <v>-9.2582708299999995E-11</v>
      </c>
      <c r="AU429" s="17">
        <v>3.4268224699999999E-13</v>
      </c>
      <c r="AV429" s="17">
        <v>0</v>
      </c>
      <c r="AW429" s="17">
        <v>0</v>
      </c>
    </row>
    <row r="430" spans="1:49" ht="17" customHeight="1">
      <c r="A430" s="11" t="s">
        <v>3494</v>
      </c>
      <c r="B430" s="11" t="s">
        <v>3494</v>
      </c>
      <c r="C430" s="18" t="s">
        <v>2867</v>
      </c>
      <c r="D430" s="18" t="s">
        <v>2916</v>
      </c>
      <c r="E430" s="18" t="s">
        <v>3300</v>
      </c>
      <c r="F430" s="18" t="s">
        <v>2918</v>
      </c>
      <c r="G430" s="14"/>
      <c r="H430" s="18" t="s">
        <v>3301</v>
      </c>
      <c r="I430" s="14"/>
      <c r="J430" s="14"/>
      <c r="K430" s="18" t="s">
        <v>3495</v>
      </c>
      <c r="L430" s="18">
        <v>44</v>
      </c>
      <c r="M430" s="18">
        <v>160</v>
      </c>
      <c r="N430" s="18">
        <v>80</v>
      </c>
      <c r="O430" s="18">
        <v>432</v>
      </c>
      <c r="P430" s="18">
        <v>6.8792</v>
      </c>
      <c r="Q430" s="18">
        <v>47</v>
      </c>
      <c r="R430" s="18" t="s">
        <v>3303</v>
      </c>
      <c r="S430" s="18"/>
      <c r="T430" s="18">
        <v>30.3</v>
      </c>
      <c r="U430" s="18">
        <v>85.99</v>
      </c>
      <c r="V430" s="20">
        <v>20.952573237371212</v>
      </c>
      <c r="W430" s="18" t="s">
        <v>2954</v>
      </c>
      <c r="X430" s="14"/>
      <c r="Y430" s="14"/>
      <c r="Z430" s="14"/>
      <c r="AA430" s="14"/>
      <c r="AB430" s="14"/>
      <c r="AC430" s="14"/>
      <c r="AD430" s="14"/>
      <c r="AE430" s="14"/>
      <c r="AF430" s="14"/>
      <c r="AG430" s="14"/>
      <c r="AH430" s="18" t="s">
        <v>3494</v>
      </c>
      <c r="AI430" s="14"/>
      <c r="AJ430" s="21">
        <v>0.17374887133613809</v>
      </c>
      <c r="AK430" s="18">
        <v>1</v>
      </c>
      <c r="AL430" s="18">
        <v>0</v>
      </c>
      <c r="AM430" s="18">
        <v>80</v>
      </c>
      <c r="AN430" s="17">
        <v>2.08068018E-2</v>
      </c>
      <c r="AO430" s="17">
        <v>4.5684055600000002E-2</v>
      </c>
      <c r="AP430" s="17">
        <v>5.9968686000000002E-5</v>
      </c>
      <c r="AQ430" s="17">
        <v>-5.30722359E-6</v>
      </c>
      <c r="AR430" s="17">
        <v>2.2048863099999999E-7</v>
      </c>
      <c r="AS430" s="17">
        <v>-4.7308348499999998E-9</v>
      </c>
      <c r="AT430" s="17">
        <v>5.0270531000000001E-11</v>
      </c>
      <c r="AU430" s="17">
        <v>-2.1137321199999999E-13</v>
      </c>
      <c r="AV430" s="17">
        <v>0</v>
      </c>
      <c r="AW430" s="17">
        <v>0</v>
      </c>
    </row>
    <row r="431" spans="1:49" ht="17" customHeight="1">
      <c r="A431" s="11" t="s">
        <v>3496</v>
      </c>
      <c r="B431" s="11" t="s">
        <v>3496</v>
      </c>
      <c r="C431" s="18" t="s">
        <v>2867</v>
      </c>
      <c r="D431" s="18" t="s">
        <v>2916</v>
      </c>
      <c r="E431" s="18" t="s">
        <v>3300</v>
      </c>
      <c r="F431" s="18" t="s">
        <v>2918</v>
      </c>
      <c r="G431" s="14"/>
      <c r="H431" s="18" t="s">
        <v>3301</v>
      </c>
      <c r="I431" s="14"/>
      <c r="J431" s="14"/>
      <c r="K431" s="18" t="s">
        <v>3497</v>
      </c>
      <c r="L431" s="18">
        <v>120</v>
      </c>
      <c r="M431" s="18">
        <v>300</v>
      </c>
      <c r="N431" s="18">
        <v>80</v>
      </c>
      <c r="O431" s="18">
        <v>552</v>
      </c>
      <c r="P431" s="18">
        <v>36.088800000000013</v>
      </c>
      <c r="Q431" s="18">
        <v>156</v>
      </c>
      <c r="R431" s="18" t="s">
        <v>3303</v>
      </c>
      <c r="S431" s="18"/>
      <c r="T431" s="18">
        <v>287.39999999999998</v>
      </c>
      <c r="U431" s="18">
        <v>451.11</v>
      </c>
      <c r="V431" s="20">
        <v>9.3020148823473772</v>
      </c>
      <c r="W431" s="18" t="s">
        <v>2954</v>
      </c>
      <c r="X431" s="14"/>
      <c r="Y431" s="14"/>
      <c r="Z431" s="14"/>
      <c r="AA431" s="14"/>
      <c r="AB431" s="14"/>
      <c r="AC431" s="14"/>
      <c r="AD431" s="14"/>
      <c r="AE431" s="14"/>
      <c r="AF431" s="14"/>
      <c r="AG431" s="14"/>
      <c r="AH431" s="18" t="s">
        <v>3496</v>
      </c>
      <c r="AI431" s="14"/>
      <c r="AJ431" s="21">
        <v>0.32714527067797677</v>
      </c>
      <c r="AK431" s="18">
        <v>1</v>
      </c>
      <c r="AL431" s="18">
        <v>0</v>
      </c>
      <c r="AM431" s="18">
        <v>80</v>
      </c>
      <c r="AN431" s="17">
        <v>4.7443327699999999E-3</v>
      </c>
      <c r="AO431" s="17">
        <v>4.0592845500000002E-2</v>
      </c>
      <c r="AP431" s="17">
        <v>-1.39112975E-4</v>
      </c>
      <c r="AQ431" s="17">
        <v>1.21267192E-5</v>
      </c>
      <c r="AR431" s="17">
        <v>-4.9062132599999997E-7</v>
      </c>
      <c r="AS431" s="17">
        <v>9.9690932800000001E-9</v>
      </c>
      <c r="AT431" s="17">
        <v>-9.8241328000000006E-11</v>
      </c>
      <c r="AU431" s="17">
        <v>3.6356988999999999E-13</v>
      </c>
      <c r="AV431" s="17">
        <v>0</v>
      </c>
      <c r="AW431" s="17">
        <v>0</v>
      </c>
    </row>
    <row r="432" spans="1:49" ht="17" customHeight="1">
      <c r="A432" s="11" t="s">
        <v>3498</v>
      </c>
      <c r="B432" s="11" t="s">
        <v>3498</v>
      </c>
      <c r="C432" s="18" t="s">
        <v>2867</v>
      </c>
      <c r="D432" s="18" t="s">
        <v>2916</v>
      </c>
      <c r="E432" s="18" t="s">
        <v>3300</v>
      </c>
      <c r="F432" s="18" t="s">
        <v>2918</v>
      </c>
      <c r="G432" s="14"/>
      <c r="H432" s="18" t="s">
        <v>3301</v>
      </c>
      <c r="I432" s="14"/>
      <c r="J432" s="14"/>
      <c r="K432" s="18" t="s">
        <v>3499</v>
      </c>
      <c r="L432" s="18">
        <v>120</v>
      </c>
      <c r="M432" s="18">
        <v>300</v>
      </c>
      <c r="N432" s="18">
        <v>80</v>
      </c>
      <c r="O432" s="18">
        <v>552</v>
      </c>
      <c r="P432" s="18">
        <v>36.398400000000002</v>
      </c>
      <c r="Q432" s="18">
        <v>156</v>
      </c>
      <c r="R432" s="18" t="s">
        <v>3303</v>
      </c>
      <c r="S432" s="18"/>
      <c r="T432" s="18">
        <v>287.10000000000002</v>
      </c>
      <c r="U432" s="18">
        <v>454.98</v>
      </c>
      <c r="V432" s="20">
        <v>9.2816597622072798</v>
      </c>
      <c r="W432" s="18" t="s">
        <v>2954</v>
      </c>
      <c r="X432" s="14"/>
      <c r="Y432" s="14"/>
      <c r="Z432" s="14"/>
      <c r="AA432" s="14"/>
      <c r="AB432" s="14"/>
      <c r="AC432" s="14"/>
      <c r="AD432" s="14"/>
      <c r="AE432" s="14"/>
      <c r="AF432" s="14"/>
      <c r="AG432" s="14"/>
      <c r="AH432" s="18" t="s">
        <v>3498</v>
      </c>
      <c r="AI432" s="14"/>
      <c r="AJ432" s="21">
        <v>0.32714527067797677</v>
      </c>
      <c r="AK432" s="18">
        <v>1</v>
      </c>
      <c r="AL432" s="18">
        <v>0</v>
      </c>
      <c r="AM432" s="18">
        <v>80</v>
      </c>
      <c r="AN432" s="17">
        <v>4.8354671799999997E-3</v>
      </c>
      <c r="AO432" s="17">
        <v>4.0739805599999998E-2</v>
      </c>
      <c r="AP432" s="17">
        <v>-1.5726654099999999E-4</v>
      </c>
      <c r="AQ432" s="17">
        <v>1.3557805700000001E-5</v>
      </c>
      <c r="AR432" s="17">
        <v>-5.4346266599999995E-7</v>
      </c>
      <c r="AS432" s="17">
        <v>1.0960022100000001E-8</v>
      </c>
      <c r="AT432" s="17">
        <v>-1.07334984E-10</v>
      </c>
      <c r="AU432" s="17">
        <v>3.9585748400000002E-13</v>
      </c>
      <c r="AV432" s="17">
        <v>0</v>
      </c>
      <c r="AW432" s="17">
        <v>0</v>
      </c>
    </row>
    <row r="433" spans="1:49" ht="17" customHeight="1">
      <c r="A433" s="11" t="s">
        <v>3500</v>
      </c>
      <c r="B433" s="11" t="s">
        <v>3500</v>
      </c>
      <c r="C433" s="18" t="s">
        <v>2867</v>
      </c>
      <c r="D433" s="18" t="s">
        <v>2916</v>
      </c>
      <c r="E433" s="18" t="s">
        <v>3300</v>
      </c>
      <c r="F433" s="18" t="s">
        <v>2918</v>
      </c>
      <c r="G433" s="14"/>
      <c r="H433" s="18" t="s">
        <v>3301</v>
      </c>
      <c r="I433" s="14"/>
      <c r="J433" s="14"/>
      <c r="K433" s="18" t="s">
        <v>3501</v>
      </c>
      <c r="L433" s="18">
        <v>44</v>
      </c>
      <c r="M433" s="18">
        <v>160</v>
      </c>
      <c r="N433" s="18">
        <v>80</v>
      </c>
      <c r="O433" s="18">
        <v>432</v>
      </c>
      <c r="P433" s="18">
        <v>6.8440000000000003</v>
      </c>
      <c r="Q433" s="18">
        <v>47</v>
      </c>
      <c r="R433" s="18" t="s">
        <v>3303</v>
      </c>
      <c r="S433" s="18"/>
      <c r="T433" s="18">
        <v>30.2</v>
      </c>
      <c r="U433" s="18">
        <v>85.55</v>
      </c>
      <c r="V433" s="20">
        <v>20.95362133201704</v>
      </c>
      <c r="W433" s="18" t="s">
        <v>2954</v>
      </c>
      <c r="X433" s="14"/>
      <c r="Y433" s="14"/>
      <c r="Z433" s="14"/>
      <c r="AA433" s="14"/>
      <c r="AB433" s="14"/>
      <c r="AC433" s="14"/>
      <c r="AD433" s="14"/>
      <c r="AE433" s="14"/>
      <c r="AF433" s="14"/>
      <c r="AG433" s="14"/>
      <c r="AH433" s="18" t="s">
        <v>3500</v>
      </c>
      <c r="AI433" s="14"/>
      <c r="AJ433" s="21">
        <v>0.17374887133613809</v>
      </c>
      <c r="AK433" s="18">
        <v>1</v>
      </c>
      <c r="AL433" s="18">
        <v>0</v>
      </c>
      <c r="AM433" s="18">
        <v>80</v>
      </c>
      <c r="AN433" s="17">
        <v>2.0370685400000001E-2</v>
      </c>
      <c r="AO433" s="17">
        <v>4.5712715899999999E-2</v>
      </c>
      <c r="AP433" s="17">
        <v>6.6007267199999994E-5</v>
      </c>
      <c r="AQ433" s="17">
        <v>-5.6431485100000002E-6</v>
      </c>
      <c r="AR433" s="17">
        <v>2.2712246600000001E-7</v>
      </c>
      <c r="AS433" s="17">
        <v>-4.7700273399999996E-9</v>
      </c>
      <c r="AT433" s="17">
        <v>5.00398441E-11</v>
      </c>
      <c r="AU433" s="17">
        <v>-2.08977283E-13</v>
      </c>
      <c r="AV433" s="17">
        <v>0</v>
      </c>
      <c r="AW433" s="17">
        <v>0</v>
      </c>
    </row>
    <row r="434" spans="1:49" ht="17" customHeight="1">
      <c r="A434" s="11" t="s">
        <v>3502</v>
      </c>
      <c r="B434" s="11" t="s">
        <v>3502</v>
      </c>
      <c r="C434" s="18" t="s">
        <v>2867</v>
      </c>
      <c r="D434" s="18" t="s">
        <v>2916</v>
      </c>
      <c r="E434" s="18" t="s">
        <v>3300</v>
      </c>
      <c r="F434" s="18" t="s">
        <v>2918</v>
      </c>
      <c r="G434" s="14"/>
      <c r="H434" s="18" t="s">
        <v>3301</v>
      </c>
      <c r="I434" s="14"/>
      <c r="J434" s="14"/>
      <c r="K434" s="18" t="s">
        <v>3503</v>
      </c>
      <c r="L434" s="18">
        <v>120</v>
      </c>
      <c r="M434" s="18">
        <v>300</v>
      </c>
      <c r="N434" s="18">
        <v>80</v>
      </c>
      <c r="O434" s="18">
        <v>552</v>
      </c>
      <c r="P434" s="18">
        <v>36.427999999999997</v>
      </c>
      <c r="Q434" s="18">
        <v>156</v>
      </c>
      <c r="R434" s="18" t="s">
        <v>3303</v>
      </c>
      <c r="S434" s="18"/>
      <c r="T434" s="18">
        <v>286.7</v>
      </c>
      <c r="U434" s="18">
        <v>455.35</v>
      </c>
      <c r="V434" s="20">
        <v>9.2800919901712149</v>
      </c>
      <c r="W434" s="18" t="s">
        <v>2954</v>
      </c>
      <c r="X434" s="14"/>
      <c r="Y434" s="14"/>
      <c r="Z434" s="14"/>
      <c r="AA434" s="14"/>
      <c r="AB434" s="14"/>
      <c r="AC434" s="14"/>
      <c r="AD434" s="14"/>
      <c r="AE434" s="14"/>
      <c r="AF434" s="14"/>
      <c r="AG434" s="14"/>
      <c r="AH434" s="18" t="s">
        <v>3502</v>
      </c>
      <c r="AI434" s="14"/>
      <c r="AJ434" s="21">
        <v>0.32714527067797677</v>
      </c>
      <c r="AK434" s="18">
        <v>1</v>
      </c>
      <c r="AL434" s="18">
        <v>0</v>
      </c>
      <c r="AM434" s="18">
        <v>80</v>
      </c>
      <c r="AN434" s="17">
        <v>5.0372701100000004E-3</v>
      </c>
      <c r="AO434" s="17">
        <v>4.0891821199999998E-2</v>
      </c>
      <c r="AP434" s="17">
        <v>-1.7293505E-4</v>
      </c>
      <c r="AQ434" s="17">
        <v>1.4098262800000001E-5</v>
      </c>
      <c r="AR434" s="17">
        <v>-5.4744066799999997E-7</v>
      </c>
      <c r="AS434" s="17">
        <v>1.07999084E-8</v>
      </c>
      <c r="AT434" s="17">
        <v>-1.04132323E-10</v>
      </c>
      <c r="AU434" s="17">
        <v>3.79549893E-13</v>
      </c>
      <c r="AV434" s="17">
        <v>0</v>
      </c>
      <c r="AW434" s="17">
        <v>0</v>
      </c>
    </row>
    <row r="435" spans="1:49" ht="17" customHeight="1">
      <c r="A435" s="11" t="s">
        <v>3504</v>
      </c>
      <c r="B435" s="11" t="s">
        <v>3504</v>
      </c>
      <c r="C435" s="18" t="s">
        <v>2867</v>
      </c>
      <c r="D435" s="18" t="s">
        <v>2916</v>
      </c>
      <c r="E435" s="18" t="s">
        <v>3300</v>
      </c>
      <c r="F435" s="18" t="s">
        <v>2918</v>
      </c>
      <c r="G435" s="14"/>
      <c r="H435" s="18" t="s">
        <v>3301</v>
      </c>
      <c r="I435" s="14"/>
      <c r="J435" s="14"/>
      <c r="K435" s="18" t="s">
        <v>3505</v>
      </c>
      <c r="L435" s="18">
        <v>120</v>
      </c>
      <c r="M435" s="18">
        <v>300</v>
      </c>
      <c r="N435" s="18">
        <v>80</v>
      </c>
      <c r="O435" s="18">
        <v>552</v>
      </c>
      <c r="P435" s="18">
        <v>36.298400000000001</v>
      </c>
      <c r="Q435" s="18">
        <v>156</v>
      </c>
      <c r="R435" s="18" t="s">
        <v>3303</v>
      </c>
      <c r="S435" s="18"/>
      <c r="T435" s="18">
        <v>286.8</v>
      </c>
      <c r="U435" s="18">
        <v>453.73</v>
      </c>
      <c r="V435" s="20">
        <v>9.3104410656995817</v>
      </c>
      <c r="W435" s="18" t="s">
        <v>2954</v>
      </c>
      <c r="X435" s="14"/>
      <c r="Y435" s="14"/>
      <c r="Z435" s="14"/>
      <c r="AA435" s="14"/>
      <c r="AB435" s="14"/>
      <c r="AC435" s="14"/>
      <c r="AD435" s="14"/>
      <c r="AE435" s="14"/>
      <c r="AF435" s="14"/>
      <c r="AG435" s="14"/>
      <c r="AH435" s="18" t="s">
        <v>3504</v>
      </c>
      <c r="AI435" s="14"/>
      <c r="AJ435" s="21">
        <v>0.32714527067797677</v>
      </c>
      <c r="AK435" s="18">
        <v>1</v>
      </c>
      <c r="AL435" s="18">
        <v>0</v>
      </c>
      <c r="AM435" s="18">
        <v>80</v>
      </c>
      <c r="AN435" s="17">
        <v>5.1203549500000002E-3</v>
      </c>
      <c r="AO435" s="17">
        <v>4.0613267600000003E-2</v>
      </c>
      <c r="AP435" s="17">
        <v>-1.5787542E-4</v>
      </c>
      <c r="AQ435" s="17">
        <v>1.34684576E-5</v>
      </c>
      <c r="AR435" s="17">
        <v>-5.3427351199999996E-7</v>
      </c>
      <c r="AS435" s="17">
        <v>1.0673763899999999E-8</v>
      </c>
      <c r="AT435" s="17">
        <v>-1.03654955E-10</v>
      </c>
      <c r="AU435" s="17">
        <v>3.7934795299999998E-13</v>
      </c>
      <c r="AV435" s="17">
        <v>0</v>
      </c>
      <c r="AW435" s="17">
        <v>0</v>
      </c>
    </row>
    <row r="436" spans="1:49" ht="17" customHeight="1">
      <c r="A436" s="11" t="s">
        <v>3506</v>
      </c>
      <c r="B436" s="11" t="s">
        <v>3506</v>
      </c>
      <c r="C436" s="18" t="s">
        <v>2867</v>
      </c>
      <c r="D436" s="18" t="s">
        <v>2916</v>
      </c>
      <c r="E436" s="18" t="s">
        <v>3300</v>
      </c>
      <c r="F436" s="18" t="s">
        <v>2918</v>
      </c>
      <c r="G436" s="14"/>
      <c r="H436" s="18" t="s">
        <v>3301</v>
      </c>
      <c r="I436" s="14"/>
      <c r="J436" s="14"/>
      <c r="K436" s="18" t="s">
        <v>3507</v>
      </c>
      <c r="L436" s="18">
        <v>44</v>
      </c>
      <c r="M436" s="18">
        <v>160</v>
      </c>
      <c r="N436" s="18">
        <v>80</v>
      </c>
      <c r="O436" s="18">
        <v>432</v>
      </c>
      <c r="P436" s="18">
        <v>6.8752000000000004</v>
      </c>
      <c r="Q436" s="18">
        <v>47</v>
      </c>
      <c r="R436" s="18" t="s">
        <v>3303</v>
      </c>
      <c r="S436" s="18"/>
      <c r="T436" s="18">
        <v>30.3</v>
      </c>
      <c r="U436" s="18">
        <v>85.94</v>
      </c>
      <c r="V436" s="20">
        <v>20.977241691455401</v>
      </c>
      <c r="W436" s="18" t="s">
        <v>2954</v>
      </c>
      <c r="X436" s="14"/>
      <c r="Y436" s="14"/>
      <c r="Z436" s="14"/>
      <c r="AA436" s="14"/>
      <c r="AB436" s="14"/>
      <c r="AC436" s="14"/>
      <c r="AD436" s="14"/>
      <c r="AE436" s="14"/>
      <c r="AF436" s="14"/>
      <c r="AG436" s="14"/>
      <c r="AH436" s="18" t="s">
        <v>3506</v>
      </c>
      <c r="AI436" s="14"/>
      <c r="AJ436" s="21">
        <v>0.17374887133613809</v>
      </c>
      <c r="AK436" s="18">
        <v>1</v>
      </c>
      <c r="AL436" s="18">
        <v>0</v>
      </c>
      <c r="AM436" s="18">
        <v>80</v>
      </c>
      <c r="AN436" s="17">
        <v>2.0580092000000001E-2</v>
      </c>
      <c r="AO436" s="17">
        <v>4.5696435200000003E-2</v>
      </c>
      <c r="AP436" s="17">
        <v>8.79357799E-5</v>
      </c>
      <c r="AQ436" s="17">
        <v>-7.2376360000000001E-6</v>
      </c>
      <c r="AR436" s="17">
        <v>2.8518532600000001E-7</v>
      </c>
      <c r="AS436" s="17">
        <v>-5.8862025399999999E-9</v>
      </c>
      <c r="AT436" s="17">
        <v>6.0795935799999999E-11</v>
      </c>
      <c r="AU436" s="17">
        <v>-2.4976908800000002E-13</v>
      </c>
      <c r="AV436" s="17">
        <v>0</v>
      </c>
      <c r="AW436" s="17">
        <v>0</v>
      </c>
    </row>
    <row r="437" spans="1:49" ht="17" customHeight="1">
      <c r="A437" s="11" t="s">
        <v>3508</v>
      </c>
      <c r="B437" s="11" t="s">
        <v>3508</v>
      </c>
      <c r="C437" s="18" t="s">
        <v>2867</v>
      </c>
      <c r="D437" s="18" t="s">
        <v>2916</v>
      </c>
      <c r="E437" s="18" t="s">
        <v>3300</v>
      </c>
      <c r="F437" s="18" t="s">
        <v>2918</v>
      </c>
      <c r="G437" s="14"/>
      <c r="H437" s="18" t="s">
        <v>3301</v>
      </c>
      <c r="I437" s="14"/>
      <c r="J437" s="14"/>
      <c r="K437" s="18" t="s">
        <v>3509</v>
      </c>
      <c r="L437" s="18">
        <v>120</v>
      </c>
      <c r="M437" s="18">
        <v>300</v>
      </c>
      <c r="N437" s="18">
        <v>80</v>
      </c>
      <c r="O437" s="18">
        <v>552</v>
      </c>
      <c r="P437" s="18">
        <v>36.3504</v>
      </c>
      <c r="Q437" s="18">
        <v>156</v>
      </c>
      <c r="R437" s="18" t="s">
        <v>3303</v>
      </c>
      <c r="S437" s="18"/>
      <c r="T437" s="18">
        <v>287.39999999999998</v>
      </c>
      <c r="U437" s="18">
        <v>454.38</v>
      </c>
      <c r="V437" s="20">
        <v>9.3070053129430264</v>
      </c>
      <c r="W437" s="18" t="s">
        <v>2954</v>
      </c>
      <c r="X437" s="14"/>
      <c r="Y437" s="14"/>
      <c r="Z437" s="14"/>
      <c r="AA437" s="14"/>
      <c r="AB437" s="14"/>
      <c r="AC437" s="14"/>
      <c r="AD437" s="14"/>
      <c r="AE437" s="14"/>
      <c r="AF437" s="14"/>
      <c r="AG437" s="14"/>
      <c r="AH437" s="18" t="s">
        <v>3508</v>
      </c>
      <c r="AI437" s="14"/>
      <c r="AJ437" s="21">
        <v>0.32714527067797677</v>
      </c>
      <c r="AK437" s="18">
        <v>1</v>
      </c>
      <c r="AL437" s="18">
        <v>0</v>
      </c>
      <c r="AM437" s="18">
        <v>80</v>
      </c>
      <c r="AN437" s="17">
        <v>4.7859547000000001E-3</v>
      </c>
      <c r="AO437" s="17">
        <v>4.0675064499999997E-2</v>
      </c>
      <c r="AP437" s="17">
        <v>-1.6033634800000001E-4</v>
      </c>
      <c r="AQ437" s="17">
        <v>1.38973165E-5</v>
      </c>
      <c r="AR437" s="17">
        <v>-5.5844936300000005E-7</v>
      </c>
      <c r="AS437" s="17">
        <v>1.1254408400000001E-8</v>
      </c>
      <c r="AT437" s="17">
        <v>-1.1007568699999999E-10</v>
      </c>
      <c r="AU437" s="17">
        <v>4.0593338100000001E-13</v>
      </c>
      <c r="AV437" s="17">
        <v>0</v>
      </c>
      <c r="AW437" s="17">
        <v>0</v>
      </c>
    </row>
    <row r="438" spans="1:49" ht="17" customHeight="1">
      <c r="A438" s="11" t="s">
        <v>3510</v>
      </c>
      <c r="B438" s="11" t="s">
        <v>3510</v>
      </c>
      <c r="C438" s="18" t="s">
        <v>2867</v>
      </c>
      <c r="D438" s="18" t="s">
        <v>2916</v>
      </c>
      <c r="E438" s="18" t="s">
        <v>3300</v>
      </c>
      <c r="F438" s="18" t="s">
        <v>2918</v>
      </c>
      <c r="G438" s="14"/>
      <c r="H438" s="18" t="s">
        <v>3301</v>
      </c>
      <c r="I438" s="14"/>
      <c r="J438" s="14"/>
      <c r="K438" s="18" t="s">
        <v>3511</v>
      </c>
      <c r="L438" s="18">
        <v>120</v>
      </c>
      <c r="M438" s="18">
        <v>300</v>
      </c>
      <c r="N438" s="18">
        <v>80</v>
      </c>
      <c r="O438" s="18">
        <v>552</v>
      </c>
      <c r="P438" s="18">
        <v>36.305599999999998</v>
      </c>
      <c r="Q438" s="18">
        <v>156</v>
      </c>
      <c r="R438" s="18" t="s">
        <v>3303</v>
      </c>
      <c r="S438" s="18"/>
      <c r="T438" s="18">
        <v>287.60000000000002</v>
      </c>
      <c r="U438" s="18">
        <v>453.82</v>
      </c>
      <c r="V438" s="20">
        <v>9.2728290096720869</v>
      </c>
      <c r="W438" s="18" t="s">
        <v>2954</v>
      </c>
      <c r="X438" s="14"/>
      <c r="Y438" s="14"/>
      <c r="Z438" s="14"/>
      <c r="AA438" s="14"/>
      <c r="AB438" s="14"/>
      <c r="AC438" s="14"/>
      <c r="AD438" s="14"/>
      <c r="AE438" s="14"/>
      <c r="AF438" s="14"/>
      <c r="AG438" s="14"/>
      <c r="AH438" s="18" t="s">
        <v>3510</v>
      </c>
      <c r="AI438" s="14"/>
      <c r="AJ438" s="21">
        <v>0.32714527067797677</v>
      </c>
      <c r="AK438" s="18">
        <v>1</v>
      </c>
      <c r="AL438" s="18">
        <v>0</v>
      </c>
      <c r="AM438" s="18">
        <v>80</v>
      </c>
      <c r="AN438" s="17">
        <v>5.0001147299999996E-3</v>
      </c>
      <c r="AO438" s="17">
        <v>4.07145332E-2</v>
      </c>
      <c r="AP438" s="17">
        <v>-1.44734363E-4</v>
      </c>
      <c r="AQ438" s="17">
        <v>1.26535951E-5</v>
      </c>
      <c r="AR438" s="17">
        <v>-5.1350396600000003E-7</v>
      </c>
      <c r="AS438" s="17">
        <v>1.04580661E-8</v>
      </c>
      <c r="AT438" s="17">
        <v>-1.03276096E-10</v>
      </c>
      <c r="AU438" s="17">
        <v>3.83590009E-13</v>
      </c>
      <c r="AV438" s="17">
        <v>0</v>
      </c>
      <c r="AW438" s="17">
        <v>0</v>
      </c>
    </row>
    <row r="439" spans="1:49" ht="17" customHeight="1">
      <c r="A439" s="11" t="s">
        <v>3512</v>
      </c>
      <c r="B439" s="11" t="s">
        <v>3512</v>
      </c>
      <c r="C439" s="18" t="s">
        <v>2867</v>
      </c>
      <c r="D439" s="18" t="s">
        <v>2916</v>
      </c>
      <c r="E439" s="18" t="s">
        <v>2927</v>
      </c>
      <c r="F439" s="18" t="s">
        <v>2918</v>
      </c>
      <c r="G439" s="14"/>
      <c r="H439" s="18" t="s">
        <v>3050</v>
      </c>
      <c r="I439" s="14"/>
      <c r="J439" s="14"/>
      <c r="K439" s="18"/>
      <c r="L439" s="18">
        <v>23</v>
      </c>
      <c r="M439" s="18">
        <v>120</v>
      </c>
      <c r="N439" s="18">
        <v>20</v>
      </c>
      <c r="O439" s="18"/>
      <c r="P439" s="18">
        <v>17</v>
      </c>
      <c r="Q439" s="18">
        <v>183</v>
      </c>
      <c r="R439" s="18">
        <v>3</v>
      </c>
      <c r="S439" s="18"/>
      <c r="T439" s="18">
        <v>24</v>
      </c>
      <c r="U439" s="18">
        <v>0.85</v>
      </c>
      <c r="V439" s="20">
        <v>57.6</v>
      </c>
      <c r="W439" s="18" t="s">
        <v>2975</v>
      </c>
      <c r="X439" s="14"/>
      <c r="Y439" s="14"/>
      <c r="Z439" s="14"/>
      <c r="AA439" s="14"/>
      <c r="AB439" s="14"/>
      <c r="AC439" s="14"/>
      <c r="AD439" s="14"/>
      <c r="AE439" s="14"/>
      <c r="AF439" s="14"/>
      <c r="AG439" s="14"/>
      <c r="AH439" s="18" t="s">
        <v>3049</v>
      </c>
      <c r="AI439" s="14"/>
      <c r="AJ439" s="21">
        <v>0.1333</v>
      </c>
      <c r="AK439" s="18">
        <v>1</v>
      </c>
      <c r="AL439" s="18">
        <v>0</v>
      </c>
      <c r="AM439" s="18">
        <v>20</v>
      </c>
      <c r="AN439" s="17">
        <v>-2.8198695230000001E-3</v>
      </c>
      <c r="AO439" s="17">
        <v>0.51651450575000002</v>
      </c>
      <c r="AP439" s="17">
        <v>-6.8785152745000008E-2</v>
      </c>
      <c r="AQ439" s="17">
        <v>2.9945863662E-2</v>
      </c>
      <c r="AR439" s="17">
        <v>-6.2236950204999997E-3</v>
      </c>
      <c r="AS439" s="17">
        <v>6.8614969968000007E-4</v>
      </c>
      <c r="AT439" s="17">
        <v>-4.1043276615000003E-5</v>
      </c>
      <c r="AU439" s="17">
        <v>1.2523765609E-6</v>
      </c>
      <c r="AV439" s="17">
        <v>-1.5267979383999999E-8</v>
      </c>
      <c r="AW439" s="17">
        <v>0</v>
      </c>
    </row>
    <row r="440" spans="1:49" ht="17" customHeight="1">
      <c r="A440" s="11" t="s">
        <v>3513</v>
      </c>
      <c r="B440" s="11" t="s">
        <v>3513</v>
      </c>
      <c r="C440" s="18" t="s">
        <v>2867</v>
      </c>
      <c r="D440" s="18" t="s">
        <v>2916</v>
      </c>
      <c r="E440" s="18" t="s">
        <v>2917</v>
      </c>
      <c r="F440" s="18" t="s">
        <v>2918</v>
      </c>
      <c r="G440" s="14"/>
      <c r="H440" s="18" t="s">
        <v>2948</v>
      </c>
      <c r="I440" s="14"/>
      <c r="J440" s="14"/>
      <c r="K440" s="18"/>
      <c r="L440" s="18">
        <v>44</v>
      </c>
      <c r="M440" s="18">
        <v>100</v>
      </c>
      <c r="N440" s="18">
        <v>20</v>
      </c>
      <c r="O440" s="18"/>
      <c r="P440" s="18">
        <v>11.6</v>
      </c>
      <c r="Q440" s="18">
        <v>123</v>
      </c>
      <c r="R440" s="18" t="s">
        <v>3047</v>
      </c>
      <c r="S440" s="18"/>
      <c r="T440" s="18">
        <v>29.04</v>
      </c>
      <c r="U440" s="18">
        <v>0.57999999999999996</v>
      </c>
      <c r="V440" s="20">
        <v>6.9816000000000003E-2</v>
      </c>
      <c r="W440" s="18" t="s">
        <v>2873</v>
      </c>
      <c r="X440" s="14"/>
      <c r="Y440" s="14"/>
      <c r="Z440" s="14"/>
      <c r="AA440" s="14"/>
      <c r="AB440" s="14"/>
      <c r="AC440" s="14"/>
      <c r="AD440" s="14"/>
      <c r="AE440" s="14"/>
      <c r="AF440" s="14"/>
      <c r="AG440" s="14"/>
      <c r="AH440" s="18" t="s">
        <v>3046</v>
      </c>
      <c r="AI440" s="14"/>
      <c r="AJ440" s="21">
        <v>0.1415535</v>
      </c>
      <c r="AK440" s="18">
        <v>1</v>
      </c>
      <c r="AL440" s="18">
        <v>-20</v>
      </c>
      <c r="AM440" s="18">
        <v>20</v>
      </c>
      <c r="AN440" s="17">
        <v>0</v>
      </c>
      <c r="AO440" s="17">
        <v>4.9412999999999996E-4</v>
      </c>
      <c r="AP440" s="17">
        <v>0</v>
      </c>
      <c r="AQ440" s="17">
        <v>0</v>
      </c>
      <c r="AR440" s="17">
        <v>0</v>
      </c>
      <c r="AS440" s="17">
        <v>0</v>
      </c>
      <c r="AT440" s="17">
        <v>0</v>
      </c>
      <c r="AU440" s="17">
        <v>0</v>
      </c>
      <c r="AV440" s="17">
        <v>0</v>
      </c>
      <c r="AW440" s="17">
        <v>0</v>
      </c>
    </row>
    <row r="441" spans="1:49" ht="17" customHeight="1">
      <c r="A441" s="11" t="s">
        <v>3514</v>
      </c>
      <c r="B441" s="11" t="s">
        <v>3514</v>
      </c>
      <c r="C441" s="18" t="s">
        <v>2867</v>
      </c>
      <c r="D441" s="18" t="s">
        <v>2916</v>
      </c>
      <c r="E441" s="18" t="s">
        <v>2927</v>
      </c>
      <c r="F441" s="18" t="s">
        <v>2918</v>
      </c>
      <c r="G441" s="14"/>
      <c r="H441" s="18" t="s">
        <v>3050</v>
      </c>
      <c r="I441" s="14"/>
      <c r="J441" s="14"/>
      <c r="K441" s="18"/>
      <c r="L441" s="18">
        <v>23</v>
      </c>
      <c r="M441" s="18">
        <v>120</v>
      </c>
      <c r="N441" s="18">
        <v>20</v>
      </c>
      <c r="O441" s="18"/>
      <c r="P441" s="18">
        <v>17</v>
      </c>
      <c r="Q441" s="18">
        <v>183</v>
      </c>
      <c r="R441" s="18">
        <v>3</v>
      </c>
      <c r="S441" s="18"/>
      <c r="T441" s="18">
        <v>24</v>
      </c>
      <c r="U441" s="18">
        <v>0.85</v>
      </c>
      <c r="V441" s="20">
        <v>57.6</v>
      </c>
      <c r="W441" s="18" t="s">
        <v>2975</v>
      </c>
      <c r="X441" s="14"/>
      <c r="Y441" s="14"/>
      <c r="Z441" s="14"/>
      <c r="AA441" s="14"/>
      <c r="AB441" s="14"/>
      <c r="AC441" s="14"/>
      <c r="AD441" s="14"/>
      <c r="AE441" s="14"/>
      <c r="AF441" s="14"/>
      <c r="AG441" s="14"/>
      <c r="AH441" s="18" t="s">
        <v>3049</v>
      </c>
      <c r="AI441" s="14"/>
      <c r="AJ441" s="21">
        <v>0.1333</v>
      </c>
      <c r="AK441" s="18">
        <v>1</v>
      </c>
      <c r="AL441" s="18">
        <v>0</v>
      </c>
      <c r="AM441" s="18">
        <v>20</v>
      </c>
      <c r="AN441" s="17">
        <v>-2.8198695230000001E-3</v>
      </c>
      <c r="AO441" s="17">
        <v>0.51651450575000002</v>
      </c>
      <c r="AP441" s="17">
        <v>-6.8785152745000008E-2</v>
      </c>
      <c r="AQ441" s="17">
        <v>2.9945863662E-2</v>
      </c>
      <c r="AR441" s="17">
        <v>-6.2236950204999997E-3</v>
      </c>
      <c r="AS441" s="17">
        <v>6.8614969968000007E-4</v>
      </c>
      <c r="AT441" s="17">
        <v>-4.1043276615000003E-5</v>
      </c>
      <c r="AU441" s="17">
        <v>1.2523765609E-6</v>
      </c>
      <c r="AV441" s="17">
        <v>-1.5267979383999999E-8</v>
      </c>
      <c r="AW441" s="17">
        <v>0</v>
      </c>
    </row>
    <row r="442" spans="1:49" ht="17" customHeight="1">
      <c r="A442" s="11" t="s">
        <v>3515</v>
      </c>
      <c r="B442" s="11" t="s">
        <v>3515</v>
      </c>
      <c r="C442" s="18" t="s">
        <v>2867</v>
      </c>
      <c r="D442" s="18" t="s">
        <v>2916</v>
      </c>
      <c r="E442" s="18" t="s">
        <v>2927</v>
      </c>
      <c r="F442" s="18" t="s">
        <v>2918</v>
      </c>
      <c r="G442" s="14"/>
      <c r="H442" s="18" t="s">
        <v>2919</v>
      </c>
      <c r="I442" s="14"/>
      <c r="J442" s="14"/>
      <c r="K442" s="18"/>
      <c r="L442" s="18">
        <v>23</v>
      </c>
      <c r="M442" s="18">
        <v>100</v>
      </c>
      <c r="N442" s="18">
        <v>20</v>
      </c>
      <c r="O442" s="18"/>
      <c r="P442" s="18">
        <v>19</v>
      </c>
      <c r="Q442" s="18">
        <v>224</v>
      </c>
      <c r="R442" s="18">
        <v>3</v>
      </c>
      <c r="S442" s="18"/>
      <c r="T442" s="18" t="s">
        <v>2920</v>
      </c>
      <c r="U442" s="18">
        <v>0.95</v>
      </c>
      <c r="V442" s="20">
        <v>55.94</v>
      </c>
      <c r="W442" s="18" t="s">
        <v>2975</v>
      </c>
      <c r="X442" s="14"/>
      <c r="Y442" s="14"/>
      <c r="Z442" s="14"/>
      <c r="AA442" s="14"/>
      <c r="AB442" s="14"/>
      <c r="AC442" s="14"/>
      <c r="AD442" s="14"/>
      <c r="AE442" s="14"/>
      <c r="AF442" s="14"/>
      <c r="AG442" s="14"/>
      <c r="AH442" s="18" t="s">
        <v>3516</v>
      </c>
      <c r="AI442" s="14"/>
      <c r="AJ442" s="21">
        <v>0.115</v>
      </c>
      <c r="AK442" s="18">
        <v>1</v>
      </c>
      <c r="AL442" s="18">
        <v>0</v>
      </c>
      <c r="AM442" s="18">
        <v>20</v>
      </c>
      <c r="AN442" s="17">
        <v>2.482538695E-2</v>
      </c>
      <c r="AO442" s="17">
        <v>0.38448708999999998</v>
      </c>
      <c r="AP442" s="17">
        <v>3.2681176099999987E-2</v>
      </c>
      <c r="AQ442" s="17">
        <v>-3.1801368600000001E-3</v>
      </c>
      <c r="AR442" s="17">
        <v>6.9254573200000009E-5</v>
      </c>
      <c r="AS442" s="17">
        <v>0</v>
      </c>
      <c r="AT442" s="17">
        <v>0</v>
      </c>
      <c r="AU442" s="17">
        <v>0</v>
      </c>
      <c r="AV442" s="17">
        <v>0</v>
      </c>
      <c r="AW442" s="17">
        <v>0</v>
      </c>
    </row>
    <row r="443" spans="1:49" ht="17" customHeight="1">
      <c r="A443" s="11" t="s">
        <v>3517</v>
      </c>
      <c r="B443" s="11" t="s">
        <v>3517</v>
      </c>
      <c r="C443" s="18" t="s">
        <v>2867</v>
      </c>
      <c r="D443" s="18" t="s">
        <v>2916</v>
      </c>
      <c r="E443" s="18" t="s">
        <v>2917</v>
      </c>
      <c r="F443" s="18" t="s">
        <v>2918</v>
      </c>
      <c r="G443" s="14"/>
      <c r="H443" s="18" t="s">
        <v>2948</v>
      </c>
      <c r="I443" s="14"/>
      <c r="J443" s="14"/>
      <c r="K443" s="18"/>
      <c r="L443" s="18">
        <v>44</v>
      </c>
      <c r="M443" s="18">
        <v>100</v>
      </c>
      <c r="N443" s="18">
        <v>20</v>
      </c>
      <c r="O443" s="18"/>
      <c r="P443" s="18">
        <v>11.6</v>
      </c>
      <c r="Q443" s="18">
        <v>123</v>
      </c>
      <c r="R443" s="18" t="s">
        <v>3047</v>
      </c>
      <c r="S443" s="18"/>
      <c r="T443" s="18">
        <v>29.04</v>
      </c>
      <c r="U443" s="18">
        <v>0.57999999999999996</v>
      </c>
      <c r="V443" s="20">
        <v>6.9816000000000003E-2</v>
      </c>
      <c r="W443" s="18" t="s">
        <v>2873</v>
      </c>
      <c r="X443" s="14"/>
      <c r="Y443" s="14"/>
      <c r="Z443" s="14"/>
      <c r="AA443" s="14"/>
      <c r="AB443" s="14"/>
      <c r="AC443" s="14"/>
      <c r="AD443" s="14"/>
      <c r="AE443" s="14"/>
      <c r="AF443" s="14"/>
      <c r="AG443" s="14"/>
      <c r="AH443" s="18" t="s">
        <v>3046</v>
      </c>
      <c r="AI443" s="14"/>
      <c r="AJ443" s="21">
        <v>0.1415535</v>
      </c>
      <c r="AK443" s="18">
        <v>1</v>
      </c>
      <c r="AL443" s="18">
        <v>-20</v>
      </c>
      <c r="AM443" s="18">
        <v>20</v>
      </c>
      <c r="AN443" s="17">
        <v>0</v>
      </c>
      <c r="AO443" s="17">
        <v>4.9412999999999996E-4</v>
      </c>
      <c r="AP443" s="17">
        <v>0</v>
      </c>
      <c r="AQ443" s="17">
        <v>0</v>
      </c>
      <c r="AR443" s="17">
        <v>0</v>
      </c>
      <c r="AS443" s="17">
        <v>0</v>
      </c>
      <c r="AT443" s="17">
        <v>0</v>
      </c>
      <c r="AU443" s="17">
        <v>0</v>
      </c>
      <c r="AV443" s="17">
        <v>0</v>
      </c>
      <c r="AW443" s="17">
        <v>0</v>
      </c>
    </row>
    <row r="444" spans="1:49" ht="17" customHeight="1">
      <c r="A444" s="11" t="s">
        <v>3518</v>
      </c>
      <c r="B444" s="11" t="s">
        <v>3518</v>
      </c>
      <c r="C444" s="18" t="s">
        <v>2867</v>
      </c>
      <c r="D444" s="18" t="s">
        <v>2916</v>
      </c>
      <c r="E444" s="18" t="s">
        <v>2927</v>
      </c>
      <c r="F444" s="18" t="s">
        <v>2918</v>
      </c>
      <c r="G444" s="14"/>
      <c r="H444" s="18" t="s">
        <v>2919</v>
      </c>
      <c r="I444" s="14"/>
      <c r="J444" s="14"/>
      <c r="K444" s="18"/>
      <c r="L444" s="18">
        <v>23</v>
      </c>
      <c r="M444" s="18">
        <v>100</v>
      </c>
      <c r="N444" s="18">
        <v>20</v>
      </c>
      <c r="O444" s="18"/>
      <c r="P444" s="18">
        <v>19</v>
      </c>
      <c r="Q444" s="18">
        <v>224</v>
      </c>
      <c r="R444" s="18">
        <v>3</v>
      </c>
      <c r="S444" s="18"/>
      <c r="T444" s="18" t="s">
        <v>2920</v>
      </c>
      <c r="U444" s="18">
        <v>0.95</v>
      </c>
      <c r="V444" s="20">
        <v>55.94</v>
      </c>
      <c r="W444" s="18" t="s">
        <v>2975</v>
      </c>
      <c r="X444" s="14"/>
      <c r="Y444" s="14"/>
      <c r="Z444" s="14"/>
      <c r="AA444" s="14"/>
      <c r="AB444" s="14"/>
      <c r="AC444" s="14"/>
      <c r="AD444" s="14"/>
      <c r="AE444" s="14"/>
      <c r="AF444" s="14"/>
      <c r="AG444" s="14"/>
      <c r="AH444" s="18" t="s">
        <v>3516</v>
      </c>
      <c r="AI444" s="14"/>
      <c r="AJ444" s="21">
        <v>0.115</v>
      </c>
      <c r="AK444" s="18">
        <v>1</v>
      </c>
      <c r="AL444" s="18">
        <v>0</v>
      </c>
      <c r="AM444" s="18">
        <v>20</v>
      </c>
      <c r="AN444" s="17">
        <v>2.482538695E-2</v>
      </c>
      <c r="AO444" s="17">
        <v>0.38448708999999998</v>
      </c>
      <c r="AP444" s="17">
        <v>3.2681176099999987E-2</v>
      </c>
      <c r="AQ444" s="17">
        <v>-3.1801368600000001E-3</v>
      </c>
      <c r="AR444" s="17">
        <v>6.9254573200000009E-5</v>
      </c>
      <c r="AS444" s="17">
        <v>0</v>
      </c>
      <c r="AT444" s="17">
        <v>0</v>
      </c>
      <c r="AU444" s="17">
        <v>0</v>
      </c>
      <c r="AV444" s="17">
        <v>0</v>
      </c>
      <c r="AW444" s="17">
        <v>0</v>
      </c>
    </row>
    <row r="445" spans="1:49" ht="17" customHeight="1">
      <c r="A445" s="11" t="s">
        <v>3519</v>
      </c>
      <c r="B445" s="11" t="s">
        <v>3519</v>
      </c>
      <c r="C445" s="18" t="s">
        <v>2867</v>
      </c>
      <c r="D445" s="18" t="s">
        <v>2916</v>
      </c>
      <c r="E445" s="18" t="s">
        <v>2927</v>
      </c>
      <c r="F445" s="18" t="s">
        <v>2918</v>
      </c>
      <c r="G445" s="14"/>
      <c r="H445" s="18" t="s">
        <v>2919</v>
      </c>
      <c r="I445" s="14"/>
      <c r="J445" s="14"/>
      <c r="K445" s="18"/>
      <c r="L445" s="18">
        <v>23</v>
      </c>
      <c r="M445" s="18">
        <v>100</v>
      </c>
      <c r="N445" s="18">
        <v>20</v>
      </c>
      <c r="O445" s="18"/>
      <c r="P445" s="18">
        <v>19</v>
      </c>
      <c r="Q445" s="18">
        <v>224</v>
      </c>
      <c r="R445" s="18">
        <v>3</v>
      </c>
      <c r="S445" s="18"/>
      <c r="T445" s="18" t="s">
        <v>2920</v>
      </c>
      <c r="U445" s="18">
        <v>0.95</v>
      </c>
      <c r="V445" s="20">
        <v>55.94</v>
      </c>
      <c r="W445" s="18" t="s">
        <v>2975</v>
      </c>
      <c r="X445" s="14"/>
      <c r="Y445" s="14"/>
      <c r="Z445" s="14"/>
      <c r="AA445" s="14"/>
      <c r="AB445" s="14"/>
      <c r="AC445" s="14"/>
      <c r="AD445" s="14"/>
      <c r="AE445" s="14"/>
      <c r="AF445" s="14"/>
      <c r="AG445" s="14"/>
      <c r="AH445" s="18" t="s">
        <v>3516</v>
      </c>
      <c r="AI445" s="14"/>
      <c r="AJ445" s="21">
        <v>0.115</v>
      </c>
      <c r="AK445" s="18">
        <v>1</v>
      </c>
      <c r="AL445" s="18">
        <v>0</v>
      </c>
      <c r="AM445" s="18">
        <v>20</v>
      </c>
      <c r="AN445" s="17">
        <v>2.482538695E-2</v>
      </c>
      <c r="AO445" s="17">
        <v>0.38448708999999998</v>
      </c>
      <c r="AP445" s="17">
        <v>3.2681176099999987E-2</v>
      </c>
      <c r="AQ445" s="17">
        <v>-3.1801368600000001E-3</v>
      </c>
      <c r="AR445" s="17">
        <v>6.9254573200000009E-5</v>
      </c>
      <c r="AS445" s="17">
        <v>0</v>
      </c>
      <c r="AT445" s="17">
        <v>0</v>
      </c>
      <c r="AU445" s="17">
        <v>0</v>
      </c>
      <c r="AV445" s="17">
        <v>0</v>
      </c>
      <c r="AW445" s="17">
        <v>0</v>
      </c>
    </row>
    <row r="446" spans="1:49" ht="17" customHeight="1">
      <c r="A446" s="11" t="s">
        <v>3520</v>
      </c>
      <c r="B446" s="11" t="s">
        <v>3520</v>
      </c>
      <c r="C446" s="18" t="s">
        <v>2867</v>
      </c>
      <c r="D446" s="18" t="s">
        <v>2916</v>
      </c>
      <c r="E446" s="18" t="s">
        <v>2927</v>
      </c>
      <c r="F446" s="18" t="s">
        <v>2918</v>
      </c>
      <c r="G446" s="14"/>
      <c r="H446" s="18" t="s">
        <v>2919</v>
      </c>
      <c r="I446" s="14"/>
      <c r="J446" s="14"/>
      <c r="K446" s="18"/>
      <c r="L446" s="18">
        <v>23</v>
      </c>
      <c r="M446" s="18">
        <v>100</v>
      </c>
      <c r="N446" s="18">
        <v>20</v>
      </c>
      <c r="O446" s="18"/>
      <c r="P446" s="18">
        <v>19</v>
      </c>
      <c r="Q446" s="18">
        <v>224</v>
      </c>
      <c r="R446" s="18">
        <v>3</v>
      </c>
      <c r="S446" s="18"/>
      <c r="T446" s="18" t="s">
        <v>2920</v>
      </c>
      <c r="U446" s="18">
        <v>0.95</v>
      </c>
      <c r="V446" s="20">
        <v>55.94</v>
      </c>
      <c r="W446" s="18" t="s">
        <v>2975</v>
      </c>
      <c r="X446" s="14"/>
      <c r="Y446" s="14"/>
      <c r="Z446" s="14"/>
      <c r="AA446" s="14"/>
      <c r="AB446" s="14"/>
      <c r="AC446" s="14"/>
      <c r="AD446" s="14"/>
      <c r="AE446" s="14"/>
      <c r="AF446" s="14"/>
      <c r="AG446" s="14"/>
      <c r="AH446" s="18" t="s">
        <v>3516</v>
      </c>
      <c r="AI446" s="14"/>
      <c r="AJ446" s="21">
        <v>0.115</v>
      </c>
      <c r="AK446" s="18">
        <v>1</v>
      </c>
      <c r="AL446" s="18">
        <v>0</v>
      </c>
      <c r="AM446" s="18">
        <v>20</v>
      </c>
      <c r="AN446" s="17">
        <v>2.482538695E-2</v>
      </c>
      <c r="AO446" s="17">
        <v>0.38448708999999998</v>
      </c>
      <c r="AP446" s="17">
        <v>3.2681176099999987E-2</v>
      </c>
      <c r="AQ446" s="17">
        <v>-3.1801368600000001E-3</v>
      </c>
      <c r="AR446" s="17">
        <v>6.9254573200000009E-5</v>
      </c>
      <c r="AS446" s="17">
        <v>0</v>
      </c>
      <c r="AT446" s="17">
        <v>0</v>
      </c>
      <c r="AU446" s="17">
        <v>0</v>
      </c>
      <c r="AV446" s="17">
        <v>0</v>
      </c>
      <c r="AW446" s="17">
        <v>0</v>
      </c>
    </row>
    <row r="447" spans="1:49" ht="17" customHeight="1">
      <c r="A447" s="11" t="s">
        <v>3521</v>
      </c>
      <c r="B447" s="11" t="s">
        <v>3521</v>
      </c>
      <c r="C447" s="18" t="s">
        <v>2867</v>
      </c>
      <c r="D447" s="18" t="s">
        <v>2916</v>
      </c>
      <c r="E447" s="18" t="s">
        <v>2927</v>
      </c>
      <c r="F447" s="18" t="s">
        <v>2918</v>
      </c>
      <c r="G447" s="14"/>
      <c r="H447" s="18" t="s">
        <v>2919</v>
      </c>
      <c r="I447" s="14"/>
      <c r="J447" s="14"/>
      <c r="K447" s="18"/>
      <c r="L447" s="18">
        <v>23</v>
      </c>
      <c r="M447" s="18">
        <v>100</v>
      </c>
      <c r="N447" s="18">
        <v>20</v>
      </c>
      <c r="O447" s="18"/>
      <c r="P447" s="18">
        <v>19</v>
      </c>
      <c r="Q447" s="18">
        <v>224</v>
      </c>
      <c r="R447" s="18">
        <v>3</v>
      </c>
      <c r="S447" s="18"/>
      <c r="T447" s="18" t="s">
        <v>2920</v>
      </c>
      <c r="U447" s="18">
        <v>0.95</v>
      </c>
      <c r="V447" s="20">
        <v>55.94</v>
      </c>
      <c r="W447" s="18" t="s">
        <v>2975</v>
      </c>
      <c r="X447" s="14"/>
      <c r="Y447" s="14"/>
      <c r="Z447" s="14"/>
      <c r="AA447" s="14"/>
      <c r="AB447" s="14"/>
      <c r="AC447" s="14"/>
      <c r="AD447" s="14"/>
      <c r="AE447" s="14"/>
      <c r="AF447" s="14"/>
      <c r="AG447" s="14"/>
      <c r="AH447" s="18" t="s">
        <v>3516</v>
      </c>
      <c r="AI447" s="14"/>
      <c r="AJ447" s="21">
        <v>0.115</v>
      </c>
      <c r="AK447" s="18">
        <v>1</v>
      </c>
      <c r="AL447" s="18">
        <v>0</v>
      </c>
      <c r="AM447" s="18">
        <v>20</v>
      </c>
      <c r="AN447" s="17">
        <v>2.482538695E-2</v>
      </c>
      <c r="AO447" s="17">
        <v>0.38448708999999998</v>
      </c>
      <c r="AP447" s="17">
        <v>3.2681176099999987E-2</v>
      </c>
      <c r="AQ447" s="17">
        <v>-3.1801368600000001E-3</v>
      </c>
      <c r="AR447" s="17">
        <v>6.9254573200000009E-5</v>
      </c>
      <c r="AS447" s="17">
        <v>0</v>
      </c>
      <c r="AT447" s="17">
        <v>0</v>
      </c>
      <c r="AU447" s="17">
        <v>0</v>
      </c>
      <c r="AV447" s="17">
        <v>0</v>
      </c>
      <c r="AW447" s="17">
        <v>0</v>
      </c>
    </row>
    <row r="448" spans="1:49" ht="17" customHeight="1">
      <c r="A448" s="11" t="s">
        <v>3522</v>
      </c>
      <c r="B448" s="11" t="s">
        <v>3522</v>
      </c>
      <c r="C448" s="18" t="s">
        <v>2867</v>
      </c>
      <c r="D448" s="18" t="s">
        <v>2916</v>
      </c>
      <c r="E448" s="18" t="s">
        <v>2927</v>
      </c>
      <c r="F448" s="18" t="s">
        <v>2918</v>
      </c>
      <c r="G448" s="14"/>
      <c r="H448" s="18" t="s">
        <v>2919</v>
      </c>
      <c r="I448" s="14"/>
      <c r="J448" s="14"/>
      <c r="K448" s="18"/>
      <c r="L448" s="18">
        <v>23</v>
      </c>
      <c r="M448" s="18">
        <v>100</v>
      </c>
      <c r="N448" s="18">
        <v>20</v>
      </c>
      <c r="O448" s="18"/>
      <c r="P448" s="18">
        <v>19</v>
      </c>
      <c r="Q448" s="18">
        <v>224</v>
      </c>
      <c r="R448" s="18">
        <v>3</v>
      </c>
      <c r="S448" s="18"/>
      <c r="T448" s="18" t="s">
        <v>2920</v>
      </c>
      <c r="U448" s="18">
        <v>0.95</v>
      </c>
      <c r="V448" s="20">
        <v>55.94</v>
      </c>
      <c r="W448" s="18" t="s">
        <v>2975</v>
      </c>
      <c r="X448" s="14"/>
      <c r="Y448" s="14"/>
      <c r="Z448" s="14"/>
      <c r="AA448" s="14"/>
      <c r="AB448" s="14"/>
      <c r="AC448" s="14"/>
      <c r="AD448" s="14"/>
      <c r="AE448" s="14"/>
      <c r="AF448" s="14"/>
      <c r="AG448" s="14"/>
      <c r="AH448" s="18" t="s">
        <v>3516</v>
      </c>
      <c r="AI448" s="14"/>
      <c r="AJ448" s="21">
        <v>0.115</v>
      </c>
      <c r="AK448" s="18">
        <v>1</v>
      </c>
      <c r="AL448" s="18">
        <v>0</v>
      </c>
      <c r="AM448" s="18">
        <v>20</v>
      </c>
      <c r="AN448" s="17">
        <v>2.482538695E-2</v>
      </c>
      <c r="AO448" s="17">
        <v>0.38448708999999998</v>
      </c>
      <c r="AP448" s="17">
        <v>3.2681176099999987E-2</v>
      </c>
      <c r="AQ448" s="17">
        <v>-3.1801368600000001E-3</v>
      </c>
      <c r="AR448" s="17">
        <v>6.9254573200000009E-5</v>
      </c>
      <c r="AS448" s="17">
        <v>0</v>
      </c>
      <c r="AT448" s="17">
        <v>0</v>
      </c>
      <c r="AU448" s="17">
        <v>0</v>
      </c>
      <c r="AV448" s="17">
        <v>0</v>
      </c>
      <c r="AW448" s="17">
        <v>0</v>
      </c>
    </row>
    <row r="449" spans="1:49" ht="17" customHeight="1">
      <c r="A449" s="11" t="s">
        <v>3523</v>
      </c>
      <c r="B449" s="11" t="s">
        <v>3523</v>
      </c>
      <c r="C449" s="18" t="s">
        <v>2867</v>
      </c>
      <c r="D449" s="18" t="s">
        <v>2916</v>
      </c>
      <c r="E449" s="18" t="s">
        <v>2927</v>
      </c>
      <c r="F449" s="18" t="s">
        <v>2918</v>
      </c>
      <c r="G449" s="14"/>
      <c r="H449" s="18" t="s">
        <v>2919</v>
      </c>
      <c r="I449" s="14"/>
      <c r="J449" s="14"/>
      <c r="K449" s="18"/>
      <c r="L449" s="18">
        <v>23</v>
      </c>
      <c r="M449" s="18">
        <v>100</v>
      </c>
      <c r="N449" s="18">
        <v>20</v>
      </c>
      <c r="O449" s="18"/>
      <c r="P449" s="18">
        <v>19</v>
      </c>
      <c r="Q449" s="18">
        <v>224</v>
      </c>
      <c r="R449" s="18">
        <v>3</v>
      </c>
      <c r="S449" s="18"/>
      <c r="T449" s="18" t="s">
        <v>2920</v>
      </c>
      <c r="U449" s="18">
        <v>0.95</v>
      </c>
      <c r="V449" s="20">
        <v>55.94</v>
      </c>
      <c r="W449" s="18" t="s">
        <v>2975</v>
      </c>
      <c r="X449" s="14"/>
      <c r="Y449" s="14"/>
      <c r="Z449" s="14"/>
      <c r="AA449" s="14"/>
      <c r="AB449" s="14"/>
      <c r="AC449" s="14"/>
      <c r="AD449" s="14"/>
      <c r="AE449" s="14"/>
      <c r="AF449" s="14"/>
      <c r="AG449" s="14"/>
      <c r="AH449" s="18" t="s">
        <v>3516</v>
      </c>
      <c r="AI449" s="14"/>
      <c r="AJ449" s="21">
        <v>0.115</v>
      </c>
      <c r="AK449" s="18">
        <v>1</v>
      </c>
      <c r="AL449" s="18">
        <v>0</v>
      </c>
      <c r="AM449" s="18">
        <v>20</v>
      </c>
      <c r="AN449" s="17">
        <v>2.482538695E-2</v>
      </c>
      <c r="AO449" s="17">
        <v>0.38448708999999998</v>
      </c>
      <c r="AP449" s="17">
        <v>3.2681176099999987E-2</v>
      </c>
      <c r="AQ449" s="17">
        <v>-3.1801368600000001E-3</v>
      </c>
      <c r="AR449" s="17">
        <v>6.9254573200000009E-5</v>
      </c>
      <c r="AS449" s="17">
        <v>0</v>
      </c>
      <c r="AT449" s="17">
        <v>0</v>
      </c>
      <c r="AU449" s="17">
        <v>0</v>
      </c>
      <c r="AV449" s="17">
        <v>0</v>
      </c>
      <c r="AW449" s="17">
        <v>0</v>
      </c>
    </row>
    <row r="450" spans="1:49" ht="17" customHeight="1">
      <c r="A450" s="11" t="s">
        <v>3524</v>
      </c>
      <c r="B450" s="11" t="s">
        <v>3524</v>
      </c>
      <c r="C450" s="18" t="s">
        <v>2867</v>
      </c>
      <c r="D450" s="18" t="s">
        <v>2916</v>
      </c>
      <c r="E450" s="18" t="s">
        <v>2927</v>
      </c>
      <c r="F450" s="18" t="s">
        <v>2918</v>
      </c>
      <c r="G450" s="14"/>
      <c r="H450" s="18" t="s">
        <v>2919</v>
      </c>
      <c r="I450" s="14"/>
      <c r="J450" s="14"/>
      <c r="K450" s="18"/>
      <c r="L450" s="18">
        <v>23</v>
      </c>
      <c r="M450" s="18">
        <v>100</v>
      </c>
      <c r="N450" s="18">
        <v>20</v>
      </c>
      <c r="O450" s="18"/>
      <c r="P450" s="18">
        <v>19</v>
      </c>
      <c r="Q450" s="18">
        <v>224</v>
      </c>
      <c r="R450" s="18">
        <v>3</v>
      </c>
      <c r="S450" s="18"/>
      <c r="T450" s="18" t="s">
        <v>2920</v>
      </c>
      <c r="U450" s="18">
        <v>0.95</v>
      </c>
      <c r="V450" s="20">
        <v>55.94</v>
      </c>
      <c r="W450" s="18" t="s">
        <v>2975</v>
      </c>
      <c r="X450" s="14"/>
      <c r="Y450" s="14"/>
      <c r="Z450" s="14"/>
      <c r="AA450" s="14"/>
      <c r="AB450" s="14"/>
      <c r="AC450" s="14"/>
      <c r="AD450" s="14"/>
      <c r="AE450" s="14"/>
      <c r="AF450" s="14"/>
      <c r="AG450" s="14"/>
      <c r="AH450" s="18" t="s">
        <v>3516</v>
      </c>
      <c r="AI450" s="14"/>
      <c r="AJ450" s="21">
        <v>0.115</v>
      </c>
      <c r="AK450" s="18">
        <v>1</v>
      </c>
      <c r="AL450" s="18">
        <v>0</v>
      </c>
      <c r="AM450" s="18">
        <v>20</v>
      </c>
      <c r="AN450" s="17">
        <v>2.482538695E-2</v>
      </c>
      <c r="AO450" s="17">
        <v>0.38448708999999998</v>
      </c>
      <c r="AP450" s="17">
        <v>3.2681176099999987E-2</v>
      </c>
      <c r="AQ450" s="17">
        <v>-3.1801368600000001E-3</v>
      </c>
      <c r="AR450" s="17">
        <v>6.9254573200000009E-5</v>
      </c>
      <c r="AS450" s="17">
        <v>0</v>
      </c>
      <c r="AT450" s="17">
        <v>0</v>
      </c>
      <c r="AU450" s="17">
        <v>0</v>
      </c>
      <c r="AV450" s="17">
        <v>0</v>
      </c>
      <c r="AW450" s="17">
        <v>0</v>
      </c>
    </row>
    <row r="451" spans="1:49" ht="17" customHeight="1">
      <c r="A451" s="11" t="s">
        <v>3525</v>
      </c>
      <c r="B451" s="11" t="s">
        <v>3525</v>
      </c>
      <c r="C451" s="18" t="s">
        <v>2867</v>
      </c>
      <c r="D451" s="18" t="s">
        <v>2916</v>
      </c>
      <c r="E451" s="18" t="s">
        <v>2927</v>
      </c>
      <c r="F451" s="18" t="s">
        <v>2918</v>
      </c>
      <c r="G451" s="14"/>
      <c r="H451" s="18" t="s">
        <v>2919</v>
      </c>
      <c r="I451" s="14"/>
      <c r="J451" s="14"/>
      <c r="K451" s="18"/>
      <c r="L451" s="18">
        <v>23</v>
      </c>
      <c r="M451" s="18">
        <v>100</v>
      </c>
      <c r="N451" s="18">
        <v>20</v>
      </c>
      <c r="O451" s="18"/>
      <c r="P451" s="18">
        <v>19</v>
      </c>
      <c r="Q451" s="18">
        <v>224</v>
      </c>
      <c r="R451" s="18">
        <v>3</v>
      </c>
      <c r="S451" s="18"/>
      <c r="T451" s="18" t="s">
        <v>2920</v>
      </c>
      <c r="U451" s="18">
        <v>0.95</v>
      </c>
      <c r="V451" s="20">
        <v>55.94</v>
      </c>
      <c r="W451" s="18" t="s">
        <v>2975</v>
      </c>
      <c r="X451" s="14"/>
      <c r="Y451" s="14"/>
      <c r="Z451" s="14"/>
      <c r="AA451" s="14"/>
      <c r="AB451" s="14"/>
      <c r="AC451" s="14"/>
      <c r="AD451" s="14"/>
      <c r="AE451" s="14"/>
      <c r="AF451" s="14"/>
      <c r="AG451" s="14"/>
      <c r="AH451" s="18" t="s">
        <v>3516</v>
      </c>
      <c r="AI451" s="14"/>
      <c r="AJ451" s="21">
        <v>0.115</v>
      </c>
      <c r="AK451" s="18">
        <v>1</v>
      </c>
      <c r="AL451" s="18">
        <v>0</v>
      </c>
      <c r="AM451" s="18">
        <v>20</v>
      </c>
      <c r="AN451" s="17">
        <v>2.482538695E-2</v>
      </c>
      <c r="AO451" s="17">
        <v>0.38448708999999998</v>
      </c>
      <c r="AP451" s="17">
        <v>3.2681176099999987E-2</v>
      </c>
      <c r="AQ451" s="17">
        <v>-3.1801368600000001E-3</v>
      </c>
      <c r="AR451" s="17">
        <v>6.9254573200000009E-5</v>
      </c>
      <c r="AS451" s="17">
        <v>0</v>
      </c>
      <c r="AT451" s="17">
        <v>0</v>
      </c>
      <c r="AU451" s="17">
        <v>0</v>
      </c>
      <c r="AV451" s="17">
        <v>0</v>
      </c>
      <c r="AW451" s="17">
        <v>0</v>
      </c>
    </row>
    <row r="452" spans="1:49" ht="17" customHeight="1">
      <c r="A452" s="11" t="s">
        <v>3526</v>
      </c>
      <c r="B452" s="11" t="s">
        <v>3526</v>
      </c>
      <c r="C452" s="18" t="s">
        <v>2867</v>
      </c>
      <c r="D452" s="18" t="s">
        <v>2916</v>
      </c>
      <c r="E452" s="18" t="s">
        <v>2917</v>
      </c>
      <c r="F452" s="18" t="s">
        <v>2918</v>
      </c>
      <c r="G452" s="14"/>
      <c r="H452" s="18" t="s">
        <v>2948</v>
      </c>
      <c r="I452" s="14"/>
      <c r="J452" s="14"/>
      <c r="K452" s="18"/>
      <c r="L452" s="18">
        <v>44</v>
      </c>
      <c r="M452" s="18">
        <v>100</v>
      </c>
      <c r="N452" s="18">
        <v>20</v>
      </c>
      <c r="O452" s="18"/>
      <c r="P452" s="18">
        <v>11.6</v>
      </c>
      <c r="Q452" s="18">
        <v>123</v>
      </c>
      <c r="R452" s="18" t="s">
        <v>3047</v>
      </c>
      <c r="S452" s="18"/>
      <c r="T452" s="18">
        <v>29.04</v>
      </c>
      <c r="U452" s="18">
        <v>0.57999999999999996</v>
      </c>
      <c r="V452" s="20">
        <v>6.9816000000000003E-2</v>
      </c>
      <c r="W452" s="18" t="s">
        <v>2873</v>
      </c>
      <c r="X452" s="14"/>
      <c r="Y452" s="14"/>
      <c r="Z452" s="14"/>
      <c r="AA452" s="14"/>
      <c r="AB452" s="14"/>
      <c r="AC452" s="14"/>
      <c r="AD452" s="14"/>
      <c r="AE452" s="14"/>
      <c r="AF452" s="14"/>
      <c r="AG452" s="14"/>
      <c r="AH452" s="18" t="s">
        <v>3046</v>
      </c>
      <c r="AI452" s="14"/>
      <c r="AJ452" s="21">
        <v>0.1415535</v>
      </c>
      <c r="AK452" s="18">
        <v>1</v>
      </c>
      <c r="AL452" s="18">
        <v>-20</v>
      </c>
      <c r="AM452" s="18">
        <v>20</v>
      </c>
      <c r="AN452" s="17">
        <v>0</v>
      </c>
      <c r="AO452" s="17">
        <v>4.9412999999999996E-4</v>
      </c>
      <c r="AP452" s="17">
        <v>0</v>
      </c>
      <c r="AQ452" s="17">
        <v>0</v>
      </c>
      <c r="AR452" s="17">
        <v>0</v>
      </c>
      <c r="AS452" s="17">
        <v>0</v>
      </c>
      <c r="AT452" s="17">
        <v>0</v>
      </c>
      <c r="AU452" s="17">
        <v>0</v>
      </c>
      <c r="AV452" s="17">
        <v>0</v>
      </c>
      <c r="AW452" s="17">
        <v>0</v>
      </c>
    </row>
    <row r="453" spans="1:49" ht="17" customHeight="1">
      <c r="A453" s="11" t="s">
        <v>3527</v>
      </c>
      <c r="B453" s="11" t="s">
        <v>3527</v>
      </c>
      <c r="C453" s="18" t="s">
        <v>2867</v>
      </c>
      <c r="D453" s="18" t="s">
        <v>2916</v>
      </c>
      <c r="E453" s="18" t="s">
        <v>2927</v>
      </c>
      <c r="F453" s="18" t="s">
        <v>2918</v>
      </c>
      <c r="G453" s="14"/>
      <c r="H453" s="18" t="s">
        <v>2919</v>
      </c>
      <c r="I453" s="14"/>
      <c r="J453" s="14"/>
      <c r="K453" s="18"/>
      <c r="L453" s="18">
        <v>23</v>
      </c>
      <c r="M453" s="18">
        <v>100</v>
      </c>
      <c r="N453" s="18">
        <v>20</v>
      </c>
      <c r="O453" s="18"/>
      <c r="P453" s="18">
        <v>19</v>
      </c>
      <c r="Q453" s="18">
        <v>224</v>
      </c>
      <c r="R453" s="18">
        <v>3</v>
      </c>
      <c r="S453" s="18"/>
      <c r="T453" s="18" t="s">
        <v>2920</v>
      </c>
      <c r="U453" s="18">
        <v>0.95</v>
      </c>
      <c r="V453" s="20">
        <v>55.94</v>
      </c>
      <c r="W453" s="18" t="s">
        <v>2975</v>
      </c>
      <c r="X453" s="14"/>
      <c r="Y453" s="14"/>
      <c r="Z453" s="14"/>
      <c r="AA453" s="14"/>
      <c r="AB453" s="14"/>
      <c r="AC453" s="14"/>
      <c r="AD453" s="14"/>
      <c r="AE453" s="14"/>
      <c r="AF453" s="14"/>
      <c r="AG453" s="14"/>
      <c r="AH453" s="18" t="s">
        <v>3516</v>
      </c>
      <c r="AI453" s="14"/>
      <c r="AJ453" s="21">
        <v>0.115</v>
      </c>
      <c r="AK453" s="18">
        <v>1</v>
      </c>
      <c r="AL453" s="18">
        <v>0</v>
      </c>
      <c r="AM453" s="18">
        <v>20</v>
      </c>
      <c r="AN453" s="17">
        <v>2.482538695E-2</v>
      </c>
      <c r="AO453" s="17">
        <v>0.38448708999999998</v>
      </c>
      <c r="AP453" s="17">
        <v>3.2681176099999987E-2</v>
      </c>
      <c r="AQ453" s="17">
        <v>-3.1801368600000001E-3</v>
      </c>
      <c r="AR453" s="17">
        <v>6.9254573200000009E-5</v>
      </c>
      <c r="AS453" s="17">
        <v>0</v>
      </c>
      <c r="AT453" s="17">
        <v>0</v>
      </c>
      <c r="AU453" s="17">
        <v>0</v>
      </c>
      <c r="AV453" s="17">
        <v>0</v>
      </c>
      <c r="AW453" s="17">
        <v>0</v>
      </c>
    </row>
    <row r="454" spans="1:49" ht="17" customHeight="1">
      <c r="A454" s="11" t="s">
        <v>3528</v>
      </c>
      <c r="B454" s="11" t="s">
        <v>3528</v>
      </c>
      <c r="C454" s="14" t="s">
        <v>2867</v>
      </c>
      <c r="D454" s="14" t="s">
        <v>2916</v>
      </c>
      <c r="E454" s="14" t="s">
        <v>2927</v>
      </c>
      <c r="F454" s="14" t="s">
        <v>2918</v>
      </c>
      <c r="G454" s="14"/>
      <c r="H454" s="14" t="s">
        <v>2919</v>
      </c>
      <c r="I454" s="14"/>
      <c r="J454" s="14"/>
      <c r="K454" s="14"/>
      <c r="L454" s="14">
        <v>23</v>
      </c>
      <c r="M454" s="14">
        <v>100</v>
      </c>
      <c r="N454" s="14">
        <v>20</v>
      </c>
      <c r="O454" s="14"/>
      <c r="P454" s="14">
        <v>19</v>
      </c>
      <c r="Q454" s="14">
        <v>224</v>
      </c>
      <c r="R454" s="14">
        <v>3</v>
      </c>
      <c r="S454" s="14"/>
      <c r="T454" s="14" t="s">
        <v>2920</v>
      </c>
      <c r="U454" s="14">
        <v>0.95</v>
      </c>
      <c r="V454" s="15">
        <v>55.94</v>
      </c>
      <c r="W454" s="14" t="s">
        <v>2975</v>
      </c>
      <c r="X454" s="14"/>
      <c r="Y454" s="14"/>
      <c r="Z454" s="14"/>
      <c r="AA454" s="14"/>
      <c r="AB454" s="14"/>
      <c r="AC454" s="14"/>
      <c r="AD454" s="14"/>
      <c r="AE454" s="14"/>
      <c r="AF454" s="14"/>
      <c r="AG454" s="14"/>
      <c r="AH454" s="14" t="s">
        <v>3516</v>
      </c>
      <c r="AI454" s="14"/>
      <c r="AJ454" s="16">
        <v>0.115</v>
      </c>
      <c r="AK454" s="14">
        <v>1</v>
      </c>
      <c r="AL454" s="14">
        <v>0</v>
      </c>
      <c r="AM454" s="14">
        <v>20</v>
      </c>
      <c r="AN454" s="19">
        <v>2.482538695E-2</v>
      </c>
      <c r="AO454" s="19">
        <v>0.38448708999999998</v>
      </c>
      <c r="AP454" s="19">
        <v>3.2681176099999987E-2</v>
      </c>
      <c r="AQ454" s="19">
        <v>-3.1801368600000001E-3</v>
      </c>
      <c r="AR454" s="19">
        <v>6.9254573200000009E-5</v>
      </c>
      <c r="AS454" s="19">
        <v>0</v>
      </c>
      <c r="AT454" s="19">
        <v>0</v>
      </c>
      <c r="AU454" s="19">
        <v>0</v>
      </c>
      <c r="AV454" s="19">
        <v>0</v>
      </c>
      <c r="AW454" s="19">
        <v>0</v>
      </c>
    </row>
    <row r="455" spans="1:49" ht="17" customHeight="1">
      <c r="A455" s="11" t="s">
        <v>3529</v>
      </c>
      <c r="B455" s="11" t="s">
        <v>3529</v>
      </c>
      <c r="C455" s="14" t="s">
        <v>2867</v>
      </c>
      <c r="D455" s="14" t="s">
        <v>2916</v>
      </c>
      <c r="E455" s="14" t="s">
        <v>2927</v>
      </c>
      <c r="F455" s="14" t="s">
        <v>2918</v>
      </c>
      <c r="G455" s="14"/>
      <c r="H455" s="14" t="s">
        <v>2919</v>
      </c>
      <c r="I455" s="14"/>
      <c r="J455" s="14"/>
      <c r="K455" s="14"/>
      <c r="L455" s="14">
        <v>23</v>
      </c>
      <c r="M455" s="14">
        <v>100</v>
      </c>
      <c r="N455" s="14">
        <v>20</v>
      </c>
      <c r="O455" s="14"/>
      <c r="P455" s="14">
        <v>19</v>
      </c>
      <c r="Q455" s="14">
        <v>224</v>
      </c>
      <c r="R455" s="14">
        <v>3</v>
      </c>
      <c r="S455" s="14"/>
      <c r="T455" s="14" t="s">
        <v>2920</v>
      </c>
      <c r="U455" s="14">
        <v>0.95</v>
      </c>
      <c r="V455" s="15">
        <v>55.94</v>
      </c>
      <c r="W455" s="14" t="s">
        <v>2975</v>
      </c>
      <c r="X455" s="14"/>
      <c r="Y455" s="14"/>
      <c r="Z455" s="14"/>
      <c r="AA455" s="14"/>
      <c r="AB455" s="14"/>
      <c r="AC455" s="14"/>
      <c r="AD455" s="14"/>
      <c r="AE455" s="14"/>
      <c r="AF455" s="14"/>
      <c r="AG455" s="14"/>
      <c r="AH455" s="14" t="s">
        <v>3516</v>
      </c>
      <c r="AI455" s="14"/>
      <c r="AJ455" s="16">
        <v>0.115</v>
      </c>
      <c r="AK455" s="14">
        <v>1</v>
      </c>
      <c r="AL455" s="14">
        <v>0</v>
      </c>
      <c r="AM455" s="14">
        <v>20</v>
      </c>
      <c r="AN455" s="19">
        <v>2.482538695E-2</v>
      </c>
      <c r="AO455" s="19">
        <v>0.38448708999999998</v>
      </c>
      <c r="AP455" s="19">
        <v>3.2681176099999987E-2</v>
      </c>
      <c r="AQ455" s="19">
        <v>-3.1801368600000001E-3</v>
      </c>
      <c r="AR455" s="19">
        <v>6.9254573200000009E-5</v>
      </c>
      <c r="AS455" s="19">
        <v>0</v>
      </c>
      <c r="AT455" s="19">
        <v>0</v>
      </c>
      <c r="AU455" s="19">
        <v>0</v>
      </c>
      <c r="AV455" s="19">
        <v>0</v>
      </c>
      <c r="AW455" s="19">
        <v>0</v>
      </c>
    </row>
    <row r="456" spans="1:49" ht="17" customHeight="1">
      <c r="A456" s="11" t="s">
        <v>3530</v>
      </c>
      <c r="B456" s="11" t="s">
        <v>3530</v>
      </c>
      <c r="C456" s="14" t="s">
        <v>2867</v>
      </c>
      <c r="D456" s="14" t="s">
        <v>2916</v>
      </c>
      <c r="E456" s="14" t="s">
        <v>2927</v>
      </c>
      <c r="F456" s="14" t="s">
        <v>2918</v>
      </c>
      <c r="G456" s="14"/>
      <c r="H456" s="14" t="s">
        <v>2919</v>
      </c>
      <c r="I456" s="14"/>
      <c r="J456" s="14"/>
      <c r="K456" s="14"/>
      <c r="L456" s="14">
        <v>23</v>
      </c>
      <c r="M456" s="14">
        <v>100</v>
      </c>
      <c r="N456" s="14">
        <v>20</v>
      </c>
      <c r="O456" s="14"/>
      <c r="P456" s="14">
        <v>19</v>
      </c>
      <c r="Q456" s="14">
        <v>224</v>
      </c>
      <c r="R456" s="14">
        <v>3</v>
      </c>
      <c r="S456" s="14"/>
      <c r="T456" s="14" t="s">
        <v>2920</v>
      </c>
      <c r="U456" s="14">
        <v>0.95</v>
      </c>
      <c r="V456" s="15">
        <v>55.94</v>
      </c>
      <c r="W456" s="14" t="s">
        <v>2975</v>
      </c>
      <c r="X456" s="14"/>
      <c r="Y456" s="14"/>
      <c r="Z456" s="14"/>
      <c r="AA456" s="14"/>
      <c r="AB456" s="14"/>
      <c r="AC456" s="14"/>
      <c r="AD456" s="14"/>
      <c r="AE456" s="14"/>
      <c r="AF456" s="14"/>
      <c r="AG456" s="14"/>
      <c r="AH456" s="14" t="s">
        <v>3516</v>
      </c>
      <c r="AI456" s="14"/>
      <c r="AJ456" s="16">
        <v>0.115</v>
      </c>
      <c r="AK456" s="14">
        <v>1</v>
      </c>
      <c r="AL456" s="14">
        <v>0</v>
      </c>
      <c r="AM456" s="14">
        <v>20</v>
      </c>
      <c r="AN456" s="19">
        <v>2.482538695E-2</v>
      </c>
      <c r="AO456" s="19">
        <v>0.38448708999999998</v>
      </c>
      <c r="AP456" s="19">
        <v>3.2681176099999987E-2</v>
      </c>
      <c r="AQ456" s="19">
        <v>-3.1801368600000001E-3</v>
      </c>
      <c r="AR456" s="19">
        <v>6.9254573200000009E-5</v>
      </c>
      <c r="AS456" s="19">
        <v>0</v>
      </c>
      <c r="AT456" s="19">
        <v>0</v>
      </c>
      <c r="AU456" s="19">
        <v>0</v>
      </c>
      <c r="AV456" s="19">
        <v>0</v>
      </c>
      <c r="AW456" s="19">
        <v>0</v>
      </c>
    </row>
    <row r="457" spans="1:49" ht="17" customHeight="1">
      <c r="A457" s="11" t="s">
        <v>3531</v>
      </c>
      <c r="B457" s="11" t="s">
        <v>3531</v>
      </c>
      <c r="C457" s="14" t="s">
        <v>2867</v>
      </c>
      <c r="D457" s="14" t="s">
        <v>2916</v>
      </c>
      <c r="E457" s="14" t="s">
        <v>2927</v>
      </c>
      <c r="F457" s="14" t="s">
        <v>2918</v>
      </c>
      <c r="G457" s="14"/>
      <c r="H457" s="14" t="s">
        <v>2919</v>
      </c>
      <c r="I457" s="14"/>
      <c r="J457" s="14"/>
      <c r="K457" s="14"/>
      <c r="L457" s="14">
        <v>23</v>
      </c>
      <c r="M457" s="14">
        <v>100</v>
      </c>
      <c r="N457" s="14">
        <v>20</v>
      </c>
      <c r="O457" s="14"/>
      <c r="P457" s="14">
        <v>19</v>
      </c>
      <c r="Q457" s="14">
        <v>224</v>
      </c>
      <c r="R457" s="14">
        <v>3</v>
      </c>
      <c r="S457" s="14"/>
      <c r="T457" s="14" t="s">
        <v>2920</v>
      </c>
      <c r="U457" s="14">
        <v>0.95</v>
      </c>
      <c r="V457" s="15">
        <v>55.94</v>
      </c>
      <c r="W457" s="14" t="s">
        <v>2975</v>
      </c>
      <c r="X457" s="14"/>
      <c r="Y457" s="14"/>
      <c r="Z457" s="14"/>
      <c r="AA457" s="14"/>
      <c r="AB457" s="14"/>
      <c r="AC457" s="14"/>
      <c r="AD457" s="14"/>
      <c r="AE457" s="14"/>
      <c r="AF457" s="14"/>
      <c r="AG457" s="14"/>
      <c r="AH457" s="14" t="s">
        <v>3516</v>
      </c>
      <c r="AI457" s="14"/>
      <c r="AJ457" s="16">
        <v>0.115</v>
      </c>
      <c r="AK457" s="14">
        <v>1</v>
      </c>
      <c r="AL457" s="14">
        <v>0</v>
      </c>
      <c r="AM457" s="14">
        <v>20</v>
      </c>
      <c r="AN457" s="19">
        <v>2.482538695E-2</v>
      </c>
      <c r="AO457" s="19">
        <v>0.38448708999999998</v>
      </c>
      <c r="AP457" s="19">
        <v>3.2681176099999987E-2</v>
      </c>
      <c r="AQ457" s="19">
        <v>-3.1801368600000001E-3</v>
      </c>
      <c r="AR457" s="19">
        <v>6.9254573200000009E-5</v>
      </c>
      <c r="AS457" s="19">
        <v>0</v>
      </c>
      <c r="AT457" s="19">
        <v>0</v>
      </c>
      <c r="AU457" s="19">
        <v>0</v>
      </c>
      <c r="AV457" s="19">
        <v>0</v>
      </c>
      <c r="AW457" s="19">
        <v>0</v>
      </c>
    </row>
    <row r="458" spans="1:49" ht="17" customHeight="1">
      <c r="A458" s="11" t="s">
        <v>3532</v>
      </c>
      <c r="B458" s="11" t="s">
        <v>3532</v>
      </c>
      <c r="C458" s="14" t="s">
        <v>2867</v>
      </c>
      <c r="D458" s="14" t="s">
        <v>2916</v>
      </c>
      <c r="E458" s="14" t="s">
        <v>2927</v>
      </c>
      <c r="F458" s="14" t="s">
        <v>2918</v>
      </c>
      <c r="G458" s="14"/>
      <c r="H458" s="14" t="s">
        <v>2919</v>
      </c>
      <c r="I458" s="14"/>
      <c r="J458" s="14"/>
      <c r="K458" s="14"/>
      <c r="L458" s="14">
        <v>23</v>
      </c>
      <c r="M458" s="14">
        <v>100</v>
      </c>
      <c r="N458" s="14">
        <v>20</v>
      </c>
      <c r="O458" s="14"/>
      <c r="P458" s="14">
        <v>19</v>
      </c>
      <c r="Q458" s="14">
        <v>224</v>
      </c>
      <c r="R458" s="14">
        <v>3</v>
      </c>
      <c r="S458" s="14"/>
      <c r="T458" s="14" t="s">
        <v>2920</v>
      </c>
      <c r="U458" s="14">
        <v>0.95</v>
      </c>
      <c r="V458" s="15">
        <v>55.94</v>
      </c>
      <c r="W458" s="14" t="s">
        <v>2975</v>
      </c>
      <c r="X458" s="14"/>
      <c r="Y458" s="14"/>
      <c r="Z458" s="14"/>
      <c r="AA458" s="14"/>
      <c r="AB458" s="14"/>
      <c r="AC458" s="14"/>
      <c r="AD458" s="14"/>
      <c r="AE458" s="14"/>
      <c r="AF458" s="14"/>
      <c r="AG458" s="14"/>
      <c r="AH458" s="14" t="s">
        <v>3516</v>
      </c>
      <c r="AI458" s="14"/>
      <c r="AJ458" s="16">
        <v>0.115</v>
      </c>
      <c r="AK458" s="14">
        <v>1</v>
      </c>
      <c r="AL458" s="14">
        <v>0</v>
      </c>
      <c r="AM458" s="14">
        <v>20</v>
      </c>
      <c r="AN458" s="19">
        <v>2.482538695E-2</v>
      </c>
      <c r="AO458" s="19">
        <v>0.38448708999999998</v>
      </c>
      <c r="AP458" s="19">
        <v>3.2681176099999987E-2</v>
      </c>
      <c r="AQ458" s="19">
        <v>-3.1801368600000001E-3</v>
      </c>
      <c r="AR458" s="19">
        <v>6.9254573200000009E-5</v>
      </c>
      <c r="AS458" s="19">
        <v>0</v>
      </c>
      <c r="AT458" s="19">
        <v>0</v>
      </c>
      <c r="AU458" s="19">
        <v>0</v>
      </c>
      <c r="AV458" s="19">
        <v>0</v>
      </c>
      <c r="AW458" s="19">
        <v>0</v>
      </c>
    </row>
    <row r="459" spans="1:49" ht="17" customHeight="1">
      <c r="A459" s="11" t="s">
        <v>3533</v>
      </c>
      <c r="B459" s="11" t="s">
        <v>3533</v>
      </c>
      <c r="C459" s="14" t="s">
        <v>2867</v>
      </c>
      <c r="D459" s="14" t="s">
        <v>2916</v>
      </c>
      <c r="E459" s="14" t="s">
        <v>2917</v>
      </c>
      <c r="F459" s="14" t="s">
        <v>2918</v>
      </c>
      <c r="G459" s="14"/>
      <c r="H459" s="14" t="s">
        <v>2948</v>
      </c>
      <c r="I459" s="14"/>
      <c r="J459" s="14"/>
      <c r="K459" s="14"/>
      <c r="L459" s="14">
        <v>44</v>
      </c>
      <c r="M459" s="14">
        <v>100</v>
      </c>
      <c r="N459" s="14">
        <v>20</v>
      </c>
      <c r="O459" s="14"/>
      <c r="P459" s="14">
        <v>11.6</v>
      </c>
      <c r="Q459" s="14">
        <v>123</v>
      </c>
      <c r="R459" s="14" t="s">
        <v>3047</v>
      </c>
      <c r="S459" s="14"/>
      <c r="T459" s="14">
        <v>29.04</v>
      </c>
      <c r="U459" s="14">
        <v>0.57999999999999996</v>
      </c>
      <c r="V459" s="15">
        <v>6.9816000000000003E-2</v>
      </c>
      <c r="W459" s="14" t="s">
        <v>2873</v>
      </c>
      <c r="X459" s="14"/>
      <c r="Y459" s="14"/>
      <c r="Z459" s="14"/>
      <c r="AA459" s="14"/>
      <c r="AB459" s="14"/>
      <c r="AC459" s="14"/>
      <c r="AD459" s="14"/>
      <c r="AE459" s="14"/>
      <c r="AF459" s="14"/>
      <c r="AG459" s="14"/>
      <c r="AH459" s="14" t="s">
        <v>3046</v>
      </c>
      <c r="AI459" s="14"/>
      <c r="AJ459" s="16">
        <v>0.1415535</v>
      </c>
      <c r="AK459" s="14">
        <v>1</v>
      </c>
      <c r="AL459" s="14">
        <v>-20</v>
      </c>
      <c r="AM459" s="14">
        <v>20</v>
      </c>
      <c r="AN459" s="19">
        <v>0</v>
      </c>
      <c r="AO459" s="19">
        <v>4.9412999999999996E-4</v>
      </c>
      <c r="AP459" s="19">
        <v>0</v>
      </c>
      <c r="AQ459" s="19">
        <v>0</v>
      </c>
      <c r="AR459" s="19">
        <v>0</v>
      </c>
      <c r="AS459" s="19">
        <v>0</v>
      </c>
      <c r="AT459" s="19">
        <v>0</v>
      </c>
      <c r="AU459" s="19">
        <v>0</v>
      </c>
      <c r="AV459" s="19">
        <v>0</v>
      </c>
      <c r="AW459" s="19">
        <v>0</v>
      </c>
    </row>
    <row r="460" spans="1:49" ht="17" customHeight="1">
      <c r="A460" s="11" t="s">
        <v>3534</v>
      </c>
      <c r="B460" s="11" t="s">
        <v>3534</v>
      </c>
      <c r="C460" s="14" t="s">
        <v>2867</v>
      </c>
      <c r="D460" s="14" t="s">
        <v>2916</v>
      </c>
      <c r="E460" s="14" t="s">
        <v>2927</v>
      </c>
      <c r="F460" s="14" t="s">
        <v>2918</v>
      </c>
      <c r="G460" s="14"/>
      <c r="H460" s="14" t="s">
        <v>2919</v>
      </c>
      <c r="I460" s="14"/>
      <c r="J460" s="14"/>
      <c r="K460" s="14"/>
      <c r="L460" s="14">
        <v>23</v>
      </c>
      <c r="M460" s="14">
        <v>100</v>
      </c>
      <c r="N460" s="14">
        <v>20</v>
      </c>
      <c r="O460" s="14"/>
      <c r="P460" s="14">
        <v>19</v>
      </c>
      <c r="Q460" s="14">
        <v>224</v>
      </c>
      <c r="R460" s="14">
        <v>3</v>
      </c>
      <c r="S460" s="14"/>
      <c r="T460" s="14" t="s">
        <v>2920</v>
      </c>
      <c r="U460" s="14">
        <v>0.95</v>
      </c>
      <c r="V460" s="15">
        <v>55.94</v>
      </c>
      <c r="W460" s="14" t="s">
        <v>2975</v>
      </c>
      <c r="X460" s="14"/>
      <c r="Y460" s="14"/>
      <c r="Z460" s="14"/>
      <c r="AA460" s="14"/>
      <c r="AB460" s="14"/>
      <c r="AC460" s="14"/>
      <c r="AD460" s="14"/>
      <c r="AE460" s="14"/>
      <c r="AF460" s="14"/>
      <c r="AG460" s="14"/>
      <c r="AH460" s="14" t="s">
        <v>3516</v>
      </c>
      <c r="AI460" s="14"/>
      <c r="AJ460" s="16">
        <v>0.115</v>
      </c>
      <c r="AK460" s="14">
        <v>1</v>
      </c>
      <c r="AL460" s="14">
        <v>0</v>
      </c>
      <c r="AM460" s="14">
        <v>20</v>
      </c>
      <c r="AN460" s="19">
        <v>2.482538695E-2</v>
      </c>
      <c r="AO460" s="19">
        <v>0.38448708999999998</v>
      </c>
      <c r="AP460" s="19">
        <v>3.2681176099999987E-2</v>
      </c>
      <c r="AQ460" s="19">
        <v>-3.1801368600000001E-3</v>
      </c>
      <c r="AR460" s="19">
        <v>6.9254573200000009E-5</v>
      </c>
      <c r="AS460" s="19">
        <v>0</v>
      </c>
      <c r="AT460" s="19">
        <v>0</v>
      </c>
      <c r="AU460" s="19">
        <v>0</v>
      </c>
      <c r="AV460" s="19">
        <v>0</v>
      </c>
      <c r="AW460" s="19">
        <v>0</v>
      </c>
    </row>
    <row r="461" spans="1:49" ht="17" customHeight="1">
      <c r="A461" s="11" t="s">
        <v>3535</v>
      </c>
      <c r="B461" s="11" t="s">
        <v>3535</v>
      </c>
      <c r="C461" s="14" t="s">
        <v>2867</v>
      </c>
      <c r="D461" s="14" t="s">
        <v>2916</v>
      </c>
      <c r="E461" s="14" t="s">
        <v>2927</v>
      </c>
      <c r="F461" s="14" t="s">
        <v>2918</v>
      </c>
      <c r="G461" s="14"/>
      <c r="H461" s="14" t="s">
        <v>3050</v>
      </c>
      <c r="I461" s="14"/>
      <c r="J461" s="14"/>
      <c r="K461" s="14"/>
      <c r="L461" s="14">
        <v>23</v>
      </c>
      <c r="M461" s="14">
        <v>120</v>
      </c>
      <c r="N461" s="14">
        <v>20</v>
      </c>
      <c r="O461" s="14"/>
      <c r="P461" s="14">
        <v>17</v>
      </c>
      <c r="Q461" s="14">
        <v>183</v>
      </c>
      <c r="R461" s="14">
        <v>3</v>
      </c>
      <c r="S461" s="14"/>
      <c r="T461" s="14">
        <v>24</v>
      </c>
      <c r="U461" s="14">
        <v>0.85</v>
      </c>
      <c r="V461" s="15">
        <v>57.6</v>
      </c>
      <c r="W461" s="14" t="s">
        <v>2975</v>
      </c>
      <c r="X461" s="14"/>
      <c r="Y461" s="14"/>
      <c r="Z461" s="14"/>
      <c r="AA461" s="14"/>
      <c r="AB461" s="14"/>
      <c r="AC461" s="14"/>
      <c r="AD461" s="14"/>
      <c r="AE461" s="14"/>
      <c r="AF461" s="14"/>
      <c r="AG461" s="14"/>
      <c r="AH461" s="14" t="s">
        <v>3049</v>
      </c>
      <c r="AI461" s="14"/>
      <c r="AJ461" s="16">
        <v>0.1333</v>
      </c>
      <c r="AK461" s="14">
        <v>1</v>
      </c>
      <c r="AL461" s="14">
        <v>0</v>
      </c>
      <c r="AM461" s="14">
        <v>20</v>
      </c>
      <c r="AN461" s="19">
        <v>-2.8198695230000001E-3</v>
      </c>
      <c r="AO461" s="19">
        <v>0.51651450575000002</v>
      </c>
      <c r="AP461" s="19">
        <v>-6.8785152745000008E-2</v>
      </c>
      <c r="AQ461" s="19">
        <v>2.9945863662E-2</v>
      </c>
      <c r="AR461" s="19">
        <v>-6.2236950204999997E-3</v>
      </c>
      <c r="AS461" s="19">
        <v>6.8614969968000007E-4</v>
      </c>
      <c r="AT461" s="19">
        <v>-4.1043276615000003E-5</v>
      </c>
      <c r="AU461" s="19">
        <v>1.2523765609E-6</v>
      </c>
      <c r="AV461" s="19">
        <v>-1.5267979383999999E-8</v>
      </c>
      <c r="AW461" s="19">
        <v>0</v>
      </c>
    </row>
    <row r="462" spans="1:49" ht="17" customHeight="1">
      <c r="A462" s="11" t="s">
        <v>3536</v>
      </c>
      <c r="B462" s="11" t="s">
        <v>3536</v>
      </c>
      <c r="C462" s="14" t="s">
        <v>2867</v>
      </c>
      <c r="D462" s="14" t="s">
        <v>2916</v>
      </c>
      <c r="E462" s="14" t="s">
        <v>2917</v>
      </c>
      <c r="F462" s="14" t="s">
        <v>2918</v>
      </c>
      <c r="G462" s="14"/>
      <c r="H462" s="14" t="s">
        <v>2948</v>
      </c>
      <c r="I462" s="14"/>
      <c r="J462" s="14"/>
      <c r="K462" s="14"/>
      <c r="L462" s="14">
        <v>44</v>
      </c>
      <c r="M462" s="14">
        <v>100</v>
      </c>
      <c r="N462" s="14">
        <v>20</v>
      </c>
      <c r="O462" s="14"/>
      <c r="P462" s="14">
        <v>11.6</v>
      </c>
      <c r="Q462" s="14">
        <v>123</v>
      </c>
      <c r="R462" s="14" t="s">
        <v>3047</v>
      </c>
      <c r="S462" s="14"/>
      <c r="T462" s="14">
        <v>29.04</v>
      </c>
      <c r="U462" s="14">
        <v>0.57999999999999996</v>
      </c>
      <c r="V462" s="15">
        <v>6.9816000000000003E-2</v>
      </c>
      <c r="W462" s="14" t="s">
        <v>2873</v>
      </c>
      <c r="X462" s="14"/>
      <c r="Y462" s="14"/>
      <c r="Z462" s="14"/>
      <c r="AA462" s="14"/>
      <c r="AB462" s="14"/>
      <c r="AC462" s="14"/>
      <c r="AD462" s="14"/>
      <c r="AE462" s="14"/>
      <c r="AF462" s="14"/>
      <c r="AG462" s="14"/>
      <c r="AH462" s="14" t="s">
        <v>3046</v>
      </c>
      <c r="AI462" s="14"/>
      <c r="AJ462" s="16">
        <v>0.1415535</v>
      </c>
      <c r="AK462" s="14">
        <v>1</v>
      </c>
      <c r="AL462" s="14">
        <v>-20</v>
      </c>
      <c r="AM462" s="14">
        <v>20</v>
      </c>
      <c r="AN462" s="19">
        <v>0</v>
      </c>
      <c r="AO462" s="19">
        <v>4.9412999999999996E-4</v>
      </c>
      <c r="AP462" s="19">
        <v>0</v>
      </c>
      <c r="AQ462" s="19">
        <v>0</v>
      </c>
      <c r="AR462" s="19">
        <v>0</v>
      </c>
      <c r="AS462" s="19">
        <v>0</v>
      </c>
      <c r="AT462" s="19">
        <v>0</v>
      </c>
      <c r="AU462" s="19">
        <v>0</v>
      </c>
      <c r="AV462" s="19">
        <v>0</v>
      </c>
      <c r="AW462" s="19">
        <v>0</v>
      </c>
    </row>
    <row r="463" spans="1:49" ht="17" customHeight="1">
      <c r="A463" s="11" t="s">
        <v>3537</v>
      </c>
      <c r="B463" s="11" t="s">
        <v>3537</v>
      </c>
      <c r="C463" s="14" t="s">
        <v>2867</v>
      </c>
      <c r="D463" s="14" t="s">
        <v>2916</v>
      </c>
      <c r="E463" s="14" t="s">
        <v>2927</v>
      </c>
      <c r="F463" s="14" t="s">
        <v>2918</v>
      </c>
      <c r="G463" s="14"/>
      <c r="H463" s="14" t="s">
        <v>3050</v>
      </c>
      <c r="I463" s="14"/>
      <c r="J463" s="14"/>
      <c r="K463" s="14"/>
      <c r="L463" s="14">
        <v>23</v>
      </c>
      <c r="M463" s="14">
        <v>120</v>
      </c>
      <c r="N463" s="14">
        <v>20</v>
      </c>
      <c r="O463" s="14"/>
      <c r="P463" s="14">
        <v>17</v>
      </c>
      <c r="Q463" s="14">
        <v>183</v>
      </c>
      <c r="R463" s="14">
        <v>3</v>
      </c>
      <c r="S463" s="14"/>
      <c r="T463" s="14">
        <v>24</v>
      </c>
      <c r="U463" s="14">
        <v>0.85</v>
      </c>
      <c r="V463" s="15">
        <v>57.6</v>
      </c>
      <c r="W463" s="14" t="s">
        <v>2975</v>
      </c>
      <c r="X463" s="14"/>
      <c r="Y463" s="14"/>
      <c r="Z463" s="14"/>
      <c r="AA463" s="14"/>
      <c r="AB463" s="14"/>
      <c r="AC463" s="14"/>
      <c r="AD463" s="14"/>
      <c r="AE463" s="14"/>
      <c r="AF463" s="14"/>
      <c r="AG463" s="14"/>
      <c r="AH463" s="14" t="s">
        <v>3049</v>
      </c>
      <c r="AI463" s="14"/>
      <c r="AJ463" s="16">
        <v>0.1333</v>
      </c>
      <c r="AK463" s="14">
        <v>1</v>
      </c>
      <c r="AL463" s="14">
        <v>0</v>
      </c>
      <c r="AM463" s="14">
        <v>20</v>
      </c>
      <c r="AN463" s="19">
        <v>-2.8198695230000001E-3</v>
      </c>
      <c r="AO463" s="19">
        <v>0.51651450575000002</v>
      </c>
      <c r="AP463" s="19">
        <v>-6.8785152745000008E-2</v>
      </c>
      <c r="AQ463" s="19">
        <v>2.9945863662E-2</v>
      </c>
      <c r="AR463" s="19">
        <v>-6.2236950204999997E-3</v>
      </c>
      <c r="AS463" s="19">
        <v>6.8614969968000007E-4</v>
      </c>
      <c r="AT463" s="19">
        <v>-4.1043276615000003E-5</v>
      </c>
      <c r="AU463" s="19">
        <v>1.2523765609E-6</v>
      </c>
      <c r="AV463" s="19">
        <v>-1.5267979383999999E-8</v>
      </c>
      <c r="AW463" s="19">
        <v>0</v>
      </c>
    </row>
    <row r="464" spans="1:49" ht="17" customHeight="1">
      <c r="A464" s="11" t="s">
        <v>3538</v>
      </c>
      <c r="B464" s="11" t="s">
        <v>3538</v>
      </c>
      <c r="C464" s="14" t="s">
        <v>2867</v>
      </c>
      <c r="D464" s="14" t="s">
        <v>2916</v>
      </c>
      <c r="E464" s="14" t="s">
        <v>2927</v>
      </c>
      <c r="F464" s="14" t="s">
        <v>2918</v>
      </c>
      <c r="G464" s="14"/>
      <c r="H464" s="14" t="s">
        <v>3050</v>
      </c>
      <c r="I464" s="14"/>
      <c r="J464" s="14"/>
      <c r="K464" s="14"/>
      <c r="L464" s="14">
        <v>23</v>
      </c>
      <c r="M464" s="14">
        <v>120</v>
      </c>
      <c r="N464" s="14">
        <v>20</v>
      </c>
      <c r="O464" s="14"/>
      <c r="P464" s="14">
        <v>17</v>
      </c>
      <c r="Q464" s="14">
        <v>183</v>
      </c>
      <c r="R464" s="14">
        <v>3</v>
      </c>
      <c r="S464" s="14"/>
      <c r="T464" s="14">
        <v>24</v>
      </c>
      <c r="U464" s="14">
        <v>0.85</v>
      </c>
      <c r="V464" s="15">
        <v>57.6</v>
      </c>
      <c r="W464" s="14" t="s">
        <v>2975</v>
      </c>
      <c r="X464" s="14"/>
      <c r="Y464" s="14"/>
      <c r="Z464" s="14"/>
      <c r="AA464" s="14"/>
      <c r="AB464" s="14"/>
      <c r="AC464" s="14"/>
      <c r="AD464" s="14"/>
      <c r="AE464" s="14"/>
      <c r="AF464" s="14"/>
      <c r="AG464" s="14"/>
      <c r="AH464" s="14" t="s">
        <v>3049</v>
      </c>
      <c r="AI464" s="14"/>
      <c r="AJ464" s="16">
        <v>0.1333</v>
      </c>
      <c r="AK464" s="14">
        <v>1</v>
      </c>
      <c r="AL464" s="14">
        <v>0</v>
      </c>
      <c r="AM464" s="14">
        <v>20</v>
      </c>
      <c r="AN464" s="19">
        <v>-2.8198695230000001E-3</v>
      </c>
      <c r="AO464" s="19">
        <v>0.51651450575000002</v>
      </c>
      <c r="AP464" s="19">
        <v>-6.8785152745000008E-2</v>
      </c>
      <c r="AQ464" s="19">
        <v>2.9945863662E-2</v>
      </c>
      <c r="AR464" s="19">
        <v>-6.2236950204999997E-3</v>
      </c>
      <c r="AS464" s="19">
        <v>6.8614969968000007E-4</v>
      </c>
      <c r="AT464" s="19">
        <v>-4.1043276615000003E-5</v>
      </c>
      <c r="AU464" s="19">
        <v>1.2523765609E-6</v>
      </c>
      <c r="AV464" s="19">
        <v>-1.5267979383999999E-8</v>
      </c>
      <c r="AW464" s="19">
        <v>0</v>
      </c>
    </row>
    <row r="465" spans="1:49" ht="17" customHeight="1">
      <c r="A465" s="11" t="s">
        <v>3539</v>
      </c>
      <c r="B465" s="11" t="s">
        <v>3539</v>
      </c>
      <c r="C465" s="14" t="s">
        <v>2867</v>
      </c>
      <c r="D465" s="14" t="s">
        <v>2916</v>
      </c>
      <c r="E465" s="14" t="s">
        <v>2927</v>
      </c>
      <c r="F465" s="14" t="s">
        <v>2918</v>
      </c>
      <c r="G465" s="14"/>
      <c r="H465" s="14" t="s">
        <v>3050</v>
      </c>
      <c r="I465" s="14"/>
      <c r="J465" s="14"/>
      <c r="K465" s="14"/>
      <c r="L465" s="14">
        <v>23</v>
      </c>
      <c r="M465" s="14">
        <v>240</v>
      </c>
      <c r="N465" s="14">
        <v>20</v>
      </c>
      <c r="O465" s="14"/>
      <c r="P465" s="14">
        <v>25.8</v>
      </c>
      <c r="Q465" s="14">
        <v>183</v>
      </c>
      <c r="R465" s="14">
        <v>3</v>
      </c>
      <c r="S465" s="14"/>
      <c r="T465" s="14">
        <v>34</v>
      </c>
      <c r="U465" s="14">
        <v>1.29</v>
      </c>
      <c r="V465" s="15">
        <v>60.2</v>
      </c>
      <c r="W465" s="14" t="s">
        <v>2975</v>
      </c>
      <c r="X465" s="14"/>
      <c r="Y465" s="14"/>
      <c r="Z465" s="14"/>
      <c r="AA465" s="14"/>
      <c r="AB465" s="14"/>
      <c r="AC465" s="14"/>
      <c r="AD465" s="14"/>
      <c r="AE465" s="14"/>
      <c r="AF465" s="14"/>
      <c r="AG465" s="14"/>
      <c r="AH465" s="14" t="s">
        <v>3051</v>
      </c>
      <c r="AI465" s="14"/>
      <c r="AJ465" s="16">
        <v>0.25219999999999998</v>
      </c>
      <c r="AK465" s="14">
        <v>1</v>
      </c>
      <c r="AL465" s="14">
        <v>0</v>
      </c>
      <c r="AM465" s="14">
        <v>20</v>
      </c>
      <c r="AN465" s="19">
        <v>3.0090879831999998E-3</v>
      </c>
      <c r="AO465" s="19">
        <v>0.86278724635999993</v>
      </c>
      <c r="AP465" s="19">
        <v>-1.03519792532E-2</v>
      </c>
      <c r="AQ465" s="19">
        <v>3.7909604408000001E-3</v>
      </c>
      <c r="AR465" s="19">
        <v>-4.2047227872000001E-4</v>
      </c>
      <c r="AS465" s="19">
        <v>-7.1765066073999992E-6</v>
      </c>
      <c r="AT465" s="19">
        <v>4.375403928999999E-6</v>
      </c>
      <c r="AU465" s="19">
        <v>-2.7862589429999999E-7</v>
      </c>
      <c r="AV465" s="19">
        <v>5.4157443131999992E-9</v>
      </c>
      <c r="AW465" s="19">
        <v>0</v>
      </c>
    </row>
    <row r="466" spans="1:49" ht="17" customHeight="1">
      <c r="A466" s="11" t="s">
        <v>3540</v>
      </c>
      <c r="B466" s="11" t="s">
        <v>3540</v>
      </c>
      <c r="C466" s="14" t="s">
        <v>2867</v>
      </c>
      <c r="D466" s="14" t="s">
        <v>2916</v>
      </c>
      <c r="E466" s="14" t="s">
        <v>2927</v>
      </c>
      <c r="F466" s="14" t="s">
        <v>2918</v>
      </c>
      <c r="G466" s="14"/>
      <c r="H466" s="14" t="s">
        <v>3050</v>
      </c>
      <c r="I466" s="14"/>
      <c r="J466" s="14"/>
      <c r="K466" s="14"/>
      <c r="L466" s="14">
        <v>23</v>
      </c>
      <c r="M466" s="14">
        <v>120</v>
      </c>
      <c r="N466" s="14">
        <v>20</v>
      </c>
      <c r="O466" s="14"/>
      <c r="P466" s="14">
        <v>17</v>
      </c>
      <c r="Q466" s="14">
        <v>183</v>
      </c>
      <c r="R466" s="14">
        <v>3</v>
      </c>
      <c r="S466" s="14"/>
      <c r="T466" s="14">
        <v>24</v>
      </c>
      <c r="U466" s="14">
        <v>0.85</v>
      </c>
      <c r="V466" s="15">
        <v>57.6</v>
      </c>
      <c r="W466" s="14" t="s">
        <v>2975</v>
      </c>
      <c r="X466" s="14"/>
      <c r="Y466" s="14"/>
      <c r="Z466" s="14"/>
      <c r="AA466" s="14"/>
      <c r="AB466" s="14"/>
      <c r="AC466" s="14"/>
      <c r="AD466" s="14"/>
      <c r="AE466" s="14"/>
      <c r="AF466" s="14"/>
      <c r="AG466" s="14"/>
      <c r="AH466" s="14" t="s">
        <v>3049</v>
      </c>
      <c r="AI466" s="14"/>
      <c r="AJ466" s="16">
        <v>0.1333</v>
      </c>
      <c r="AK466" s="14">
        <v>1</v>
      </c>
      <c r="AL466" s="14">
        <v>0</v>
      </c>
      <c r="AM466" s="14">
        <v>20</v>
      </c>
      <c r="AN466" s="19">
        <v>-2.8198695230000001E-3</v>
      </c>
      <c r="AO466" s="19">
        <v>0.51651450575000002</v>
      </c>
      <c r="AP466" s="19">
        <v>-6.8785152745000008E-2</v>
      </c>
      <c r="AQ466" s="19">
        <v>2.9945863662E-2</v>
      </c>
      <c r="AR466" s="19">
        <v>-6.2236950204999997E-3</v>
      </c>
      <c r="AS466" s="19">
        <v>6.8614969968000007E-4</v>
      </c>
      <c r="AT466" s="19">
        <v>-4.1043276615000003E-5</v>
      </c>
      <c r="AU466" s="19">
        <v>1.2523765609E-6</v>
      </c>
      <c r="AV466" s="19">
        <v>-1.5267979383999999E-8</v>
      </c>
      <c r="AW466" s="19">
        <v>0</v>
      </c>
    </row>
    <row r="467" spans="1:49" ht="17" customHeight="1">
      <c r="A467" s="11" t="s">
        <v>3541</v>
      </c>
      <c r="B467" s="11" t="s">
        <v>3541</v>
      </c>
      <c r="C467" s="14" t="s">
        <v>2867</v>
      </c>
      <c r="D467" s="14" t="s">
        <v>2916</v>
      </c>
      <c r="E467" s="14" t="s">
        <v>2917</v>
      </c>
      <c r="F467" s="14" t="s">
        <v>2918</v>
      </c>
      <c r="G467" s="14"/>
      <c r="H467" s="14" t="s">
        <v>2948</v>
      </c>
      <c r="I467" s="14"/>
      <c r="J467" s="14"/>
      <c r="K467" s="14"/>
      <c r="L467" s="14">
        <v>44</v>
      </c>
      <c r="M467" s="14">
        <v>100</v>
      </c>
      <c r="N467" s="14">
        <v>20</v>
      </c>
      <c r="O467" s="14"/>
      <c r="P467" s="14">
        <v>11.6</v>
      </c>
      <c r="Q467" s="14">
        <v>123</v>
      </c>
      <c r="R467" s="14" t="s">
        <v>3047</v>
      </c>
      <c r="S467" s="14"/>
      <c r="T467" s="14">
        <v>29.04</v>
      </c>
      <c r="U467" s="14">
        <v>0.57999999999999996</v>
      </c>
      <c r="V467" s="15">
        <v>6.9816000000000003E-2</v>
      </c>
      <c r="W467" s="14" t="s">
        <v>2873</v>
      </c>
      <c r="X467" s="14"/>
      <c r="Y467" s="14"/>
      <c r="Z467" s="14"/>
      <c r="AA467" s="14"/>
      <c r="AB467" s="14"/>
      <c r="AC467" s="14"/>
      <c r="AD467" s="14"/>
      <c r="AE467" s="14"/>
      <c r="AF467" s="14"/>
      <c r="AG467" s="14"/>
      <c r="AH467" s="14" t="s">
        <v>3046</v>
      </c>
      <c r="AI467" s="14"/>
      <c r="AJ467" s="16">
        <v>0.1415535</v>
      </c>
      <c r="AK467" s="14">
        <v>1</v>
      </c>
      <c r="AL467" s="14">
        <v>-20</v>
      </c>
      <c r="AM467" s="14">
        <v>20</v>
      </c>
      <c r="AN467" s="17">
        <v>0</v>
      </c>
      <c r="AO467" s="17">
        <v>4.9412999999999996E-4</v>
      </c>
      <c r="AP467" s="17">
        <v>0</v>
      </c>
      <c r="AQ467" s="17">
        <v>0</v>
      </c>
      <c r="AR467" s="17">
        <v>0</v>
      </c>
      <c r="AS467" s="17">
        <v>0</v>
      </c>
      <c r="AT467" s="17">
        <v>0</v>
      </c>
      <c r="AU467" s="17">
        <v>0</v>
      </c>
      <c r="AV467" s="17">
        <v>0</v>
      </c>
      <c r="AW467" s="17">
        <v>0</v>
      </c>
    </row>
    <row r="468" spans="1:49" ht="17" customHeight="1">
      <c r="A468" s="11" t="s">
        <v>3542</v>
      </c>
      <c r="B468" s="11" t="s">
        <v>3542</v>
      </c>
      <c r="C468" s="14" t="s">
        <v>2867</v>
      </c>
      <c r="D468" s="14" t="s">
        <v>2916</v>
      </c>
      <c r="E468" s="14" t="s">
        <v>2927</v>
      </c>
      <c r="F468" s="14" t="s">
        <v>2918</v>
      </c>
      <c r="G468" s="14"/>
      <c r="H468" s="14" t="s">
        <v>3050</v>
      </c>
      <c r="I468" s="14"/>
      <c r="J468" s="14"/>
      <c r="K468" s="14"/>
      <c r="L468" s="14">
        <v>23</v>
      </c>
      <c r="M468" s="14">
        <v>120</v>
      </c>
      <c r="N468" s="14">
        <v>20</v>
      </c>
      <c r="O468" s="14"/>
      <c r="P468" s="14">
        <v>17</v>
      </c>
      <c r="Q468" s="14">
        <v>183</v>
      </c>
      <c r="R468" s="14">
        <v>3</v>
      </c>
      <c r="S468" s="14"/>
      <c r="T468" s="14">
        <v>24</v>
      </c>
      <c r="U468" s="14">
        <v>0.85</v>
      </c>
      <c r="V468" s="15">
        <v>57.6</v>
      </c>
      <c r="W468" s="14" t="s">
        <v>2975</v>
      </c>
      <c r="X468" s="14"/>
      <c r="Y468" s="14"/>
      <c r="Z468" s="14"/>
      <c r="AA468" s="14"/>
      <c r="AB468" s="14"/>
      <c r="AC468" s="14"/>
      <c r="AD468" s="14"/>
      <c r="AE468" s="14"/>
      <c r="AF468" s="14"/>
      <c r="AG468" s="14"/>
      <c r="AH468" s="14" t="s">
        <v>3049</v>
      </c>
      <c r="AI468" s="14"/>
      <c r="AJ468" s="16">
        <v>0.1333</v>
      </c>
      <c r="AK468" s="14">
        <v>1</v>
      </c>
      <c r="AL468" s="14">
        <v>0</v>
      </c>
      <c r="AM468" s="14">
        <v>20</v>
      </c>
      <c r="AN468" s="19">
        <v>-2.8198695230000001E-3</v>
      </c>
      <c r="AO468" s="19">
        <v>0.51651450575000002</v>
      </c>
      <c r="AP468" s="19">
        <v>-6.8785152745000008E-2</v>
      </c>
      <c r="AQ468" s="19">
        <v>2.9945863662E-2</v>
      </c>
      <c r="AR468" s="19">
        <v>-6.2236950204999997E-3</v>
      </c>
      <c r="AS468" s="19">
        <v>6.8614969968000007E-4</v>
      </c>
      <c r="AT468" s="19">
        <v>-4.1043276615000003E-5</v>
      </c>
      <c r="AU468" s="19">
        <v>1.2523765609E-6</v>
      </c>
      <c r="AV468" s="19">
        <v>-1.5267979383999999E-8</v>
      </c>
      <c r="AW468" s="19">
        <v>0</v>
      </c>
    </row>
    <row r="469" spans="1:49" ht="17" customHeight="1">
      <c r="A469" s="11" t="s">
        <v>3543</v>
      </c>
      <c r="B469" s="11" t="s">
        <v>3543</v>
      </c>
      <c r="C469" s="14" t="s">
        <v>2867</v>
      </c>
      <c r="D469" s="14" t="s">
        <v>2916</v>
      </c>
      <c r="E469" s="14" t="s">
        <v>2927</v>
      </c>
      <c r="F469" s="14" t="s">
        <v>2918</v>
      </c>
      <c r="G469" s="14"/>
      <c r="H469" s="14" t="s">
        <v>3050</v>
      </c>
      <c r="I469" s="14"/>
      <c r="J469" s="14"/>
      <c r="K469" s="14"/>
      <c r="L469" s="14">
        <v>23</v>
      </c>
      <c r="M469" s="14">
        <v>120</v>
      </c>
      <c r="N469" s="14">
        <v>20</v>
      </c>
      <c r="O469" s="14"/>
      <c r="P469" s="14">
        <v>17</v>
      </c>
      <c r="Q469" s="14">
        <v>183</v>
      </c>
      <c r="R469" s="14">
        <v>3</v>
      </c>
      <c r="S469" s="14"/>
      <c r="T469" s="14">
        <v>24</v>
      </c>
      <c r="U469" s="14">
        <v>0.85</v>
      </c>
      <c r="V469" s="15">
        <v>57.6</v>
      </c>
      <c r="W469" s="14" t="s">
        <v>2975</v>
      </c>
      <c r="X469" s="14"/>
      <c r="Y469" s="14"/>
      <c r="Z469" s="14"/>
      <c r="AA469" s="14"/>
      <c r="AB469" s="14"/>
      <c r="AC469" s="14"/>
      <c r="AD469" s="14"/>
      <c r="AE469" s="14"/>
      <c r="AF469" s="14"/>
      <c r="AG469" s="14"/>
      <c r="AH469" s="14" t="s">
        <v>3049</v>
      </c>
      <c r="AI469" s="14"/>
      <c r="AJ469" s="16">
        <v>0.1333</v>
      </c>
      <c r="AK469" s="14">
        <v>1</v>
      </c>
      <c r="AL469" s="14">
        <v>0</v>
      </c>
      <c r="AM469" s="14">
        <v>20</v>
      </c>
      <c r="AN469" s="19">
        <v>-2.8198695230000001E-3</v>
      </c>
      <c r="AO469" s="19">
        <v>0.51651450575000002</v>
      </c>
      <c r="AP469" s="19">
        <v>-6.8785152745000008E-2</v>
      </c>
      <c r="AQ469" s="19">
        <v>2.9945863662E-2</v>
      </c>
      <c r="AR469" s="19">
        <v>-6.2236950204999997E-3</v>
      </c>
      <c r="AS469" s="19">
        <v>6.8614969968000007E-4</v>
      </c>
      <c r="AT469" s="19">
        <v>-4.1043276615000003E-5</v>
      </c>
      <c r="AU469" s="19">
        <v>1.2523765609E-6</v>
      </c>
      <c r="AV469" s="19">
        <v>-1.5267979383999999E-8</v>
      </c>
      <c r="AW469" s="19">
        <v>0</v>
      </c>
    </row>
    <row r="470" spans="1:49" ht="17" customHeight="1">
      <c r="A470" s="11" t="s">
        <v>3544</v>
      </c>
      <c r="B470" s="11" t="s">
        <v>3544</v>
      </c>
      <c r="C470" s="14" t="s">
        <v>2867</v>
      </c>
      <c r="D470" s="14" t="s">
        <v>2916</v>
      </c>
      <c r="E470" s="14" t="s">
        <v>2927</v>
      </c>
      <c r="F470" s="14" t="s">
        <v>2918</v>
      </c>
      <c r="G470" s="14"/>
      <c r="H470" s="14" t="s">
        <v>3050</v>
      </c>
      <c r="I470" s="14"/>
      <c r="J470" s="14"/>
      <c r="K470" s="14"/>
      <c r="L470" s="14">
        <v>23</v>
      </c>
      <c r="M470" s="14">
        <v>120</v>
      </c>
      <c r="N470" s="14">
        <v>20</v>
      </c>
      <c r="O470" s="14"/>
      <c r="P470" s="14">
        <v>17</v>
      </c>
      <c r="Q470" s="14">
        <v>183</v>
      </c>
      <c r="R470" s="14">
        <v>3</v>
      </c>
      <c r="S470" s="14"/>
      <c r="T470" s="14">
        <v>24</v>
      </c>
      <c r="U470" s="14">
        <v>0.85</v>
      </c>
      <c r="V470" s="15">
        <v>57.6</v>
      </c>
      <c r="W470" s="14" t="s">
        <v>2975</v>
      </c>
      <c r="X470" s="14"/>
      <c r="Y470" s="14"/>
      <c r="Z470" s="14"/>
      <c r="AA470" s="14"/>
      <c r="AB470" s="14"/>
      <c r="AC470" s="14"/>
      <c r="AD470" s="14"/>
      <c r="AE470" s="14"/>
      <c r="AF470" s="14"/>
      <c r="AG470" s="14"/>
      <c r="AH470" s="14" t="s">
        <v>3049</v>
      </c>
      <c r="AI470" s="14"/>
      <c r="AJ470" s="16">
        <v>0.1333</v>
      </c>
      <c r="AK470" s="14">
        <v>1</v>
      </c>
      <c r="AL470" s="14">
        <v>0</v>
      </c>
      <c r="AM470" s="14">
        <v>20</v>
      </c>
      <c r="AN470" s="19">
        <v>-2.8198695230000001E-3</v>
      </c>
      <c r="AO470" s="19">
        <v>0.51651450575000002</v>
      </c>
      <c r="AP470" s="19">
        <v>-6.8785152745000008E-2</v>
      </c>
      <c r="AQ470" s="19">
        <v>2.9945863662E-2</v>
      </c>
      <c r="AR470" s="19">
        <v>-6.2236950204999997E-3</v>
      </c>
      <c r="AS470" s="19">
        <v>6.8614969968000007E-4</v>
      </c>
      <c r="AT470" s="19">
        <v>-4.1043276615000003E-5</v>
      </c>
      <c r="AU470" s="19">
        <v>1.2523765609E-6</v>
      </c>
      <c r="AV470" s="19">
        <v>-1.5267979383999999E-8</v>
      </c>
      <c r="AW470" s="19">
        <v>0</v>
      </c>
    </row>
    <row r="471" spans="1:49" ht="17" customHeight="1">
      <c r="A471" s="11" t="s">
        <v>3545</v>
      </c>
      <c r="B471" s="11" t="s">
        <v>3545</v>
      </c>
      <c r="C471" s="14" t="s">
        <v>2867</v>
      </c>
      <c r="D471" s="14" t="s">
        <v>2916</v>
      </c>
      <c r="E471" s="14" t="s">
        <v>2917</v>
      </c>
      <c r="F471" s="14" t="s">
        <v>2918</v>
      </c>
      <c r="G471" s="14"/>
      <c r="H471" s="14" t="s">
        <v>2919</v>
      </c>
      <c r="I471" s="14"/>
      <c r="J471" s="14"/>
      <c r="K471" s="14"/>
      <c r="L471" s="14">
        <v>120</v>
      </c>
      <c r="M471" s="14">
        <v>100</v>
      </c>
      <c r="N471" s="14">
        <v>5</v>
      </c>
      <c r="O471" s="14"/>
      <c r="P471" s="14">
        <v>3.6</v>
      </c>
      <c r="Q471" s="14">
        <v>324</v>
      </c>
      <c r="R471" s="14">
        <v>2.6</v>
      </c>
      <c r="S471" s="14"/>
      <c r="T471" s="14" t="s">
        <v>2920</v>
      </c>
      <c r="U471" s="14">
        <v>0.72</v>
      </c>
      <c r="V471" s="15">
        <v>1.618E-2</v>
      </c>
      <c r="W471" s="14" t="s">
        <v>2873</v>
      </c>
      <c r="X471" s="14"/>
      <c r="Y471" s="14"/>
      <c r="Z471" s="14"/>
      <c r="AA471" s="14"/>
      <c r="AB471" s="14"/>
      <c r="AC471" s="14"/>
      <c r="AD471" s="14"/>
      <c r="AE471" s="14"/>
      <c r="AF471" s="14"/>
      <c r="AG471" s="14"/>
      <c r="AH471" s="14" t="s">
        <v>3545</v>
      </c>
      <c r="AI471" s="14"/>
      <c r="AJ471" s="16">
        <v>0.21834200000000001</v>
      </c>
      <c r="AK471" s="14">
        <v>1</v>
      </c>
      <c r="AL471" s="14">
        <v>-5</v>
      </c>
      <c r="AM471" s="14">
        <v>5</v>
      </c>
      <c r="AN471" s="19">
        <v>0</v>
      </c>
      <c r="AO471" s="19">
        <v>7.0655000000000002E-4</v>
      </c>
      <c r="AP471" s="19">
        <v>0</v>
      </c>
      <c r="AQ471" s="19">
        <v>0</v>
      </c>
      <c r="AR471" s="19">
        <v>0</v>
      </c>
      <c r="AS471" s="19">
        <v>0</v>
      </c>
      <c r="AT471" s="19">
        <v>0</v>
      </c>
      <c r="AU471" s="19">
        <v>0</v>
      </c>
      <c r="AV471" s="19">
        <v>0</v>
      </c>
      <c r="AW471" s="19">
        <v>0</v>
      </c>
    </row>
    <row r="472" spans="1:49" ht="17" customHeight="1">
      <c r="A472" s="11" t="s">
        <v>3546</v>
      </c>
      <c r="B472" s="11" t="s">
        <v>3546</v>
      </c>
      <c r="C472" s="14" t="s">
        <v>2867</v>
      </c>
      <c r="D472" s="14" t="s">
        <v>2916</v>
      </c>
      <c r="E472" s="14" t="s">
        <v>2917</v>
      </c>
      <c r="F472" s="14" t="s">
        <v>2918</v>
      </c>
      <c r="G472" s="14"/>
      <c r="H472" s="14" t="s">
        <v>2919</v>
      </c>
      <c r="I472" s="14"/>
      <c r="J472" s="14"/>
      <c r="K472" s="14"/>
      <c r="L472" s="14">
        <v>120</v>
      </c>
      <c r="M472" s="14">
        <v>100</v>
      </c>
      <c r="N472" s="14">
        <v>5</v>
      </c>
      <c r="O472" s="14"/>
      <c r="P472" s="14">
        <v>3.6</v>
      </c>
      <c r="Q472" s="14">
        <v>324</v>
      </c>
      <c r="R472" s="14">
        <v>2.6</v>
      </c>
      <c r="S472" s="14"/>
      <c r="T472" s="14" t="s">
        <v>2920</v>
      </c>
      <c r="U472" s="14">
        <v>0.72</v>
      </c>
      <c r="V472" s="15">
        <v>1.618E-2</v>
      </c>
      <c r="W472" s="14" t="s">
        <v>2873</v>
      </c>
      <c r="X472" s="14"/>
      <c r="Y472" s="14"/>
      <c r="Z472" s="14"/>
      <c r="AA472" s="14"/>
      <c r="AB472" s="14"/>
      <c r="AC472" s="14"/>
      <c r="AD472" s="14"/>
      <c r="AE472" s="14"/>
      <c r="AF472" s="14"/>
      <c r="AG472" s="14"/>
      <c r="AH472" s="14" t="s">
        <v>3546</v>
      </c>
      <c r="AI472" s="14"/>
      <c r="AJ472" s="16">
        <v>0.21834200000000001</v>
      </c>
      <c r="AK472" s="14">
        <v>1</v>
      </c>
      <c r="AL472" s="14">
        <v>-5</v>
      </c>
      <c r="AM472" s="14">
        <v>5</v>
      </c>
      <c r="AN472" s="19">
        <v>0</v>
      </c>
      <c r="AO472" s="19">
        <v>7.0655000000000002E-4</v>
      </c>
      <c r="AP472" s="19">
        <v>0</v>
      </c>
      <c r="AQ472" s="19">
        <v>0</v>
      </c>
      <c r="AR472" s="19">
        <v>0</v>
      </c>
      <c r="AS472" s="19">
        <v>0</v>
      </c>
      <c r="AT472" s="19">
        <v>0</v>
      </c>
      <c r="AU472" s="19">
        <v>0</v>
      </c>
      <c r="AV472" s="19">
        <v>0</v>
      </c>
      <c r="AW472" s="19">
        <v>0</v>
      </c>
    </row>
    <row r="473" spans="1:49" ht="17" customHeight="1">
      <c r="A473" s="11" t="s">
        <v>3547</v>
      </c>
      <c r="B473" s="11" t="s">
        <v>3547</v>
      </c>
      <c r="C473" s="14" t="s">
        <v>2867</v>
      </c>
      <c r="D473" s="14" t="s">
        <v>2916</v>
      </c>
      <c r="E473" s="14" t="s">
        <v>2917</v>
      </c>
      <c r="F473" s="14" t="s">
        <v>2918</v>
      </c>
      <c r="G473" s="14"/>
      <c r="H473" s="14" t="s">
        <v>2928</v>
      </c>
      <c r="I473" s="14"/>
      <c r="J473" s="14"/>
      <c r="K473" s="14"/>
      <c r="L473" s="14">
        <v>120</v>
      </c>
      <c r="M473" s="14">
        <v>800</v>
      </c>
      <c r="N473" s="14">
        <v>5</v>
      </c>
      <c r="O473" s="14"/>
      <c r="P473" s="14" t="s">
        <v>2920</v>
      </c>
      <c r="Q473" s="14">
        <v>50</v>
      </c>
      <c r="R473" s="14" t="s">
        <v>3047</v>
      </c>
      <c r="S473" s="14"/>
      <c r="T473" s="14" t="s">
        <v>2920</v>
      </c>
      <c r="U473" s="14" t="s">
        <v>2920</v>
      </c>
      <c r="V473" s="15">
        <v>1.2600000000000001E-3</v>
      </c>
      <c r="W473" s="14" t="s">
        <v>2873</v>
      </c>
      <c r="X473" s="14"/>
      <c r="Y473" s="14"/>
      <c r="Z473" s="14"/>
      <c r="AA473" s="14"/>
      <c r="AB473" s="14"/>
      <c r="AC473" s="14"/>
      <c r="AD473" s="14"/>
      <c r="AE473" s="14"/>
      <c r="AF473" s="14"/>
      <c r="AG473" s="14"/>
      <c r="AH473" s="14" t="s">
        <v>3278</v>
      </c>
      <c r="AI473" s="14"/>
      <c r="AJ473" s="16">
        <v>0.74619000000000002</v>
      </c>
      <c r="AK473" s="14">
        <v>1</v>
      </c>
      <c r="AL473" s="14">
        <v>-5</v>
      </c>
      <c r="AM473" s="14">
        <v>5</v>
      </c>
      <c r="AN473" s="19">
        <v>0</v>
      </c>
      <c r="AO473" s="19">
        <v>1.8804E-4</v>
      </c>
      <c r="AP473" s="19">
        <v>0</v>
      </c>
      <c r="AQ473" s="19">
        <v>0</v>
      </c>
      <c r="AR473" s="19">
        <v>0</v>
      </c>
      <c r="AS473" s="19">
        <v>0</v>
      </c>
      <c r="AT473" s="19">
        <v>0</v>
      </c>
      <c r="AU473" s="19">
        <v>0</v>
      </c>
      <c r="AV473" s="19">
        <v>0</v>
      </c>
      <c r="AW473" s="19">
        <v>0</v>
      </c>
    </row>
    <row r="474" spans="1:49" ht="17" customHeight="1">
      <c r="A474" s="11" t="s">
        <v>3548</v>
      </c>
      <c r="B474" s="11" t="s">
        <v>3548</v>
      </c>
      <c r="C474" s="14" t="s">
        <v>2867</v>
      </c>
      <c r="D474" s="14" t="s">
        <v>2916</v>
      </c>
      <c r="E474" s="14" t="s">
        <v>2917</v>
      </c>
      <c r="F474" s="14" t="s">
        <v>2918</v>
      </c>
      <c r="G474" s="14"/>
      <c r="H474" s="14" t="s">
        <v>2928</v>
      </c>
      <c r="I474" s="14"/>
      <c r="J474" s="14"/>
      <c r="K474" s="14"/>
      <c r="L474" s="14">
        <v>120</v>
      </c>
      <c r="M474" s="14">
        <v>800</v>
      </c>
      <c r="N474" s="14">
        <v>5</v>
      </c>
      <c r="O474" s="14"/>
      <c r="P474" s="14" t="s">
        <v>2920</v>
      </c>
      <c r="Q474" s="14">
        <v>50</v>
      </c>
      <c r="R474" s="14" t="s">
        <v>3047</v>
      </c>
      <c r="S474" s="14"/>
      <c r="T474" s="14" t="s">
        <v>2920</v>
      </c>
      <c r="U474" s="14" t="s">
        <v>2920</v>
      </c>
      <c r="V474" s="15">
        <v>1.453333333333333E-3</v>
      </c>
      <c r="W474" s="14" t="s">
        <v>2873</v>
      </c>
      <c r="X474" s="14"/>
      <c r="Y474" s="14"/>
      <c r="Z474" s="14"/>
      <c r="AA474" s="14"/>
      <c r="AB474" s="14"/>
      <c r="AC474" s="14"/>
      <c r="AD474" s="14"/>
      <c r="AE474" s="14"/>
      <c r="AF474" s="14"/>
      <c r="AG474" s="14"/>
      <c r="AH474" s="14" t="s">
        <v>3279</v>
      </c>
      <c r="AI474" s="14"/>
      <c r="AJ474" s="16">
        <v>0.74619000000000002</v>
      </c>
      <c r="AK474" s="14">
        <v>1</v>
      </c>
      <c r="AL474" s="14">
        <v>-5</v>
      </c>
      <c r="AM474" s="14">
        <v>5</v>
      </c>
      <c r="AN474" s="19">
        <v>0</v>
      </c>
      <c r="AO474" s="19">
        <v>2.1688999999999999E-4</v>
      </c>
      <c r="AP474" s="19">
        <v>0</v>
      </c>
      <c r="AQ474" s="19">
        <v>0</v>
      </c>
      <c r="AR474" s="19">
        <v>0</v>
      </c>
      <c r="AS474" s="19">
        <v>0</v>
      </c>
      <c r="AT474" s="19">
        <v>0</v>
      </c>
      <c r="AU474" s="19">
        <v>0</v>
      </c>
      <c r="AV474" s="19">
        <v>0</v>
      </c>
      <c r="AW474" s="19">
        <v>0</v>
      </c>
    </row>
    <row r="475" spans="1:49" ht="17" customHeight="1">
      <c r="A475" s="11" t="s">
        <v>3549</v>
      </c>
      <c r="B475" s="11" t="s">
        <v>3549</v>
      </c>
      <c r="C475" s="14" t="s">
        <v>2867</v>
      </c>
      <c r="D475" s="14" t="s">
        <v>2916</v>
      </c>
      <c r="E475" s="14" t="s">
        <v>2917</v>
      </c>
      <c r="F475" s="14" t="s">
        <v>2918</v>
      </c>
      <c r="G475" s="14"/>
      <c r="H475" s="14" t="s">
        <v>2928</v>
      </c>
      <c r="I475" s="14"/>
      <c r="J475" s="14"/>
      <c r="K475" s="14"/>
      <c r="L475" s="14">
        <v>120</v>
      </c>
      <c r="M475" s="14">
        <v>800</v>
      </c>
      <c r="N475" s="14">
        <v>5</v>
      </c>
      <c r="O475" s="14"/>
      <c r="P475" s="14" t="s">
        <v>2920</v>
      </c>
      <c r="Q475" s="14">
        <v>50</v>
      </c>
      <c r="R475" s="14" t="s">
        <v>3047</v>
      </c>
      <c r="S475" s="14"/>
      <c r="T475" s="14" t="s">
        <v>2920</v>
      </c>
      <c r="U475" s="14" t="s">
        <v>2920</v>
      </c>
      <c r="V475" s="15">
        <v>1.2600000000000001E-3</v>
      </c>
      <c r="W475" s="14" t="s">
        <v>2873</v>
      </c>
      <c r="X475" s="14"/>
      <c r="Y475" s="14"/>
      <c r="Z475" s="14"/>
      <c r="AA475" s="14"/>
      <c r="AB475" s="14"/>
      <c r="AC475" s="14"/>
      <c r="AD475" s="14"/>
      <c r="AE475" s="14"/>
      <c r="AF475" s="14"/>
      <c r="AG475" s="14"/>
      <c r="AH475" s="14" t="s">
        <v>3278</v>
      </c>
      <c r="AI475" s="14"/>
      <c r="AJ475" s="16">
        <v>0.74619000000000002</v>
      </c>
      <c r="AK475" s="14">
        <v>1</v>
      </c>
      <c r="AL475" s="14">
        <v>-5</v>
      </c>
      <c r="AM475" s="14">
        <v>5</v>
      </c>
      <c r="AN475" s="19">
        <v>0</v>
      </c>
      <c r="AO475" s="19">
        <v>1.8804E-4</v>
      </c>
      <c r="AP475" s="19">
        <v>0</v>
      </c>
      <c r="AQ475" s="19">
        <v>0</v>
      </c>
      <c r="AR475" s="19">
        <v>0</v>
      </c>
      <c r="AS475" s="19">
        <v>0</v>
      </c>
      <c r="AT475" s="19">
        <v>0</v>
      </c>
      <c r="AU475" s="19">
        <v>0</v>
      </c>
      <c r="AV475" s="19">
        <v>0</v>
      </c>
      <c r="AW475" s="19">
        <v>0</v>
      </c>
    </row>
    <row r="476" spans="1:49" ht="17" customHeight="1">
      <c r="A476" s="11" t="s">
        <v>3550</v>
      </c>
      <c r="B476" s="11" t="s">
        <v>3550</v>
      </c>
      <c r="C476" s="14" t="s">
        <v>2867</v>
      </c>
      <c r="D476" s="14" t="s">
        <v>2916</v>
      </c>
      <c r="E476" s="14" t="s">
        <v>2917</v>
      </c>
      <c r="F476" s="14" t="s">
        <v>2918</v>
      </c>
      <c r="G476" s="14"/>
      <c r="H476" s="14" t="s">
        <v>2928</v>
      </c>
      <c r="I476" s="14"/>
      <c r="J476" s="14"/>
      <c r="K476" s="14"/>
      <c r="L476" s="14">
        <v>120</v>
      </c>
      <c r="M476" s="14">
        <v>800</v>
      </c>
      <c r="N476" s="14">
        <v>5</v>
      </c>
      <c r="O476" s="14"/>
      <c r="P476" s="14" t="s">
        <v>2920</v>
      </c>
      <c r="Q476" s="14">
        <v>50</v>
      </c>
      <c r="R476" s="14" t="s">
        <v>3047</v>
      </c>
      <c r="S476" s="14"/>
      <c r="T476" s="14" t="s">
        <v>2920</v>
      </c>
      <c r="U476" s="14" t="s">
        <v>2920</v>
      </c>
      <c r="V476" s="15">
        <v>1.453333333333333E-3</v>
      </c>
      <c r="W476" s="14" t="s">
        <v>2873</v>
      </c>
      <c r="X476" s="14"/>
      <c r="Y476" s="14"/>
      <c r="Z476" s="14"/>
      <c r="AA476" s="14"/>
      <c r="AB476" s="14"/>
      <c r="AC476" s="14"/>
      <c r="AD476" s="14"/>
      <c r="AE476" s="14"/>
      <c r="AF476" s="14"/>
      <c r="AG476" s="14"/>
      <c r="AH476" s="14" t="s">
        <v>3279</v>
      </c>
      <c r="AI476" s="14"/>
      <c r="AJ476" s="16">
        <v>0.74619000000000002</v>
      </c>
      <c r="AK476" s="14">
        <v>1</v>
      </c>
      <c r="AL476" s="14">
        <v>-5</v>
      </c>
      <c r="AM476" s="14">
        <v>5</v>
      </c>
      <c r="AN476" s="19">
        <v>0</v>
      </c>
      <c r="AO476" s="19">
        <v>2.1688999999999999E-4</v>
      </c>
      <c r="AP476" s="19">
        <v>0</v>
      </c>
      <c r="AQ476" s="19">
        <v>0</v>
      </c>
      <c r="AR476" s="19">
        <v>0</v>
      </c>
      <c r="AS476" s="19">
        <v>0</v>
      </c>
      <c r="AT476" s="19">
        <v>0</v>
      </c>
      <c r="AU476" s="19">
        <v>0</v>
      </c>
      <c r="AV476" s="19">
        <v>0</v>
      </c>
      <c r="AW476" s="19">
        <v>0</v>
      </c>
    </row>
    <row r="477" spans="1:49" ht="17" customHeight="1">
      <c r="A477" s="11" t="s">
        <v>3551</v>
      </c>
      <c r="B477" s="11" t="s">
        <v>3551</v>
      </c>
      <c r="C477" s="14" t="s">
        <v>2867</v>
      </c>
      <c r="D477" s="14" t="s">
        <v>2916</v>
      </c>
      <c r="E477" s="14" t="s">
        <v>2917</v>
      </c>
      <c r="F477" s="14" t="s">
        <v>2918</v>
      </c>
      <c r="G477" s="14"/>
      <c r="H477" s="14" t="s">
        <v>2928</v>
      </c>
      <c r="I477" s="14"/>
      <c r="J477" s="14"/>
      <c r="K477" s="14"/>
      <c r="L477" s="14">
        <v>120</v>
      </c>
      <c r="M477" s="14">
        <v>800</v>
      </c>
      <c r="N477" s="14">
        <v>5</v>
      </c>
      <c r="O477" s="14"/>
      <c r="P477" s="14" t="s">
        <v>2920</v>
      </c>
      <c r="Q477" s="14">
        <v>50</v>
      </c>
      <c r="R477" s="14" t="s">
        <v>3047</v>
      </c>
      <c r="S477" s="14"/>
      <c r="T477" s="14" t="s">
        <v>2920</v>
      </c>
      <c r="U477" s="14" t="s">
        <v>2920</v>
      </c>
      <c r="V477" s="15">
        <v>1.2600000000000001E-3</v>
      </c>
      <c r="W477" s="14" t="s">
        <v>2873</v>
      </c>
      <c r="X477" s="14"/>
      <c r="Y477" s="14"/>
      <c r="Z477" s="14"/>
      <c r="AA477" s="14"/>
      <c r="AB477" s="14"/>
      <c r="AC477" s="14"/>
      <c r="AD477" s="14"/>
      <c r="AE477" s="14"/>
      <c r="AF477" s="14"/>
      <c r="AG477" s="14"/>
      <c r="AH477" s="14" t="s">
        <v>3278</v>
      </c>
      <c r="AI477" s="14"/>
      <c r="AJ477" s="16">
        <v>0.74619000000000002</v>
      </c>
      <c r="AK477" s="14">
        <v>1</v>
      </c>
      <c r="AL477" s="14">
        <v>-5</v>
      </c>
      <c r="AM477" s="14">
        <v>5</v>
      </c>
      <c r="AN477" s="19">
        <v>0</v>
      </c>
      <c r="AO477" s="19">
        <v>1.8804E-4</v>
      </c>
      <c r="AP477" s="19">
        <v>0</v>
      </c>
      <c r="AQ477" s="19">
        <v>0</v>
      </c>
      <c r="AR477" s="19">
        <v>0</v>
      </c>
      <c r="AS477" s="19">
        <v>0</v>
      </c>
      <c r="AT477" s="19">
        <v>0</v>
      </c>
      <c r="AU477" s="19">
        <v>0</v>
      </c>
      <c r="AV477" s="19">
        <v>0</v>
      </c>
      <c r="AW477" s="19">
        <v>0</v>
      </c>
    </row>
    <row r="478" spans="1:49" ht="17" customHeight="1">
      <c r="A478" s="11" t="s">
        <v>3552</v>
      </c>
      <c r="B478" s="11" t="s">
        <v>3552</v>
      </c>
      <c r="C478" s="14" t="s">
        <v>2867</v>
      </c>
      <c r="D478" s="14" t="s">
        <v>2916</v>
      </c>
      <c r="E478" s="14" t="s">
        <v>2917</v>
      </c>
      <c r="F478" s="14" t="s">
        <v>2918</v>
      </c>
      <c r="G478" s="14"/>
      <c r="H478" s="14" t="s">
        <v>2928</v>
      </c>
      <c r="I478" s="14"/>
      <c r="J478" s="14"/>
      <c r="K478" s="14"/>
      <c r="L478" s="14">
        <v>120</v>
      </c>
      <c r="M478" s="14">
        <v>800</v>
      </c>
      <c r="N478" s="14">
        <v>5</v>
      </c>
      <c r="O478" s="14"/>
      <c r="P478" s="14" t="s">
        <v>2920</v>
      </c>
      <c r="Q478" s="14">
        <v>50</v>
      </c>
      <c r="R478" s="14" t="s">
        <v>3047</v>
      </c>
      <c r="S478" s="14"/>
      <c r="T478" s="14" t="s">
        <v>2920</v>
      </c>
      <c r="U478" s="14" t="s">
        <v>2920</v>
      </c>
      <c r="V478" s="15">
        <v>1.453333333333333E-3</v>
      </c>
      <c r="W478" s="14" t="s">
        <v>2873</v>
      </c>
      <c r="X478" s="14"/>
      <c r="Y478" s="14"/>
      <c r="Z478" s="14"/>
      <c r="AA478" s="14"/>
      <c r="AB478" s="14"/>
      <c r="AC478" s="14"/>
      <c r="AD478" s="14"/>
      <c r="AE478" s="14"/>
      <c r="AF478" s="14"/>
      <c r="AG478" s="14"/>
      <c r="AH478" s="14" t="s">
        <v>3279</v>
      </c>
      <c r="AI478" s="14"/>
      <c r="AJ478" s="16">
        <v>0.74619000000000002</v>
      </c>
      <c r="AK478" s="14">
        <v>1</v>
      </c>
      <c r="AL478" s="14">
        <v>-5</v>
      </c>
      <c r="AM478" s="14">
        <v>5</v>
      </c>
      <c r="AN478" s="19">
        <v>0</v>
      </c>
      <c r="AO478" s="19">
        <v>2.1688999999999999E-4</v>
      </c>
      <c r="AP478" s="19">
        <v>0</v>
      </c>
      <c r="AQ478" s="19">
        <v>0</v>
      </c>
      <c r="AR478" s="19">
        <v>0</v>
      </c>
      <c r="AS478" s="19">
        <v>0</v>
      </c>
      <c r="AT478" s="19">
        <v>0</v>
      </c>
      <c r="AU478" s="19">
        <v>0</v>
      </c>
      <c r="AV478" s="19">
        <v>0</v>
      </c>
      <c r="AW478" s="19">
        <v>0</v>
      </c>
    </row>
    <row r="479" spans="1:49" ht="17" customHeight="1">
      <c r="A479" s="11" t="s">
        <v>3553</v>
      </c>
      <c r="B479" s="11" t="s">
        <v>3553</v>
      </c>
      <c r="C479" s="14" t="s">
        <v>2867</v>
      </c>
      <c r="D479" s="14" t="s">
        <v>2916</v>
      </c>
      <c r="E479" s="14" t="s">
        <v>2917</v>
      </c>
      <c r="F479" s="14" t="s">
        <v>2918</v>
      </c>
      <c r="G479" s="14"/>
      <c r="H479" s="14" t="s">
        <v>2928</v>
      </c>
      <c r="I479" s="14"/>
      <c r="J479" s="14"/>
      <c r="K479" s="14"/>
      <c r="L479" s="14">
        <v>120</v>
      </c>
      <c r="M479" s="14">
        <v>800</v>
      </c>
      <c r="N479" s="14">
        <v>5</v>
      </c>
      <c r="O479" s="14"/>
      <c r="P479" s="14" t="s">
        <v>2920</v>
      </c>
      <c r="Q479" s="14">
        <v>50</v>
      </c>
      <c r="R479" s="14" t="s">
        <v>3047</v>
      </c>
      <c r="S479" s="14"/>
      <c r="T479" s="14" t="s">
        <v>2920</v>
      </c>
      <c r="U479" s="14" t="s">
        <v>2920</v>
      </c>
      <c r="V479" s="15">
        <v>1.2600000000000001E-3</v>
      </c>
      <c r="W479" s="14" t="s">
        <v>2873</v>
      </c>
      <c r="X479" s="14"/>
      <c r="Y479" s="14"/>
      <c r="Z479" s="14"/>
      <c r="AA479" s="14"/>
      <c r="AB479" s="14"/>
      <c r="AC479" s="14"/>
      <c r="AD479" s="14"/>
      <c r="AE479" s="14"/>
      <c r="AF479" s="14"/>
      <c r="AG479" s="14"/>
      <c r="AH479" s="14" t="s">
        <v>3278</v>
      </c>
      <c r="AI479" s="14"/>
      <c r="AJ479" s="16">
        <v>0.74619000000000002</v>
      </c>
      <c r="AK479" s="14">
        <v>1</v>
      </c>
      <c r="AL479" s="14">
        <v>-5</v>
      </c>
      <c r="AM479" s="14">
        <v>5</v>
      </c>
      <c r="AN479" s="19">
        <v>0</v>
      </c>
      <c r="AO479" s="19">
        <v>1.8804E-4</v>
      </c>
      <c r="AP479" s="19">
        <v>0</v>
      </c>
      <c r="AQ479" s="19">
        <v>0</v>
      </c>
      <c r="AR479" s="19">
        <v>0</v>
      </c>
      <c r="AS479" s="19">
        <v>0</v>
      </c>
      <c r="AT479" s="19">
        <v>0</v>
      </c>
      <c r="AU479" s="19">
        <v>0</v>
      </c>
      <c r="AV479" s="19">
        <v>0</v>
      </c>
      <c r="AW479" s="19">
        <v>0</v>
      </c>
    </row>
    <row r="480" spans="1:49" ht="17" customHeight="1">
      <c r="A480" s="11" t="s">
        <v>3554</v>
      </c>
      <c r="B480" s="11" t="s">
        <v>3554</v>
      </c>
      <c r="C480" s="14" t="s">
        <v>2867</v>
      </c>
      <c r="D480" s="14" t="s">
        <v>2916</v>
      </c>
      <c r="E480" s="14" t="s">
        <v>2917</v>
      </c>
      <c r="F480" s="14" t="s">
        <v>2918</v>
      </c>
      <c r="G480" s="14"/>
      <c r="H480" s="14" t="s">
        <v>2928</v>
      </c>
      <c r="I480" s="14"/>
      <c r="J480" s="14"/>
      <c r="K480" s="14"/>
      <c r="L480" s="14">
        <v>120</v>
      </c>
      <c r="M480" s="14">
        <v>800</v>
      </c>
      <c r="N480" s="14">
        <v>5</v>
      </c>
      <c r="O480" s="14"/>
      <c r="P480" s="14" t="s">
        <v>2920</v>
      </c>
      <c r="Q480" s="14">
        <v>50</v>
      </c>
      <c r="R480" s="14" t="s">
        <v>3047</v>
      </c>
      <c r="S480" s="14"/>
      <c r="T480" s="14" t="s">
        <v>2920</v>
      </c>
      <c r="U480" s="14" t="s">
        <v>2920</v>
      </c>
      <c r="V480" s="15">
        <v>1.453333333333333E-3</v>
      </c>
      <c r="W480" s="14" t="s">
        <v>2873</v>
      </c>
      <c r="X480" s="14"/>
      <c r="Y480" s="14"/>
      <c r="Z480" s="14"/>
      <c r="AA480" s="14"/>
      <c r="AB480" s="14"/>
      <c r="AC480" s="14"/>
      <c r="AD480" s="14"/>
      <c r="AE480" s="14"/>
      <c r="AF480" s="14"/>
      <c r="AG480" s="14"/>
      <c r="AH480" s="14" t="s">
        <v>3279</v>
      </c>
      <c r="AI480" s="14"/>
      <c r="AJ480" s="16">
        <v>0.74619000000000002</v>
      </c>
      <c r="AK480" s="14">
        <v>1</v>
      </c>
      <c r="AL480" s="14">
        <v>-5</v>
      </c>
      <c r="AM480" s="14">
        <v>5</v>
      </c>
      <c r="AN480" s="19">
        <v>0</v>
      </c>
      <c r="AO480" s="19">
        <v>2.1688999999999999E-4</v>
      </c>
      <c r="AP480" s="19">
        <v>0</v>
      </c>
      <c r="AQ480" s="19">
        <v>0</v>
      </c>
      <c r="AR480" s="19">
        <v>0</v>
      </c>
      <c r="AS480" s="19">
        <v>0</v>
      </c>
      <c r="AT480" s="19">
        <v>0</v>
      </c>
      <c r="AU480" s="19">
        <v>0</v>
      </c>
      <c r="AV480" s="19">
        <v>0</v>
      </c>
      <c r="AW480" s="19">
        <v>0</v>
      </c>
    </row>
    <row r="481" spans="1:49" ht="17" customHeight="1">
      <c r="A481" s="11" t="s">
        <v>3555</v>
      </c>
      <c r="B481" s="11" t="s">
        <v>3555</v>
      </c>
      <c r="C481" s="14" t="s">
        <v>2867</v>
      </c>
      <c r="D481" s="14" t="s">
        <v>2916</v>
      </c>
      <c r="E481" s="14" t="s">
        <v>2917</v>
      </c>
      <c r="F481" s="14" t="s">
        <v>2918</v>
      </c>
      <c r="G481" s="14"/>
      <c r="H481" s="14" t="s">
        <v>2928</v>
      </c>
      <c r="I481" s="14"/>
      <c r="J481" s="14"/>
      <c r="K481" s="14"/>
      <c r="L481" s="14">
        <v>120</v>
      </c>
      <c r="M481" s="14">
        <v>800</v>
      </c>
      <c r="N481" s="14">
        <v>5</v>
      </c>
      <c r="O481" s="14"/>
      <c r="P481" s="14" t="s">
        <v>2920</v>
      </c>
      <c r="Q481" s="14">
        <v>50</v>
      </c>
      <c r="R481" s="14" t="s">
        <v>3047</v>
      </c>
      <c r="S481" s="14"/>
      <c r="T481" s="14" t="s">
        <v>2920</v>
      </c>
      <c r="U481" s="14" t="s">
        <v>2920</v>
      </c>
      <c r="V481" s="15">
        <v>1.2600000000000001E-3</v>
      </c>
      <c r="W481" s="14" t="s">
        <v>2873</v>
      </c>
      <c r="X481" s="14"/>
      <c r="Y481" s="14"/>
      <c r="Z481" s="14"/>
      <c r="AA481" s="14"/>
      <c r="AB481" s="14"/>
      <c r="AC481" s="14"/>
      <c r="AD481" s="14"/>
      <c r="AE481" s="14"/>
      <c r="AF481" s="14"/>
      <c r="AG481" s="14"/>
      <c r="AH481" s="14" t="s">
        <v>3278</v>
      </c>
      <c r="AI481" s="14"/>
      <c r="AJ481" s="16">
        <v>0.74619000000000002</v>
      </c>
      <c r="AK481" s="14">
        <v>1</v>
      </c>
      <c r="AL481" s="14">
        <v>-5</v>
      </c>
      <c r="AM481" s="14">
        <v>5</v>
      </c>
      <c r="AN481" s="19">
        <v>0</v>
      </c>
      <c r="AO481" s="19">
        <v>1.8804E-4</v>
      </c>
      <c r="AP481" s="19">
        <v>0</v>
      </c>
      <c r="AQ481" s="19">
        <v>0</v>
      </c>
      <c r="AR481" s="19">
        <v>0</v>
      </c>
      <c r="AS481" s="19">
        <v>0</v>
      </c>
      <c r="AT481" s="19">
        <v>0</v>
      </c>
      <c r="AU481" s="19">
        <v>0</v>
      </c>
      <c r="AV481" s="19">
        <v>0</v>
      </c>
      <c r="AW481" s="19">
        <v>0</v>
      </c>
    </row>
    <row r="482" spans="1:49" ht="17" customHeight="1">
      <c r="A482" s="11" t="s">
        <v>3556</v>
      </c>
      <c r="B482" s="11" t="s">
        <v>3556</v>
      </c>
      <c r="C482" s="14" t="s">
        <v>2867</v>
      </c>
      <c r="D482" s="14" t="s">
        <v>2916</v>
      </c>
      <c r="E482" s="14" t="s">
        <v>2917</v>
      </c>
      <c r="F482" s="14" t="s">
        <v>2918</v>
      </c>
      <c r="G482" s="14"/>
      <c r="H482" s="14" t="s">
        <v>2928</v>
      </c>
      <c r="I482" s="14"/>
      <c r="J482" s="14"/>
      <c r="K482" s="14"/>
      <c r="L482" s="14">
        <v>120</v>
      </c>
      <c r="M482" s="14">
        <v>800</v>
      </c>
      <c r="N482" s="14">
        <v>5</v>
      </c>
      <c r="O482" s="14"/>
      <c r="P482" s="14" t="s">
        <v>2920</v>
      </c>
      <c r="Q482" s="14">
        <v>50</v>
      </c>
      <c r="R482" s="14" t="s">
        <v>3047</v>
      </c>
      <c r="S482" s="14"/>
      <c r="T482" s="14" t="s">
        <v>2920</v>
      </c>
      <c r="U482" s="14" t="s">
        <v>2920</v>
      </c>
      <c r="V482" s="15">
        <v>1.453333333333333E-3</v>
      </c>
      <c r="W482" s="14" t="s">
        <v>2873</v>
      </c>
      <c r="X482" s="14"/>
      <c r="Y482" s="14"/>
      <c r="Z482" s="14"/>
      <c r="AA482" s="14"/>
      <c r="AB482" s="14"/>
      <c r="AC482" s="14"/>
      <c r="AD482" s="14"/>
      <c r="AE482" s="14"/>
      <c r="AF482" s="14"/>
      <c r="AG482" s="14"/>
      <c r="AH482" s="14" t="s">
        <v>3279</v>
      </c>
      <c r="AI482" s="14"/>
      <c r="AJ482" s="16">
        <v>0.74619000000000002</v>
      </c>
      <c r="AK482" s="14">
        <v>1</v>
      </c>
      <c r="AL482" s="14">
        <v>-5</v>
      </c>
      <c r="AM482" s="14">
        <v>5</v>
      </c>
      <c r="AN482" s="19">
        <v>0</v>
      </c>
      <c r="AO482" s="19">
        <v>2.1688999999999999E-4</v>
      </c>
      <c r="AP482" s="19">
        <v>0</v>
      </c>
      <c r="AQ482" s="19">
        <v>0</v>
      </c>
      <c r="AR482" s="19">
        <v>0</v>
      </c>
      <c r="AS482" s="19">
        <v>0</v>
      </c>
      <c r="AT482" s="19">
        <v>0</v>
      </c>
      <c r="AU482" s="19">
        <v>0</v>
      </c>
      <c r="AV482" s="19">
        <v>0</v>
      </c>
      <c r="AW482" s="19">
        <v>0</v>
      </c>
    </row>
    <row r="483" spans="1:49" ht="17" customHeight="1">
      <c r="A483" s="11" t="s">
        <v>3557</v>
      </c>
      <c r="B483" s="11" t="s">
        <v>3557</v>
      </c>
      <c r="C483" s="14" t="s">
        <v>2867</v>
      </c>
      <c r="D483" s="14" t="s">
        <v>2916</v>
      </c>
      <c r="E483" s="14" t="s">
        <v>2917</v>
      </c>
      <c r="F483" s="14" t="s">
        <v>2918</v>
      </c>
      <c r="G483" s="14"/>
      <c r="H483" s="14" t="s">
        <v>2928</v>
      </c>
      <c r="I483" s="14"/>
      <c r="J483" s="14"/>
      <c r="K483" s="14"/>
      <c r="L483" s="14">
        <v>120</v>
      </c>
      <c r="M483" s="14">
        <v>800</v>
      </c>
      <c r="N483" s="14">
        <v>5</v>
      </c>
      <c r="O483" s="14"/>
      <c r="P483" s="14" t="s">
        <v>2920</v>
      </c>
      <c r="Q483" s="14">
        <v>50</v>
      </c>
      <c r="R483" s="14" t="s">
        <v>3047</v>
      </c>
      <c r="S483" s="14"/>
      <c r="T483" s="14" t="s">
        <v>2920</v>
      </c>
      <c r="U483" s="14" t="s">
        <v>2920</v>
      </c>
      <c r="V483" s="15">
        <v>1.2600000000000001E-3</v>
      </c>
      <c r="W483" s="14" t="s">
        <v>2873</v>
      </c>
      <c r="X483" s="14"/>
      <c r="Y483" s="14"/>
      <c r="Z483" s="14"/>
      <c r="AA483" s="14"/>
      <c r="AB483" s="14"/>
      <c r="AC483" s="14"/>
      <c r="AD483" s="14"/>
      <c r="AE483" s="14"/>
      <c r="AF483" s="14"/>
      <c r="AG483" s="14"/>
      <c r="AH483" s="14" t="s">
        <v>3278</v>
      </c>
      <c r="AI483" s="14"/>
      <c r="AJ483" s="16">
        <v>0.74619000000000002</v>
      </c>
      <c r="AK483" s="14">
        <v>1</v>
      </c>
      <c r="AL483" s="14">
        <v>-5</v>
      </c>
      <c r="AM483" s="14">
        <v>5</v>
      </c>
      <c r="AN483" s="19">
        <v>0</v>
      </c>
      <c r="AO483" s="19">
        <v>1.8804E-4</v>
      </c>
      <c r="AP483" s="19">
        <v>0</v>
      </c>
      <c r="AQ483" s="19">
        <v>0</v>
      </c>
      <c r="AR483" s="19">
        <v>0</v>
      </c>
      <c r="AS483" s="19">
        <v>0</v>
      </c>
      <c r="AT483" s="19">
        <v>0</v>
      </c>
      <c r="AU483" s="19">
        <v>0</v>
      </c>
      <c r="AV483" s="19">
        <v>0</v>
      </c>
      <c r="AW483" s="19">
        <v>0</v>
      </c>
    </row>
    <row r="484" spans="1:49" ht="17" customHeight="1">
      <c r="A484" s="11" t="s">
        <v>3558</v>
      </c>
      <c r="B484" s="11" t="s">
        <v>3558</v>
      </c>
      <c r="C484" s="14" t="s">
        <v>2867</v>
      </c>
      <c r="D484" s="14" t="s">
        <v>2916</v>
      </c>
      <c r="E484" s="14" t="s">
        <v>2917</v>
      </c>
      <c r="F484" s="14" t="s">
        <v>2918</v>
      </c>
      <c r="G484" s="14"/>
      <c r="H484" s="14" t="s">
        <v>2928</v>
      </c>
      <c r="I484" s="14"/>
      <c r="J484" s="14"/>
      <c r="K484" s="14"/>
      <c r="L484" s="14">
        <v>120</v>
      </c>
      <c r="M484" s="14">
        <v>800</v>
      </c>
      <c r="N484" s="14">
        <v>5</v>
      </c>
      <c r="O484" s="14"/>
      <c r="P484" s="14" t="s">
        <v>2920</v>
      </c>
      <c r="Q484" s="14">
        <v>50</v>
      </c>
      <c r="R484" s="14" t="s">
        <v>3047</v>
      </c>
      <c r="S484" s="14"/>
      <c r="T484" s="14" t="s">
        <v>2920</v>
      </c>
      <c r="U484" s="14" t="s">
        <v>2920</v>
      </c>
      <c r="V484" s="15">
        <v>1.453333333333333E-3</v>
      </c>
      <c r="W484" s="14" t="s">
        <v>2873</v>
      </c>
      <c r="X484" s="14"/>
      <c r="Y484" s="14"/>
      <c r="Z484" s="14"/>
      <c r="AA484" s="14"/>
      <c r="AB484" s="14"/>
      <c r="AC484" s="14"/>
      <c r="AD484" s="14"/>
      <c r="AE484" s="14"/>
      <c r="AF484" s="14"/>
      <c r="AG484" s="14"/>
      <c r="AH484" s="14" t="s">
        <v>3279</v>
      </c>
      <c r="AI484" s="14"/>
      <c r="AJ484" s="16">
        <v>0.74619000000000002</v>
      </c>
      <c r="AK484" s="14">
        <v>1</v>
      </c>
      <c r="AL484" s="14">
        <v>-5</v>
      </c>
      <c r="AM484" s="14">
        <v>5</v>
      </c>
      <c r="AN484" s="19">
        <v>0</v>
      </c>
      <c r="AO484" s="19">
        <v>2.1688999999999999E-4</v>
      </c>
      <c r="AP484" s="19">
        <v>0</v>
      </c>
      <c r="AQ484" s="19">
        <v>0</v>
      </c>
      <c r="AR484" s="19">
        <v>0</v>
      </c>
      <c r="AS484" s="19">
        <v>0</v>
      </c>
      <c r="AT484" s="19">
        <v>0</v>
      </c>
      <c r="AU484" s="19">
        <v>0</v>
      </c>
      <c r="AV484" s="19">
        <v>0</v>
      </c>
      <c r="AW484" s="19">
        <v>0</v>
      </c>
    </row>
    <row r="485" spans="1:49" ht="17" customHeight="1">
      <c r="A485" s="11" t="s">
        <v>3559</v>
      </c>
      <c r="B485" s="11" t="s">
        <v>3559</v>
      </c>
      <c r="C485" s="14" t="s">
        <v>2867</v>
      </c>
      <c r="D485" s="14" t="s">
        <v>2916</v>
      </c>
      <c r="E485" s="14" t="s">
        <v>2917</v>
      </c>
      <c r="F485" s="14" t="s">
        <v>2918</v>
      </c>
      <c r="G485" s="14"/>
      <c r="H485" s="14" t="s">
        <v>2928</v>
      </c>
      <c r="I485" s="14"/>
      <c r="J485" s="14"/>
      <c r="K485" s="14"/>
      <c r="L485" s="14">
        <v>120</v>
      </c>
      <c r="M485" s="14">
        <v>800</v>
      </c>
      <c r="N485" s="14">
        <v>5</v>
      </c>
      <c r="O485" s="14"/>
      <c r="P485" s="14" t="s">
        <v>2920</v>
      </c>
      <c r="Q485" s="14">
        <v>50</v>
      </c>
      <c r="R485" s="14" t="s">
        <v>3047</v>
      </c>
      <c r="S485" s="14"/>
      <c r="T485" s="14" t="s">
        <v>2920</v>
      </c>
      <c r="U485" s="14" t="s">
        <v>2920</v>
      </c>
      <c r="V485" s="15">
        <v>1.2600000000000001E-3</v>
      </c>
      <c r="W485" s="14" t="s">
        <v>2873</v>
      </c>
      <c r="X485" s="14"/>
      <c r="Y485" s="14"/>
      <c r="Z485" s="14"/>
      <c r="AA485" s="14"/>
      <c r="AB485" s="14"/>
      <c r="AC485" s="14"/>
      <c r="AD485" s="14"/>
      <c r="AE485" s="14"/>
      <c r="AF485" s="14"/>
      <c r="AG485" s="14"/>
      <c r="AH485" s="14" t="s">
        <v>3278</v>
      </c>
      <c r="AI485" s="14"/>
      <c r="AJ485" s="16">
        <v>0.74619000000000002</v>
      </c>
      <c r="AK485" s="14">
        <v>1</v>
      </c>
      <c r="AL485" s="14">
        <v>-5</v>
      </c>
      <c r="AM485" s="14">
        <v>5</v>
      </c>
      <c r="AN485" s="19">
        <v>0</v>
      </c>
      <c r="AO485" s="19">
        <v>1.8804E-4</v>
      </c>
      <c r="AP485" s="19">
        <v>0</v>
      </c>
      <c r="AQ485" s="19">
        <v>0</v>
      </c>
      <c r="AR485" s="19">
        <v>0</v>
      </c>
      <c r="AS485" s="19">
        <v>0</v>
      </c>
      <c r="AT485" s="19">
        <v>0</v>
      </c>
      <c r="AU485" s="19">
        <v>0</v>
      </c>
      <c r="AV485" s="19">
        <v>0</v>
      </c>
      <c r="AW485" s="19">
        <v>0</v>
      </c>
    </row>
    <row r="486" spans="1:49" ht="17" customHeight="1">
      <c r="A486" s="11" t="s">
        <v>3560</v>
      </c>
      <c r="B486" s="11" t="s">
        <v>3560</v>
      </c>
      <c r="C486" s="14" t="s">
        <v>2867</v>
      </c>
      <c r="D486" s="14" t="s">
        <v>2916</v>
      </c>
      <c r="E486" s="14" t="s">
        <v>2917</v>
      </c>
      <c r="F486" s="14" t="s">
        <v>2918</v>
      </c>
      <c r="G486" s="14"/>
      <c r="H486" s="14" t="s">
        <v>2928</v>
      </c>
      <c r="I486" s="14"/>
      <c r="J486" s="14"/>
      <c r="K486" s="14"/>
      <c r="L486" s="14">
        <v>120</v>
      </c>
      <c r="M486" s="14">
        <v>800</v>
      </c>
      <c r="N486" s="14">
        <v>5</v>
      </c>
      <c r="O486" s="14"/>
      <c r="P486" s="14" t="s">
        <v>2920</v>
      </c>
      <c r="Q486" s="14">
        <v>50</v>
      </c>
      <c r="R486" s="14" t="s">
        <v>3047</v>
      </c>
      <c r="S486" s="14"/>
      <c r="T486" s="14" t="s">
        <v>2920</v>
      </c>
      <c r="U486" s="14" t="s">
        <v>2920</v>
      </c>
      <c r="V486" s="15">
        <v>1.453333333333333E-3</v>
      </c>
      <c r="W486" s="14" t="s">
        <v>2873</v>
      </c>
      <c r="X486" s="14"/>
      <c r="Y486" s="14"/>
      <c r="Z486" s="14"/>
      <c r="AA486" s="14"/>
      <c r="AB486" s="14"/>
      <c r="AC486" s="14"/>
      <c r="AD486" s="14"/>
      <c r="AE486" s="14"/>
      <c r="AF486" s="14"/>
      <c r="AG486" s="14"/>
      <c r="AH486" s="14" t="s">
        <v>3279</v>
      </c>
      <c r="AI486" s="14"/>
      <c r="AJ486" s="16">
        <v>0.74619000000000002</v>
      </c>
      <c r="AK486" s="14">
        <v>1</v>
      </c>
      <c r="AL486" s="14">
        <v>-5</v>
      </c>
      <c r="AM486" s="14">
        <v>5</v>
      </c>
      <c r="AN486" s="19">
        <v>0</v>
      </c>
      <c r="AO486" s="19">
        <v>2.1688999999999999E-4</v>
      </c>
      <c r="AP486" s="19">
        <v>0</v>
      </c>
      <c r="AQ486" s="19">
        <v>0</v>
      </c>
      <c r="AR486" s="19">
        <v>0</v>
      </c>
      <c r="AS486" s="19">
        <v>0</v>
      </c>
      <c r="AT486" s="19">
        <v>0</v>
      </c>
      <c r="AU486" s="19">
        <v>0</v>
      </c>
      <c r="AV486" s="19">
        <v>0</v>
      </c>
      <c r="AW486" s="19">
        <v>0</v>
      </c>
    </row>
    <row r="487" spans="1:49" ht="17" customHeight="1">
      <c r="A487" s="11" t="s">
        <v>3561</v>
      </c>
      <c r="B487" s="11" t="s">
        <v>3561</v>
      </c>
      <c r="C487" s="14" t="s">
        <v>2867</v>
      </c>
      <c r="D487" s="14" t="s">
        <v>2916</v>
      </c>
      <c r="E487" s="14" t="s">
        <v>2917</v>
      </c>
      <c r="F487" s="14" t="s">
        <v>2918</v>
      </c>
      <c r="G487" s="14"/>
      <c r="H487" s="14" t="s">
        <v>2928</v>
      </c>
      <c r="I487" s="14"/>
      <c r="J487" s="14"/>
      <c r="K487" s="14"/>
      <c r="L487" s="14">
        <v>120</v>
      </c>
      <c r="M487" s="14">
        <v>800</v>
      </c>
      <c r="N487" s="14">
        <v>5</v>
      </c>
      <c r="O487" s="14"/>
      <c r="P487" s="14" t="s">
        <v>2920</v>
      </c>
      <c r="Q487" s="14">
        <v>50</v>
      </c>
      <c r="R487" s="14" t="s">
        <v>3047</v>
      </c>
      <c r="S487" s="14"/>
      <c r="T487" s="14" t="s">
        <v>2920</v>
      </c>
      <c r="U487" s="14" t="s">
        <v>2920</v>
      </c>
      <c r="V487" s="15">
        <v>1.2600000000000001E-3</v>
      </c>
      <c r="W487" s="14" t="s">
        <v>2873</v>
      </c>
      <c r="X487" s="14"/>
      <c r="Y487" s="14"/>
      <c r="Z487" s="14"/>
      <c r="AA487" s="14"/>
      <c r="AB487" s="14"/>
      <c r="AC487" s="14"/>
      <c r="AD487" s="14"/>
      <c r="AE487" s="14"/>
      <c r="AF487" s="14"/>
      <c r="AG487" s="14"/>
      <c r="AH487" s="14" t="s">
        <v>3278</v>
      </c>
      <c r="AI487" s="14"/>
      <c r="AJ487" s="16">
        <v>0.74619000000000002</v>
      </c>
      <c r="AK487" s="14">
        <v>1</v>
      </c>
      <c r="AL487" s="14">
        <v>-5</v>
      </c>
      <c r="AM487" s="14">
        <v>5</v>
      </c>
      <c r="AN487" s="19">
        <v>0</v>
      </c>
      <c r="AO487" s="19">
        <v>1.8804E-4</v>
      </c>
      <c r="AP487" s="19">
        <v>0</v>
      </c>
      <c r="AQ487" s="19">
        <v>0</v>
      </c>
      <c r="AR487" s="19">
        <v>0</v>
      </c>
      <c r="AS487" s="19">
        <v>0</v>
      </c>
      <c r="AT487" s="19">
        <v>0</v>
      </c>
      <c r="AU487" s="19">
        <v>0</v>
      </c>
      <c r="AV487" s="19">
        <v>0</v>
      </c>
      <c r="AW487" s="19">
        <v>0</v>
      </c>
    </row>
    <row r="488" spans="1:49" ht="17" customHeight="1">
      <c r="A488" s="11" t="s">
        <v>3562</v>
      </c>
      <c r="B488" s="11" t="s">
        <v>3562</v>
      </c>
      <c r="C488" s="14" t="s">
        <v>2867</v>
      </c>
      <c r="D488" s="14" t="s">
        <v>2916</v>
      </c>
      <c r="E488" s="14" t="s">
        <v>2917</v>
      </c>
      <c r="F488" s="14" t="s">
        <v>2918</v>
      </c>
      <c r="G488" s="14"/>
      <c r="H488" s="14" t="s">
        <v>2928</v>
      </c>
      <c r="I488" s="14"/>
      <c r="J488" s="14"/>
      <c r="K488" s="14"/>
      <c r="L488" s="14">
        <v>120</v>
      </c>
      <c r="M488" s="14">
        <v>800</v>
      </c>
      <c r="N488" s="14">
        <v>5</v>
      </c>
      <c r="O488" s="14"/>
      <c r="P488" s="14" t="s">
        <v>2920</v>
      </c>
      <c r="Q488" s="14">
        <v>50</v>
      </c>
      <c r="R488" s="14" t="s">
        <v>3047</v>
      </c>
      <c r="S488" s="14"/>
      <c r="T488" s="14" t="s">
        <v>2920</v>
      </c>
      <c r="U488" s="14" t="s">
        <v>2920</v>
      </c>
      <c r="V488" s="15">
        <v>1.453333333333333E-3</v>
      </c>
      <c r="W488" s="14" t="s">
        <v>2873</v>
      </c>
      <c r="X488" s="14"/>
      <c r="Y488" s="14"/>
      <c r="Z488" s="14"/>
      <c r="AA488" s="14"/>
      <c r="AB488" s="14"/>
      <c r="AC488" s="14"/>
      <c r="AD488" s="14"/>
      <c r="AE488" s="14"/>
      <c r="AF488" s="14"/>
      <c r="AG488" s="14"/>
      <c r="AH488" s="14" t="s">
        <v>3279</v>
      </c>
      <c r="AI488" s="14"/>
      <c r="AJ488" s="16">
        <v>0.74619000000000002</v>
      </c>
      <c r="AK488" s="14">
        <v>1</v>
      </c>
      <c r="AL488" s="14">
        <v>-5</v>
      </c>
      <c r="AM488" s="14">
        <v>5</v>
      </c>
      <c r="AN488" s="19">
        <v>0</v>
      </c>
      <c r="AO488" s="19">
        <v>2.1688999999999999E-4</v>
      </c>
      <c r="AP488" s="19">
        <v>0</v>
      </c>
      <c r="AQ488" s="19">
        <v>0</v>
      </c>
      <c r="AR488" s="19">
        <v>0</v>
      </c>
      <c r="AS488" s="19">
        <v>0</v>
      </c>
      <c r="AT488" s="19">
        <v>0</v>
      </c>
      <c r="AU488" s="19">
        <v>0</v>
      </c>
      <c r="AV488" s="19">
        <v>0</v>
      </c>
      <c r="AW488" s="19">
        <v>0</v>
      </c>
    </row>
    <row r="489" spans="1:49" ht="17" customHeight="1">
      <c r="A489" s="11" t="s">
        <v>3563</v>
      </c>
      <c r="B489" s="11" t="s">
        <v>3563</v>
      </c>
      <c r="C489" s="14" t="s">
        <v>2867</v>
      </c>
      <c r="D489" s="14" t="s">
        <v>2916</v>
      </c>
      <c r="E489" s="14" t="s">
        <v>2917</v>
      </c>
      <c r="F489" s="14" t="s">
        <v>2918</v>
      </c>
      <c r="G489" s="14"/>
      <c r="H489" s="14" t="s">
        <v>2928</v>
      </c>
      <c r="I489" s="14"/>
      <c r="J489" s="14"/>
      <c r="K489" s="14"/>
      <c r="L489" s="14">
        <v>120</v>
      </c>
      <c r="M489" s="14">
        <v>800</v>
      </c>
      <c r="N489" s="14">
        <v>5</v>
      </c>
      <c r="O489" s="14"/>
      <c r="P489" s="14" t="s">
        <v>2920</v>
      </c>
      <c r="Q489" s="14">
        <v>50</v>
      </c>
      <c r="R489" s="14" t="s">
        <v>3047</v>
      </c>
      <c r="S489" s="14"/>
      <c r="T489" s="14" t="s">
        <v>2920</v>
      </c>
      <c r="U489" s="14" t="s">
        <v>2920</v>
      </c>
      <c r="V489" s="15">
        <v>1.2600000000000001E-3</v>
      </c>
      <c r="W489" s="14" t="s">
        <v>2873</v>
      </c>
      <c r="X489" s="14"/>
      <c r="Y489" s="14"/>
      <c r="Z489" s="14"/>
      <c r="AA489" s="14"/>
      <c r="AB489" s="14"/>
      <c r="AC489" s="14"/>
      <c r="AD489" s="14"/>
      <c r="AE489" s="14"/>
      <c r="AF489" s="14"/>
      <c r="AG489" s="14"/>
      <c r="AH489" s="14" t="s">
        <v>3278</v>
      </c>
      <c r="AI489" s="14"/>
      <c r="AJ489" s="16">
        <v>0.74619000000000002</v>
      </c>
      <c r="AK489" s="14">
        <v>1</v>
      </c>
      <c r="AL489" s="14">
        <v>-5</v>
      </c>
      <c r="AM489" s="14">
        <v>5</v>
      </c>
      <c r="AN489" s="19">
        <v>0</v>
      </c>
      <c r="AO489" s="19">
        <v>1.8804E-4</v>
      </c>
      <c r="AP489" s="19">
        <v>0</v>
      </c>
      <c r="AQ489" s="19">
        <v>0</v>
      </c>
      <c r="AR489" s="19">
        <v>0</v>
      </c>
      <c r="AS489" s="19">
        <v>0</v>
      </c>
      <c r="AT489" s="19">
        <v>0</v>
      </c>
      <c r="AU489" s="19">
        <v>0</v>
      </c>
      <c r="AV489" s="19">
        <v>0</v>
      </c>
      <c r="AW489" s="19">
        <v>0</v>
      </c>
    </row>
    <row r="490" spans="1:49" ht="17" customHeight="1">
      <c r="A490" s="11" t="s">
        <v>3564</v>
      </c>
      <c r="B490" s="11" t="s">
        <v>3564</v>
      </c>
      <c r="C490" s="14" t="s">
        <v>2867</v>
      </c>
      <c r="D490" s="14" t="s">
        <v>2916</v>
      </c>
      <c r="E490" s="14" t="s">
        <v>2917</v>
      </c>
      <c r="F490" s="14" t="s">
        <v>2918</v>
      </c>
      <c r="G490" s="14"/>
      <c r="H490" s="14" t="s">
        <v>2928</v>
      </c>
      <c r="I490" s="14"/>
      <c r="J490" s="14"/>
      <c r="K490" s="14"/>
      <c r="L490" s="14">
        <v>120</v>
      </c>
      <c r="M490" s="14">
        <v>800</v>
      </c>
      <c r="N490" s="14">
        <v>5</v>
      </c>
      <c r="O490" s="14"/>
      <c r="P490" s="14" t="s">
        <v>2920</v>
      </c>
      <c r="Q490" s="14">
        <v>50</v>
      </c>
      <c r="R490" s="14" t="s">
        <v>3047</v>
      </c>
      <c r="S490" s="14"/>
      <c r="T490" s="14" t="s">
        <v>2920</v>
      </c>
      <c r="U490" s="14" t="s">
        <v>2920</v>
      </c>
      <c r="V490" s="15">
        <v>1.453333333333333E-3</v>
      </c>
      <c r="W490" s="14" t="s">
        <v>2873</v>
      </c>
      <c r="X490" s="14"/>
      <c r="Y490" s="14"/>
      <c r="Z490" s="14"/>
      <c r="AA490" s="14"/>
      <c r="AB490" s="14"/>
      <c r="AC490" s="14"/>
      <c r="AD490" s="14"/>
      <c r="AE490" s="14"/>
      <c r="AF490" s="14"/>
      <c r="AG490" s="14"/>
      <c r="AH490" s="14" t="s">
        <v>3279</v>
      </c>
      <c r="AI490" s="14"/>
      <c r="AJ490" s="16">
        <v>0.74619000000000002</v>
      </c>
      <c r="AK490" s="14">
        <v>1</v>
      </c>
      <c r="AL490" s="14">
        <v>-5</v>
      </c>
      <c r="AM490" s="14">
        <v>5</v>
      </c>
      <c r="AN490" s="19">
        <v>0</v>
      </c>
      <c r="AO490" s="19">
        <v>2.1688999999999999E-4</v>
      </c>
      <c r="AP490" s="19">
        <v>0</v>
      </c>
      <c r="AQ490" s="19">
        <v>0</v>
      </c>
      <c r="AR490" s="19">
        <v>0</v>
      </c>
      <c r="AS490" s="19">
        <v>0</v>
      </c>
      <c r="AT490" s="19">
        <v>0</v>
      </c>
      <c r="AU490" s="19">
        <v>0</v>
      </c>
      <c r="AV490" s="19">
        <v>0</v>
      </c>
      <c r="AW490" s="19">
        <v>0</v>
      </c>
    </row>
    <row r="491" spans="1:49" ht="17" customHeight="1">
      <c r="A491" s="11" t="s">
        <v>3565</v>
      </c>
      <c r="B491" s="11" t="s">
        <v>3565</v>
      </c>
      <c r="C491" s="14" t="s">
        <v>2867</v>
      </c>
      <c r="D491" s="14" t="s">
        <v>2916</v>
      </c>
      <c r="E491" s="14" t="s">
        <v>2917</v>
      </c>
      <c r="F491" s="14" t="s">
        <v>2918</v>
      </c>
      <c r="G491" s="14"/>
      <c r="H491" s="14" t="s">
        <v>2928</v>
      </c>
      <c r="I491" s="14"/>
      <c r="J491" s="14"/>
      <c r="K491" s="14"/>
      <c r="L491" s="14">
        <v>120</v>
      </c>
      <c r="M491" s="14">
        <v>800</v>
      </c>
      <c r="N491" s="14">
        <v>5</v>
      </c>
      <c r="O491" s="14"/>
      <c r="P491" s="14" t="s">
        <v>2920</v>
      </c>
      <c r="Q491" s="14">
        <v>50</v>
      </c>
      <c r="R491" s="14" t="s">
        <v>3047</v>
      </c>
      <c r="S491" s="14"/>
      <c r="T491" s="14" t="s">
        <v>2920</v>
      </c>
      <c r="U491" s="14" t="s">
        <v>2920</v>
      </c>
      <c r="V491" s="15">
        <v>1.2600000000000001E-3</v>
      </c>
      <c r="W491" s="14" t="s">
        <v>2873</v>
      </c>
      <c r="X491" s="14"/>
      <c r="Y491" s="14"/>
      <c r="Z491" s="14"/>
      <c r="AA491" s="14"/>
      <c r="AB491" s="14"/>
      <c r="AC491" s="14"/>
      <c r="AD491" s="14"/>
      <c r="AE491" s="14"/>
      <c r="AF491" s="14"/>
      <c r="AG491" s="14"/>
      <c r="AH491" s="14" t="s">
        <v>3278</v>
      </c>
      <c r="AI491" s="14"/>
      <c r="AJ491" s="16">
        <v>0.74619000000000002</v>
      </c>
      <c r="AK491" s="14">
        <v>1</v>
      </c>
      <c r="AL491" s="14">
        <v>-5</v>
      </c>
      <c r="AM491" s="14">
        <v>5</v>
      </c>
      <c r="AN491" s="19">
        <v>0</v>
      </c>
      <c r="AO491" s="19">
        <v>1.8804E-4</v>
      </c>
      <c r="AP491" s="19">
        <v>0</v>
      </c>
      <c r="AQ491" s="19">
        <v>0</v>
      </c>
      <c r="AR491" s="19">
        <v>0</v>
      </c>
      <c r="AS491" s="19">
        <v>0</v>
      </c>
      <c r="AT491" s="19">
        <v>0</v>
      </c>
      <c r="AU491" s="19">
        <v>0</v>
      </c>
      <c r="AV491" s="19">
        <v>0</v>
      </c>
      <c r="AW491" s="19">
        <v>0</v>
      </c>
    </row>
    <row r="492" spans="1:49" ht="17" customHeight="1">
      <c r="A492" s="11" t="s">
        <v>3566</v>
      </c>
      <c r="B492" s="11" t="s">
        <v>3566</v>
      </c>
      <c r="C492" s="14" t="s">
        <v>2867</v>
      </c>
      <c r="D492" s="14" t="s">
        <v>2916</v>
      </c>
      <c r="E492" s="14" t="s">
        <v>2917</v>
      </c>
      <c r="F492" s="14" t="s">
        <v>2918</v>
      </c>
      <c r="G492" s="14"/>
      <c r="H492" s="14" t="s">
        <v>2928</v>
      </c>
      <c r="I492" s="14"/>
      <c r="J492" s="14"/>
      <c r="K492" s="14"/>
      <c r="L492" s="14">
        <v>120</v>
      </c>
      <c r="M492" s="14">
        <v>800</v>
      </c>
      <c r="N492" s="14">
        <v>5</v>
      </c>
      <c r="O492" s="14"/>
      <c r="P492" s="14" t="s">
        <v>2920</v>
      </c>
      <c r="Q492" s="14">
        <v>50</v>
      </c>
      <c r="R492" s="14" t="s">
        <v>3047</v>
      </c>
      <c r="S492" s="14"/>
      <c r="T492" s="14" t="s">
        <v>2920</v>
      </c>
      <c r="U492" s="14" t="s">
        <v>2920</v>
      </c>
      <c r="V492" s="15">
        <v>1.453333333333333E-3</v>
      </c>
      <c r="W492" s="14" t="s">
        <v>2873</v>
      </c>
      <c r="X492" s="14"/>
      <c r="Y492" s="14"/>
      <c r="Z492" s="14"/>
      <c r="AA492" s="14"/>
      <c r="AB492" s="14"/>
      <c r="AC492" s="14"/>
      <c r="AD492" s="14"/>
      <c r="AE492" s="14"/>
      <c r="AF492" s="14"/>
      <c r="AG492" s="14"/>
      <c r="AH492" s="14" t="s">
        <v>3279</v>
      </c>
      <c r="AI492" s="14"/>
      <c r="AJ492" s="16">
        <v>0.74619000000000002</v>
      </c>
      <c r="AK492" s="14">
        <v>1</v>
      </c>
      <c r="AL492" s="14">
        <v>-5</v>
      </c>
      <c r="AM492" s="14">
        <v>5</v>
      </c>
      <c r="AN492" s="19">
        <v>0</v>
      </c>
      <c r="AO492" s="19">
        <v>2.1688999999999999E-4</v>
      </c>
      <c r="AP492" s="19">
        <v>0</v>
      </c>
      <c r="AQ492" s="19">
        <v>0</v>
      </c>
      <c r="AR492" s="19">
        <v>0</v>
      </c>
      <c r="AS492" s="19">
        <v>0</v>
      </c>
      <c r="AT492" s="19">
        <v>0</v>
      </c>
      <c r="AU492" s="19">
        <v>0</v>
      </c>
      <c r="AV492" s="19">
        <v>0</v>
      </c>
      <c r="AW492" s="19">
        <v>0</v>
      </c>
    </row>
    <row r="493" spans="1:49" ht="17" customHeight="1">
      <c r="A493" s="11" t="s">
        <v>3567</v>
      </c>
      <c r="B493" s="11" t="s">
        <v>3567</v>
      </c>
      <c r="C493" s="18" t="s">
        <v>2867</v>
      </c>
      <c r="D493" s="18" t="s">
        <v>2916</v>
      </c>
      <c r="E493" s="18" t="s">
        <v>2917</v>
      </c>
      <c r="F493" s="18" t="s">
        <v>2918</v>
      </c>
      <c r="G493" s="14"/>
      <c r="H493" s="18" t="s">
        <v>2928</v>
      </c>
      <c r="I493" s="14"/>
      <c r="J493" s="14"/>
      <c r="K493" s="14"/>
      <c r="L493" s="18">
        <v>120</v>
      </c>
      <c r="M493" s="18">
        <v>800</v>
      </c>
      <c r="N493" s="18">
        <v>5</v>
      </c>
      <c r="O493" s="14"/>
      <c r="P493" s="18" t="s">
        <v>2920</v>
      </c>
      <c r="Q493" s="18">
        <v>81</v>
      </c>
      <c r="R493" s="18" t="s">
        <v>3047</v>
      </c>
      <c r="S493" s="18"/>
      <c r="T493" s="18" t="s">
        <v>2920</v>
      </c>
      <c r="U493" s="18" t="s">
        <v>2920</v>
      </c>
      <c r="V493" s="20">
        <v>2.0412E-3</v>
      </c>
      <c r="W493" s="18" t="s">
        <v>2873</v>
      </c>
      <c r="X493" s="14"/>
      <c r="Y493" s="14"/>
      <c r="Z493" s="14"/>
      <c r="AA493" s="14"/>
      <c r="AB493" s="14"/>
      <c r="AC493" s="14"/>
      <c r="AD493" s="14"/>
      <c r="AE493" s="14"/>
      <c r="AF493" s="14"/>
      <c r="AG493" s="14"/>
      <c r="AH493" s="18" t="s">
        <v>3567</v>
      </c>
      <c r="AI493" s="14"/>
      <c r="AJ493" s="21">
        <v>0.74619000000000002</v>
      </c>
      <c r="AK493" s="18">
        <v>1</v>
      </c>
      <c r="AL493" s="18">
        <v>-5</v>
      </c>
      <c r="AM493" s="18">
        <v>5</v>
      </c>
      <c r="AN493" s="17">
        <v>0</v>
      </c>
      <c r="AO493" s="17">
        <v>3.0462000000000002E-4</v>
      </c>
      <c r="AP493" s="19">
        <v>0</v>
      </c>
      <c r="AQ493" s="19">
        <v>0</v>
      </c>
      <c r="AR493" s="19">
        <v>0</v>
      </c>
      <c r="AS493" s="19">
        <v>0</v>
      </c>
      <c r="AT493" s="19">
        <v>0</v>
      </c>
      <c r="AU493" s="19">
        <v>0</v>
      </c>
      <c r="AV493" s="19">
        <v>0</v>
      </c>
      <c r="AW493" s="19">
        <v>0</v>
      </c>
    </row>
    <row r="494" spans="1:49" ht="17" customHeight="1">
      <c r="A494" s="11" t="s">
        <v>3568</v>
      </c>
      <c r="B494" s="11" t="s">
        <v>3568</v>
      </c>
      <c r="C494" s="18" t="s">
        <v>2867</v>
      </c>
      <c r="D494" s="18" t="s">
        <v>2916</v>
      </c>
      <c r="E494" s="18" t="s">
        <v>2917</v>
      </c>
      <c r="F494" s="18" t="s">
        <v>2918</v>
      </c>
      <c r="G494" s="14"/>
      <c r="H494" s="18" t="s">
        <v>2928</v>
      </c>
      <c r="I494" s="14"/>
      <c r="J494" s="14"/>
      <c r="K494" s="14"/>
      <c r="L494" s="18">
        <v>120</v>
      </c>
      <c r="M494" s="18">
        <v>800</v>
      </c>
      <c r="N494" s="18">
        <v>5</v>
      </c>
      <c r="O494" s="14"/>
      <c r="P494" s="18" t="s">
        <v>2920</v>
      </c>
      <c r="Q494" s="18">
        <v>81</v>
      </c>
      <c r="R494" s="18" t="s">
        <v>3047</v>
      </c>
      <c r="S494" s="18"/>
      <c r="T494" s="18" t="s">
        <v>2920</v>
      </c>
      <c r="U494" s="18" t="s">
        <v>2920</v>
      </c>
      <c r="V494" s="20">
        <v>2.3544E-3</v>
      </c>
      <c r="W494" s="18" t="s">
        <v>2873</v>
      </c>
      <c r="X494" s="14"/>
      <c r="Y494" s="14"/>
      <c r="Z494" s="14"/>
      <c r="AA494" s="14"/>
      <c r="AB494" s="14"/>
      <c r="AC494" s="14"/>
      <c r="AD494" s="14"/>
      <c r="AE494" s="14"/>
      <c r="AF494" s="14"/>
      <c r="AG494" s="14"/>
      <c r="AH494" s="18" t="s">
        <v>3568</v>
      </c>
      <c r="AI494" s="14"/>
      <c r="AJ494" s="21">
        <v>0.74619000000000002</v>
      </c>
      <c r="AK494" s="18">
        <v>1</v>
      </c>
      <c r="AL494" s="18">
        <v>-5</v>
      </c>
      <c r="AM494" s="18">
        <v>5</v>
      </c>
      <c r="AN494" s="17">
        <v>0</v>
      </c>
      <c r="AO494" s="17">
        <v>3.5136999999999999E-4</v>
      </c>
      <c r="AP494" s="19">
        <v>0</v>
      </c>
      <c r="AQ494" s="19">
        <v>0</v>
      </c>
      <c r="AR494" s="19">
        <v>0</v>
      </c>
      <c r="AS494" s="19">
        <v>0</v>
      </c>
      <c r="AT494" s="19">
        <v>0</v>
      </c>
      <c r="AU494" s="19">
        <v>0</v>
      </c>
      <c r="AV494" s="19">
        <v>0</v>
      </c>
      <c r="AW494" s="19">
        <v>0</v>
      </c>
    </row>
    <row r="495" spans="1:49" ht="17" customHeight="1">
      <c r="A495" s="11" t="s">
        <v>3569</v>
      </c>
      <c r="B495" s="11" t="s">
        <v>3569</v>
      </c>
      <c r="C495" s="18" t="s">
        <v>2867</v>
      </c>
      <c r="D495" s="18" t="s">
        <v>2916</v>
      </c>
      <c r="E495" s="18" t="s">
        <v>2917</v>
      </c>
      <c r="F495" s="18" t="s">
        <v>2918</v>
      </c>
      <c r="G495" s="14"/>
      <c r="H495" s="18" t="s">
        <v>2928</v>
      </c>
      <c r="I495" s="14"/>
      <c r="J495" s="14"/>
      <c r="K495" s="14"/>
      <c r="L495" s="18">
        <v>120</v>
      </c>
      <c r="M495" s="18">
        <v>800</v>
      </c>
      <c r="N495" s="18">
        <v>5</v>
      </c>
      <c r="O495" s="14"/>
      <c r="P495" s="18" t="s">
        <v>2920</v>
      </c>
      <c r="Q495" s="18">
        <v>81</v>
      </c>
      <c r="R495" s="18" t="s">
        <v>3047</v>
      </c>
      <c r="S495" s="18"/>
      <c r="T495" s="18" t="s">
        <v>2920</v>
      </c>
      <c r="U495" s="18" t="s">
        <v>2920</v>
      </c>
      <c r="V495" s="20">
        <v>2.0412E-3</v>
      </c>
      <c r="W495" s="18" t="s">
        <v>2873</v>
      </c>
      <c r="X495" s="14"/>
      <c r="Y495" s="14"/>
      <c r="Z495" s="14"/>
      <c r="AA495" s="14"/>
      <c r="AB495" s="14"/>
      <c r="AC495" s="14"/>
      <c r="AD495" s="14"/>
      <c r="AE495" s="14"/>
      <c r="AF495" s="14"/>
      <c r="AG495" s="14"/>
      <c r="AH495" s="18" t="s">
        <v>3567</v>
      </c>
      <c r="AI495" s="14"/>
      <c r="AJ495" s="21">
        <v>0.74619000000000002</v>
      </c>
      <c r="AK495" s="18">
        <v>1</v>
      </c>
      <c r="AL495" s="18">
        <v>-5</v>
      </c>
      <c r="AM495" s="18">
        <v>5</v>
      </c>
      <c r="AN495" s="17">
        <v>0</v>
      </c>
      <c r="AO495" s="17">
        <v>3.0462000000000002E-4</v>
      </c>
      <c r="AP495" s="19">
        <v>0</v>
      </c>
      <c r="AQ495" s="19">
        <v>0</v>
      </c>
      <c r="AR495" s="19">
        <v>0</v>
      </c>
      <c r="AS495" s="19">
        <v>0</v>
      </c>
      <c r="AT495" s="19">
        <v>0</v>
      </c>
      <c r="AU495" s="19">
        <v>0</v>
      </c>
      <c r="AV495" s="19">
        <v>0</v>
      </c>
      <c r="AW495" s="19">
        <v>0</v>
      </c>
    </row>
    <row r="496" spans="1:49" ht="17" customHeight="1">
      <c r="A496" s="11" t="s">
        <v>3570</v>
      </c>
      <c r="B496" s="11" t="s">
        <v>3570</v>
      </c>
      <c r="C496" s="18" t="s">
        <v>2867</v>
      </c>
      <c r="D496" s="18" t="s">
        <v>2916</v>
      </c>
      <c r="E496" s="18" t="s">
        <v>2917</v>
      </c>
      <c r="F496" s="18" t="s">
        <v>2918</v>
      </c>
      <c r="G496" s="14"/>
      <c r="H496" s="18" t="s">
        <v>2928</v>
      </c>
      <c r="I496" s="14"/>
      <c r="J496" s="14"/>
      <c r="K496" s="14"/>
      <c r="L496" s="18">
        <v>120</v>
      </c>
      <c r="M496" s="18">
        <v>800</v>
      </c>
      <c r="N496" s="18">
        <v>5</v>
      </c>
      <c r="O496" s="14"/>
      <c r="P496" s="18" t="s">
        <v>2920</v>
      </c>
      <c r="Q496" s="18">
        <v>81</v>
      </c>
      <c r="R496" s="18" t="s">
        <v>3047</v>
      </c>
      <c r="S496" s="18"/>
      <c r="T496" s="18" t="s">
        <v>2920</v>
      </c>
      <c r="U496" s="18" t="s">
        <v>2920</v>
      </c>
      <c r="V496" s="20">
        <v>2.3544E-3</v>
      </c>
      <c r="W496" s="18" t="s">
        <v>2873</v>
      </c>
      <c r="X496" s="14"/>
      <c r="Y496" s="14"/>
      <c r="Z496" s="14"/>
      <c r="AA496" s="14"/>
      <c r="AB496" s="14"/>
      <c r="AC496" s="14"/>
      <c r="AD496" s="14"/>
      <c r="AE496" s="14"/>
      <c r="AF496" s="14"/>
      <c r="AG496" s="14"/>
      <c r="AH496" s="18" t="s">
        <v>3568</v>
      </c>
      <c r="AI496" s="14"/>
      <c r="AJ496" s="21">
        <v>0.74619000000000002</v>
      </c>
      <c r="AK496" s="18">
        <v>1</v>
      </c>
      <c r="AL496" s="18">
        <v>-5</v>
      </c>
      <c r="AM496" s="18">
        <v>5</v>
      </c>
      <c r="AN496" s="17">
        <v>0</v>
      </c>
      <c r="AO496" s="17">
        <v>3.5136999999999999E-4</v>
      </c>
      <c r="AP496" s="19">
        <v>0</v>
      </c>
      <c r="AQ496" s="19">
        <v>0</v>
      </c>
      <c r="AR496" s="19">
        <v>0</v>
      </c>
      <c r="AS496" s="19">
        <v>0</v>
      </c>
      <c r="AT496" s="19">
        <v>0</v>
      </c>
      <c r="AU496" s="19">
        <v>0</v>
      </c>
      <c r="AV496" s="19">
        <v>0</v>
      </c>
      <c r="AW496" s="19">
        <v>0</v>
      </c>
    </row>
    <row r="497" spans="1:49" ht="17" customHeight="1">
      <c r="A497" s="11" t="s">
        <v>3571</v>
      </c>
      <c r="B497" s="11" t="s">
        <v>3571</v>
      </c>
      <c r="C497" s="18" t="s">
        <v>2867</v>
      </c>
      <c r="D497" s="18" t="s">
        <v>2916</v>
      </c>
      <c r="E497" s="18" t="s">
        <v>2927</v>
      </c>
      <c r="F497" s="18" t="s">
        <v>2918</v>
      </c>
      <c r="G497" s="14"/>
      <c r="H497" s="18" t="s">
        <v>2948</v>
      </c>
      <c r="I497" s="14"/>
      <c r="J497" s="14"/>
      <c r="K497" s="14"/>
      <c r="L497" s="18">
        <v>20</v>
      </c>
      <c r="M497" s="18">
        <v>200</v>
      </c>
      <c r="N497" s="18">
        <v>330</v>
      </c>
      <c r="O497" s="14"/>
      <c r="P497" s="18">
        <v>2.5608</v>
      </c>
      <c r="Q497" s="18">
        <v>8</v>
      </c>
      <c r="R497" s="18" t="s">
        <v>3211</v>
      </c>
      <c r="S497" s="18"/>
      <c r="T497" s="18">
        <v>1.0369999999999999</v>
      </c>
      <c r="U497" s="18">
        <v>7.76</v>
      </c>
      <c r="V497" s="20">
        <v>62.252590184100342</v>
      </c>
      <c r="W497" s="18" t="s">
        <v>2954</v>
      </c>
      <c r="X497" s="14"/>
      <c r="Y497" s="14"/>
      <c r="Z497" s="14"/>
      <c r="AA497" s="14"/>
      <c r="AB497" s="14"/>
      <c r="AC497" s="14"/>
      <c r="AD497" s="14"/>
      <c r="AE497" s="14"/>
      <c r="AF497" s="14"/>
      <c r="AG497" s="14"/>
      <c r="AH497" s="18" t="s">
        <v>3212</v>
      </c>
      <c r="AI497" s="14"/>
      <c r="AJ497" s="21">
        <v>0.21244935000000001</v>
      </c>
      <c r="AK497" s="18">
        <v>1</v>
      </c>
      <c r="AL497" s="18">
        <v>0</v>
      </c>
      <c r="AM497" s="18">
        <v>330</v>
      </c>
      <c r="AN497" s="17">
        <v>-1.0886E-2</v>
      </c>
      <c r="AO497" s="17">
        <v>0.18657000000000001</v>
      </c>
      <c r="AP497" s="19">
        <v>2.8121999999999999E-4</v>
      </c>
      <c r="AQ497" s="19">
        <v>-4.0736000000000003E-6</v>
      </c>
      <c r="AR497" s="19">
        <v>3.3035999999999999E-8</v>
      </c>
      <c r="AS497" s="19">
        <v>-1.5158000000000001E-10</v>
      </c>
      <c r="AT497" s="19">
        <v>3.6279999999999998E-13</v>
      </c>
      <c r="AU497" s="19">
        <v>-3.5347999999999998E-16</v>
      </c>
      <c r="AV497" s="19">
        <v>0</v>
      </c>
      <c r="AW497" s="19">
        <v>0</v>
      </c>
    </row>
    <row r="498" spans="1:49" ht="17" customHeight="1">
      <c r="A498" s="11" t="s">
        <v>3572</v>
      </c>
      <c r="B498" s="11" t="s">
        <v>3572</v>
      </c>
      <c r="C498" s="18" t="s">
        <v>2867</v>
      </c>
      <c r="D498" s="18" t="s">
        <v>2916</v>
      </c>
      <c r="E498" s="18" t="s">
        <v>2927</v>
      </c>
      <c r="F498" s="18" t="s">
        <v>2918</v>
      </c>
      <c r="G498" s="14"/>
      <c r="H498" s="18" t="s">
        <v>2948</v>
      </c>
      <c r="I498" s="14"/>
      <c r="J498" s="14"/>
      <c r="K498" s="14"/>
      <c r="L498" s="18">
        <v>20</v>
      </c>
      <c r="M498" s="18">
        <v>200</v>
      </c>
      <c r="N498" s="18">
        <v>330</v>
      </c>
      <c r="O498" s="14"/>
      <c r="P498" s="18">
        <v>2.5608</v>
      </c>
      <c r="Q498" s="18">
        <v>8</v>
      </c>
      <c r="R498" s="18" t="s">
        <v>3211</v>
      </c>
      <c r="S498" s="18"/>
      <c r="T498" s="18">
        <v>1.0369999999999999</v>
      </c>
      <c r="U498" s="18">
        <v>7.76</v>
      </c>
      <c r="V498" s="20">
        <v>62.252590184100342</v>
      </c>
      <c r="W498" s="18" t="s">
        <v>2954</v>
      </c>
      <c r="X498" s="14"/>
      <c r="Y498" s="14"/>
      <c r="Z498" s="14"/>
      <c r="AA498" s="14"/>
      <c r="AB498" s="14"/>
      <c r="AC498" s="14"/>
      <c r="AD498" s="14"/>
      <c r="AE498" s="14"/>
      <c r="AF498" s="14"/>
      <c r="AG498" s="14"/>
      <c r="AH498" s="18" t="s">
        <v>3212</v>
      </c>
      <c r="AI498" s="14"/>
      <c r="AJ498" s="21">
        <v>0.21244935000000001</v>
      </c>
      <c r="AK498" s="18">
        <v>1</v>
      </c>
      <c r="AL498" s="18">
        <v>0</v>
      </c>
      <c r="AM498" s="18">
        <v>330</v>
      </c>
      <c r="AN498" s="17">
        <v>-1.0886E-2</v>
      </c>
      <c r="AO498" s="17">
        <v>0.18657000000000001</v>
      </c>
      <c r="AP498" s="19">
        <v>2.8121999999999999E-4</v>
      </c>
      <c r="AQ498" s="19">
        <v>-4.0736000000000003E-6</v>
      </c>
      <c r="AR498" s="19">
        <v>3.3035999999999999E-8</v>
      </c>
      <c r="AS498" s="19">
        <v>-1.5158000000000001E-10</v>
      </c>
      <c r="AT498" s="19">
        <v>3.6279999999999998E-13</v>
      </c>
      <c r="AU498" s="19">
        <v>-3.5347999999999998E-16</v>
      </c>
      <c r="AV498" s="19">
        <v>0</v>
      </c>
      <c r="AW498" s="19">
        <v>0</v>
      </c>
    </row>
    <row r="499" spans="1:49" ht="17" customHeight="1">
      <c r="A499" s="11" t="s">
        <v>3573</v>
      </c>
      <c r="B499" s="11" t="s">
        <v>3573</v>
      </c>
      <c r="C499" s="18" t="s">
        <v>2867</v>
      </c>
      <c r="D499" s="18" t="s">
        <v>2916</v>
      </c>
      <c r="E499" s="18" t="s">
        <v>2917</v>
      </c>
      <c r="F499" s="18" t="s">
        <v>2918</v>
      </c>
      <c r="G499" s="14"/>
      <c r="H499" s="18" t="s">
        <v>2948</v>
      </c>
      <c r="I499" s="14"/>
      <c r="J499" s="14"/>
      <c r="K499" s="14"/>
      <c r="L499" s="18">
        <v>20</v>
      </c>
      <c r="M499" s="18">
        <v>80</v>
      </c>
      <c r="N499" s="18">
        <v>10</v>
      </c>
      <c r="O499" s="14"/>
      <c r="P499" s="18">
        <v>69</v>
      </c>
      <c r="Q499" s="18">
        <v>36</v>
      </c>
      <c r="R499" s="18" t="s">
        <v>2936</v>
      </c>
      <c r="S499" s="18"/>
      <c r="T499" s="18">
        <v>2.9279999999999999</v>
      </c>
      <c r="U499" s="18">
        <v>11.5</v>
      </c>
      <c r="V499" s="20">
        <v>4.4319999999999998E-2</v>
      </c>
      <c r="W499" s="18" t="s">
        <v>2873</v>
      </c>
      <c r="X499" s="14"/>
      <c r="Y499" s="14"/>
      <c r="Z499" s="14"/>
      <c r="AA499" s="14"/>
      <c r="AB499" s="14"/>
      <c r="AC499" s="14"/>
      <c r="AD499" s="14"/>
      <c r="AE499" s="14"/>
      <c r="AF499" s="14"/>
      <c r="AG499" s="14"/>
      <c r="AH499" s="18" t="s">
        <v>3574</v>
      </c>
      <c r="AI499" s="14"/>
      <c r="AJ499" s="21">
        <v>0.1074008800631841</v>
      </c>
      <c r="AK499" s="18">
        <v>1</v>
      </c>
      <c r="AL499" s="18">
        <v>-10</v>
      </c>
      <c r="AM499" s="18">
        <v>10</v>
      </c>
      <c r="AN499" s="17">
        <v>0</v>
      </c>
      <c r="AO499" s="17">
        <v>4.7600000000000002E-4</v>
      </c>
      <c r="AP499" s="19">
        <v>0</v>
      </c>
      <c r="AQ499" s="19">
        <v>0</v>
      </c>
      <c r="AR499" s="19">
        <v>0</v>
      </c>
      <c r="AS499" s="19">
        <v>0</v>
      </c>
      <c r="AT499" s="19">
        <v>0</v>
      </c>
      <c r="AU499" s="19">
        <v>0</v>
      </c>
      <c r="AV499" s="19">
        <v>0</v>
      </c>
      <c r="AW499" s="19">
        <v>0</v>
      </c>
    </row>
    <row r="500" spans="1:49" ht="17" customHeight="1">
      <c r="A500" s="11" t="s">
        <v>3575</v>
      </c>
      <c r="B500" s="11" t="s">
        <v>3575</v>
      </c>
      <c r="C500" s="18" t="s">
        <v>2867</v>
      </c>
      <c r="D500" s="18" t="s">
        <v>2916</v>
      </c>
      <c r="E500" s="18" t="s">
        <v>2917</v>
      </c>
      <c r="F500" s="18" t="s">
        <v>2918</v>
      </c>
      <c r="G500" s="14"/>
      <c r="H500" s="18" t="s">
        <v>2948</v>
      </c>
      <c r="I500" s="14"/>
      <c r="J500" s="14"/>
      <c r="K500" s="14"/>
      <c r="L500" s="18">
        <v>20</v>
      </c>
      <c r="M500" s="18">
        <v>80</v>
      </c>
      <c r="N500" s="18">
        <v>10</v>
      </c>
      <c r="O500" s="14"/>
      <c r="P500" s="18">
        <v>69</v>
      </c>
      <c r="Q500" s="18">
        <v>36</v>
      </c>
      <c r="R500" s="18" t="s">
        <v>2936</v>
      </c>
      <c r="S500" s="18"/>
      <c r="T500" s="18">
        <v>2.9279999999999999</v>
      </c>
      <c r="U500" s="18">
        <v>11.5</v>
      </c>
      <c r="V500" s="20">
        <v>4.4319999999999998E-2</v>
      </c>
      <c r="W500" s="18" t="s">
        <v>2873</v>
      </c>
      <c r="X500" s="14"/>
      <c r="Y500" s="14"/>
      <c r="Z500" s="14"/>
      <c r="AA500" s="14"/>
      <c r="AB500" s="14"/>
      <c r="AC500" s="14"/>
      <c r="AD500" s="14"/>
      <c r="AE500" s="14"/>
      <c r="AF500" s="14"/>
      <c r="AG500" s="14"/>
      <c r="AH500" s="18" t="s">
        <v>3574</v>
      </c>
      <c r="AI500" s="14"/>
      <c r="AJ500" s="21">
        <v>0.1074008800631841</v>
      </c>
      <c r="AK500" s="18">
        <v>1</v>
      </c>
      <c r="AL500" s="18">
        <v>-10</v>
      </c>
      <c r="AM500" s="18">
        <v>10</v>
      </c>
      <c r="AN500" s="17">
        <v>0</v>
      </c>
      <c r="AO500" s="17">
        <v>4.7600000000000002E-4</v>
      </c>
      <c r="AP500" s="19">
        <v>0</v>
      </c>
      <c r="AQ500" s="19">
        <v>0</v>
      </c>
      <c r="AR500" s="19">
        <v>0</v>
      </c>
      <c r="AS500" s="19">
        <v>0</v>
      </c>
      <c r="AT500" s="19">
        <v>0</v>
      </c>
      <c r="AU500" s="19">
        <v>0</v>
      </c>
      <c r="AV500" s="19">
        <v>0</v>
      </c>
      <c r="AW500" s="19">
        <v>0</v>
      </c>
    </row>
    <row r="501" spans="1:49" ht="17" customHeight="1">
      <c r="A501" s="11" t="s">
        <v>3576</v>
      </c>
      <c r="B501" s="11" t="s">
        <v>3576</v>
      </c>
      <c r="C501" s="18" t="s">
        <v>2867</v>
      </c>
      <c r="D501" s="18" t="s">
        <v>2916</v>
      </c>
      <c r="E501" s="18" t="s">
        <v>2927</v>
      </c>
      <c r="F501" s="18" t="s">
        <v>2918</v>
      </c>
      <c r="G501" s="14"/>
      <c r="H501" s="18" t="s">
        <v>2948</v>
      </c>
      <c r="I501" s="14"/>
      <c r="J501" s="14"/>
      <c r="K501" s="14"/>
      <c r="L501" s="18">
        <v>20</v>
      </c>
      <c r="M501" s="18">
        <v>200</v>
      </c>
      <c r="N501" s="18">
        <v>330</v>
      </c>
      <c r="O501" s="14"/>
      <c r="P501" s="18">
        <v>2.5608</v>
      </c>
      <c r="Q501" s="18">
        <v>8</v>
      </c>
      <c r="R501" s="18" t="s">
        <v>3211</v>
      </c>
      <c r="S501" s="18"/>
      <c r="T501" s="18">
        <v>1.0369999999999999</v>
      </c>
      <c r="U501" s="18">
        <v>7.76</v>
      </c>
      <c r="V501" s="20">
        <v>62.252590184100342</v>
      </c>
      <c r="W501" s="18" t="s">
        <v>2954</v>
      </c>
      <c r="X501" s="14"/>
      <c r="Y501" s="14"/>
      <c r="Z501" s="14"/>
      <c r="AA501" s="14"/>
      <c r="AB501" s="14"/>
      <c r="AC501" s="14"/>
      <c r="AD501" s="14"/>
      <c r="AE501" s="14"/>
      <c r="AF501" s="14"/>
      <c r="AG501" s="14"/>
      <c r="AH501" s="18" t="s">
        <v>3212</v>
      </c>
      <c r="AI501" s="14"/>
      <c r="AJ501" s="21">
        <v>0.21244935000000001</v>
      </c>
      <c r="AK501" s="18">
        <v>1</v>
      </c>
      <c r="AL501" s="18">
        <v>0</v>
      </c>
      <c r="AM501" s="18">
        <v>330</v>
      </c>
      <c r="AN501" s="17">
        <v>-1.0886E-2</v>
      </c>
      <c r="AO501" s="17">
        <v>0.18657000000000001</v>
      </c>
      <c r="AP501" s="19">
        <v>2.8121999999999999E-4</v>
      </c>
      <c r="AQ501" s="19">
        <v>-4.0736000000000003E-6</v>
      </c>
      <c r="AR501" s="19">
        <v>3.3035999999999999E-8</v>
      </c>
      <c r="AS501" s="19">
        <v>-1.5158000000000001E-10</v>
      </c>
      <c r="AT501" s="19">
        <v>3.6279999999999998E-13</v>
      </c>
      <c r="AU501" s="19">
        <v>-3.5347999999999998E-16</v>
      </c>
      <c r="AV501" s="19">
        <v>0</v>
      </c>
      <c r="AW501" s="19">
        <v>0</v>
      </c>
    </row>
    <row r="502" spans="1:49" ht="17" customHeight="1">
      <c r="A502" s="11" t="s">
        <v>3577</v>
      </c>
      <c r="B502" s="11" t="s">
        <v>3577</v>
      </c>
      <c r="C502" s="18" t="s">
        <v>2867</v>
      </c>
      <c r="D502" s="18" t="s">
        <v>2916</v>
      </c>
      <c r="E502" s="18" t="s">
        <v>2927</v>
      </c>
      <c r="F502" s="18" t="s">
        <v>2918</v>
      </c>
      <c r="G502" s="14"/>
      <c r="H502" s="18" t="s">
        <v>2948</v>
      </c>
      <c r="I502" s="14"/>
      <c r="J502" s="14"/>
      <c r="K502" s="14"/>
      <c r="L502" s="18">
        <v>20</v>
      </c>
      <c r="M502" s="18">
        <v>200</v>
      </c>
      <c r="N502" s="18">
        <v>330</v>
      </c>
      <c r="O502" s="14"/>
      <c r="P502" s="18">
        <v>2.5608</v>
      </c>
      <c r="Q502" s="18">
        <v>8</v>
      </c>
      <c r="R502" s="18" t="s">
        <v>3211</v>
      </c>
      <c r="S502" s="18"/>
      <c r="T502" s="18">
        <v>1.0369999999999999</v>
      </c>
      <c r="U502" s="18">
        <v>7.76</v>
      </c>
      <c r="V502" s="20">
        <v>62.252590184100342</v>
      </c>
      <c r="W502" s="18" t="s">
        <v>2954</v>
      </c>
      <c r="X502" s="14"/>
      <c r="Y502" s="14"/>
      <c r="Z502" s="14"/>
      <c r="AA502" s="14"/>
      <c r="AB502" s="14"/>
      <c r="AC502" s="14"/>
      <c r="AD502" s="14"/>
      <c r="AE502" s="14"/>
      <c r="AF502" s="14"/>
      <c r="AG502" s="14"/>
      <c r="AH502" s="18" t="s">
        <v>3212</v>
      </c>
      <c r="AI502" s="14"/>
      <c r="AJ502" s="21">
        <v>0.21244935000000001</v>
      </c>
      <c r="AK502" s="18">
        <v>1</v>
      </c>
      <c r="AL502" s="18">
        <v>0</v>
      </c>
      <c r="AM502" s="18">
        <v>330</v>
      </c>
      <c r="AN502" s="17">
        <v>-1.0886E-2</v>
      </c>
      <c r="AO502" s="17">
        <v>0.18657000000000001</v>
      </c>
      <c r="AP502" s="19">
        <v>2.8121999999999999E-4</v>
      </c>
      <c r="AQ502" s="19">
        <v>-4.0736000000000003E-6</v>
      </c>
      <c r="AR502" s="19">
        <v>3.3035999999999999E-8</v>
      </c>
      <c r="AS502" s="19">
        <v>-1.5158000000000001E-10</v>
      </c>
      <c r="AT502" s="19">
        <v>3.6279999999999998E-13</v>
      </c>
      <c r="AU502" s="19">
        <v>-3.5347999999999998E-16</v>
      </c>
      <c r="AV502" s="19">
        <v>0</v>
      </c>
      <c r="AW502" s="19">
        <v>0</v>
      </c>
    </row>
    <row r="503" spans="1:49" ht="17" customHeight="1">
      <c r="A503" s="11" t="s">
        <v>3578</v>
      </c>
      <c r="B503" s="11" t="s">
        <v>3578</v>
      </c>
      <c r="C503" s="18" t="s">
        <v>2867</v>
      </c>
      <c r="D503" s="18" t="s">
        <v>2916</v>
      </c>
      <c r="E503" s="18" t="s">
        <v>2927</v>
      </c>
      <c r="F503" s="18" t="s">
        <v>2918</v>
      </c>
      <c r="G503" s="14"/>
      <c r="H503" s="18" t="s">
        <v>2948</v>
      </c>
      <c r="I503" s="14"/>
      <c r="J503" s="14"/>
      <c r="K503" s="14"/>
      <c r="L503" s="18">
        <v>20</v>
      </c>
      <c r="M503" s="18">
        <v>200</v>
      </c>
      <c r="N503" s="18">
        <v>330</v>
      </c>
      <c r="O503" s="14"/>
      <c r="P503" s="18">
        <v>2.5608</v>
      </c>
      <c r="Q503" s="18">
        <v>8</v>
      </c>
      <c r="R503" s="18" t="s">
        <v>3211</v>
      </c>
      <c r="S503" s="18"/>
      <c r="T503" s="18">
        <v>1.0369999999999999</v>
      </c>
      <c r="U503" s="18">
        <v>7.76</v>
      </c>
      <c r="V503" s="20">
        <v>62.252590184100342</v>
      </c>
      <c r="W503" s="18" t="s">
        <v>2954</v>
      </c>
      <c r="X503" s="14"/>
      <c r="Y503" s="14"/>
      <c r="Z503" s="14"/>
      <c r="AA503" s="14"/>
      <c r="AB503" s="14"/>
      <c r="AC503" s="14"/>
      <c r="AD503" s="14"/>
      <c r="AE503" s="14"/>
      <c r="AF503" s="14"/>
      <c r="AG503" s="14"/>
      <c r="AH503" s="18" t="s">
        <v>3212</v>
      </c>
      <c r="AI503" s="14"/>
      <c r="AJ503" s="21">
        <v>0.21244935000000001</v>
      </c>
      <c r="AK503" s="18">
        <v>1</v>
      </c>
      <c r="AL503" s="18">
        <v>0</v>
      </c>
      <c r="AM503" s="18">
        <v>330</v>
      </c>
      <c r="AN503" s="17">
        <v>-1.0886E-2</v>
      </c>
      <c r="AO503" s="17">
        <v>0.18657000000000001</v>
      </c>
      <c r="AP503" s="19">
        <v>2.8121999999999999E-4</v>
      </c>
      <c r="AQ503" s="19">
        <v>-4.0736000000000003E-6</v>
      </c>
      <c r="AR503" s="19">
        <v>3.3035999999999999E-8</v>
      </c>
      <c r="AS503" s="19">
        <v>-1.5158000000000001E-10</v>
      </c>
      <c r="AT503" s="19">
        <v>3.6279999999999998E-13</v>
      </c>
      <c r="AU503" s="19">
        <v>-3.5347999999999998E-16</v>
      </c>
      <c r="AV503" s="19">
        <v>0</v>
      </c>
      <c r="AW503" s="19">
        <v>0</v>
      </c>
    </row>
    <row r="504" spans="1:49" ht="17" customHeight="1">
      <c r="A504" s="11" t="s">
        <v>3579</v>
      </c>
      <c r="B504" s="11" t="s">
        <v>3579</v>
      </c>
      <c r="C504" s="18" t="s">
        <v>2867</v>
      </c>
      <c r="D504" s="18" t="s">
        <v>2916</v>
      </c>
      <c r="E504" s="18" t="s">
        <v>2927</v>
      </c>
      <c r="F504" s="18" t="s">
        <v>2918</v>
      </c>
      <c r="G504" s="14"/>
      <c r="H504" s="18" t="s">
        <v>2948</v>
      </c>
      <c r="I504" s="14"/>
      <c r="J504" s="14"/>
      <c r="K504" s="14"/>
      <c r="L504" s="18">
        <v>20</v>
      </c>
      <c r="M504" s="18">
        <v>200</v>
      </c>
      <c r="N504" s="18">
        <v>330</v>
      </c>
      <c r="O504" s="14"/>
      <c r="P504" s="18">
        <v>2.5608</v>
      </c>
      <c r="Q504" s="18">
        <v>8</v>
      </c>
      <c r="R504" s="18" t="s">
        <v>3211</v>
      </c>
      <c r="S504" s="18"/>
      <c r="T504" s="18">
        <v>1.0369999999999999</v>
      </c>
      <c r="U504" s="18">
        <v>7.76</v>
      </c>
      <c r="V504" s="20">
        <v>62.252590184100342</v>
      </c>
      <c r="W504" s="18" t="s">
        <v>2954</v>
      </c>
      <c r="X504" s="14"/>
      <c r="Y504" s="14"/>
      <c r="Z504" s="14"/>
      <c r="AA504" s="14"/>
      <c r="AB504" s="14"/>
      <c r="AC504" s="14"/>
      <c r="AD504" s="14"/>
      <c r="AE504" s="14"/>
      <c r="AF504" s="14"/>
      <c r="AG504" s="14"/>
      <c r="AH504" s="18" t="s">
        <v>3212</v>
      </c>
      <c r="AI504" s="14"/>
      <c r="AJ504" s="21">
        <v>0.21244935000000001</v>
      </c>
      <c r="AK504" s="18">
        <v>1</v>
      </c>
      <c r="AL504" s="18">
        <v>0</v>
      </c>
      <c r="AM504" s="18">
        <v>330</v>
      </c>
      <c r="AN504" s="17">
        <v>-1.0886E-2</v>
      </c>
      <c r="AO504" s="17">
        <v>0.18657000000000001</v>
      </c>
      <c r="AP504" s="19">
        <v>2.8121999999999999E-4</v>
      </c>
      <c r="AQ504" s="19">
        <v>-4.0736000000000003E-6</v>
      </c>
      <c r="AR504" s="19">
        <v>3.3035999999999999E-8</v>
      </c>
      <c r="AS504" s="19">
        <v>-1.5158000000000001E-10</v>
      </c>
      <c r="AT504" s="19">
        <v>3.6279999999999998E-13</v>
      </c>
      <c r="AU504" s="19">
        <v>-3.5347999999999998E-16</v>
      </c>
      <c r="AV504" s="19">
        <v>0</v>
      </c>
      <c r="AW504" s="19">
        <v>0</v>
      </c>
    </row>
    <row r="505" spans="1:49" ht="17" customHeight="1">
      <c r="A505" s="11" t="s">
        <v>3580</v>
      </c>
      <c r="B505" s="11" t="s">
        <v>3580</v>
      </c>
      <c r="C505" s="18" t="s">
        <v>2867</v>
      </c>
      <c r="D505" s="18" t="s">
        <v>2916</v>
      </c>
      <c r="E505" s="18" t="s">
        <v>2927</v>
      </c>
      <c r="F505" s="18" t="s">
        <v>2918</v>
      </c>
      <c r="G505" s="14"/>
      <c r="H505" s="18" t="s">
        <v>2948</v>
      </c>
      <c r="I505" s="14"/>
      <c r="J505" s="14"/>
      <c r="K505" s="14"/>
      <c r="L505" s="18">
        <v>20</v>
      </c>
      <c r="M505" s="18">
        <v>200</v>
      </c>
      <c r="N505" s="18">
        <v>330</v>
      </c>
      <c r="O505" s="14"/>
      <c r="P505" s="18">
        <v>2.5608</v>
      </c>
      <c r="Q505" s="18">
        <v>8</v>
      </c>
      <c r="R505" s="18" t="s">
        <v>3211</v>
      </c>
      <c r="S505" s="18"/>
      <c r="T505" s="18">
        <v>1.0369999999999999</v>
      </c>
      <c r="U505" s="18">
        <v>7.76</v>
      </c>
      <c r="V505" s="20">
        <v>62.252590184100342</v>
      </c>
      <c r="W505" s="18" t="s">
        <v>2954</v>
      </c>
      <c r="X505" s="14"/>
      <c r="Y505" s="14"/>
      <c r="Z505" s="14"/>
      <c r="AA505" s="14"/>
      <c r="AB505" s="14"/>
      <c r="AC505" s="14"/>
      <c r="AD505" s="14"/>
      <c r="AE505" s="14"/>
      <c r="AF505" s="14"/>
      <c r="AG505" s="14"/>
      <c r="AH505" s="18" t="s">
        <v>3212</v>
      </c>
      <c r="AI505" s="14"/>
      <c r="AJ505" s="21">
        <v>0.21244935000000001</v>
      </c>
      <c r="AK505" s="18">
        <v>1</v>
      </c>
      <c r="AL505" s="18">
        <v>0</v>
      </c>
      <c r="AM505" s="18">
        <v>330</v>
      </c>
      <c r="AN505" s="17">
        <v>-1.0886E-2</v>
      </c>
      <c r="AO505" s="17">
        <v>0.18657000000000001</v>
      </c>
      <c r="AP505" s="19">
        <v>2.8121999999999999E-4</v>
      </c>
      <c r="AQ505" s="19">
        <v>-4.0736000000000003E-6</v>
      </c>
      <c r="AR505" s="19">
        <v>3.3035999999999999E-8</v>
      </c>
      <c r="AS505" s="19">
        <v>-1.5158000000000001E-10</v>
      </c>
      <c r="AT505" s="19">
        <v>3.6279999999999998E-13</v>
      </c>
      <c r="AU505" s="19">
        <v>-3.5347999999999998E-16</v>
      </c>
      <c r="AV505" s="19">
        <v>0</v>
      </c>
      <c r="AW505" s="19">
        <v>0</v>
      </c>
    </row>
    <row r="506" spans="1:49" ht="17" customHeight="1">
      <c r="A506" s="11" t="s">
        <v>3581</v>
      </c>
      <c r="B506" s="11" t="s">
        <v>3581</v>
      </c>
      <c r="C506" s="18" t="s">
        <v>2867</v>
      </c>
      <c r="D506" s="18" t="s">
        <v>2916</v>
      </c>
      <c r="E506" s="18" t="s">
        <v>2927</v>
      </c>
      <c r="F506" s="18" t="s">
        <v>2918</v>
      </c>
      <c r="G506" s="14"/>
      <c r="H506" s="18" t="s">
        <v>2948</v>
      </c>
      <c r="I506" s="14"/>
      <c r="J506" s="14"/>
      <c r="K506" s="14"/>
      <c r="L506" s="18">
        <v>20</v>
      </c>
      <c r="M506" s="18">
        <v>200</v>
      </c>
      <c r="N506" s="18">
        <v>330</v>
      </c>
      <c r="O506" s="14"/>
      <c r="P506" s="18">
        <v>2.5608</v>
      </c>
      <c r="Q506" s="18">
        <v>8</v>
      </c>
      <c r="R506" s="18" t="s">
        <v>3211</v>
      </c>
      <c r="S506" s="18"/>
      <c r="T506" s="18">
        <v>1.0369999999999999</v>
      </c>
      <c r="U506" s="18">
        <v>7.76</v>
      </c>
      <c r="V506" s="20">
        <v>62.252590184100342</v>
      </c>
      <c r="W506" s="18" t="s">
        <v>2954</v>
      </c>
      <c r="X506" s="14"/>
      <c r="Y506" s="14"/>
      <c r="Z506" s="14"/>
      <c r="AA506" s="14"/>
      <c r="AB506" s="14"/>
      <c r="AC506" s="14"/>
      <c r="AD506" s="14"/>
      <c r="AE506" s="14"/>
      <c r="AF506" s="14"/>
      <c r="AG506" s="14"/>
      <c r="AH506" s="18" t="s">
        <v>3212</v>
      </c>
      <c r="AI506" s="14"/>
      <c r="AJ506" s="21">
        <v>0.21244935000000001</v>
      </c>
      <c r="AK506" s="18">
        <v>1</v>
      </c>
      <c r="AL506" s="18">
        <v>0</v>
      </c>
      <c r="AM506" s="18">
        <v>330</v>
      </c>
      <c r="AN506" s="17">
        <v>-1.0886E-2</v>
      </c>
      <c r="AO506" s="17">
        <v>0.18657000000000001</v>
      </c>
      <c r="AP506" s="19">
        <v>2.8121999999999999E-4</v>
      </c>
      <c r="AQ506" s="19">
        <v>-4.0736000000000003E-6</v>
      </c>
      <c r="AR506" s="19">
        <v>3.3035999999999999E-8</v>
      </c>
      <c r="AS506" s="19">
        <v>-1.5158000000000001E-10</v>
      </c>
      <c r="AT506" s="19">
        <v>3.6279999999999998E-13</v>
      </c>
      <c r="AU506" s="19">
        <v>-3.5347999999999998E-16</v>
      </c>
      <c r="AV506" s="19">
        <v>0</v>
      </c>
      <c r="AW506" s="19">
        <v>0</v>
      </c>
    </row>
    <row r="507" spans="1:49" ht="17" customHeight="1">
      <c r="A507" s="11" t="s">
        <v>3582</v>
      </c>
      <c r="B507" s="11" t="s">
        <v>3582</v>
      </c>
      <c r="C507" s="18" t="s">
        <v>2867</v>
      </c>
      <c r="D507" s="18" t="s">
        <v>2916</v>
      </c>
      <c r="E507" s="18" t="s">
        <v>2927</v>
      </c>
      <c r="F507" s="18" t="s">
        <v>2918</v>
      </c>
      <c r="G507" s="14"/>
      <c r="H507" s="18" t="s">
        <v>2948</v>
      </c>
      <c r="I507" s="14"/>
      <c r="J507" s="14"/>
      <c r="K507" s="14"/>
      <c r="L507" s="18">
        <v>20</v>
      </c>
      <c r="M507" s="18">
        <v>200</v>
      </c>
      <c r="N507" s="18">
        <v>330</v>
      </c>
      <c r="O507" s="14"/>
      <c r="P507" s="18">
        <v>2.5608</v>
      </c>
      <c r="Q507" s="18">
        <v>8</v>
      </c>
      <c r="R507" s="18" t="s">
        <v>3211</v>
      </c>
      <c r="S507" s="18"/>
      <c r="T507" s="18">
        <v>1.0369999999999999</v>
      </c>
      <c r="U507" s="18">
        <v>7.76</v>
      </c>
      <c r="V507" s="20">
        <v>62.252590184100342</v>
      </c>
      <c r="W507" s="18" t="s">
        <v>2954</v>
      </c>
      <c r="X507" s="14"/>
      <c r="Y507" s="14"/>
      <c r="Z507" s="14"/>
      <c r="AA507" s="14"/>
      <c r="AB507" s="14"/>
      <c r="AC507" s="14"/>
      <c r="AD507" s="14"/>
      <c r="AE507" s="14"/>
      <c r="AF507" s="14"/>
      <c r="AG507" s="14"/>
      <c r="AH507" s="18" t="s">
        <v>3212</v>
      </c>
      <c r="AI507" s="14"/>
      <c r="AJ507" s="21">
        <v>0.21244935000000001</v>
      </c>
      <c r="AK507" s="18">
        <v>1</v>
      </c>
      <c r="AL507" s="18">
        <v>0</v>
      </c>
      <c r="AM507" s="18">
        <v>330</v>
      </c>
      <c r="AN507" s="17">
        <v>-1.0886E-2</v>
      </c>
      <c r="AO507" s="17">
        <v>0.18657000000000001</v>
      </c>
      <c r="AP507" s="19">
        <v>2.8121999999999999E-4</v>
      </c>
      <c r="AQ507" s="19">
        <v>-4.0736000000000003E-6</v>
      </c>
      <c r="AR507" s="19">
        <v>3.3035999999999999E-8</v>
      </c>
      <c r="AS507" s="19">
        <v>-1.5158000000000001E-10</v>
      </c>
      <c r="AT507" s="19">
        <v>3.6279999999999998E-13</v>
      </c>
      <c r="AU507" s="19">
        <v>-3.5347999999999998E-16</v>
      </c>
      <c r="AV507" s="19">
        <v>0</v>
      </c>
      <c r="AW507" s="19">
        <v>0</v>
      </c>
    </row>
    <row r="508" spans="1:49" ht="17" customHeight="1">
      <c r="A508" s="11" t="s">
        <v>3583</v>
      </c>
      <c r="B508" s="11" t="s">
        <v>3583</v>
      </c>
      <c r="C508" s="18" t="s">
        <v>2867</v>
      </c>
      <c r="D508" s="18" t="s">
        <v>2916</v>
      </c>
      <c r="E508" s="18" t="s">
        <v>2927</v>
      </c>
      <c r="F508" s="18" t="s">
        <v>2918</v>
      </c>
      <c r="G508" s="14"/>
      <c r="H508" s="18" t="s">
        <v>2948</v>
      </c>
      <c r="I508" s="14"/>
      <c r="J508" s="14"/>
      <c r="K508" s="14"/>
      <c r="L508" s="18">
        <v>20</v>
      </c>
      <c r="M508" s="18">
        <v>200</v>
      </c>
      <c r="N508" s="18">
        <v>330</v>
      </c>
      <c r="O508" s="14"/>
      <c r="P508" s="18">
        <v>2.5608</v>
      </c>
      <c r="Q508" s="18">
        <v>8</v>
      </c>
      <c r="R508" s="18" t="s">
        <v>3211</v>
      </c>
      <c r="S508" s="18"/>
      <c r="T508" s="18">
        <v>1.0369999999999999</v>
      </c>
      <c r="U508" s="18">
        <v>7.76</v>
      </c>
      <c r="V508" s="20">
        <v>62.252590184100342</v>
      </c>
      <c r="W508" s="18" t="s">
        <v>2954</v>
      </c>
      <c r="X508" s="14"/>
      <c r="Y508" s="14"/>
      <c r="Z508" s="14"/>
      <c r="AA508" s="14"/>
      <c r="AB508" s="14"/>
      <c r="AC508" s="14"/>
      <c r="AD508" s="14"/>
      <c r="AE508" s="14"/>
      <c r="AF508" s="14"/>
      <c r="AG508" s="14"/>
      <c r="AH508" s="18" t="s">
        <v>3212</v>
      </c>
      <c r="AI508" s="14"/>
      <c r="AJ508" s="21">
        <v>0.21244935000000001</v>
      </c>
      <c r="AK508" s="18">
        <v>1</v>
      </c>
      <c r="AL508" s="18">
        <v>0</v>
      </c>
      <c r="AM508" s="18">
        <v>330</v>
      </c>
      <c r="AN508" s="17">
        <v>-1.0886E-2</v>
      </c>
      <c r="AO508" s="17">
        <v>0.18657000000000001</v>
      </c>
      <c r="AP508" s="19">
        <v>2.8121999999999999E-4</v>
      </c>
      <c r="AQ508" s="19">
        <v>-4.0736000000000003E-6</v>
      </c>
      <c r="AR508" s="19">
        <v>3.3035999999999999E-8</v>
      </c>
      <c r="AS508" s="19">
        <v>-1.5158000000000001E-10</v>
      </c>
      <c r="AT508" s="19">
        <v>3.6279999999999998E-13</v>
      </c>
      <c r="AU508" s="19">
        <v>-3.5347999999999998E-16</v>
      </c>
      <c r="AV508" s="19">
        <v>0</v>
      </c>
      <c r="AW508" s="19">
        <v>0</v>
      </c>
    </row>
    <row r="509" spans="1:49" ht="17" customHeight="1">
      <c r="A509" s="11" t="s">
        <v>3574</v>
      </c>
      <c r="B509" s="11" t="s">
        <v>3574</v>
      </c>
      <c r="C509" s="18" t="s">
        <v>2867</v>
      </c>
      <c r="D509" s="18" t="s">
        <v>2916</v>
      </c>
      <c r="E509" s="18" t="s">
        <v>2917</v>
      </c>
      <c r="F509" s="18" t="s">
        <v>2918</v>
      </c>
      <c r="G509" s="14"/>
      <c r="H509" s="18" t="s">
        <v>2948</v>
      </c>
      <c r="I509" s="14"/>
      <c r="J509" s="14"/>
      <c r="K509" s="14"/>
      <c r="L509" s="18">
        <v>20</v>
      </c>
      <c r="M509" s="18">
        <v>80</v>
      </c>
      <c r="N509" s="18">
        <v>10</v>
      </c>
      <c r="O509" s="14"/>
      <c r="P509" s="18">
        <v>69</v>
      </c>
      <c r="Q509" s="18">
        <v>36</v>
      </c>
      <c r="R509" s="18" t="s">
        <v>2936</v>
      </c>
      <c r="S509" s="18"/>
      <c r="T509" s="18">
        <v>2.9279999999999999</v>
      </c>
      <c r="U509" s="18">
        <v>11.5</v>
      </c>
      <c r="V509" s="20">
        <v>4.4319999999999998E-2</v>
      </c>
      <c r="W509" s="18" t="s">
        <v>2873</v>
      </c>
      <c r="X509" s="14"/>
      <c r="Y509" s="14"/>
      <c r="Z509" s="14"/>
      <c r="AA509" s="14"/>
      <c r="AB509" s="14"/>
      <c r="AC509" s="14"/>
      <c r="AD509" s="14"/>
      <c r="AE509" s="14"/>
      <c r="AF509" s="14"/>
      <c r="AG509" s="14"/>
      <c r="AH509" s="18" t="s">
        <v>3574</v>
      </c>
      <c r="AI509" s="14"/>
      <c r="AJ509" s="21">
        <v>0.1074008800631841</v>
      </c>
      <c r="AK509" s="18">
        <v>1</v>
      </c>
      <c r="AL509" s="18">
        <v>-10</v>
      </c>
      <c r="AM509" s="18">
        <v>10</v>
      </c>
      <c r="AN509" s="17">
        <v>0</v>
      </c>
      <c r="AO509" s="17">
        <v>4.7600000000000002E-4</v>
      </c>
      <c r="AP509" s="19">
        <v>0</v>
      </c>
      <c r="AQ509" s="19">
        <v>0</v>
      </c>
      <c r="AR509" s="19">
        <v>0</v>
      </c>
      <c r="AS509" s="19">
        <v>0</v>
      </c>
      <c r="AT509" s="19">
        <v>0</v>
      </c>
      <c r="AU509" s="19">
        <v>0</v>
      </c>
      <c r="AV509" s="19">
        <v>0</v>
      </c>
      <c r="AW509" s="19">
        <v>0</v>
      </c>
    </row>
    <row r="510" spans="1:49" ht="17" customHeight="1">
      <c r="A510" s="11" t="s">
        <v>3584</v>
      </c>
      <c r="B510" s="11" t="s">
        <v>3584</v>
      </c>
      <c r="C510" s="18" t="s">
        <v>2867</v>
      </c>
      <c r="D510" s="18" t="s">
        <v>2916</v>
      </c>
      <c r="E510" s="18" t="s">
        <v>2917</v>
      </c>
      <c r="F510" s="18" t="s">
        <v>2918</v>
      </c>
      <c r="G510" s="14"/>
      <c r="H510" s="18" t="s">
        <v>2948</v>
      </c>
      <c r="I510" s="14"/>
      <c r="J510" s="14"/>
      <c r="K510" s="14"/>
      <c r="L510" s="18">
        <v>20</v>
      </c>
      <c r="M510" s="18">
        <v>80</v>
      </c>
      <c r="N510" s="18">
        <v>10</v>
      </c>
      <c r="O510" s="14"/>
      <c r="P510" s="18">
        <v>69</v>
      </c>
      <c r="Q510" s="18">
        <v>36</v>
      </c>
      <c r="R510" s="18" t="s">
        <v>2936</v>
      </c>
      <c r="S510" s="18"/>
      <c r="T510" s="18">
        <v>2.9279999999999999</v>
      </c>
      <c r="U510" s="18">
        <v>11.5</v>
      </c>
      <c r="V510" s="20">
        <v>4.4319999999999998E-2</v>
      </c>
      <c r="W510" s="18" t="s">
        <v>2873</v>
      </c>
      <c r="X510" s="14"/>
      <c r="Y510" s="14"/>
      <c r="Z510" s="14"/>
      <c r="AA510" s="14"/>
      <c r="AB510" s="14"/>
      <c r="AC510" s="14"/>
      <c r="AD510" s="14"/>
      <c r="AE510" s="14"/>
      <c r="AF510" s="14"/>
      <c r="AG510" s="14"/>
      <c r="AH510" s="18" t="s">
        <v>3574</v>
      </c>
      <c r="AI510" s="14"/>
      <c r="AJ510" s="21">
        <v>0.1074008800631841</v>
      </c>
      <c r="AK510" s="18">
        <v>1</v>
      </c>
      <c r="AL510" s="18">
        <v>-10</v>
      </c>
      <c r="AM510" s="18">
        <v>10</v>
      </c>
      <c r="AN510" s="17">
        <v>0</v>
      </c>
      <c r="AO510" s="17">
        <v>4.7600000000000002E-4</v>
      </c>
      <c r="AP510" s="19">
        <v>0</v>
      </c>
      <c r="AQ510" s="19">
        <v>0</v>
      </c>
      <c r="AR510" s="19">
        <v>0</v>
      </c>
      <c r="AS510" s="19">
        <v>0</v>
      </c>
      <c r="AT510" s="19">
        <v>0</v>
      </c>
      <c r="AU510" s="19">
        <v>0</v>
      </c>
      <c r="AV510" s="19">
        <v>0</v>
      </c>
      <c r="AW510" s="19">
        <v>0</v>
      </c>
    </row>
    <row r="511" spans="1:49" ht="17" customHeight="1">
      <c r="A511" s="11" t="s">
        <v>3585</v>
      </c>
      <c r="B511" s="11" t="s">
        <v>3585</v>
      </c>
      <c r="C511" s="18" t="s">
        <v>2867</v>
      </c>
      <c r="D511" s="18" t="s">
        <v>2916</v>
      </c>
      <c r="E511" s="18" t="s">
        <v>2917</v>
      </c>
      <c r="F511" s="18" t="s">
        <v>2918</v>
      </c>
      <c r="G511" s="14"/>
      <c r="H511" s="18" t="s">
        <v>2948</v>
      </c>
      <c r="I511" s="14"/>
      <c r="J511" s="14"/>
      <c r="K511" s="14"/>
      <c r="L511" s="18">
        <v>20</v>
      </c>
      <c r="M511" s="18">
        <v>80</v>
      </c>
      <c r="N511" s="18">
        <v>10</v>
      </c>
      <c r="O511" s="14"/>
      <c r="P511" s="18">
        <v>69</v>
      </c>
      <c r="Q511" s="18">
        <v>36</v>
      </c>
      <c r="R511" s="18" t="s">
        <v>2936</v>
      </c>
      <c r="S511" s="18"/>
      <c r="T511" s="18">
        <v>2.9279999999999999</v>
      </c>
      <c r="U511" s="18">
        <v>11.5</v>
      </c>
      <c r="V511" s="20">
        <v>4.4319999999999998E-2</v>
      </c>
      <c r="W511" s="18" t="s">
        <v>2873</v>
      </c>
      <c r="X511" s="14"/>
      <c r="Y511" s="14"/>
      <c r="Z511" s="14"/>
      <c r="AA511" s="14"/>
      <c r="AB511" s="14"/>
      <c r="AC511" s="14"/>
      <c r="AD511" s="14"/>
      <c r="AE511" s="14"/>
      <c r="AF511" s="14"/>
      <c r="AG511" s="14"/>
      <c r="AH511" s="18" t="s">
        <v>3574</v>
      </c>
      <c r="AI511" s="14"/>
      <c r="AJ511" s="21">
        <v>0.1074008800631841</v>
      </c>
      <c r="AK511" s="18">
        <v>1</v>
      </c>
      <c r="AL511" s="18">
        <v>-10</v>
      </c>
      <c r="AM511" s="18">
        <v>10</v>
      </c>
      <c r="AN511" s="17">
        <v>0</v>
      </c>
      <c r="AO511" s="17">
        <v>4.7600000000000002E-4</v>
      </c>
      <c r="AP511" s="19">
        <v>0</v>
      </c>
      <c r="AQ511" s="19">
        <v>0</v>
      </c>
      <c r="AR511" s="19">
        <v>0</v>
      </c>
      <c r="AS511" s="19">
        <v>0</v>
      </c>
      <c r="AT511" s="19">
        <v>0</v>
      </c>
      <c r="AU511" s="19">
        <v>0</v>
      </c>
      <c r="AV511" s="19">
        <v>0</v>
      </c>
      <c r="AW511" s="19">
        <v>0</v>
      </c>
    </row>
    <row r="512" spans="1:49" ht="17" customHeight="1">
      <c r="A512" s="11" t="s">
        <v>3586</v>
      </c>
      <c r="B512" s="11" t="s">
        <v>3586</v>
      </c>
      <c r="C512" s="18" t="s">
        <v>2867</v>
      </c>
      <c r="D512" s="18" t="s">
        <v>2916</v>
      </c>
      <c r="E512" s="18" t="s">
        <v>2917</v>
      </c>
      <c r="F512" s="18" t="s">
        <v>2918</v>
      </c>
      <c r="G512" s="14"/>
      <c r="H512" s="18" t="s">
        <v>2948</v>
      </c>
      <c r="I512" s="14"/>
      <c r="J512" s="14"/>
      <c r="K512" s="14"/>
      <c r="L512" s="18">
        <v>20</v>
      </c>
      <c r="M512" s="18">
        <v>80</v>
      </c>
      <c r="N512" s="18">
        <v>10</v>
      </c>
      <c r="O512" s="14"/>
      <c r="P512" s="18">
        <v>69</v>
      </c>
      <c r="Q512" s="18">
        <v>36</v>
      </c>
      <c r="R512" s="18" t="s">
        <v>2936</v>
      </c>
      <c r="S512" s="18"/>
      <c r="T512" s="18">
        <v>2.9279999999999999</v>
      </c>
      <c r="U512" s="18">
        <v>11.5</v>
      </c>
      <c r="V512" s="20">
        <v>4.4319999999999998E-2</v>
      </c>
      <c r="W512" s="18" t="s">
        <v>2873</v>
      </c>
      <c r="X512" s="14"/>
      <c r="Y512" s="14"/>
      <c r="Z512" s="14"/>
      <c r="AA512" s="14"/>
      <c r="AB512" s="14"/>
      <c r="AC512" s="14"/>
      <c r="AD512" s="14"/>
      <c r="AE512" s="14"/>
      <c r="AF512" s="14"/>
      <c r="AG512" s="14"/>
      <c r="AH512" s="18" t="s">
        <v>3574</v>
      </c>
      <c r="AI512" s="14"/>
      <c r="AJ512" s="21">
        <v>0.1074008800631841</v>
      </c>
      <c r="AK512" s="18">
        <v>1</v>
      </c>
      <c r="AL512" s="18">
        <v>-10</v>
      </c>
      <c r="AM512" s="18">
        <v>10</v>
      </c>
      <c r="AN512" s="17">
        <v>0</v>
      </c>
      <c r="AO512" s="17">
        <v>4.7600000000000002E-4</v>
      </c>
      <c r="AP512" s="19">
        <v>0</v>
      </c>
      <c r="AQ512" s="19">
        <v>0</v>
      </c>
      <c r="AR512" s="19">
        <v>0</v>
      </c>
      <c r="AS512" s="19">
        <v>0</v>
      </c>
      <c r="AT512" s="19">
        <v>0</v>
      </c>
      <c r="AU512" s="19">
        <v>0</v>
      </c>
      <c r="AV512" s="19">
        <v>0</v>
      </c>
      <c r="AW512" s="19">
        <v>0</v>
      </c>
    </row>
    <row r="513" spans="1:49" ht="17" customHeight="1">
      <c r="A513" s="11" t="s">
        <v>3587</v>
      </c>
      <c r="B513" s="11" t="s">
        <v>3587</v>
      </c>
      <c r="C513" s="18" t="s">
        <v>2867</v>
      </c>
      <c r="D513" s="18" t="s">
        <v>2916</v>
      </c>
      <c r="E513" s="18" t="s">
        <v>2917</v>
      </c>
      <c r="F513" s="18" t="s">
        <v>2918</v>
      </c>
      <c r="G513" s="14"/>
      <c r="H513" s="18" t="s">
        <v>2948</v>
      </c>
      <c r="I513" s="14"/>
      <c r="J513" s="14"/>
      <c r="K513" s="14"/>
      <c r="L513" s="18">
        <v>20</v>
      </c>
      <c r="M513" s="18">
        <v>80</v>
      </c>
      <c r="N513" s="18">
        <v>10</v>
      </c>
      <c r="O513" s="14"/>
      <c r="P513" s="18">
        <v>69</v>
      </c>
      <c r="Q513" s="18">
        <v>36</v>
      </c>
      <c r="R513" s="18" t="s">
        <v>2936</v>
      </c>
      <c r="S513" s="18"/>
      <c r="T513" s="18">
        <v>2.9279999999999999</v>
      </c>
      <c r="U513" s="18">
        <v>11.5</v>
      </c>
      <c r="V513" s="20">
        <v>4.4319999999999998E-2</v>
      </c>
      <c r="W513" s="18" t="s">
        <v>2873</v>
      </c>
      <c r="X513" s="14"/>
      <c r="Y513" s="14"/>
      <c r="Z513" s="14"/>
      <c r="AA513" s="14"/>
      <c r="AB513" s="14"/>
      <c r="AC513" s="14"/>
      <c r="AD513" s="14"/>
      <c r="AE513" s="14"/>
      <c r="AF513" s="14"/>
      <c r="AG513" s="14"/>
      <c r="AH513" s="18" t="s">
        <v>3574</v>
      </c>
      <c r="AI513" s="14"/>
      <c r="AJ513" s="21">
        <v>0.1074008800631841</v>
      </c>
      <c r="AK513" s="18">
        <v>1</v>
      </c>
      <c r="AL513" s="18">
        <v>-10</v>
      </c>
      <c r="AM513" s="18">
        <v>10</v>
      </c>
      <c r="AN513" s="17">
        <v>0</v>
      </c>
      <c r="AO513" s="17">
        <v>4.7600000000000002E-4</v>
      </c>
      <c r="AP513" s="19">
        <v>0</v>
      </c>
      <c r="AQ513" s="19">
        <v>0</v>
      </c>
      <c r="AR513" s="19">
        <v>0</v>
      </c>
      <c r="AS513" s="19">
        <v>0</v>
      </c>
      <c r="AT513" s="19">
        <v>0</v>
      </c>
      <c r="AU513" s="19">
        <v>0</v>
      </c>
      <c r="AV513" s="19">
        <v>0</v>
      </c>
      <c r="AW513" s="19">
        <v>0</v>
      </c>
    </row>
    <row r="514" spans="1:49" ht="17" customHeight="1">
      <c r="A514" s="11" t="s">
        <v>3588</v>
      </c>
      <c r="B514" s="11" t="s">
        <v>3588</v>
      </c>
      <c r="C514" s="18" t="s">
        <v>2867</v>
      </c>
      <c r="D514" s="18" t="s">
        <v>2916</v>
      </c>
      <c r="E514" s="18" t="s">
        <v>2917</v>
      </c>
      <c r="F514" s="18" t="s">
        <v>2918</v>
      </c>
      <c r="G514" s="14"/>
      <c r="H514" s="18" t="s">
        <v>2948</v>
      </c>
      <c r="I514" s="14"/>
      <c r="J514" s="14"/>
      <c r="K514" s="14"/>
      <c r="L514" s="18">
        <v>20</v>
      </c>
      <c r="M514" s="18">
        <v>80</v>
      </c>
      <c r="N514" s="18">
        <v>10</v>
      </c>
      <c r="O514" s="14"/>
      <c r="P514" s="18">
        <v>69</v>
      </c>
      <c r="Q514" s="18">
        <v>36</v>
      </c>
      <c r="R514" s="18" t="s">
        <v>2936</v>
      </c>
      <c r="S514" s="18"/>
      <c r="T514" s="18">
        <v>2.9279999999999999</v>
      </c>
      <c r="U514" s="18">
        <v>11.5</v>
      </c>
      <c r="V514" s="20">
        <v>4.4319999999999998E-2</v>
      </c>
      <c r="W514" s="18" t="s">
        <v>2873</v>
      </c>
      <c r="X514" s="14"/>
      <c r="Y514" s="14"/>
      <c r="Z514" s="14"/>
      <c r="AA514" s="14"/>
      <c r="AB514" s="14"/>
      <c r="AC514" s="14"/>
      <c r="AD514" s="14"/>
      <c r="AE514" s="14"/>
      <c r="AF514" s="14"/>
      <c r="AG514" s="14"/>
      <c r="AH514" s="18" t="s">
        <v>3574</v>
      </c>
      <c r="AI514" s="14"/>
      <c r="AJ514" s="21">
        <v>0.1074008800631841</v>
      </c>
      <c r="AK514" s="18">
        <v>1</v>
      </c>
      <c r="AL514" s="18">
        <v>-10</v>
      </c>
      <c r="AM514" s="18">
        <v>10</v>
      </c>
      <c r="AN514" s="17">
        <v>0</v>
      </c>
      <c r="AO514" s="17">
        <v>4.7600000000000002E-4</v>
      </c>
      <c r="AP514" s="19">
        <v>0</v>
      </c>
      <c r="AQ514" s="19">
        <v>0</v>
      </c>
      <c r="AR514" s="19">
        <v>0</v>
      </c>
      <c r="AS514" s="19">
        <v>0</v>
      </c>
      <c r="AT514" s="19">
        <v>0</v>
      </c>
      <c r="AU514" s="19">
        <v>0</v>
      </c>
      <c r="AV514" s="19">
        <v>0</v>
      </c>
      <c r="AW514" s="19">
        <v>0</v>
      </c>
    </row>
    <row r="515" spans="1:49" ht="17" customHeight="1">
      <c r="A515" s="11" t="s">
        <v>3589</v>
      </c>
      <c r="B515" s="11" t="s">
        <v>3589</v>
      </c>
      <c r="C515" s="18" t="s">
        <v>2867</v>
      </c>
      <c r="D515" s="18" t="s">
        <v>2916</v>
      </c>
      <c r="E515" s="18" t="s">
        <v>2917</v>
      </c>
      <c r="F515" s="18" t="s">
        <v>2918</v>
      </c>
      <c r="G515" s="14"/>
      <c r="H515" s="18" t="s">
        <v>2948</v>
      </c>
      <c r="I515" s="14"/>
      <c r="J515" s="14"/>
      <c r="K515" s="14"/>
      <c r="L515" s="18">
        <v>20</v>
      </c>
      <c r="M515" s="18">
        <v>80</v>
      </c>
      <c r="N515" s="18">
        <v>10</v>
      </c>
      <c r="O515" s="14"/>
      <c r="P515" s="18">
        <v>69</v>
      </c>
      <c r="Q515" s="18">
        <v>36</v>
      </c>
      <c r="R515" s="18" t="s">
        <v>2936</v>
      </c>
      <c r="S515" s="18"/>
      <c r="T515" s="18">
        <v>2.9279999999999999</v>
      </c>
      <c r="U515" s="18">
        <v>11.5</v>
      </c>
      <c r="V515" s="20">
        <v>4.4319999999999998E-2</v>
      </c>
      <c r="W515" s="18" t="s">
        <v>2873</v>
      </c>
      <c r="X515" s="14"/>
      <c r="Y515" s="14"/>
      <c r="Z515" s="14"/>
      <c r="AA515" s="14"/>
      <c r="AB515" s="14"/>
      <c r="AC515" s="14"/>
      <c r="AD515" s="14"/>
      <c r="AE515" s="14"/>
      <c r="AF515" s="14"/>
      <c r="AG515" s="14"/>
      <c r="AH515" s="18" t="s">
        <v>3574</v>
      </c>
      <c r="AI515" s="14"/>
      <c r="AJ515" s="21">
        <v>0.1074008800631841</v>
      </c>
      <c r="AK515" s="18">
        <v>1</v>
      </c>
      <c r="AL515" s="18">
        <v>-10</v>
      </c>
      <c r="AM515" s="18">
        <v>10</v>
      </c>
      <c r="AN515" s="17">
        <v>0</v>
      </c>
      <c r="AO515" s="17">
        <v>4.7600000000000002E-4</v>
      </c>
      <c r="AP515" s="19">
        <v>0</v>
      </c>
      <c r="AQ515" s="19">
        <v>0</v>
      </c>
      <c r="AR515" s="19">
        <v>0</v>
      </c>
      <c r="AS515" s="19">
        <v>0</v>
      </c>
      <c r="AT515" s="19">
        <v>0</v>
      </c>
      <c r="AU515" s="19">
        <v>0</v>
      </c>
      <c r="AV515" s="19">
        <v>0</v>
      </c>
      <c r="AW515" s="19">
        <v>0</v>
      </c>
    </row>
    <row r="516" spans="1:49" ht="17" customHeight="1">
      <c r="A516" s="11" t="s">
        <v>3590</v>
      </c>
      <c r="B516" s="11" t="s">
        <v>3590</v>
      </c>
      <c r="C516" s="18" t="s">
        <v>2867</v>
      </c>
      <c r="D516" s="18" t="s">
        <v>2916</v>
      </c>
      <c r="E516" s="18" t="s">
        <v>2917</v>
      </c>
      <c r="F516" s="18" t="s">
        <v>2918</v>
      </c>
      <c r="G516" s="14"/>
      <c r="H516" s="18" t="s">
        <v>2948</v>
      </c>
      <c r="I516" s="14"/>
      <c r="J516" s="14"/>
      <c r="K516" s="14"/>
      <c r="L516" s="18">
        <v>20</v>
      </c>
      <c r="M516" s="18">
        <v>80</v>
      </c>
      <c r="N516" s="18">
        <v>10</v>
      </c>
      <c r="O516" s="14"/>
      <c r="P516" s="18">
        <v>69</v>
      </c>
      <c r="Q516" s="18">
        <v>36</v>
      </c>
      <c r="R516" s="18" t="s">
        <v>2936</v>
      </c>
      <c r="S516" s="18"/>
      <c r="T516" s="18">
        <v>2.9279999999999999</v>
      </c>
      <c r="U516" s="18">
        <v>11.5</v>
      </c>
      <c r="V516" s="20">
        <v>4.4319999999999998E-2</v>
      </c>
      <c r="W516" s="18" t="s">
        <v>2873</v>
      </c>
      <c r="X516" s="14"/>
      <c r="Y516" s="14"/>
      <c r="Z516" s="14"/>
      <c r="AA516" s="14"/>
      <c r="AB516" s="14"/>
      <c r="AC516" s="14"/>
      <c r="AD516" s="14"/>
      <c r="AE516" s="14"/>
      <c r="AF516" s="14"/>
      <c r="AG516" s="14"/>
      <c r="AH516" s="18" t="s">
        <v>3574</v>
      </c>
      <c r="AI516" s="14"/>
      <c r="AJ516" s="21">
        <v>0.1074008800631841</v>
      </c>
      <c r="AK516" s="18">
        <v>1</v>
      </c>
      <c r="AL516" s="18">
        <v>-10</v>
      </c>
      <c r="AM516" s="18">
        <v>10</v>
      </c>
      <c r="AN516" s="17">
        <v>0</v>
      </c>
      <c r="AO516" s="17">
        <v>4.7600000000000002E-4</v>
      </c>
      <c r="AP516" s="19">
        <v>0</v>
      </c>
      <c r="AQ516" s="19">
        <v>0</v>
      </c>
      <c r="AR516" s="19">
        <v>0</v>
      </c>
      <c r="AS516" s="19">
        <v>0</v>
      </c>
      <c r="AT516" s="19">
        <v>0</v>
      </c>
      <c r="AU516" s="19">
        <v>0</v>
      </c>
      <c r="AV516" s="19">
        <v>0</v>
      </c>
      <c r="AW516" s="19">
        <v>0</v>
      </c>
    </row>
    <row r="517" spans="1:49" ht="17" customHeight="1">
      <c r="A517" s="11" t="s">
        <v>3591</v>
      </c>
      <c r="B517" s="11" t="s">
        <v>3591</v>
      </c>
      <c r="C517" s="14" t="s">
        <v>2867</v>
      </c>
      <c r="D517" s="14" t="s">
        <v>2916</v>
      </c>
      <c r="E517" s="14" t="s">
        <v>2927</v>
      </c>
      <c r="F517" s="14" t="s">
        <v>2918</v>
      </c>
      <c r="G517" s="14"/>
      <c r="H517" s="14" t="s">
        <v>2948</v>
      </c>
      <c r="I517" s="14"/>
      <c r="J517" s="14"/>
      <c r="K517" s="14"/>
      <c r="L517" s="14">
        <v>20</v>
      </c>
      <c r="M517" s="14">
        <v>200</v>
      </c>
      <c r="N517" s="14">
        <v>330</v>
      </c>
      <c r="O517" s="14"/>
      <c r="P517" s="14">
        <v>2.5608</v>
      </c>
      <c r="Q517" s="14">
        <v>8</v>
      </c>
      <c r="R517" s="14" t="s">
        <v>3211</v>
      </c>
      <c r="S517" s="14"/>
      <c r="T517" s="14">
        <v>1.0369999999999999</v>
      </c>
      <c r="U517" s="14">
        <v>7.76</v>
      </c>
      <c r="V517" s="15">
        <v>62.252590184100342</v>
      </c>
      <c r="W517" s="14" t="s">
        <v>2954</v>
      </c>
      <c r="X517" s="14"/>
      <c r="Y517" s="14"/>
      <c r="Z517" s="14"/>
      <c r="AA517" s="14"/>
      <c r="AB517" s="14"/>
      <c r="AC517" s="14"/>
      <c r="AD517" s="14"/>
      <c r="AE517" s="14"/>
      <c r="AF517" s="14"/>
      <c r="AG517" s="14"/>
      <c r="AH517" s="14" t="s">
        <v>3212</v>
      </c>
      <c r="AI517" s="14"/>
      <c r="AJ517" s="16">
        <v>0.21244935000000001</v>
      </c>
      <c r="AK517" s="14">
        <v>1</v>
      </c>
      <c r="AL517" s="14">
        <v>0</v>
      </c>
      <c r="AM517" s="14">
        <v>330</v>
      </c>
      <c r="AN517" s="19">
        <v>-1.0886E-2</v>
      </c>
      <c r="AO517" s="19">
        <v>0.18657000000000001</v>
      </c>
      <c r="AP517" s="19">
        <v>2.8121999999999999E-4</v>
      </c>
      <c r="AQ517" s="19">
        <v>-4.0736000000000003E-6</v>
      </c>
      <c r="AR517" s="19">
        <v>3.3035999999999999E-8</v>
      </c>
      <c r="AS517" s="19">
        <v>-1.5158000000000001E-10</v>
      </c>
      <c r="AT517" s="19">
        <v>3.6279999999999998E-13</v>
      </c>
      <c r="AU517" s="19">
        <v>-3.5347999999999998E-16</v>
      </c>
      <c r="AV517" s="19">
        <v>0</v>
      </c>
      <c r="AW517" s="19">
        <v>0</v>
      </c>
    </row>
    <row r="518" spans="1:49" ht="17" customHeight="1">
      <c r="A518" s="11" t="s">
        <v>3592</v>
      </c>
      <c r="B518" s="11" t="s">
        <v>3592</v>
      </c>
      <c r="C518" s="14" t="s">
        <v>2867</v>
      </c>
      <c r="D518" s="14" t="s">
        <v>2916</v>
      </c>
      <c r="E518" s="14" t="s">
        <v>2927</v>
      </c>
      <c r="F518" s="14" t="s">
        <v>2918</v>
      </c>
      <c r="G518" s="14"/>
      <c r="H518" s="14" t="s">
        <v>2948</v>
      </c>
      <c r="I518" s="14"/>
      <c r="J518" s="14"/>
      <c r="K518" s="14"/>
      <c r="L518" s="14">
        <v>20</v>
      </c>
      <c r="M518" s="14">
        <v>200</v>
      </c>
      <c r="N518" s="14">
        <v>330</v>
      </c>
      <c r="O518" s="14"/>
      <c r="P518" s="14">
        <v>2.5608</v>
      </c>
      <c r="Q518" s="14">
        <v>8</v>
      </c>
      <c r="R518" s="14" t="s">
        <v>3211</v>
      </c>
      <c r="S518" s="14"/>
      <c r="T518" s="14">
        <v>1.0369999999999999</v>
      </c>
      <c r="U518" s="14">
        <v>7.76</v>
      </c>
      <c r="V518" s="15">
        <v>62.252590184100342</v>
      </c>
      <c r="W518" s="14" t="s">
        <v>2954</v>
      </c>
      <c r="X518" s="14"/>
      <c r="Y518" s="14"/>
      <c r="Z518" s="14"/>
      <c r="AA518" s="14"/>
      <c r="AB518" s="14"/>
      <c r="AC518" s="14"/>
      <c r="AD518" s="14"/>
      <c r="AE518" s="14"/>
      <c r="AF518" s="14"/>
      <c r="AG518" s="14"/>
      <c r="AH518" s="14" t="s">
        <v>3212</v>
      </c>
      <c r="AI518" s="14"/>
      <c r="AJ518" s="16">
        <v>0.21244935000000001</v>
      </c>
      <c r="AK518" s="14">
        <v>1</v>
      </c>
      <c r="AL518" s="14">
        <v>0</v>
      </c>
      <c r="AM518" s="14">
        <v>330</v>
      </c>
      <c r="AN518" s="19">
        <v>-1.0886E-2</v>
      </c>
      <c r="AO518" s="19">
        <v>0.18657000000000001</v>
      </c>
      <c r="AP518" s="19">
        <v>2.8121999999999999E-4</v>
      </c>
      <c r="AQ518" s="19">
        <v>-4.0736000000000003E-6</v>
      </c>
      <c r="AR518" s="19">
        <v>3.3035999999999999E-8</v>
      </c>
      <c r="AS518" s="19">
        <v>-1.5158000000000001E-10</v>
      </c>
      <c r="AT518" s="19">
        <v>3.6279999999999998E-13</v>
      </c>
      <c r="AU518" s="19">
        <v>-3.5347999999999998E-16</v>
      </c>
      <c r="AV518" s="19">
        <v>0</v>
      </c>
      <c r="AW518" s="19">
        <v>0</v>
      </c>
    </row>
    <row r="519" spans="1:49" ht="17" customHeight="1">
      <c r="A519" s="11" t="s">
        <v>3593</v>
      </c>
      <c r="B519" s="11" t="s">
        <v>3593</v>
      </c>
      <c r="C519" s="14" t="s">
        <v>2867</v>
      </c>
      <c r="D519" s="14" t="s">
        <v>2916</v>
      </c>
      <c r="E519" s="14" t="s">
        <v>2927</v>
      </c>
      <c r="F519" s="14" t="s">
        <v>2918</v>
      </c>
      <c r="G519" s="14"/>
      <c r="H519" s="14" t="s">
        <v>2948</v>
      </c>
      <c r="I519" s="14"/>
      <c r="J519" s="14"/>
      <c r="K519" s="14"/>
      <c r="L519" s="14">
        <v>20</v>
      </c>
      <c r="M519" s="14">
        <v>200</v>
      </c>
      <c r="N519" s="14">
        <v>330</v>
      </c>
      <c r="O519" s="14"/>
      <c r="P519" s="14">
        <v>2.5608</v>
      </c>
      <c r="Q519" s="14">
        <v>8</v>
      </c>
      <c r="R519" s="14" t="s">
        <v>3211</v>
      </c>
      <c r="S519" s="14"/>
      <c r="T519" s="14">
        <v>1.0369999999999999</v>
      </c>
      <c r="U519" s="14">
        <v>7.76</v>
      </c>
      <c r="V519" s="15">
        <v>62.252590184100342</v>
      </c>
      <c r="W519" s="14" t="s">
        <v>2954</v>
      </c>
      <c r="X519" s="14"/>
      <c r="Y519" s="14"/>
      <c r="Z519" s="14"/>
      <c r="AA519" s="14"/>
      <c r="AB519" s="14"/>
      <c r="AC519" s="14"/>
      <c r="AD519" s="14"/>
      <c r="AE519" s="14"/>
      <c r="AF519" s="14"/>
      <c r="AG519" s="14"/>
      <c r="AH519" s="14" t="s">
        <v>3212</v>
      </c>
      <c r="AI519" s="14"/>
      <c r="AJ519" s="16">
        <v>0.21244935000000001</v>
      </c>
      <c r="AK519" s="14">
        <v>1</v>
      </c>
      <c r="AL519" s="14">
        <v>0</v>
      </c>
      <c r="AM519" s="14">
        <v>330</v>
      </c>
      <c r="AN519" s="19">
        <v>-1.0886E-2</v>
      </c>
      <c r="AO519" s="19">
        <v>0.18657000000000001</v>
      </c>
      <c r="AP519" s="19">
        <v>2.8121999999999999E-4</v>
      </c>
      <c r="AQ519" s="19">
        <v>-4.0736000000000003E-6</v>
      </c>
      <c r="AR519" s="19">
        <v>3.3035999999999999E-8</v>
      </c>
      <c r="AS519" s="19">
        <v>-1.5158000000000001E-10</v>
      </c>
      <c r="AT519" s="19">
        <v>3.6279999999999998E-13</v>
      </c>
      <c r="AU519" s="19">
        <v>-3.5347999999999998E-16</v>
      </c>
      <c r="AV519" s="19">
        <v>0</v>
      </c>
      <c r="AW519" s="19">
        <v>0</v>
      </c>
    </row>
    <row r="520" spans="1:49" ht="17" customHeight="1">
      <c r="A520" s="11" t="s">
        <v>3594</v>
      </c>
      <c r="B520" s="11" t="s">
        <v>3594</v>
      </c>
      <c r="C520" s="14" t="s">
        <v>2867</v>
      </c>
      <c r="D520" s="14" t="s">
        <v>2916</v>
      </c>
      <c r="E520" s="14" t="s">
        <v>2927</v>
      </c>
      <c r="F520" s="14" t="s">
        <v>2918</v>
      </c>
      <c r="G520" s="14"/>
      <c r="H520" s="14" t="s">
        <v>2948</v>
      </c>
      <c r="I520" s="14"/>
      <c r="J520" s="14"/>
      <c r="K520" s="14"/>
      <c r="L520" s="14">
        <v>20</v>
      </c>
      <c r="M520" s="14">
        <v>200</v>
      </c>
      <c r="N520" s="14">
        <v>330</v>
      </c>
      <c r="O520" s="14"/>
      <c r="P520" s="14">
        <v>2.5608</v>
      </c>
      <c r="Q520" s="14">
        <v>8</v>
      </c>
      <c r="R520" s="14" t="s">
        <v>3211</v>
      </c>
      <c r="S520" s="14"/>
      <c r="T520" s="14">
        <v>1.0369999999999999</v>
      </c>
      <c r="U520" s="14">
        <v>7.76</v>
      </c>
      <c r="V520" s="15">
        <v>62.252590184100342</v>
      </c>
      <c r="W520" s="14" t="s">
        <v>2954</v>
      </c>
      <c r="X520" s="14"/>
      <c r="Y520" s="14"/>
      <c r="Z520" s="14"/>
      <c r="AA520" s="14"/>
      <c r="AB520" s="14"/>
      <c r="AC520" s="14"/>
      <c r="AD520" s="14"/>
      <c r="AE520" s="14"/>
      <c r="AF520" s="14"/>
      <c r="AG520" s="14"/>
      <c r="AH520" s="14" t="s">
        <v>3212</v>
      </c>
      <c r="AI520" s="14"/>
      <c r="AJ520" s="16">
        <v>0.21244935000000001</v>
      </c>
      <c r="AK520" s="14">
        <v>1</v>
      </c>
      <c r="AL520" s="14">
        <v>0</v>
      </c>
      <c r="AM520" s="14">
        <v>330</v>
      </c>
      <c r="AN520" s="19">
        <v>-1.0886E-2</v>
      </c>
      <c r="AO520" s="19">
        <v>0.18657000000000001</v>
      </c>
      <c r="AP520" s="19">
        <v>2.8121999999999999E-4</v>
      </c>
      <c r="AQ520" s="19">
        <v>-4.0736000000000003E-6</v>
      </c>
      <c r="AR520" s="19">
        <v>3.3035999999999999E-8</v>
      </c>
      <c r="AS520" s="19">
        <v>-1.5158000000000001E-10</v>
      </c>
      <c r="AT520" s="19">
        <v>3.6279999999999998E-13</v>
      </c>
      <c r="AU520" s="19">
        <v>-3.5347999999999998E-16</v>
      </c>
      <c r="AV520" s="19">
        <v>0</v>
      </c>
      <c r="AW520" s="19">
        <v>0</v>
      </c>
    </row>
    <row r="521" spans="1:49" ht="17" customHeight="1">
      <c r="A521" s="11" t="s">
        <v>3595</v>
      </c>
      <c r="B521" s="11" t="s">
        <v>3595</v>
      </c>
      <c r="C521" s="14" t="s">
        <v>2867</v>
      </c>
      <c r="D521" s="14" t="s">
        <v>2916</v>
      </c>
      <c r="E521" s="14" t="s">
        <v>2927</v>
      </c>
      <c r="F521" s="14" t="s">
        <v>2918</v>
      </c>
      <c r="G521" s="14"/>
      <c r="H521" s="14" t="s">
        <v>2948</v>
      </c>
      <c r="I521" s="14"/>
      <c r="J521" s="14"/>
      <c r="K521" s="14"/>
      <c r="L521" s="14">
        <v>20</v>
      </c>
      <c r="M521" s="14">
        <v>200</v>
      </c>
      <c r="N521" s="14">
        <v>330</v>
      </c>
      <c r="O521" s="14"/>
      <c r="P521" s="14">
        <v>2.5608</v>
      </c>
      <c r="Q521" s="14">
        <v>8</v>
      </c>
      <c r="R521" s="14" t="s">
        <v>3211</v>
      </c>
      <c r="S521" s="14"/>
      <c r="T521" s="14">
        <v>1.0369999999999999</v>
      </c>
      <c r="U521" s="14">
        <v>7.76</v>
      </c>
      <c r="V521" s="15">
        <v>62.252590184100342</v>
      </c>
      <c r="W521" s="14" t="s">
        <v>2954</v>
      </c>
      <c r="X521" s="14"/>
      <c r="Y521" s="14"/>
      <c r="Z521" s="14"/>
      <c r="AA521" s="14"/>
      <c r="AB521" s="14"/>
      <c r="AC521" s="14"/>
      <c r="AD521" s="14"/>
      <c r="AE521" s="14"/>
      <c r="AF521" s="14"/>
      <c r="AG521" s="14"/>
      <c r="AH521" s="14" t="s">
        <v>3212</v>
      </c>
      <c r="AI521" s="14"/>
      <c r="AJ521" s="16">
        <v>0.21244935000000001</v>
      </c>
      <c r="AK521" s="14">
        <v>1</v>
      </c>
      <c r="AL521" s="14">
        <v>0</v>
      </c>
      <c r="AM521" s="14">
        <v>330</v>
      </c>
      <c r="AN521" s="19">
        <v>-1.0886E-2</v>
      </c>
      <c r="AO521" s="19">
        <v>0.18657000000000001</v>
      </c>
      <c r="AP521" s="19">
        <v>2.8121999999999999E-4</v>
      </c>
      <c r="AQ521" s="19">
        <v>-4.0736000000000003E-6</v>
      </c>
      <c r="AR521" s="19">
        <v>3.3035999999999999E-8</v>
      </c>
      <c r="AS521" s="19">
        <v>-1.5158000000000001E-10</v>
      </c>
      <c r="AT521" s="19">
        <v>3.6279999999999998E-13</v>
      </c>
      <c r="AU521" s="19">
        <v>-3.5347999999999998E-16</v>
      </c>
      <c r="AV521" s="19">
        <v>0</v>
      </c>
      <c r="AW521" s="19">
        <v>0</v>
      </c>
    </row>
    <row r="522" spans="1:49" ht="17" customHeight="1">
      <c r="A522" s="11" t="s">
        <v>3596</v>
      </c>
      <c r="B522" s="11" t="s">
        <v>3596</v>
      </c>
      <c r="C522" s="14" t="s">
        <v>2867</v>
      </c>
      <c r="D522" s="14" t="s">
        <v>2916</v>
      </c>
      <c r="E522" s="14" t="s">
        <v>2927</v>
      </c>
      <c r="F522" s="14" t="s">
        <v>2918</v>
      </c>
      <c r="G522" s="14"/>
      <c r="H522" s="14" t="s">
        <v>2948</v>
      </c>
      <c r="I522" s="14"/>
      <c r="J522" s="14"/>
      <c r="K522" s="14"/>
      <c r="L522" s="14">
        <v>20</v>
      </c>
      <c r="M522" s="14">
        <v>200</v>
      </c>
      <c r="N522" s="14">
        <v>330</v>
      </c>
      <c r="O522" s="14"/>
      <c r="P522" s="14">
        <v>2.5608</v>
      </c>
      <c r="Q522" s="14">
        <v>8</v>
      </c>
      <c r="R522" s="14" t="s">
        <v>3211</v>
      </c>
      <c r="S522" s="14"/>
      <c r="T522" s="14">
        <v>1.0369999999999999</v>
      </c>
      <c r="U522" s="14">
        <v>7.76</v>
      </c>
      <c r="V522" s="15">
        <v>62.252590184100342</v>
      </c>
      <c r="W522" s="14" t="s">
        <v>2954</v>
      </c>
      <c r="X522" s="14"/>
      <c r="Y522" s="14"/>
      <c r="Z522" s="14"/>
      <c r="AA522" s="14"/>
      <c r="AB522" s="14"/>
      <c r="AC522" s="14"/>
      <c r="AD522" s="14"/>
      <c r="AE522" s="14"/>
      <c r="AF522" s="14"/>
      <c r="AG522" s="14"/>
      <c r="AH522" s="14" t="s">
        <v>3212</v>
      </c>
      <c r="AI522" s="14"/>
      <c r="AJ522" s="16">
        <v>0.21244935000000001</v>
      </c>
      <c r="AK522" s="14">
        <v>1</v>
      </c>
      <c r="AL522" s="14">
        <v>0</v>
      </c>
      <c r="AM522" s="14">
        <v>330</v>
      </c>
      <c r="AN522" s="19">
        <v>-1.0886E-2</v>
      </c>
      <c r="AO522" s="19">
        <v>0.18657000000000001</v>
      </c>
      <c r="AP522" s="19">
        <v>2.8121999999999999E-4</v>
      </c>
      <c r="AQ522" s="19">
        <v>-4.0736000000000003E-6</v>
      </c>
      <c r="AR522" s="19">
        <v>3.3035999999999999E-8</v>
      </c>
      <c r="AS522" s="19">
        <v>-1.5158000000000001E-10</v>
      </c>
      <c r="AT522" s="19">
        <v>3.6279999999999998E-13</v>
      </c>
      <c r="AU522" s="19">
        <v>-3.5347999999999998E-16</v>
      </c>
      <c r="AV522" s="19">
        <v>0</v>
      </c>
      <c r="AW522" s="19">
        <v>0</v>
      </c>
    </row>
    <row r="523" spans="1:49" ht="17" customHeight="1">
      <c r="A523" s="11" t="s">
        <v>3597</v>
      </c>
      <c r="B523" s="11" t="s">
        <v>3597</v>
      </c>
      <c r="C523" s="14" t="s">
        <v>2867</v>
      </c>
      <c r="D523" s="14" t="s">
        <v>2916</v>
      </c>
      <c r="E523" s="14" t="s">
        <v>2927</v>
      </c>
      <c r="F523" s="14" t="s">
        <v>2918</v>
      </c>
      <c r="G523" s="14"/>
      <c r="H523" s="14" t="s">
        <v>2948</v>
      </c>
      <c r="I523" s="14"/>
      <c r="J523" s="14"/>
      <c r="K523" s="14"/>
      <c r="L523" s="14">
        <v>20</v>
      </c>
      <c r="M523" s="14">
        <v>200</v>
      </c>
      <c r="N523" s="14">
        <v>330</v>
      </c>
      <c r="O523" s="14"/>
      <c r="P523" s="14">
        <v>2.5608</v>
      </c>
      <c r="Q523" s="14">
        <v>8</v>
      </c>
      <c r="R523" s="14" t="s">
        <v>3211</v>
      </c>
      <c r="S523" s="14"/>
      <c r="T523" s="14">
        <v>1.0369999999999999</v>
      </c>
      <c r="U523" s="14">
        <v>7.76</v>
      </c>
      <c r="V523" s="15">
        <v>62.252590184100342</v>
      </c>
      <c r="W523" s="14" t="s">
        <v>2954</v>
      </c>
      <c r="X523" s="14"/>
      <c r="Y523" s="14"/>
      <c r="Z523" s="14"/>
      <c r="AA523" s="14"/>
      <c r="AB523" s="14"/>
      <c r="AC523" s="14"/>
      <c r="AD523" s="14"/>
      <c r="AE523" s="14"/>
      <c r="AF523" s="14"/>
      <c r="AG523" s="14"/>
      <c r="AH523" s="14" t="s">
        <v>3212</v>
      </c>
      <c r="AI523" s="14"/>
      <c r="AJ523" s="16">
        <v>0.21244935000000001</v>
      </c>
      <c r="AK523" s="14">
        <v>1</v>
      </c>
      <c r="AL523" s="14">
        <v>0</v>
      </c>
      <c r="AM523" s="14">
        <v>330</v>
      </c>
      <c r="AN523" s="19">
        <v>-1.0886E-2</v>
      </c>
      <c r="AO523" s="19">
        <v>0.18657000000000001</v>
      </c>
      <c r="AP523" s="19">
        <v>2.8121999999999999E-4</v>
      </c>
      <c r="AQ523" s="19">
        <v>-4.0736000000000003E-6</v>
      </c>
      <c r="AR523" s="19">
        <v>3.3035999999999999E-8</v>
      </c>
      <c r="AS523" s="19">
        <v>-1.5158000000000001E-10</v>
      </c>
      <c r="AT523" s="19">
        <v>3.6279999999999998E-13</v>
      </c>
      <c r="AU523" s="19">
        <v>-3.5347999999999998E-16</v>
      </c>
      <c r="AV523" s="19">
        <v>0</v>
      </c>
      <c r="AW523" s="19">
        <v>0</v>
      </c>
    </row>
    <row r="524" spans="1:49" ht="17" customHeight="1">
      <c r="A524" s="11" t="s">
        <v>3598</v>
      </c>
      <c r="B524" s="11" t="s">
        <v>3598</v>
      </c>
      <c r="C524" s="14" t="s">
        <v>2867</v>
      </c>
      <c r="D524" s="14" t="s">
        <v>2916</v>
      </c>
      <c r="E524" s="14" t="s">
        <v>2927</v>
      </c>
      <c r="F524" s="14" t="s">
        <v>2918</v>
      </c>
      <c r="G524" s="14"/>
      <c r="H524" s="14" t="s">
        <v>2948</v>
      </c>
      <c r="I524" s="14"/>
      <c r="J524" s="14"/>
      <c r="K524" s="14"/>
      <c r="L524" s="14">
        <v>20</v>
      </c>
      <c r="M524" s="14">
        <v>200</v>
      </c>
      <c r="N524" s="14">
        <v>330</v>
      </c>
      <c r="O524" s="14"/>
      <c r="P524" s="14">
        <v>2.5608</v>
      </c>
      <c r="Q524" s="14">
        <v>8</v>
      </c>
      <c r="R524" s="14" t="s">
        <v>3211</v>
      </c>
      <c r="S524" s="14"/>
      <c r="T524" s="14">
        <v>1.0369999999999999</v>
      </c>
      <c r="U524" s="14">
        <v>7.76</v>
      </c>
      <c r="V524" s="15">
        <v>62.252590184100342</v>
      </c>
      <c r="W524" s="14" t="s">
        <v>2954</v>
      </c>
      <c r="X524" s="14"/>
      <c r="Y524" s="14"/>
      <c r="Z524" s="14"/>
      <c r="AA524" s="14"/>
      <c r="AB524" s="14"/>
      <c r="AC524" s="14"/>
      <c r="AD524" s="14"/>
      <c r="AE524" s="14"/>
      <c r="AF524" s="14"/>
      <c r="AG524" s="14"/>
      <c r="AH524" s="14" t="s">
        <v>3212</v>
      </c>
      <c r="AI524" s="14"/>
      <c r="AJ524" s="16">
        <v>0.21244935000000001</v>
      </c>
      <c r="AK524" s="14">
        <v>1</v>
      </c>
      <c r="AL524" s="14">
        <v>0</v>
      </c>
      <c r="AM524" s="14">
        <v>330</v>
      </c>
      <c r="AN524" s="19">
        <v>-1.0886E-2</v>
      </c>
      <c r="AO524" s="19">
        <v>0.18657000000000001</v>
      </c>
      <c r="AP524" s="19">
        <v>2.8121999999999999E-4</v>
      </c>
      <c r="AQ524" s="19">
        <v>-4.0736000000000003E-6</v>
      </c>
      <c r="AR524" s="19">
        <v>3.3035999999999999E-8</v>
      </c>
      <c r="AS524" s="19">
        <v>-1.5158000000000001E-10</v>
      </c>
      <c r="AT524" s="19">
        <v>3.6279999999999998E-13</v>
      </c>
      <c r="AU524" s="19">
        <v>-3.5347999999999998E-16</v>
      </c>
      <c r="AV524" s="19">
        <v>0</v>
      </c>
      <c r="AW524" s="19">
        <v>0</v>
      </c>
    </row>
    <row r="525" spans="1:49" ht="17" customHeight="1">
      <c r="A525" s="11" t="s">
        <v>3599</v>
      </c>
      <c r="B525" s="11" t="s">
        <v>3599</v>
      </c>
      <c r="C525" s="14" t="s">
        <v>2867</v>
      </c>
      <c r="D525" s="14" t="s">
        <v>2916</v>
      </c>
      <c r="E525" s="14" t="s">
        <v>2917</v>
      </c>
      <c r="F525" s="14" t="s">
        <v>2918</v>
      </c>
      <c r="G525" s="14"/>
      <c r="H525" s="14" t="s">
        <v>2948</v>
      </c>
      <c r="I525" s="14"/>
      <c r="J525" s="14"/>
      <c r="K525" s="14"/>
      <c r="L525" s="14">
        <v>20</v>
      </c>
      <c r="M525" s="14">
        <v>80</v>
      </c>
      <c r="N525" s="14">
        <v>10</v>
      </c>
      <c r="O525" s="14"/>
      <c r="P525" s="14">
        <v>69</v>
      </c>
      <c r="Q525" s="14">
        <v>36</v>
      </c>
      <c r="R525" s="14" t="s">
        <v>2936</v>
      </c>
      <c r="S525" s="14"/>
      <c r="T525" s="14">
        <v>2.9279999999999999</v>
      </c>
      <c r="U525" s="14">
        <v>11.5</v>
      </c>
      <c r="V525" s="15">
        <v>4.4319999999999998E-2</v>
      </c>
      <c r="W525" s="14" t="s">
        <v>2873</v>
      </c>
      <c r="X525" s="14"/>
      <c r="Y525" s="14"/>
      <c r="Z525" s="14"/>
      <c r="AA525" s="14"/>
      <c r="AB525" s="14"/>
      <c r="AC525" s="14"/>
      <c r="AD525" s="14"/>
      <c r="AE525" s="14"/>
      <c r="AF525" s="14"/>
      <c r="AG525" s="14"/>
      <c r="AH525" s="14" t="s">
        <v>3574</v>
      </c>
      <c r="AI525" s="14"/>
      <c r="AJ525" s="16">
        <v>0.1074008800631841</v>
      </c>
      <c r="AK525" s="14">
        <v>1</v>
      </c>
      <c r="AL525" s="14">
        <v>-10</v>
      </c>
      <c r="AM525" s="14">
        <v>10</v>
      </c>
      <c r="AN525" s="19">
        <v>0</v>
      </c>
      <c r="AO525" s="19">
        <v>4.7600000000000002E-4</v>
      </c>
      <c r="AP525" s="19">
        <v>0</v>
      </c>
      <c r="AQ525" s="19">
        <v>0</v>
      </c>
      <c r="AR525" s="19">
        <v>0</v>
      </c>
      <c r="AS525" s="19">
        <v>0</v>
      </c>
      <c r="AT525" s="19">
        <v>0</v>
      </c>
      <c r="AU525" s="19">
        <v>0</v>
      </c>
      <c r="AV525" s="19">
        <v>0</v>
      </c>
      <c r="AW525" s="19">
        <v>0</v>
      </c>
    </row>
    <row r="526" spans="1:49" ht="17" customHeight="1">
      <c r="A526" s="11" t="s">
        <v>3600</v>
      </c>
      <c r="B526" s="11" t="s">
        <v>3600</v>
      </c>
      <c r="C526" s="14" t="s">
        <v>2867</v>
      </c>
      <c r="D526" s="14" t="s">
        <v>2916</v>
      </c>
      <c r="E526" s="14" t="s">
        <v>2917</v>
      </c>
      <c r="F526" s="14" t="s">
        <v>2918</v>
      </c>
      <c r="G526" s="14"/>
      <c r="H526" s="14" t="s">
        <v>2948</v>
      </c>
      <c r="I526" s="14"/>
      <c r="J526" s="14"/>
      <c r="K526" s="14"/>
      <c r="L526" s="14">
        <v>20</v>
      </c>
      <c r="M526" s="14">
        <v>80</v>
      </c>
      <c r="N526" s="14">
        <v>10</v>
      </c>
      <c r="O526" s="14"/>
      <c r="P526" s="14">
        <v>69</v>
      </c>
      <c r="Q526" s="14">
        <v>36</v>
      </c>
      <c r="R526" s="14" t="s">
        <v>2936</v>
      </c>
      <c r="S526" s="14"/>
      <c r="T526" s="14">
        <v>2.9279999999999999</v>
      </c>
      <c r="U526" s="14">
        <v>11.5</v>
      </c>
      <c r="V526" s="15">
        <v>4.4319999999999998E-2</v>
      </c>
      <c r="W526" s="14" t="s">
        <v>2873</v>
      </c>
      <c r="X526" s="14"/>
      <c r="Y526" s="14"/>
      <c r="Z526" s="14"/>
      <c r="AA526" s="14"/>
      <c r="AB526" s="14"/>
      <c r="AC526" s="14"/>
      <c r="AD526" s="14"/>
      <c r="AE526" s="14"/>
      <c r="AF526" s="14"/>
      <c r="AG526" s="14"/>
      <c r="AH526" s="14" t="s">
        <v>3574</v>
      </c>
      <c r="AI526" s="14"/>
      <c r="AJ526" s="16">
        <v>0.1074008800631841</v>
      </c>
      <c r="AK526" s="14">
        <v>1</v>
      </c>
      <c r="AL526" s="14">
        <v>-10</v>
      </c>
      <c r="AM526" s="14">
        <v>10</v>
      </c>
      <c r="AN526" s="19">
        <v>0</v>
      </c>
      <c r="AO526" s="19">
        <v>4.7600000000000002E-4</v>
      </c>
      <c r="AP526" s="19">
        <v>0</v>
      </c>
      <c r="AQ526" s="19">
        <v>0</v>
      </c>
      <c r="AR526" s="19">
        <v>0</v>
      </c>
      <c r="AS526" s="19">
        <v>0</v>
      </c>
      <c r="AT526" s="19">
        <v>0</v>
      </c>
      <c r="AU526" s="19">
        <v>0</v>
      </c>
      <c r="AV526" s="19">
        <v>0</v>
      </c>
      <c r="AW526" s="19">
        <v>0</v>
      </c>
    </row>
    <row r="527" spans="1:49" ht="17" customHeight="1">
      <c r="A527" s="11" t="s">
        <v>3601</v>
      </c>
      <c r="B527" s="11" t="s">
        <v>3601</v>
      </c>
      <c r="C527" s="14" t="s">
        <v>2867</v>
      </c>
      <c r="D527" s="14" t="s">
        <v>2916</v>
      </c>
      <c r="E527" s="14" t="s">
        <v>2917</v>
      </c>
      <c r="F527" s="14" t="s">
        <v>2918</v>
      </c>
      <c r="G527" s="14"/>
      <c r="H527" s="14" t="s">
        <v>2948</v>
      </c>
      <c r="I527" s="14"/>
      <c r="J527" s="14"/>
      <c r="K527" s="14"/>
      <c r="L527" s="14">
        <v>20</v>
      </c>
      <c r="M527" s="14">
        <v>80</v>
      </c>
      <c r="N527" s="14">
        <v>10</v>
      </c>
      <c r="O527" s="14"/>
      <c r="P527" s="14">
        <v>69</v>
      </c>
      <c r="Q527" s="14">
        <v>36</v>
      </c>
      <c r="R527" s="14" t="s">
        <v>2936</v>
      </c>
      <c r="S527" s="14"/>
      <c r="T527" s="14">
        <v>2.9279999999999999</v>
      </c>
      <c r="U527" s="14">
        <v>11.5</v>
      </c>
      <c r="V527" s="15">
        <v>4.4319999999999998E-2</v>
      </c>
      <c r="W527" s="14" t="s">
        <v>2873</v>
      </c>
      <c r="X527" s="14"/>
      <c r="Y527" s="14"/>
      <c r="Z527" s="14"/>
      <c r="AA527" s="14"/>
      <c r="AB527" s="14"/>
      <c r="AC527" s="14"/>
      <c r="AD527" s="14"/>
      <c r="AE527" s="14"/>
      <c r="AF527" s="14"/>
      <c r="AG527" s="14"/>
      <c r="AH527" s="14" t="s">
        <v>3574</v>
      </c>
      <c r="AI527" s="14"/>
      <c r="AJ527" s="16">
        <v>0.1074008800631841</v>
      </c>
      <c r="AK527" s="14">
        <v>1</v>
      </c>
      <c r="AL527" s="14">
        <v>-10</v>
      </c>
      <c r="AM527" s="14">
        <v>10</v>
      </c>
      <c r="AN527" s="19">
        <v>0</v>
      </c>
      <c r="AO527" s="19">
        <v>4.7600000000000002E-4</v>
      </c>
      <c r="AP527" s="19">
        <v>0</v>
      </c>
      <c r="AQ527" s="19">
        <v>0</v>
      </c>
      <c r="AR527" s="19">
        <v>0</v>
      </c>
      <c r="AS527" s="19">
        <v>0</v>
      </c>
      <c r="AT527" s="19">
        <v>0</v>
      </c>
      <c r="AU527" s="19">
        <v>0</v>
      </c>
      <c r="AV527" s="19">
        <v>0</v>
      </c>
      <c r="AW527" s="19">
        <v>0</v>
      </c>
    </row>
    <row r="528" spans="1:49" ht="17" customHeight="1">
      <c r="A528" s="11" t="s">
        <v>3602</v>
      </c>
      <c r="B528" s="11" t="s">
        <v>3602</v>
      </c>
      <c r="C528" s="14" t="s">
        <v>2867</v>
      </c>
      <c r="D528" s="14" t="s">
        <v>2916</v>
      </c>
      <c r="E528" s="14" t="s">
        <v>2917</v>
      </c>
      <c r="F528" s="14" t="s">
        <v>2918</v>
      </c>
      <c r="G528" s="14"/>
      <c r="H528" s="14" t="s">
        <v>2948</v>
      </c>
      <c r="I528" s="14"/>
      <c r="J528" s="14"/>
      <c r="K528" s="14"/>
      <c r="L528" s="14">
        <v>20</v>
      </c>
      <c r="M528" s="14">
        <v>80</v>
      </c>
      <c r="N528" s="14">
        <v>10</v>
      </c>
      <c r="O528" s="14"/>
      <c r="P528" s="14">
        <v>69</v>
      </c>
      <c r="Q528" s="14">
        <v>36</v>
      </c>
      <c r="R528" s="14" t="s">
        <v>2936</v>
      </c>
      <c r="S528" s="14"/>
      <c r="T528" s="14">
        <v>2.9279999999999999</v>
      </c>
      <c r="U528" s="14">
        <v>11.5</v>
      </c>
      <c r="V528" s="15">
        <v>4.4319999999999998E-2</v>
      </c>
      <c r="W528" s="14" t="s">
        <v>2873</v>
      </c>
      <c r="X528" s="14"/>
      <c r="Y528" s="14"/>
      <c r="Z528" s="14"/>
      <c r="AA528" s="14"/>
      <c r="AB528" s="14"/>
      <c r="AC528" s="14"/>
      <c r="AD528" s="14"/>
      <c r="AE528" s="14"/>
      <c r="AF528" s="14"/>
      <c r="AG528" s="14"/>
      <c r="AH528" s="14" t="s">
        <v>3574</v>
      </c>
      <c r="AI528" s="14"/>
      <c r="AJ528" s="16">
        <v>0.1074008800631841</v>
      </c>
      <c r="AK528" s="14">
        <v>1</v>
      </c>
      <c r="AL528" s="14">
        <v>-10</v>
      </c>
      <c r="AM528" s="14">
        <v>10</v>
      </c>
      <c r="AN528" s="19">
        <v>0</v>
      </c>
      <c r="AO528" s="19">
        <v>4.7600000000000002E-4</v>
      </c>
      <c r="AP528" s="19">
        <v>0</v>
      </c>
      <c r="AQ528" s="19">
        <v>0</v>
      </c>
      <c r="AR528" s="19">
        <v>0</v>
      </c>
      <c r="AS528" s="19">
        <v>0</v>
      </c>
      <c r="AT528" s="19">
        <v>0</v>
      </c>
      <c r="AU528" s="19">
        <v>0</v>
      </c>
      <c r="AV528" s="19">
        <v>0</v>
      </c>
      <c r="AW528" s="19">
        <v>0</v>
      </c>
    </row>
    <row r="529" spans="1:49" ht="17" customHeight="1">
      <c r="A529" s="11" t="s">
        <v>3603</v>
      </c>
      <c r="B529" s="11" t="s">
        <v>3603</v>
      </c>
      <c r="C529" s="18" t="s">
        <v>2867</v>
      </c>
      <c r="D529" s="18" t="s">
        <v>2916</v>
      </c>
      <c r="E529" s="18" t="s">
        <v>2917</v>
      </c>
      <c r="F529" s="18" t="s">
        <v>2918</v>
      </c>
      <c r="G529" s="14"/>
      <c r="H529" s="18" t="s">
        <v>2948</v>
      </c>
      <c r="I529" s="14"/>
      <c r="J529" s="14"/>
      <c r="K529" s="14"/>
      <c r="L529" s="18">
        <v>20</v>
      </c>
      <c r="M529" s="18">
        <v>80</v>
      </c>
      <c r="N529" s="18">
        <v>10</v>
      </c>
      <c r="O529" s="14"/>
      <c r="P529" s="18">
        <v>69</v>
      </c>
      <c r="Q529" s="18">
        <v>36</v>
      </c>
      <c r="R529" s="18" t="s">
        <v>2936</v>
      </c>
      <c r="S529" s="18"/>
      <c r="T529" s="18">
        <v>2.9279999999999999</v>
      </c>
      <c r="U529" s="18">
        <v>11.5</v>
      </c>
      <c r="V529" s="20">
        <v>4.4319999999999998E-2</v>
      </c>
      <c r="W529" s="18" t="s">
        <v>2873</v>
      </c>
      <c r="X529" s="14"/>
      <c r="Y529" s="14"/>
      <c r="Z529" s="14"/>
      <c r="AA529" s="14"/>
      <c r="AB529" s="14"/>
      <c r="AC529" s="14"/>
      <c r="AD529" s="14"/>
      <c r="AE529" s="14"/>
      <c r="AF529" s="14"/>
      <c r="AG529" s="14"/>
      <c r="AH529" s="18" t="s">
        <v>3574</v>
      </c>
      <c r="AI529" s="14"/>
      <c r="AJ529" s="21">
        <v>0.1074008800631841</v>
      </c>
      <c r="AK529" s="18">
        <v>1</v>
      </c>
      <c r="AL529" s="18">
        <v>-10</v>
      </c>
      <c r="AM529" s="18">
        <v>10</v>
      </c>
      <c r="AN529" s="17">
        <v>0</v>
      </c>
      <c r="AO529" s="17">
        <v>4.7600000000000002E-4</v>
      </c>
      <c r="AP529" s="19">
        <v>0</v>
      </c>
      <c r="AQ529" s="19">
        <v>0</v>
      </c>
      <c r="AR529" s="19">
        <v>0</v>
      </c>
      <c r="AS529" s="19">
        <v>0</v>
      </c>
      <c r="AT529" s="19">
        <v>0</v>
      </c>
      <c r="AU529" s="19">
        <v>0</v>
      </c>
      <c r="AV529" s="19">
        <v>0</v>
      </c>
      <c r="AW529" s="19">
        <v>0</v>
      </c>
    </row>
    <row r="530" spans="1:49" ht="17" customHeight="1">
      <c r="A530" s="11" t="s">
        <v>3604</v>
      </c>
      <c r="B530" s="11" t="s">
        <v>3604</v>
      </c>
      <c r="C530" s="18" t="s">
        <v>2867</v>
      </c>
      <c r="D530" s="18" t="s">
        <v>2916</v>
      </c>
      <c r="E530" s="18" t="s">
        <v>2917</v>
      </c>
      <c r="F530" s="18" t="s">
        <v>2918</v>
      </c>
      <c r="G530" s="14"/>
      <c r="H530" s="18" t="s">
        <v>2948</v>
      </c>
      <c r="I530" s="14"/>
      <c r="J530" s="14"/>
      <c r="K530" s="14"/>
      <c r="L530" s="18">
        <v>20</v>
      </c>
      <c r="M530" s="18">
        <v>80</v>
      </c>
      <c r="N530" s="18">
        <v>10</v>
      </c>
      <c r="O530" s="14"/>
      <c r="P530" s="18">
        <v>69</v>
      </c>
      <c r="Q530" s="18">
        <v>36</v>
      </c>
      <c r="R530" s="18" t="s">
        <v>2936</v>
      </c>
      <c r="S530" s="18"/>
      <c r="T530" s="18">
        <v>2.9279999999999999</v>
      </c>
      <c r="U530" s="18">
        <v>11.5</v>
      </c>
      <c r="V530" s="20">
        <v>4.4319999999999998E-2</v>
      </c>
      <c r="W530" s="18" t="s">
        <v>2873</v>
      </c>
      <c r="X530" s="14"/>
      <c r="Y530" s="14"/>
      <c r="Z530" s="14"/>
      <c r="AA530" s="14"/>
      <c r="AB530" s="14"/>
      <c r="AC530" s="14"/>
      <c r="AD530" s="14"/>
      <c r="AE530" s="14"/>
      <c r="AF530" s="14"/>
      <c r="AG530" s="14"/>
      <c r="AH530" s="18" t="s">
        <v>3574</v>
      </c>
      <c r="AI530" s="14"/>
      <c r="AJ530" s="21">
        <v>0.1074008800631841</v>
      </c>
      <c r="AK530" s="18">
        <v>1</v>
      </c>
      <c r="AL530" s="18">
        <v>-10</v>
      </c>
      <c r="AM530" s="18">
        <v>10</v>
      </c>
      <c r="AN530" s="17">
        <v>0</v>
      </c>
      <c r="AO530" s="17">
        <v>4.7600000000000002E-4</v>
      </c>
      <c r="AP530" s="19">
        <v>0</v>
      </c>
      <c r="AQ530" s="19">
        <v>0</v>
      </c>
      <c r="AR530" s="19">
        <v>0</v>
      </c>
      <c r="AS530" s="19">
        <v>0</v>
      </c>
      <c r="AT530" s="19">
        <v>0</v>
      </c>
      <c r="AU530" s="19">
        <v>0</v>
      </c>
      <c r="AV530" s="19">
        <v>0</v>
      </c>
      <c r="AW530" s="19">
        <v>0</v>
      </c>
    </row>
    <row r="531" spans="1:49" ht="17" customHeight="1">
      <c r="A531" s="11" t="s">
        <v>3605</v>
      </c>
      <c r="B531" s="11" t="s">
        <v>3605</v>
      </c>
      <c r="C531" s="18" t="s">
        <v>2867</v>
      </c>
      <c r="D531" s="18" t="s">
        <v>2916</v>
      </c>
      <c r="E531" s="18" t="s">
        <v>2917</v>
      </c>
      <c r="F531" s="18" t="s">
        <v>2918</v>
      </c>
      <c r="G531" s="14"/>
      <c r="H531" s="18" t="s">
        <v>2948</v>
      </c>
      <c r="I531" s="14"/>
      <c r="J531" s="14"/>
      <c r="K531" s="14"/>
      <c r="L531" s="18">
        <v>20</v>
      </c>
      <c r="M531" s="18">
        <v>80</v>
      </c>
      <c r="N531" s="18">
        <v>10</v>
      </c>
      <c r="O531" s="14"/>
      <c r="P531" s="18">
        <v>69</v>
      </c>
      <c r="Q531" s="18">
        <v>36</v>
      </c>
      <c r="R531" s="18" t="s">
        <v>2936</v>
      </c>
      <c r="S531" s="18"/>
      <c r="T531" s="18">
        <v>2.9279999999999999</v>
      </c>
      <c r="U531" s="18">
        <v>11.5</v>
      </c>
      <c r="V531" s="20">
        <v>4.4319999999999998E-2</v>
      </c>
      <c r="W531" s="18" t="s">
        <v>2873</v>
      </c>
      <c r="X531" s="14"/>
      <c r="Y531" s="14"/>
      <c r="Z531" s="14"/>
      <c r="AA531" s="14"/>
      <c r="AB531" s="14"/>
      <c r="AC531" s="14"/>
      <c r="AD531" s="14"/>
      <c r="AE531" s="14"/>
      <c r="AF531" s="14"/>
      <c r="AG531" s="14"/>
      <c r="AH531" s="18" t="s">
        <v>3574</v>
      </c>
      <c r="AI531" s="14"/>
      <c r="AJ531" s="21">
        <v>0.1074008800631841</v>
      </c>
      <c r="AK531" s="18">
        <v>1</v>
      </c>
      <c r="AL531" s="18">
        <v>-10</v>
      </c>
      <c r="AM531" s="18">
        <v>10</v>
      </c>
      <c r="AN531" s="17">
        <v>0</v>
      </c>
      <c r="AO531" s="17">
        <v>4.7600000000000002E-4</v>
      </c>
      <c r="AP531" s="19">
        <v>0</v>
      </c>
      <c r="AQ531" s="19">
        <v>0</v>
      </c>
      <c r="AR531" s="19">
        <v>0</v>
      </c>
      <c r="AS531" s="19">
        <v>0</v>
      </c>
      <c r="AT531" s="19">
        <v>0</v>
      </c>
      <c r="AU531" s="19">
        <v>0</v>
      </c>
      <c r="AV531" s="19">
        <v>0</v>
      </c>
      <c r="AW531" s="19">
        <v>0</v>
      </c>
    </row>
    <row r="532" spans="1:49" ht="17" customHeight="1">
      <c r="A532" s="11" t="s">
        <v>3606</v>
      </c>
      <c r="B532" s="11" t="s">
        <v>3606</v>
      </c>
      <c r="C532" s="18" t="s">
        <v>2867</v>
      </c>
      <c r="D532" s="18" t="s">
        <v>2916</v>
      </c>
      <c r="E532" s="18" t="s">
        <v>2917</v>
      </c>
      <c r="F532" s="18" t="s">
        <v>2918</v>
      </c>
      <c r="G532" s="14"/>
      <c r="H532" s="18" t="s">
        <v>2948</v>
      </c>
      <c r="I532" s="14"/>
      <c r="J532" s="14"/>
      <c r="K532" s="14"/>
      <c r="L532" s="18">
        <v>20</v>
      </c>
      <c r="M532" s="18">
        <v>80</v>
      </c>
      <c r="N532" s="18">
        <v>10</v>
      </c>
      <c r="O532" s="14"/>
      <c r="P532" s="18">
        <v>69</v>
      </c>
      <c r="Q532" s="18">
        <v>36</v>
      </c>
      <c r="R532" s="18" t="s">
        <v>2936</v>
      </c>
      <c r="S532" s="18"/>
      <c r="T532" s="18">
        <v>2.9279999999999999</v>
      </c>
      <c r="U532" s="18">
        <v>11.5</v>
      </c>
      <c r="V532" s="20">
        <v>4.4319999999999998E-2</v>
      </c>
      <c r="W532" s="18" t="s">
        <v>2873</v>
      </c>
      <c r="X532" s="14"/>
      <c r="Y532" s="14"/>
      <c r="Z532" s="14"/>
      <c r="AA532" s="14"/>
      <c r="AB532" s="14"/>
      <c r="AC532" s="14"/>
      <c r="AD532" s="14"/>
      <c r="AE532" s="14"/>
      <c r="AF532" s="14"/>
      <c r="AG532" s="14"/>
      <c r="AH532" s="18" t="s">
        <v>3574</v>
      </c>
      <c r="AI532" s="14"/>
      <c r="AJ532" s="21">
        <v>0.1074008800631841</v>
      </c>
      <c r="AK532" s="18">
        <v>1</v>
      </c>
      <c r="AL532" s="18">
        <v>-10</v>
      </c>
      <c r="AM532" s="18">
        <v>10</v>
      </c>
      <c r="AN532" s="17">
        <v>0</v>
      </c>
      <c r="AO532" s="17">
        <v>4.7600000000000002E-4</v>
      </c>
      <c r="AP532" s="19">
        <v>0</v>
      </c>
      <c r="AQ532" s="19">
        <v>0</v>
      </c>
      <c r="AR532" s="19">
        <v>0</v>
      </c>
      <c r="AS532" s="19">
        <v>0</v>
      </c>
      <c r="AT532" s="19">
        <v>0</v>
      </c>
      <c r="AU532" s="19">
        <v>0</v>
      </c>
      <c r="AV532" s="19">
        <v>0</v>
      </c>
      <c r="AW532" s="19">
        <v>0</v>
      </c>
    </row>
    <row r="533" spans="1:49" ht="17" customHeight="1">
      <c r="A533" s="11" t="s">
        <v>3607</v>
      </c>
      <c r="B533" s="11" t="s">
        <v>3607</v>
      </c>
      <c r="C533" s="18" t="s">
        <v>2867</v>
      </c>
      <c r="D533" s="18" t="s">
        <v>2916</v>
      </c>
      <c r="E533" s="18" t="s">
        <v>2927</v>
      </c>
      <c r="F533" s="18" t="s">
        <v>2918</v>
      </c>
      <c r="G533" s="14"/>
      <c r="H533" s="18" t="s">
        <v>2948</v>
      </c>
      <c r="I533" s="14"/>
      <c r="J533" s="14"/>
      <c r="K533" s="14"/>
      <c r="L533" s="18">
        <v>20</v>
      </c>
      <c r="M533" s="18">
        <v>200</v>
      </c>
      <c r="N533" s="18">
        <v>330</v>
      </c>
      <c r="O533" s="14"/>
      <c r="P533" s="18">
        <v>2.5608</v>
      </c>
      <c r="Q533" s="18">
        <v>8</v>
      </c>
      <c r="R533" s="18" t="s">
        <v>3211</v>
      </c>
      <c r="S533" s="18"/>
      <c r="T533" s="18">
        <v>1.0369999999999999</v>
      </c>
      <c r="U533" s="18">
        <v>7.76</v>
      </c>
      <c r="V533" s="20">
        <v>62.252590184100342</v>
      </c>
      <c r="W533" s="18" t="s">
        <v>2954</v>
      </c>
      <c r="X533" s="14"/>
      <c r="Y533" s="14"/>
      <c r="Z533" s="14"/>
      <c r="AA533" s="14"/>
      <c r="AB533" s="14"/>
      <c r="AC533" s="14"/>
      <c r="AD533" s="14"/>
      <c r="AE533" s="14"/>
      <c r="AF533" s="14"/>
      <c r="AG533" s="14"/>
      <c r="AH533" s="18" t="s">
        <v>3212</v>
      </c>
      <c r="AI533" s="14"/>
      <c r="AJ533" s="21">
        <v>0.21244935000000001</v>
      </c>
      <c r="AK533" s="18">
        <v>1</v>
      </c>
      <c r="AL533" s="18">
        <v>0</v>
      </c>
      <c r="AM533" s="18">
        <v>330</v>
      </c>
      <c r="AN533" s="17">
        <v>-1.0886E-2</v>
      </c>
      <c r="AO533" s="17">
        <v>0.18657000000000001</v>
      </c>
      <c r="AP533" s="19">
        <v>2.8121999999999999E-4</v>
      </c>
      <c r="AQ533" s="19">
        <v>-4.0736000000000003E-6</v>
      </c>
      <c r="AR533" s="19">
        <v>3.3035999999999999E-8</v>
      </c>
      <c r="AS533" s="19">
        <v>-1.5158000000000001E-10</v>
      </c>
      <c r="AT533" s="19">
        <v>3.6279999999999998E-13</v>
      </c>
      <c r="AU533" s="19">
        <v>-3.5347999999999998E-16</v>
      </c>
      <c r="AV533" s="19">
        <v>0</v>
      </c>
      <c r="AW533" s="19">
        <v>0</v>
      </c>
    </row>
    <row r="534" spans="1:49" ht="17" customHeight="1">
      <c r="A534" s="11" t="s">
        <v>3608</v>
      </c>
      <c r="B534" s="11" t="s">
        <v>3608</v>
      </c>
      <c r="C534" s="18" t="s">
        <v>2867</v>
      </c>
      <c r="D534" s="18" t="s">
        <v>2916</v>
      </c>
      <c r="E534" s="18" t="s">
        <v>2927</v>
      </c>
      <c r="F534" s="18" t="s">
        <v>2918</v>
      </c>
      <c r="G534" s="14"/>
      <c r="H534" s="18" t="s">
        <v>2948</v>
      </c>
      <c r="I534" s="14"/>
      <c r="J534" s="14"/>
      <c r="K534" s="14"/>
      <c r="L534" s="18">
        <v>20</v>
      </c>
      <c r="M534" s="18">
        <v>200</v>
      </c>
      <c r="N534" s="18">
        <v>330</v>
      </c>
      <c r="O534" s="14"/>
      <c r="P534" s="18">
        <v>2.5608</v>
      </c>
      <c r="Q534" s="18">
        <v>8</v>
      </c>
      <c r="R534" s="18" t="s">
        <v>3211</v>
      </c>
      <c r="S534" s="18"/>
      <c r="T534" s="18">
        <v>1.0369999999999999</v>
      </c>
      <c r="U534" s="18">
        <v>7.76</v>
      </c>
      <c r="V534" s="20">
        <v>62.252590184100342</v>
      </c>
      <c r="W534" s="18" t="s">
        <v>2954</v>
      </c>
      <c r="X534" s="14"/>
      <c r="Y534" s="14"/>
      <c r="Z534" s="14"/>
      <c r="AA534" s="14"/>
      <c r="AB534" s="14"/>
      <c r="AC534" s="14"/>
      <c r="AD534" s="14"/>
      <c r="AE534" s="14"/>
      <c r="AF534" s="14"/>
      <c r="AG534" s="14"/>
      <c r="AH534" s="18" t="s">
        <v>3212</v>
      </c>
      <c r="AI534" s="14"/>
      <c r="AJ534" s="21">
        <v>0.21244935000000001</v>
      </c>
      <c r="AK534" s="18">
        <v>1</v>
      </c>
      <c r="AL534" s="18">
        <v>0</v>
      </c>
      <c r="AM534" s="18">
        <v>330</v>
      </c>
      <c r="AN534" s="17">
        <v>-1.0886E-2</v>
      </c>
      <c r="AO534" s="17">
        <v>0.18657000000000001</v>
      </c>
      <c r="AP534" s="19">
        <v>2.8121999999999999E-4</v>
      </c>
      <c r="AQ534" s="19">
        <v>-4.0736000000000003E-6</v>
      </c>
      <c r="AR534" s="19">
        <v>3.3035999999999999E-8</v>
      </c>
      <c r="AS534" s="19">
        <v>-1.5158000000000001E-10</v>
      </c>
      <c r="AT534" s="19">
        <v>3.6279999999999998E-13</v>
      </c>
      <c r="AU534" s="19">
        <v>-3.5347999999999998E-16</v>
      </c>
      <c r="AV534" s="19">
        <v>0</v>
      </c>
      <c r="AW534" s="19">
        <v>0</v>
      </c>
    </row>
    <row r="535" spans="1:49" ht="17" customHeight="1">
      <c r="A535" s="11" t="s">
        <v>3609</v>
      </c>
      <c r="B535" s="11" t="s">
        <v>3609</v>
      </c>
      <c r="C535" s="18" t="s">
        <v>2867</v>
      </c>
      <c r="D535" s="18" t="s">
        <v>2916</v>
      </c>
      <c r="E535" s="18" t="s">
        <v>2927</v>
      </c>
      <c r="F535" s="18" t="s">
        <v>2918</v>
      </c>
      <c r="G535" s="14"/>
      <c r="H535" s="18" t="s">
        <v>2948</v>
      </c>
      <c r="I535" s="14"/>
      <c r="J535" s="14"/>
      <c r="K535" s="14"/>
      <c r="L535" s="18">
        <v>20</v>
      </c>
      <c r="M535" s="18">
        <v>200</v>
      </c>
      <c r="N535" s="18">
        <v>330</v>
      </c>
      <c r="O535" s="14"/>
      <c r="P535" s="18">
        <v>2.5608</v>
      </c>
      <c r="Q535" s="18">
        <v>8</v>
      </c>
      <c r="R535" s="18" t="s">
        <v>3211</v>
      </c>
      <c r="S535" s="18"/>
      <c r="T535" s="18">
        <v>1.0369999999999999</v>
      </c>
      <c r="U535" s="18">
        <v>7.76</v>
      </c>
      <c r="V535" s="20">
        <v>62.252590184100342</v>
      </c>
      <c r="W535" s="18" t="s">
        <v>2954</v>
      </c>
      <c r="X535" s="14"/>
      <c r="Y535" s="14"/>
      <c r="Z535" s="14"/>
      <c r="AA535" s="14"/>
      <c r="AB535" s="14"/>
      <c r="AC535" s="14"/>
      <c r="AD535" s="14"/>
      <c r="AE535" s="14"/>
      <c r="AF535" s="14"/>
      <c r="AG535" s="14"/>
      <c r="AH535" s="18" t="s">
        <v>3212</v>
      </c>
      <c r="AI535" s="14"/>
      <c r="AJ535" s="21">
        <v>0.21244935000000001</v>
      </c>
      <c r="AK535" s="18">
        <v>1</v>
      </c>
      <c r="AL535" s="18">
        <v>0</v>
      </c>
      <c r="AM535" s="18">
        <v>330</v>
      </c>
      <c r="AN535" s="17">
        <v>-1.0886E-2</v>
      </c>
      <c r="AO535" s="17">
        <v>0.18657000000000001</v>
      </c>
      <c r="AP535" s="19">
        <v>2.8121999999999999E-4</v>
      </c>
      <c r="AQ535" s="19">
        <v>-4.0736000000000003E-6</v>
      </c>
      <c r="AR535" s="19">
        <v>3.3035999999999999E-8</v>
      </c>
      <c r="AS535" s="19">
        <v>-1.5158000000000001E-10</v>
      </c>
      <c r="AT535" s="19">
        <v>3.6279999999999998E-13</v>
      </c>
      <c r="AU535" s="19">
        <v>-3.5347999999999998E-16</v>
      </c>
      <c r="AV535" s="19">
        <v>0</v>
      </c>
      <c r="AW535" s="19">
        <v>0</v>
      </c>
    </row>
    <row r="536" spans="1:49" ht="17" customHeight="1">
      <c r="A536" s="11" t="s">
        <v>3610</v>
      </c>
      <c r="B536" s="11" t="s">
        <v>3610</v>
      </c>
      <c r="C536" s="18" t="s">
        <v>2867</v>
      </c>
      <c r="D536" s="18" t="s">
        <v>2916</v>
      </c>
      <c r="E536" s="18" t="s">
        <v>2927</v>
      </c>
      <c r="F536" s="18" t="s">
        <v>2918</v>
      </c>
      <c r="G536" s="14"/>
      <c r="H536" s="18" t="s">
        <v>2948</v>
      </c>
      <c r="I536" s="14"/>
      <c r="J536" s="14"/>
      <c r="K536" s="14"/>
      <c r="L536" s="18">
        <v>20</v>
      </c>
      <c r="M536" s="18">
        <v>200</v>
      </c>
      <c r="N536" s="18">
        <v>330</v>
      </c>
      <c r="O536" s="14"/>
      <c r="P536" s="18">
        <v>2.5608</v>
      </c>
      <c r="Q536" s="18">
        <v>8</v>
      </c>
      <c r="R536" s="18" t="s">
        <v>3211</v>
      </c>
      <c r="S536" s="18"/>
      <c r="T536" s="18">
        <v>1.0369999999999999</v>
      </c>
      <c r="U536" s="18">
        <v>7.76</v>
      </c>
      <c r="V536" s="20">
        <v>62.252590184100342</v>
      </c>
      <c r="W536" s="18" t="s">
        <v>2954</v>
      </c>
      <c r="X536" s="14"/>
      <c r="Y536" s="14"/>
      <c r="Z536" s="14"/>
      <c r="AA536" s="14"/>
      <c r="AB536" s="14"/>
      <c r="AC536" s="14"/>
      <c r="AD536" s="14"/>
      <c r="AE536" s="14"/>
      <c r="AF536" s="14"/>
      <c r="AG536" s="14"/>
      <c r="AH536" s="18" t="s">
        <v>3212</v>
      </c>
      <c r="AI536" s="14"/>
      <c r="AJ536" s="21">
        <v>0.21244935000000001</v>
      </c>
      <c r="AK536" s="18">
        <v>1</v>
      </c>
      <c r="AL536" s="18">
        <v>0</v>
      </c>
      <c r="AM536" s="18">
        <v>330</v>
      </c>
      <c r="AN536" s="17">
        <v>-1.0886E-2</v>
      </c>
      <c r="AO536" s="17">
        <v>0.18657000000000001</v>
      </c>
      <c r="AP536" s="19">
        <v>2.8121999999999999E-4</v>
      </c>
      <c r="AQ536" s="19">
        <v>-4.0736000000000003E-6</v>
      </c>
      <c r="AR536" s="19">
        <v>3.3035999999999999E-8</v>
      </c>
      <c r="AS536" s="19">
        <v>-1.5158000000000001E-10</v>
      </c>
      <c r="AT536" s="19">
        <v>3.6279999999999998E-13</v>
      </c>
      <c r="AU536" s="19">
        <v>-3.5347999999999998E-16</v>
      </c>
      <c r="AV536" s="19">
        <v>0</v>
      </c>
      <c r="AW536" s="19">
        <v>0</v>
      </c>
    </row>
    <row r="537" spans="1:49" ht="17" customHeight="1">
      <c r="A537" s="11" t="s">
        <v>3611</v>
      </c>
      <c r="B537" s="11" t="s">
        <v>3611</v>
      </c>
      <c r="C537" s="14" t="s">
        <v>2867</v>
      </c>
      <c r="D537" s="14" t="s">
        <v>2916</v>
      </c>
      <c r="E537" s="14" t="s">
        <v>2927</v>
      </c>
      <c r="F537" s="14" t="s">
        <v>2918</v>
      </c>
      <c r="G537" s="14"/>
      <c r="H537" s="14" t="s">
        <v>2948</v>
      </c>
      <c r="I537" s="14"/>
      <c r="J537" s="14"/>
      <c r="K537" s="14"/>
      <c r="L537" s="14">
        <v>20</v>
      </c>
      <c r="M537" s="14">
        <v>200</v>
      </c>
      <c r="N537" s="14">
        <v>330</v>
      </c>
      <c r="O537" s="14"/>
      <c r="P537" s="14">
        <v>2.5608</v>
      </c>
      <c r="Q537" s="14">
        <v>8</v>
      </c>
      <c r="R537" s="14" t="s">
        <v>3211</v>
      </c>
      <c r="S537" s="14"/>
      <c r="T537" s="14">
        <v>1.0369999999999999</v>
      </c>
      <c r="U537" s="14">
        <v>7.76</v>
      </c>
      <c r="V537" s="15">
        <v>62.252590184100342</v>
      </c>
      <c r="W537" s="14" t="s">
        <v>2954</v>
      </c>
      <c r="X537" s="14"/>
      <c r="Y537" s="14"/>
      <c r="Z537" s="14"/>
      <c r="AA537" s="14"/>
      <c r="AB537" s="14"/>
      <c r="AC537" s="14"/>
      <c r="AD537" s="14"/>
      <c r="AE537" s="14"/>
      <c r="AF537" s="14"/>
      <c r="AG537" s="14"/>
      <c r="AH537" s="14" t="s">
        <v>3212</v>
      </c>
      <c r="AI537" s="14"/>
      <c r="AJ537" s="16">
        <v>0.21244935000000001</v>
      </c>
      <c r="AK537" s="14">
        <v>1</v>
      </c>
      <c r="AL537" s="14">
        <v>0</v>
      </c>
      <c r="AM537" s="14">
        <v>330</v>
      </c>
      <c r="AN537" s="19">
        <v>-1.0886E-2</v>
      </c>
      <c r="AO537" s="19">
        <v>0.18657000000000001</v>
      </c>
      <c r="AP537" s="19">
        <v>2.8121999999999999E-4</v>
      </c>
      <c r="AQ537" s="19">
        <v>-4.0736000000000003E-6</v>
      </c>
      <c r="AR537" s="19">
        <v>3.3035999999999999E-8</v>
      </c>
      <c r="AS537" s="19">
        <v>-1.5158000000000001E-10</v>
      </c>
      <c r="AT537" s="19">
        <v>3.6279999999999998E-13</v>
      </c>
      <c r="AU537" s="19">
        <v>-3.5347999999999998E-16</v>
      </c>
      <c r="AV537" s="19">
        <v>0</v>
      </c>
      <c r="AW537" s="19">
        <v>0</v>
      </c>
    </row>
    <row r="538" spans="1:49" ht="17" customHeight="1">
      <c r="A538" s="11" t="s">
        <v>3612</v>
      </c>
      <c r="B538" s="11" t="s">
        <v>3612</v>
      </c>
      <c r="C538" s="14" t="s">
        <v>2867</v>
      </c>
      <c r="D538" s="14" t="s">
        <v>2916</v>
      </c>
      <c r="E538" s="14" t="s">
        <v>2927</v>
      </c>
      <c r="F538" s="14" t="s">
        <v>2918</v>
      </c>
      <c r="G538" s="14"/>
      <c r="H538" s="14" t="s">
        <v>2948</v>
      </c>
      <c r="I538" s="14"/>
      <c r="J538" s="14"/>
      <c r="K538" s="14"/>
      <c r="L538" s="14">
        <v>20</v>
      </c>
      <c r="M538" s="14">
        <v>200</v>
      </c>
      <c r="N538" s="14">
        <v>330</v>
      </c>
      <c r="O538" s="14"/>
      <c r="P538" s="14">
        <v>2.5608</v>
      </c>
      <c r="Q538" s="14">
        <v>8</v>
      </c>
      <c r="R538" s="14" t="s">
        <v>3211</v>
      </c>
      <c r="S538" s="14"/>
      <c r="T538" s="14">
        <v>1.0369999999999999</v>
      </c>
      <c r="U538" s="14">
        <v>7.76</v>
      </c>
      <c r="V538" s="15">
        <v>62.252590184100342</v>
      </c>
      <c r="W538" s="14" t="s">
        <v>2954</v>
      </c>
      <c r="X538" s="14"/>
      <c r="Y538" s="14"/>
      <c r="Z538" s="14"/>
      <c r="AA538" s="14"/>
      <c r="AB538" s="14"/>
      <c r="AC538" s="14"/>
      <c r="AD538" s="14"/>
      <c r="AE538" s="14"/>
      <c r="AF538" s="14"/>
      <c r="AG538" s="14"/>
      <c r="AH538" s="14" t="s">
        <v>3212</v>
      </c>
      <c r="AI538" s="14"/>
      <c r="AJ538" s="16">
        <v>0.21244935000000001</v>
      </c>
      <c r="AK538" s="14">
        <v>1</v>
      </c>
      <c r="AL538" s="14">
        <v>0</v>
      </c>
      <c r="AM538" s="14">
        <v>330</v>
      </c>
      <c r="AN538" s="19">
        <v>-1.0886E-2</v>
      </c>
      <c r="AO538" s="19">
        <v>0.18657000000000001</v>
      </c>
      <c r="AP538" s="19">
        <v>2.8121999999999999E-4</v>
      </c>
      <c r="AQ538" s="19">
        <v>-4.0736000000000003E-6</v>
      </c>
      <c r="AR538" s="19">
        <v>3.3035999999999999E-8</v>
      </c>
      <c r="AS538" s="19">
        <v>-1.5158000000000001E-10</v>
      </c>
      <c r="AT538" s="19">
        <v>3.6279999999999998E-13</v>
      </c>
      <c r="AU538" s="19">
        <v>-3.5347999999999998E-16</v>
      </c>
      <c r="AV538" s="19">
        <v>0</v>
      </c>
      <c r="AW538" s="19">
        <v>0</v>
      </c>
    </row>
    <row r="539" spans="1:49" ht="17" customHeight="1">
      <c r="A539" s="11" t="s">
        <v>3613</v>
      </c>
      <c r="B539" s="11" t="s">
        <v>3613</v>
      </c>
      <c r="C539" s="14" t="s">
        <v>2867</v>
      </c>
      <c r="D539" s="14" t="s">
        <v>2916</v>
      </c>
      <c r="E539" s="14" t="s">
        <v>2927</v>
      </c>
      <c r="F539" s="14" t="s">
        <v>2918</v>
      </c>
      <c r="G539" s="14"/>
      <c r="H539" s="14" t="s">
        <v>2948</v>
      </c>
      <c r="I539" s="14"/>
      <c r="J539" s="14"/>
      <c r="K539" s="14"/>
      <c r="L539" s="14">
        <v>20</v>
      </c>
      <c r="M539" s="14">
        <v>200</v>
      </c>
      <c r="N539" s="14">
        <v>330</v>
      </c>
      <c r="O539" s="14"/>
      <c r="P539" s="14">
        <v>2.5608</v>
      </c>
      <c r="Q539" s="14">
        <v>8</v>
      </c>
      <c r="R539" s="14" t="s">
        <v>3211</v>
      </c>
      <c r="S539" s="14"/>
      <c r="T539" s="14">
        <v>1.0369999999999999</v>
      </c>
      <c r="U539" s="14">
        <v>7.76</v>
      </c>
      <c r="V539" s="15">
        <v>62.252590184100342</v>
      </c>
      <c r="W539" s="14" t="s">
        <v>2954</v>
      </c>
      <c r="X539" s="14"/>
      <c r="Y539" s="14"/>
      <c r="Z539" s="14"/>
      <c r="AA539" s="14"/>
      <c r="AB539" s="14"/>
      <c r="AC539" s="14"/>
      <c r="AD539" s="14"/>
      <c r="AE539" s="14"/>
      <c r="AF539" s="14"/>
      <c r="AG539" s="14"/>
      <c r="AH539" s="14" t="s">
        <v>3212</v>
      </c>
      <c r="AI539" s="14"/>
      <c r="AJ539" s="16">
        <v>0.21244935000000001</v>
      </c>
      <c r="AK539" s="14">
        <v>1</v>
      </c>
      <c r="AL539" s="14">
        <v>0</v>
      </c>
      <c r="AM539" s="14">
        <v>330</v>
      </c>
      <c r="AN539" s="19">
        <v>-1.0886E-2</v>
      </c>
      <c r="AO539" s="19">
        <v>0.18657000000000001</v>
      </c>
      <c r="AP539" s="19">
        <v>2.8121999999999999E-4</v>
      </c>
      <c r="AQ539" s="19">
        <v>-4.0736000000000003E-6</v>
      </c>
      <c r="AR539" s="19">
        <v>3.3035999999999999E-8</v>
      </c>
      <c r="AS539" s="19">
        <v>-1.5158000000000001E-10</v>
      </c>
      <c r="AT539" s="19">
        <v>3.6279999999999998E-13</v>
      </c>
      <c r="AU539" s="19">
        <v>-3.5347999999999998E-16</v>
      </c>
      <c r="AV539" s="19">
        <v>0</v>
      </c>
      <c r="AW539" s="19">
        <v>0</v>
      </c>
    </row>
    <row r="540" spans="1:49" ht="17" customHeight="1">
      <c r="A540" s="11" t="s">
        <v>3614</v>
      </c>
      <c r="B540" s="11" t="s">
        <v>3614</v>
      </c>
      <c r="C540" s="14" t="s">
        <v>2867</v>
      </c>
      <c r="D540" s="14" t="s">
        <v>2916</v>
      </c>
      <c r="E540" s="14" t="s">
        <v>2927</v>
      </c>
      <c r="F540" s="14" t="s">
        <v>2918</v>
      </c>
      <c r="G540" s="14"/>
      <c r="H540" s="14" t="s">
        <v>2948</v>
      </c>
      <c r="I540" s="14"/>
      <c r="J540" s="14"/>
      <c r="K540" s="14"/>
      <c r="L540" s="14">
        <v>20</v>
      </c>
      <c r="M540" s="14">
        <v>200</v>
      </c>
      <c r="N540" s="14">
        <v>330</v>
      </c>
      <c r="O540" s="14"/>
      <c r="P540" s="14">
        <v>2.5608</v>
      </c>
      <c r="Q540" s="14">
        <v>8</v>
      </c>
      <c r="R540" s="14" t="s">
        <v>3211</v>
      </c>
      <c r="S540" s="14"/>
      <c r="T540" s="14">
        <v>1.0369999999999999</v>
      </c>
      <c r="U540" s="14">
        <v>7.76</v>
      </c>
      <c r="V540" s="15">
        <v>62.252590184100342</v>
      </c>
      <c r="W540" s="14" t="s">
        <v>2954</v>
      </c>
      <c r="X540" s="14"/>
      <c r="Y540" s="14"/>
      <c r="Z540" s="14"/>
      <c r="AA540" s="14"/>
      <c r="AB540" s="14"/>
      <c r="AC540" s="14"/>
      <c r="AD540" s="14"/>
      <c r="AE540" s="14"/>
      <c r="AF540" s="14"/>
      <c r="AG540" s="14"/>
      <c r="AH540" s="14" t="s">
        <v>3212</v>
      </c>
      <c r="AI540" s="14"/>
      <c r="AJ540" s="16">
        <v>0.21244935000000001</v>
      </c>
      <c r="AK540" s="14">
        <v>1</v>
      </c>
      <c r="AL540" s="14">
        <v>0</v>
      </c>
      <c r="AM540" s="14">
        <v>330</v>
      </c>
      <c r="AN540" s="19">
        <v>-1.0886E-2</v>
      </c>
      <c r="AO540" s="19">
        <v>0.18657000000000001</v>
      </c>
      <c r="AP540" s="19">
        <v>2.8121999999999999E-4</v>
      </c>
      <c r="AQ540" s="19">
        <v>-4.0736000000000003E-6</v>
      </c>
      <c r="AR540" s="19">
        <v>3.3035999999999999E-8</v>
      </c>
      <c r="AS540" s="19">
        <v>-1.5158000000000001E-10</v>
      </c>
      <c r="AT540" s="19">
        <v>3.6279999999999998E-13</v>
      </c>
      <c r="AU540" s="19">
        <v>-3.5347999999999998E-16</v>
      </c>
      <c r="AV540" s="19">
        <v>0</v>
      </c>
      <c r="AW540" s="19">
        <v>0</v>
      </c>
    </row>
    <row r="541" spans="1:49" ht="17" customHeight="1">
      <c r="A541" s="11" t="s">
        <v>3615</v>
      </c>
      <c r="B541" s="11" t="s">
        <v>3615</v>
      </c>
      <c r="C541" s="14" t="s">
        <v>2867</v>
      </c>
      <c r="D541" s="14" t="s">
        <v>2916</v>
      </c>
      <c r="E541" s="14" t="s">
        <v>2917</v>
      </c>
      <c r="F541" s="14" t="s">
        <v>2918</v>
      </c>
      <c r="G541" s="14"/>
      <c r="H541" s="14" t="s">
        <v>2948</v>
      </c>
      <c r="I541" s="14"/>
      <c r="J541" s="14"/>
      <c r="K541" s="14"/>
      <c r="L541" s="14">
        <v>20</v>
      </c>
      <c r="M541" s="14">
        <v>80</v>
      </c>
      <c r="N541" s="14">
        <v>10</v>
      </c>
      <c r="O541" s="14"/>
      <c r="P541" s="14">
        <v>69</v>
      </c>
      <c r="Q541" s="14">
        <v>36</v>
      </c>
      <c r="R541" s="14" t="s">
        <v>2936</v>
      </c>
      <c r="S541" s="14"/>
      <c r="T541" s="14">
        <v>2.9279999999999999</v>
      </c>
      <c r="U541" s="14">
        <v>11.5</v>
      </c>
      <c r="V541" s="15">
        <v>4.4319999999999998E-2</v>
      </c>
      <c r="W541" s="14" t="s">
        <v>2873</v>
      </c>
      <c r="X541" s="14"/>
      <c r="Y541" s="14"/>
      <c r="Z541" s="14"/>
      <c r="AA541" s="14"/>
      <c r="AB541" s="14"/>
      <c r="AC541" s="14"/>
      <c r="AD541" s="14"/>
      <c r="AE541" s="14"/>
      <c r="AF541" s="14"/>
      <c r="AG541" s="14"/>
      <c r="AH541" s="14" t="s">
        <v>3574</v>
      </c>
      <c r="AI541" s="14"/>
      <c r="AJ541" s="16">
        <v>0.1074008800631841</v>
      </c>
      <c r="AK541" s="14">
        <v>1</v>
      </c>
      <c r="AL541" s="14">
        <v>-10</v>
      </c>
      <c r="AM541" s="14">
        <v>10</v>
      </c>
      <c r="AN541" s="19">
        <v>0</v>
      </c>
      <c r="AO541" s="19">
        <v>4.7600000000000002E-4</v>
      </c>
      <c r="AP541" s="19">
        <v>0</v>
      </c>
      <c r="AQ541" s="19">
        <v>0</v>
      </c>
      <c r="AR541" s="19">
        <v>0</v>
      </c>
      <c r="AS541" s="19">
        <v>0</v>
      </c>
      <c r="AT541" s="19">
        <v>0</v>
      </c>
      <c r="AU541" s="19">
        <v>0</v>
      </c>
      <c r="AV541" s="19">
        <v>0</v>
      </c>
      <c r="AW541" s="19">
        <v>0</v>
      </c>
    </row>
    <row r="542" spans="1:49" ht="17" customHeight="1">
      <c r="A542" s="11" t="s">
        <v>3616</v>
      </c>
      <c r="B542" s="11" t="s">
        <v>3616</v>
      </c>
      <c r="C542" s="14" t="s">
        <v>2867</v>
      </c>
      <c r="D542" s="14" t="s">
        <v>2916</v>
      </c>
      <c r="E542" s="14" t="s">
        <v>2917</v>
      </c>
      <c r="F542" s="14" t="s">
        <v>2918</v>
      </c>
      <c r="G542" s="14"/>
      <c r="H542" s="14" t="s">
        <v>2948</v>
      </c>
      <c r="I542" s="14"/>
      <c r="J542" s="14"/>
      <c r="K542" s="14"/>
      <c r="L542" s="14">
        <v>20</v>
      </c>
      <c r="M542" s="14">
        <v>80</v>
      </c>
      <c r="N542" s="14">
        <v>10</v>
      </c>
      <c r="O542" s="14"/>
      <c r="P542" s="14">
        <v>69</v>
      </c>
      <c r="Q542" s="14">
        <v>36</v>
      </c>
      <c r="R542" s="14" t="s">
        <v>2936</v>
      </c>
      <c r="S542" s="14"/>
      <c r="T542" s="14">
        <v>2.9279999999999999</v>
      </c>
      <c r="U542" s="14">
        <v>11.5</v>
      </c>
      <c r="V542" s="15">
        <v>4.4319999999999998E-2</v>
      </c>
      <c r="W542" s="14" t="s">
        <v>2873</v>
      </c>
      <c r="X542" s="14"/>
      <c r="Y542" s="14"/>
      <c r="Z542" s="14"/>
      <c r="AA542" s="14"/>
      <c r="AB542" s="14"/>
      <c r="AC542" s="14"/>
      <c r="AD542" s="14"/>
      <c r="AE542" s="14"/>
      <c r="AF542" s="14"/>
      <c r="AG542" s="14"/>
      <c r="AH542" s="14" t="s">
        <v>3574</v>
      </c>
      <c r="AI542" s="14"/>
      <c r="AJ542" s="16">
        <v>0.1074008800631841</v>
      </c>
      <c r="AK542" s="14">
        <v>1</v>
      </c>
      <c r="AL542" s="14">
        <v>-10</v>
      </c>
      <c r="AM542" s="14">
        <v>10</v>
      </c>
      <c r="AN542" s="19">
        <v>0</v>
      </c>
      <c r="AO542" s="19">
        <v>4.7600000000000002E-4</v>
      </c>
      <c r="AP542" s="19">
        <v>0</v>
      </c>
      <c r="AQ542" s="19">
        <v>0</v>
      </c>
      <c r="AR542" s="19">
        <v>0</v>
      </c>
      <c r="AS542" s="19">
        <v>0</v>
      </c>
      <c r="AT542" s="19">
        <v>0</v>
      </c>
      <c r="AU542" s="19">
        <v>0</v>
      </c>
      <c r="AV542" s="19">
        <v>0</v>
      </c>
      <c r="AW542" s="19">
        <v>0</v>
      </c>
    </row>
    <row r="543" spans="1:49" ht="17" customHeight="1">
      <c r="A543" s="11" t="s">
        <v>3617</v>
      </c>
      <c r="B543" s="11" t="s">
        <v>3617</v>
      </c>
      <c r="C543" s="14" t="s">
        <v>2867</v>
      </c>
      <c r="D543" s="14" t="s">
        <v>2916</v>
      </c>
      <c r="E543" s="14" t="s">
        <v>2917</v>
      </c>
      <c r="F543" s="14" t="s">
        <v>2918</v>
      </c>
      <c r="G543" s="14"/>
      <c r="H543" s="14" t="s">
        <v>2948</v>
      </c>
      <c r="I543" s="14"/>
      <c r="J543" s="14"/>
      <c r="K543" s="14"/>
      <c r="L543" s="14">
        <v>20</v>
      </c>
      <c r="M543" s="14">
        <v>80</v>
      </c>
      <c r="N543" s="14">
        <v>10</v>
      </c>
      <c r="O543" s="14"/>
      <c r="P543" s="14">
        <v>69</v>
      </c>
      <c r="Q543" s="14">
        <v>36</v>
      </c>
      <c r="R543" s="14" t="s">
        <v>2936</v>
      </c>
      <c r="S543" s="14"/>
      <c r="T543" s="14">
        <v>2.9279999999999999</v>
      </c>
      <c r="U543" s="14">
        <v>11.5</v>
      </c>
      <c r="V543" s="15">
        <v>4.4319999999999998E-2</v>
      </c>
      <c r="W543" s="14" t="s">
        <v>2873</v>
      </c>
      <c r="X543" s="14"/>
      <c r="Y543" s="14"/>
      <c r="Z543" s="14"/>
      <c r="AA543" s="14"/>
      <c r="AB543" s="14"/>
      <c r="AC543" s="14"/>
      <c r="AD543" s="14"/>
      <c r="AE543" s="14"/>
      <c r="AF543" s="14"/>
      <c r="AG543" s="14"/>
      <c r="AH543" s="14" t="s">
        <v>3574</v>
      </c>
      <c r="AI543" s="14"/>
      <c r="AJ543" s="16">
        <v>0.1074008800631841</v>
      </c>
      <c r="AK543" s="14">
        <v>1</v>
      </c>
      <c r="AL543" s="14">
        <v>-10</v>
      </c>
      <c r="AM543" s="14">
        <v>10</v>
      </c>
      <c r="AN543" s="19">
        <v>0</v>
      </c>
      <c r="AO543" s="19">
        <v>4.7600000000000002E-4</v>
      </c>
      <c r="AP543" s="19">
        <v>0</v>
      </c>
      <c r="AQ543" s="19">
        <v>0</v>
      </c>
      <c r="AR543" s="19">
        <v>0</v>
      </c>
      <c r="AS543" s="19">
        <v>0</v>
      </c>
      <c r="AT543" s="19">
        <v>0</v>
      </c>
      <c r="AU543" s="19">
        <v>0</v>
      </c>
      <c r="AV543" s="19">
        <v>0</v>
      </c>
      <c r="AW543" s="19">
        <v>0</v>
      </c>
    </row>
    <row r="544" spans="1:49" ht="17" customHeight="1">
      <c r="A544" s="11" t="s">
        <v>3618</v>
      </c>
      <c r="B544" s="11" t="s">
        <v>3618</v>
      </c>
      <c r="C544" s="14" t="s">
        <v>2867</v>
      </c>
      <c r="D544" s="14" t="s">
        <v>2916</v>
      </c>
      <c r="E544" s="14" t="s">
        <v>2917</v>
      </c>
      <c r="F544" s="14" t="s">
        <v>2918</v>
      </c>
      <c r="G544" s="14"/>
      <c r="H544" s="14" t="s">
        <v>2948</v>
      </c>
      <c r="I544" s="14"/>
      <c r="J544" s="14"/>
      <c r="K544" s="14"/>
      <c r="L544" s="14">
        <v>20</v>
      </c>
      <c r="M544" s="14">
        <v>80</v>
      </c>
      <c r="N544" s="14">
        <v>10</v>
      </c>
      <c r="O544" s="14"/>
      <c r="P544" s="14">
        <v>69</v>
      </c>
      <c r="Q544" s="14">
        <v>36</v>
      </c>
      <c r="R544" s="14" t="s">
        <v>2936</v>
      </c>
      <c r="S544" s="14"/>
      <c r="T544" s="14">
        <v>2.9279999999999999</v>
      </c>
      <c r="U544" s="14">
        <v>11.5</v>
      </c>
      <c r="V544" s="15">
        <v>4.4319999999999998E-2</v>
      </c>
      <c r="W544" s="14" t="s">
        <v>2873</v>
      </c>
      <c r="X544" s="14"/>
      <c r="Y544" s="14"/>
      <c r="Z544" s="14"/>
      <c r="AA544" s="14"/>
      <c r="AB544" s="14"/>
      <c r="AC544" s="14"/>
      <c r="AD544" s="14"/>
      <c r="AE544" s="14"/>
      <c r="AF544" s="14"/>
      <c r="AG544" s="14"/>
      <c r="AH544" s="14" t="s">
        <v>3574</v>
      </c>
      <c r="AI544" s="14"/>
      <c r="AJ544" s="16">
        <v>0.1074008800631841</v>
      </c>
      <c r="AK544" s="14">
        <v>1</v>
      </c>
      <c r="AL544" s="14">
        <v>-10</v>
      </c>
      <c r="AM544" s="14">
        <v>10</v>
      </c>
      <c r="AN544" s="19">
        <v>0</v>
      </c>
      <c r="AO544" s="19">
        <v>4.7600000000000002E-4</v>
      </c>
      <c r="AP544" s="19">
        <v>0</v>
      </c>
      <c r="AQ544" s="19">
        <v>0</v>
      </c>
      <c r="AR544" s="19">
        <v>0</v>
      </c>
      <c r="AS544" s="19">
        <v>0</v>
      </c>
      <c r="AT544" s="19">
        <v>0</v>
      </c>
      <c r="AU544" s="19">
        <v>0</v>
      </c>
      <c r="AV544" s="19">
        <v>0</v>
      </c>
      <c r="AW544" s="19">
        <v>0</v>
      </c>
    </row>
    <row r="545" spans="1:49" ht="17" customHeight="1">
      <c r="A545" s="11" t="s">
        <v>3619</v>
      </c>
      <c r="B545" s="11" t="s">
        <v>3619</v>
      </c>
      <c r="C545" s="18" t="s">
        <v>2867</v>
      </c>
      <c r="D545" s="18" t="s">
        <v>2916</v>
      </c>
      <c r="E545" s="18" t="s">
        <v>2917</v>
      </c>
      <c r="F545" s="18" t="s">
        <v>2918</v>
      </c>
      <c r="G545" s="14"/>
      <c r="H545" s="18" t="s">
        <v>2948</v>
      </c>
      <c r="I545" s="14"/>
      <c r="J545" s="14"/>
      <c r="K545" s="14"/>
      <c r="L545" s="18">
        <v>20</v>
      </c>
      <c r="M545" s="18">
        <v>80</v>
      </c>
      <c r="N545" s="18">
        <v>10</v>
      </c>
      <c r="O545" s="14"/>
      <c r="P545" s="18">
        <v>69</v>
      </c>
      <c r="Q545" s="18">
        <v>36</v>
      </c>
      <c r="R545" s="18" t="s">
        <v>2936</v>
      </c>
      <c r="S545" s="18"/>
      <c r="T545" s="18">
        <v>2.9279999999999999</v>
      </c>
      <c r="U545" s="18">
        <v>11.5</v>
      </c>
      <c r="V545" s="20">
        <v>4.4319999999999998E-2</v>
      </c>
      <c r="W545" s="18" t="s">
        <v>2873</v>
      </c>
      <c r="X545" s="14"/>
      <c r="Y545" s="14"/>
      <c r="Z545" s="14"/>
      <c r="AA545" s="14"/>
      <c r="AB545" s="14"/>
      <c r="AC545" s="14"/>
      <c r="AD545" s="14"/>
      <c r="AE545" s="14"/>
      <c r="AF545" s="14"/>
      <c r="AG545" s="14"/>
      <c r="AH545" s="18" t="s">
        <v>3574</v>
      </c>
      <c r="AI545" s="14"/>
      <c r="AJ545" s="21">
        <v>0.1074008800631841</v>
      </c>
      <c r="AK545" s="18">
        <v>1</v>
      </c>
      <c r="AL545" s="18">
        <v>-10</v>
      </c>
      <c r="AM545" s="18">
        <v>10</v>
      </c>
      <c r="AN545" s="17">
        <v>0</v>
      </c>
      <c r="AO545" s="17">
        <v>4.7600000000000002E-4</v>
      </c>
      <c r="AP545" s="19">
        <v>0</v>
      </c>
      <c r="AQ545" s="19">
        <v>0</v>
      </c>
      <c r="AR545" s="19">
        <v>0</v>
      </c>
      <c r="AS545" s="19">
        <v>0</v>
      </c>
      <c r="AT545" s="19">
        <v>0</v>
      </c>
      <c r="AU545" s="19">
        <v>0</v>
      </c>
      <c r="AV545" s="19">
        <v>0</v>
      </c>
      <c r="AW545" s="19">
        <v>0</v>
      </c>
    </row>
    <row r="546" spans="1:49" ht="17" customHeight="1">
      <c r="A546" s="11" t="s">
        <v>3620</v>
      </c>
      <c r="B546" s="11" t="s">
        <v>3620</v>
      </c>
      <c r="C546" s="18" t="s">
        <v>2867</v>
      </c>
      <c r="D546" s="18" t="s">
        <v>2916</v>
      </c>
      <c r="E546" s="18" t="s">
        <v>2917</v>
      </c>
      <c r="F546" s="18" t="s">
        <v>2918</v>
      </c>
      <c r="G546" s="14"/>
      <c r="H546" s="18" t="s">
        <v>2948</v>
      </c>
      <c r="I546" s="14"/>
      <c r="J546" s="14"/>
      <c r="K546" s="14"/>
      <c r="L546" s="18">
        <v>20</v>
      </c>
      <c r="M546" s="18">
        <v>80</v>
      </c>
      <c r="N546" s="18">
        <v>10</v>
      </c>
      <c r="O546" s="14"/>
      <c r="P546" s="18">
        <v>69</v>
      </c>
      <c r="Q546" s="18">
        <v>36</v>
      </c>
      <c r="R546" s="18" t="s">
        <v>2936</v>
      </c>
      <c r="S546" s="18"/>
      <c r="T546" s="18">
        <v>2.9279999999999999</v>
      </c>
      <c r="U546" s="18">
        <v>11.5</v>
      </c>
      <c r="V546" s="20">
        <v>4.4319999999999998E-2</v>
      </c>
      <c r="W546" s="18" t="s">
        <v>2873</v>
      </c>
      <c r="X546" s="14"/>
      <c r="Y546" s="14"/>
      <c r="Z546" s="14"/>
      <c r="AA546" s="14"/>
      <c r="AB546" s="14"/>
      <c r="AC546" s="14"/>
      <c r="AD546" s="14"/>
      <c r="AE546" s="14"/>
      <c r="AF546" s="14"/>
      <c r="AG546" s="14"/>
      <c r="AH546" s="18" t="s">
        <v>3574</v>
      </c>
      <c r="AI546" s="14"/>
      <c r="AJ546" s="21">
        <v>0.1074008800631841</v>
      </c>
      <c r="AK546" s="18">
        <v>1</v>
      </c>
      <c r="AL546" s="18">
        <v>-10</v>
      </c>
      <c r="AM546" s="18">
        <v>10</v>
      </c>
      <c r="AN546" s="17">
        <v>0</v>
      </c>
      <c r="AO546" s="17">
        <v>4.7600000000000002E-4</v>
      </c>
      <c r="AP546" s="19">
        <v>0</v>
      </c>
      <c r="AQ546" s="19">
        <v>0</v>
      </c>
      <c r="AR546" s="19">
        <v>0</v>
      </c>
      <c r="AS546" s="19">
        <v>0</v>
      </c>
      <c r="AT546" s="19">
        <v>0</v>
      </c>
      <c r="AU546" s="19">
        <v>0</v>
      </c>
      <c r="AV546" s="19">
        <v>0</v>
      </c>
      <c r="AW546" s="19">
        <v>0</v>
      </c>
    </row>
    <row r="547" spans="1:49" ht="17" customHeight="1">
      <c r="A547" s="11" t="s">
        <v>3621</v>
      </c>
      <c r="B547" s="11" t="s">
        <v>3621</v>
      </c>
      <c r="C547" s="18" t="s">
        <v>2867</v>
      </c>
      <c r="D547" s="18" t="s">
        <v>2916</v>
      </c>
      <c r="E547" s="18" t="s">
        <v>2917</v>
      </c>
      <c r="F547" s="18" t="s">
        <v>2918</v>
      </c>
      <c r="G547" s="14"/>
      <c r="H547" s="18" t="s">
        <v>2948</v>
      </c>
      <c r="I547" s="14"/>
      <c r="J547" s="14"/>
      <c r="K547" s="14"/>
      <c r="L547" s="18">
        <v>20</v>
      </c>
      <c r="M547" s="18">
        <v>80</v>
      </c>
      <c r="N547" s="18">
        <v>10</v>
      </c>
      <c r="O547" s="14"/>
      <c r="P547" s="18">
        <v>69</v>
      </c>
      <c r="Q547" s="18">
        <v>36</v>
      </c>
      <c r="R547" s="18" t="s">
        <v>2936</v>
      </c>
      <c r="S547" s="18"/>
      <c r="T547" s="18">
        <v>2.9279999999999999</v>
      </c>
      <c r="U547" s="18">
        <v>11.5</v>
      </c>
      <c r="V547" s="20">
        <v>4.4319999999999998E-2</v>
      </c>
      <c r="W547" s="18" t="s">
        <v>2873</v>
      </c>
      <c r="X547" s="14"/>
      <c r="Y547" s="14"/>
      <c r="Z547" s="14"/>
      <c r="AA547" s="14"/>
      <c r="AB547" s="14"/>
      <c r="AC547" s="14"/>
      <c r="AD547" s="14"/>
      <c r="AE547" s="14"/>
      <c r="AF547" s="14"/>
      <c r="AG547" s="14"/>
      <c r="AH547" s="18" t="s">
        <v>3574</v>
      </c>
      <c r="AI547" s="14"/>
      <c r="AJ547" s="21">
        <v>0.1074008800631841</v>
      </c>
      <c r="AK547" s="18">
        <v>1</v>
      </c>
      <c r="AL547" s="18">
        <v>-10</v>
      </c>
      <c r="AM547" s="18">
        <v>10</v>
      </c>
      <c r="AN547" s="17">
        <v>0</v>
      </c>
      <c r="AO547" s="17">
        <v>4.7600000000000002E-4</v>
      </c>
      <c r="AP547" s="19">
        <v>0</v>
      </c>
      <c r="AQ547" s="19">
        <v>0</v>
      </c>
      <c r="AR547" s="19">
        <v>0</v>
      </c>
      <c r="AS547" s="19">
        <v>0</v>
      </c>
      <c r="AT547" s="19">
        <v>0</v>
      </c>
      <c r="AU547" s="19">
        <v>0</v>
      </c>
      <c r="AV547" s="19">
        <v>0</v>
      </c>
      <c r="AW547" s="19">
        <v>0</v>
      </c>
    </row>
    <row r="548" spans="1:49" ht="17" customHeight="1">
      <c r="A548" s="11" t="s">
        <v>3622</v>
      </c>
      <c r="B548" s="11" t="s">
        <v>3622</v>
      </c>
      <c r="C548" s="18" t="s">
        <v>2867</v>
      </c>
      <c r="D548" s="18" t="s">
        <v>2916</v>
      </c>
      <c r="E548" s="18" t="s">
        <v>2917</v>
      </c>
      <c r="F548" s="18" t="s">
        <v>2918</v>
      </c>
      <c r="G548" s="14"/>
      <c r="H548" s="18" t="s">
        <v>2948</v>
      </c>
      <c r="I548" s="14"/>
      <c r="J548" s="14"/>
      <c r="K548" s="14"/>
      <c r="L548" s="18">
        <v>20</v>
      </c>
      <c r="M548" s="18">
        <v>80</v>
      </c>
      <c r="N548" s="18">
        <v>10</v>
      </c>
      <c r="O548" s="14"/>
      <c r="P548" s="18">
        <v>69</v>
      </c>
      <c r="Q548" s="18">
        <v>36</v>
      </c>
      <c r="R548" s="18" t="s">
        <v>2936</v>
      </c>
      <c r="S548" s="18"/>
      <c r="T548" s="18">
        <v>2.9279999999999999</v>
      </c>
      <c r="U548" s="18">
        <v>11.5</v>
      </c>
      <c r="V548" s="20">
        <v>4.4319999999999998E-2</v>
      </c>
      <c r="W548" s="18" t="s">
        <v>2873</v>
      </c>
      <c r="X548" s="14"/>
      <c r="Y548" s="14"/>
      <c r="Z548" s="14"/>
      <c r="AA548" s="14"/>
      <c r="AB548" s="14"/>
      <c r="AC548" s="14"/>
      <c r="AD548" s="14"/>
      <c r="AE548" s="14"/>
      <c r="AF548" s="14"/>
      <c r="AG548" s="14"/>
      <c r="AH548" s="18" t="s">
        <v>3574</v>
      </c>
      <c r="AI548" s="14"/>
      <c r="AJ548" s="21">
        <v>0.1074008800631841</v>
      </c>
      <c r="AK548" s="18">
        <v>1</v>
      </c>
      <c r="AL548" s="18">
        <v>-10</v>
      </c>
      <c r="AM548" s="18">
        <v>10</v>
      </c>
      <c r="AN548" s="17">
        <v>0</v>
      </c>
      <c r="AO548" s="17">
        <v>4.7600000000000002E-4</v>
      </c>
      <c r="AP548" s="19">
        <v>0</v>
      </c>
      <c r="AQ548" s="19">
        <v>0</v>
      </c>
      <c r="AR548" s="19">
        <v>0</v>
      </c>
      <c r="AS548" s="19">
        <v>0</v>
      </c>
      <c r="AT548" s="19">
        <v>0</v>
      </c>
      <c r="AU548" s="19">
        <v>0</v>
      </c>
      <c r="AV548" s="19">
        <v>0</v>
      </c>
      <c r="AW548" s="19">
        <v>0</v>
      </c>
    </row>
    <row r="549" spans="1:49" ht="17" customHeight="1">
      <c r="A549" s="11" t="s">
        <v>3623</v>
      </c>
      <c r="B549" s="11" t="s">
        <v>3623</v>
      </c>
      <c r="C549" s="18" t="s">
        <v>2867</v>
      </c>
      <c r="D549" s="18" t="s">
        <v>2916</v>
      </c>
      <c r="E549" s="18" t="s">
        <v>2917</v>
      </c>
      <c r="F549" s="18" t="s">
        <v>2918</v>
      </c>
      <c r="G549" s="14"/>
      <c r="H549" s="18" t="s">
        <v>2920</v>
      </c>
      <c r="I549" s="14"/>
      <c r="J549" s="14"/>
      <c r="K549" s="14"/>
      <c r="L549" s="18" t="s">
        <v>2920</v>
      </c>
      <c r="M549" s="18">
        <v>200</v>
      </c>
      <c r="N549" s="18">
        <v>5</v>
      </c>
      <c r="O549" s="14"/>
      <c r="P549" s="18" t="s">
        <v>2920</v>
      </c>
      <c r="Q549" s="18">
        <v>255</v>
      </c>
      <c r="R549" s="18" t="s">
        <v>2920</v>
      </c>
      <c r="S549" s="18"/>
      <c r="T549" s="18" t="s">
        <v>2920</v>
      </c>
      <c r="U549" s="18" t="s">
        <v>2920</v>
      </c>
      <c r="V549" s="20">
        <v>0.05</v>
      </c>
      <c r="W549" s="18" t="s">
        <v>2873</v>
      </c>
      <c r="X549" s="14"/>
      <c r="Y549" s="14"/>
      <c r="Z549" s="14"/>
      <c r="AA549" s="14"/>
      <c r="AB549" s="14"/>
      <c r="AC549" s="14"/>
      <c r="AD549" s="14"/>
      <c r="AE549" s="14"/>
      <c r="AF549" s="14"/>
      <c r="AG549" s="14"/>
      <c r="AH549" s="18" t="s">
        <v>3623</v>
      </c>
      <c r="AI549" s="14"/>
      <c r="AJ549" s="21">
        <v>0.24901100000000001</v>
      </c>
      <c r="AK549" s="18">
        <v>1</v>
      </c>
      <c r="AL549" s="18">
        <v>-5</v>
      </c>
      <c r="AM549" s="18">
        <v>5</v>
      </c>
      <c r="AN549" s="17">
        <v>0</v>
      </c>
      <c r="AO549" s="17">
        <v>2.4901099999999998E-3</v>
      </c>
      <c r="AP549" s="19">
        <v>0</v>
      </c>
      <c r="AQ549" s="19">
        <v>0</v>
      </c>
      <c r="AR549" s="19">
        <v>0</v>
      </c>
      <c r="AS549" s="19">
        <v>0</v>
      </c>
      <c r="AT549" s="19">
        <v>0</v>
      </c>
      <c r="AU549" s="19">
        <v>0</v>
      </c>
      <c r="AV549" s="19">
        <v>0</v>
      </c>
      <c r="AW549" s="19">
        <v>0</v>
      </c>
    </row>
    <row r="550" spans="1:49" ht="17" customHeight="1">
      <c r="A550" s="11" t="s">
        <v>3624</v>
      </c>
      <c r="B550" s="11" t="s">
        <v>3624</v>
      </c>
      <c r="C550" s="18" t="s">
        <v>2867</v>
      </c>
      <c r="D550" s="18" t="s">
        <v>2916</v>
      </c>
      <c r="E550" s="18" t="s">
        <v>2917</v>
      </c>
      <c r="F550" s="18" t="s">
        <v>2918</v>
      </c>
      <c r="G550" s="14"/>
      <c r="H550" s="18" t="s">
        <v>2920</v>
      </c>
      <c r="I550" s="14"/>
      <c r="J550" s="14"/>
      <c r="K550" s="14"/>
      <c r="L550" s="18" t="s">
        <v>2920</v>
      </c>
      <c r="M550" s="18">
        <v>200</v>
      </c>
      <c r="N550" s="18">
        <v>5</v>
      </c>
      <c r="O550" s="14"/>
      <c r="P550" s="18" t="s">
        <v>2920</v>
      </c>
      <c r="Q550" s="18">
        <v>255</v>
      </c>
      <c r="R550" s="18" t="s">
        <v>2920</v>
      </c>
      <c r="S550" s="18"/>
      <c r="T550" s="18" t="s">
        <v>2920</v>
      </c>
      <c r="U550" s="18" t="s">
        <v>2920</v>
      </c>
      <c r="V550" s="20">
        <v>0.05</v>
      </c>
      <c r="W550" s="18" t="s">
        <v>2873</v>
      </c>
      <c r="X550" s="14"/>
      <c r="Y550" s="14"/>
      <c r="Z550" s="14"/>
      <c r="AA550" s="14"/>
      <c r="AB550" s="14"/>
      <c r="AC550" s="14"/>
      <c r="AD550" s="14"/>
      <c r="AE550" s="14"/>
      <c r="AF550" s="14"/>
      <c r="AG550" s="14"/>
      <c r="AH550" s="18" t="s">
        <v>3624</v>
      </c>
      <c r="AI550" s="14"/>
      <c r="AJ550" s="21">
        <v>0.24901100000000001</v>
      </c>
      <c r="AK550" s="18">
        <v>1</v>
      </c>
      <c r="AL550" s="18">
        <v>-5</v>
      </c>
      <c r="AM550" s="18">
        <v>5</v>
      </c>
      <c r="AN550" s="17">
        <v>0</v>
      </c>
      <c r="AO550" s="17">
        <v>2.4901099999999998E-3</v>
      </c>
      <c r="AP550" s="19">
        <v>0</v>
      </c>
      <c r="AQ550" s="19">
        <v>0</v>
      </c>
      <c r="AR550" s="19">
        <v>0</v>
      </c>
      <c r="AS550" s="19">
        <v>0</v>
      </c>
      <c r="AT550" s="19">
        <v>0</v>
      </c>
      <c r="AU550" s="19">
        <v>0</v>
      </c>
      <c r="AV550" s="19">
        <v>0</v>
      </c>
      <c r="AW550" s="19">
        <v>0</v>
      </c>
    </row>
    <row r="551" spans="1:49" ht="17" customHeight="1">
      <c r="A551" s="11" t="s">
        <v>3625</v>
      </c>
      <c r="B551" s="11" t="s">
        <v>3625</v>
      </c>
      <c r="C551" s="18" t="s">
        <v>2867</v>
      </c>
      <c r="D551" s="18" t="s">
        <v>2916</v>
      </c>
      <c r="E551" s="18" t="s">
        <v>2917</v>
      </c>
      <c r="F551" s="18" t="s">
        <v>2918</v>
      </c>
      <c r="G551" s="14"/>
      <c r="H551" s="18" t="s">
        <v>2920</v>
      </c>
      <c r="I551" s="14"/>
      <c r="J551" s="14"/>
      <c r="K551" s="14"/>
      <c r="L551" s="18" t="s">
        <v>2920</v>
      </c>
      <c r="M551" s="18">
        <v>200</v>
      </c>
      <c r="N551" s="18">
        <v>5</v>
      </c>
      <c r="O551" s="14"/>
      <c r="P551" s="18" t="s">
        <v>2920</v>
      </c>
      <c r="Q551" s="18">
        <v>255</v>
      </c>
      <c r="R551" s="18" t="s">
        <v>2920</v>
      </c>
      <c r="S551" s="18"/>
      <c r="T551" s="18" t="s">
        <v>2920</v>
      </c>
      <c r="U551" s="18" t="s">
        <v>2920</v>
      </c>
      <c r="V551" s="20">
        <v>0.05</v>
      </c>
      <c r="W551" s="18" t="s">
        <v>2873</v>
      </c>
      <c r="X551" s="14"/>
      <c r="Y551" s="14"/>
      <c r="Z551" s="14"/>
      <c r="AA551" s="14"/>
      <c r="AB551" s="14"/>
      <c r="AC551" s="14"/>
      <c r="AD551" s="14"/>
      <c r="AE551" s="14"/>
      <c r="AF551" s="14"/>
      <c r="AG551" s="14"/>
      <c r="AH551" s="18" t="s">
        <v>3624</v>
      </c>
      <c r="AI551" s="14"/>
      <c r="AJ551" s="21">
        <v>0.24901100000000001</v>
      </c>
      <c r="AK551" s="18">
        <v>1</v>
      </c>
      <c r="AL551" s="18">
        <v>-5</v>
      </c>
      <c r="AM551" s="18">
        <v>5</v>
      </c>
      <c r="AN551" s="17">
        <v>0</v>
      </c>
      <c r="AO551" s="17">
        <v>2.4901099999999998E-3</v>
      </c>
      <c r="AP551" s="19">
        <v>0</v>
      </c>
      <c r="AQ551" s="19">
        <v>0</v>
      </c>
      <c r="AR551" s="19">
        <v>0</v>
      </c>
      <c r="AS551" s="19">
        <v>0</v>
      </c>
      <c r="AT551" s="19">
        <v>0</v>
      </c>
      <c r="AU551" s="19">
        <v>0</v>
      </c>
      <c r="AV551" s="19">
        <v>0</v>
      </c>
      <c r="AW551" s="19">
        <v>0</v>
      </c>
    </row>
    <row r="552" spans="1:49" ht="17" customHeight="1">
      <c r="A552" s="11" t="s">
        <v>3626</v>
      </c>
      <c r="B552" s="11" t="s">
        <v>3626</v>
      </c>
      <c r="C552" s="18" t="s">
        <v>2867</v>
      </c>
      <c r="D552" s="18" t="s">
        <v>2868</v>
      </c>
      <c r="E552" s="18" t="s">
        <v>3627</v>
      </c>
      <c r="F552" s="18"/>
      <c r="G552" s="14"/>
      <c r="H552" s="18" t="s">
        <v>2881</v>
      </c>
      <c r="I552" s="14">
        <v>1999.03</v>
      </c>
      <c r="J552" s="14"/>
      <c r="K552" s="14" t="s">
        <v>3628</v>
      </c>
      <c r="L552" s="18">
        <v>62</v>
      </c>
      <c r="M552" s="18">
        <v>300</v>
      </c>
      <c r="N552" s="18">
        <v>5</v>
      </c>
      <c r="O552" s="14"/>
      <c r="P552" s="18">
        <v>5.0999999999999996</v>
      </c>
      <c r="Q552" s="18">
        <v>202</v>
      </c>
      <c r="R552" s="18"/>
      <c r="S552" s="18"/>
      <c r="T552" s="18"/>
      <c r="U552" s="18">
        <v>1</v>
      </c>
      <c r="V552" s="20">
        <v>0.04</v>
      </c>
      <c r="W552" s="18" t="s">
        <v>2873</v>
      </c>
      <c r="X552" s="14"/>
      <c r="Y552" s="14">
        <v>110</v>
      </c>
      <c r="Z552" s="14"/>
      <c r="AA552" s="14"/>
      <c r="AB552" s="14" t="s">
        <v>3629</v>
      </c>
      <c r="AC552" s="14"/>
      <c r="AD552" s="14"/>
      <c r="AE552" s="14"/>
      <c r="AF552" s="14"/>
      <c r="AG552" s="14"/>
      <c r="AH552" s="18" t="s">
        <v>3626</v>
      </c>
      <c r="AI552" s="14"/>
      <c r="AJ552" s="21">
        <v>0.35472999999999999</v>
      </c>
      <c r="AK552" s="18">
        <v>1</v>
      </c>
      <c r="AL552" s="18">
        <v>-5</v>
      </c>
      <c r="AM552" s="18">
        <v>5</v>
      </c>
      <c r="AN552" s="17">
        <v>0</v>
      </c>
      <c r="AO552" s="17">
        <v>2.8484819000000011E-3</v>
      </c>
      <c r="AP552" s="19">
        <v>0</v>
      </c>
      <c r="AQ552" s="19">
        <v>0</v>
      </c>
      <c r="AR552" s="19">
        <v>0</v>
      </c>
      <c r="AS552" s="19">
        <v>0</v>
      </c>
      <c r="AT552" s="19">
        <v>0</v>
      </c>
      <c r="AU552" s="19">
        <v>0</v>
      </c>
      <c r="AV552" s="19">
        <v>0</v>
      </c>
      <c r="AW552" s="19">
        <v>0</v>
      </c>
    </row>
    <row r="553" spans="1:49" ht="17" customHeight="1">
      <c r="A553" s="11" t="s">
        <v>3630</v>
      </c>
      <c r="B553" s="11" t="s">
        <v>3630</v>
      </c>
      <c r="C553" s="14" t="s">
        <v>2867</v>
      </c>
      <c r="D553" s="14" t="s">
        <v>2868</v>
      </c>
      <c r="E553" s="14" t="s">
        <v>3627</v>
      </c>
      <c r="F553" s="14"/>
      <c r="G553" s="14"/>
      <c r="H553" s="14" t="s">
        <v>3631</v>
      </c>
      <c r="I553" s="14"/>
      <c r="J553" s="14"/>
      <c r="K553" s="14"/>
      <c r="L553" s="14">
        <v>70</v>
      </c>
      <c r="M553" s="14">
        <v>300</v>
      </c>
      <c r="N553" s="14">
        <v>5</v>
      </c>
      <c r="O553" s="14"/>
      <c r="P553" s="14">
        <v>10.3</v>
      </c>
      <c r="Q553" s="14">
        <v>442</v>
      </c>
      <c r="R553" s="14"/>
      <c r="S553" s="14"/>
      <c r="T553" s="14"/>
      <c r="U553" s="14">
        <v>2.0640000000000001</v>
      </c>
      <c r="V553" s="15">
        <v>3.8490000000000003E-2</v>
      </c>
      <c r="W553" s="14" t="s">
        <v>2873</v>
      </c>
      <c r="X553" s="14"/>
      <c r="Y553" s="14"/>
      <c r="Z553" s="14"/>
      <c r="AA553" s="14"/>
      <c r="AB553" s="14" t="s">
        <v>2874</v>
      </c>
      <c r="AC553" s="14"/>
      <c r="AD553" s="14"/>
      <c r="AE553" s="14"/>
      <c r="AF553" s="14"/>
      <c r="AG553" s="14"/>
      <c r="AH553" s="14" t="s">
        <v>3630</v>
      </c>
      <c r="AI553" s="14"/>
      <c r="AJ553" s="16">
        <v>0.39063999999999999</v>
      </c>
      <c r="AK553" s="14">
        <v>1</v>
      </c>
      <c r="AL553" s="14">
        <v>-5</v>
      </c>
      <c r="AM553" s="14">
        <v>5</v>
      </c>
      <c r="AN553" s="19">
        <v>0</v>
      </c>
      <c r="AO553" s="19">
        <v>3.0071467200000002E-3</v>
      </c>
      <c r="AP553" s="19">
        <v>0</v>
      </c>
      <c r="AQ553" s="19">
        <v>0</v>
      </c>
      <c r="AR553" s="19">
        <v>0</v>
      </c>
      <c r="AS553" s="19">
        <v>0</v>
      </c>
      <c r="AT553" s="19">
        <v>0</v>
      </c>
      <c r="AU553" s="19">
        <v>0</v>
      </c>
      <c r="AV553" s="19">
        <v>0</v>
      </c>
      <c r="AW553" s="19">
        <v>0</v>
      </c>
    </row>
    <row r="554" spans="1:49" ht="17" customHeight="1">
      <c r="A554" s="11" t="s">
        <v>3632</v>
      </c>
      <c r="B554" s="11" t="s">
        <v>3632</v>
      </c>
      <c r="C554" s="14" t="s">
        <v>2867</v>
      </c>
      <c r="D554" s="14" t="s">
        <v>2868</v>
      </c>
      <c r="E554" s="14" t="s">
        <v>3627</v>
      </c>
      <c r="F554" s="14"/>
      <c r="G554" s="14"/>
      <c r="H554" s="14" t="s">
        <v>3631</v>
      </c>
      <c r="I554" s="14"/>
      <c r="J554" s="14"/>
      <c r="K554" s="14"/>
      <c r="L554" s="14">
        <v>56</v>
      </c>
      <c r="M554" s="14">
        <v>500</v>
      </c>
      <c r="N554" s="14">
        <v>10</v>
      </c>
      <c r="O554" s="14"/>
      <c r="P554" s="14">
        <v>7.23</v>
      </c>
      <c r="Q554" s="14">
        <v>170</v>
      </c>
      <c r="R554" s="14">
        <v>2.9</v>
      </c>
      <c r="S554" s="14">
        <v>6.7</v>
      </c>
      <c r="T554" s="14"/>
      <c r="U554" s="14">
        <v>1.446</v>
      </c>
      <c r="V554" s="15">
        <v>7.5800000000000006E-2</v>
      </c>
      <c r="W554" s="14" t="s">
        <v>2873</v>
      </c>
      <c r="X554" s="14"/>
      <c r="Y554" s="14"/>
      <c r="Z554" s="14"/>
      <c r="AA554" s="14"/>
      <c r="AB554" s="14" t="s">
        <v>3633</v>
      </c>
      <c r="AC554" s="14"/>
      <c r="AD554" s="14"/>
      <c r="AE554" s="14"/>
      <c r="AF554" s="14"/>
      <c r="AG554" s="14"/>
      <c r="AH554" s="14" t="s">
        <v>3632</v>
      </c>
      <c r="AI554" s="14"/>
      <c r="AJ554" s="16">
        <v>0.55291000000000001</v>
      </c>
      <c r="AK554" s="14">
        <v>1</v>
      </c>
      <c r="AL554" s="14">
        <v>-10</v>
      </c>
      <c r="AM554" s="14">
        <v>10</v>
      </c>
      <c r="AN554" s="19">
        <v>0</v>
      </c>
      <c r="AO554" s="19">
        <v>4.1954810800000006E-3</v>
      </c>
      <c r="AP554" s="19">
        <v>0</v>
      </c>
      <c r="AQ554" s="19">
        <v>0</v>
      </c>
      <c r="AR554" s="19">
        <v>0</v>
      </c>
      <c r="AS554" s="19">
        <v>0</v>
      </c>
      <c r="AT554" s="19">
        <v>0</v>
      </c>
      <c r="AU554" s="19">
        <v>0</v>
      </c>
      <c r="AV554" s="19">
        <v>0</v>
      </c>
      <c r="AW554" s="19">
        <v>0</v>
      </c>
    </row>
    <row r="555" spans="1:49" ht="17" customHeight="1">
      <c r="A555" s="11" t="s">
        <v>3634</v>
      </c>
      <c r="B555" s="11" t="s">
        <v>3635</v>
      </c>
      <c r="C555" s="14" t="s">
        <v>2867</v>
      </c>
      <c r="D555" s="14" t="s">
        <v>2868</v>
      </c>
      <c r="E555" s="14" t="s">
        <v>2983</v>
      </c>
      <c r="F555" s="14"/>
      <c r="G555" s="14"/>
      <c r="H555" s="14"/>
      <c r="I555" s="14"/>
      <c r="J555" s="14"/>
      <c r="K555" s="14"/>
      <c r="L555" s="14">
        <v>25</v>
      </c>
      <c r="M555" s="14"/>
      <c r="N555" s="14"/>
      <c r="O555" s="14"/>
      <c r="P555" s="14"/>
      <c r="Q555" s="14"/>
      <c r="R555" s="14"/>
      <c r="S555" s="14"/>
      <c r="T555" s="14"/>
      <c r="U555" s="14"/>
      <c r="V555" s="15"/>
      <c r="W555" s="14"/>
      <c r="X555" s="14"/>
      <c r="Y555" s="14"/>
      <c r="Z555" s="14"/>
      <c r="AA555" s="14"/>
      <c r="AB555" s="14"/>
      <c r="AC555" s="14"/>
      <c r="AD555" s="14"/>
      <c r="AE555" s="14"/>
      <c r="AF555" s="14"/>
      <c r="AG555" s="14"/>
      <c r="AH555" s="14" t="s">
        <v>3634</v>
      </c>
      <c r="AI555" s="14"/>
      <c r="AJ555" s="16">
        <v>1.5454000000000001</v>
      </c>
      <c r="AK555" s="14">
        <v>1</v>
      </c>
      <c r="AL555" s="14">
        <v>300</v>
      </c>
      <c r="AM555" s="14">
        <v>450</v>
      </c>
      <c r="AN555" s="19">
        <v>75.190342940379196</v>
      </c>
      <c r="AO555" s="19">
        <v>-1.00197732653092</v>
      </c>
      <c r="AP555" s="19">
        <v>5.3473470804128896E-3</v>
      </c>
      <c r="AQ555" s="19">
        <v>-1.40213516419121E-5</v>
      </c>
      <c r="AR555" s="19">
        <v>1.8184802292487299E-8</v>
      </c>
      <c r="AS555" s="19">
        <v>-9.3572671609041094E-12</v>
      </c>
      <c r="AT555" s="19">
        <v>0</v>
      </c>
      <c r="AU555" s="19">
        <v>0</v>
      </c>
      <c r="AV555" s="19">
        <v>0</v>
      </c>
      <c r="AW555" s="19">
        <v>0</v>
      </c>
    </row>
    <row r="556" spans="1:49" ht="17" customHeight="1">
      <c r="A556" s="11" t="s">
        <v>3636</v>
      </c>
      <c r="B556" s="11" t="s">
        <v>3635</v>
      </c>
      <c r="C556" s="14" t="s">
        <v>2867</v>
      </c>
      <c r="D556" s="14" t="s">
        <v>2868</v>
      </c>
      <c r="E556" s="14" t="s">
        <v>2983</v>
      </c>
      <c r="F556" s="14"/>
      <c r="G556" s="14"/>
      <c r="H556" s="14"/>
      <c r="I556" s="14"/>
      <c r="J556" s="14"/>
      <c r="K556" s="14"/>
      <c r="L556" s="14">
        <v>25</v>
      </c>
      <c r="M556" s="14"/>
      <c r="N556" s="14"/>
      <c r="O556" s="14"/>
      <c r="P556" s="14"/>
      <c r="Q556" s="14"/>
      <c r="R556" s="14"/>
      <c r="S556" s="14"/>
      <c r="T556" s="14"/>
      <c r="U556" s="14"/>
      <c r="V556" s="15"/>
      <c r="W556" s="14"/>
      <c r="X556" s="14"/>
      <c r="Y556" s="14"/>
      <c r="Z556" s="14"/>
      <c r="AA556" s="14"/>
      <c r="AB556" s="14"/>
      <c r="AC556" s="14"/>
      <c r="AD556" s="14"/>
      <c r="AE556" s="14"/>
      <c r="AF556" s="14"/>
      <c r="AG556" s="14"/>
      <c r="AH556" s="14" t="s">
        <v>3634</v>
      </c>
      <c r="AI556" s="14"/>
      <c r="AJ556" s="16">
        <v>1.5454000000000001</v>
      </c>
      <c r="AK556" s="14">
        <v>1</v>
      </c>
      <c r="AL556" s="14">
        <v>300</v>
      </c>
      <c r="AM556" s="14">
        <v>450</v>
      </c>
      <c r="AN556" s="19">
        <v>75.190342940379196</v>
      </c>
      <c r="AO556" s="19">
        <v>-1.00197732653092</v>
      </c>
      <c r="AP556" s="19">
        <v>5.3473470804128896E-3</v>
      </c>
      <c r="AQ556" s="19">
        <v>-1.40213516419121E-5</v>
      </c>
      <c r="AR556" s="19">
        <v>1.8184802292487299E-8</v>
      </c>
      <c r="AS556" s="19">
        <v>-9.3572671609041094E-12</v>
      </c>
      <c r="AT556" s="19">
        <v>0</v>
      </c>
      <c r="AU556" s="19">
        <v>0</v>
      </c>
      <c r="AV556" s="19">
        <v>0</v>
      </c>
      <c r="AW556" s="19">
        <v>0</v>
      </c>
    </row>
    <row r="557" spans="1:49" ht="17" customHeight="1">
      <c r="A557" s="11" t="s">
        <v>3637</v>
      </c>
      <c r="B557" s="11" t="s">
        <v>3638</v>
      </c>
      <c r="C557" s="14" t="s">
        <v>2867</v>
      </c>
      <c r="D557" s="14" t="s">
        <v>2868</v>
      </c>
      <c r="E557" s="14" t="s">
        <v>2983</v>
      </c>
      <c r="F557" s="14"/>
      <c r="G557" s="14"/>
      <c r="H557" s="14"/>
      <c r="I557" s="14"/>
      <c r="J557" s="14"/>
      <c r="K557" s="14"/>
      <c r="L557" s="14">
        <v>20</v>
      </c>
      <c r="M557" s="14"/>
      <c r="N557" s="14">
        <v>430</v>
      </c>
      <c r="O557" s="14"/>
      <c r="P557" s="14"/>
      <c r="Q557" s="14"/>
      <c r="R557" s="14"/>
      <c r="S557" s="14"/>
      <c r="T557" s="14"/>
      <c r="U557" s="14"/>
      <c r="V557" s="15"/>
      <c r="W557" s="14"/>
      <c r="X557" s="14"/>
      <c r="Y557" s="14"/>
      <c r="Z557" s="14"/>
      <c r="AA557" s="14"/>
      <c r="AB557" s="14"/>
      <c r="AC557" s="14"/>
      <c r="AD557" s="14"/>
      <c r="AE557" s="14"/>
      <c r="AF557" s="14"/>
      <c r="AG557" s="14"/>
      <c r="AH557" s="14" t="s">
        <v>3637</v>
      </c>
      <c r="AI557" s="14"/>
      <c r="AJ557" s="16">
        <v>1.9242999999999999</v>
      </c>
      <c r="AK557" s="14">
        <v>1</v>
      </c>
      <c r="AL557" s="14">
        <v>270</v>
      </c>
      <c r="AM557" s="14">
        <v>430</v>
      </c>
      <c r="AN557" s="19">
        <v>-8.1567368213020703</v>
      </c>
      <c r="AO557" s="19">
        <v>0.12571114283219301</v>
      </c>
      <c r="AP557" s="19">
        <v>-6.0426866714660102E-4</v>
      </c>
      <c r="AQ557" s="19">
        <v>1.51018774312493E-6</v>
      </c>
      <c r="AR557" s="19">
        <v>-1.8903707232060799E-9</v>
      </c>
      <c r="AS557" s="19">
        <v>9.3276176868628202E-13</v>
      </c>
      <c r="AT557" s="19">
        <v>0</v>
      </c>
      <c r="AU557" s="19">
        <v>0</v>
      </c>
      <c r="AV557" s="19">
        <v>0</v>
      </c>
      <c r="AW557" s="19">
        <v>0</v>
      </c>
    </row>
    <row r="558" spans="1:49" ht="17" customHeight="1">
      <c r="A558" s="11" t="s">
        <v>3639</v>
      </c>
      <c r="B558" s="11" t="s">
        <v>3638</v>
      </c>
      <c r="C558" s="14" t="s">
        <v>2867</v>
      </c>
      <c r="D558" s="14" t="s">
        <v>2868</v>
      </c>
      <c r="E558" s="14" t="s">
        <v>2983</v>
      </c>
      <c r="F558" s="14"/>
      <c r="G558" s="14"/>
      <c r="H558" s="14"/>
      <c r="I558" s="14"/>
      <c r="J558" s="14"/>
      <c r="K558" s="14"/>
      <c r="L558" s="14">
        <v>20</v>
      </c>
      <c r="M558" s="14"/>
      <c r="N558" s="14">
        <v>430</v>
      </c>
      <c r="O558" s="14"/>
      <c r="P558" s="14"/>
      <c r="Q558" s="14"/>
      <c r="R558" s="14"/>
      <c r="S558" s="14"/>
      <c r="T558" s="14"/>
      <c r="U558" s="14"/>
      <c r="V558" s="15"/>
      <c r="W558" s="14"/>
      <c r="X558" s="14"/>
      <c r="Y558" s="14"/>
      <c r="Z558" s="14"/>
      <c r="AA558" s="14"/>
      <c r="AB558" s="14"/>
      <c r="AC558" s="14"/>
      <c r="AD558" s="14"/>
      <c r="AE558" s="14"/>
      <c r="AF558" s="14"/>
      <c r="AG558" s="14"/>
      <c r="AH558" s="14" t="s">
        <v>3637</v>
      </c>
      <c r="AI558" s="14"/>
      <c r="AJ558" s="16">
        <v>1.9242999999999999</v>
      </c>
      <c r="AK558" s="14">
        <v>1</v>
      </c>
      <c r="AL558" s="14">
        <v>270</v>
      </c>
      <c r="AM558" s="14">
        <v>430</v>
      </c>
      <c r="AN558" s="19">
        <v>-8.1567368213020703</v>
      </c>
      <c r="AO558" s="19">
        <v>0.12571114283219301</v>
      </c>
      <c r="AP558" s="19">
        <v>-6.0426866714660102E-4</v>
      </c>
      <c r="AQ558" s="19">
        <v>1.51018774312493E-6</v>
      </c>
      <c r="AR558" s="19">
        <v>-1.8903707232060799E-9</v>
      </c>
      <c r="AS558" s="19">
        <v>9.3276176868628202E-13</v>
      </c>
      <c r="AT558" s="19">
        <v>0</v>
      </c>
      <c r="AU558" s="19">
        <v>0</v>
      </c>
      <c r="AV558" s="19">
        <v>0</v>
      </c>
      <c r="AW558" s="19">
        <v>0</v>
      </c>
    </row>
    <row r="559" spans="1:49" ht="17" customHeight="1">
      <c r="A559" s="11" t="s">
        <v>3640</v>
      </c>
      <c r="B559" s="11" t="s">
        <v>3641</v>
      </c>
      <c r="C559" s="14" t="s">
        <v>2867</v>
      </c>
      <c r="D559" s="14" t="s">
        <v>2868</v>
      </c>
      <c r="E559" s="14" t="s">
        <v>2983</v>
      </c>
      <c r="F559" s="14"/>
      <c r="G559" s="14"/>
      <c r="H559" s="14"/>
      <c r="I559" s="14"/>
      <c r="J559" s="14"/>
      <c r="K559" s="14"/>
      <c r="L559" s="14">
        <v>20</v>
      </c>
      <c r="M559" s="14"/>
      <c r="N559" s="14"/>
      <c r="O559" s="14"/>
      <c r="P559" s="14"/>
      <c r="Q559" s="14"/>
      <c r="R559" s="14"/>
      <c r="S559" s="14"/>
      <c r="T559" s="14"/>
      <c r="U559" s="14"/>
      <c r="V559" s="15"/>
      <c r="W559" s="14"/>
      <c r="X559" s="14"/>
      <c r="Y559" s="14"/>
      <c r="Z559" s="14"/>
      <c r="AA559" s="14"/>
      <c r="AB559" s="14"/>
      <c r="AC559" s="14"/>
      <c r="AD559" s="14"/>
      <c r="AE559" s="14"/>
      <c r="AF559" s="14"/>
      <c r="AG559" s="14"/>
      <c r="AH559" s="14" t="s">
        <v>3640</v>
      </c>
      <c r="AI559" s="14"/>
      <c r="AJ559" s="16">
        <v>3.3062999999999998</v>
      </c>
      <c r="AK559" s="14">
        <v>1</v>
      </c>
      <c r="AL559" s="14">
        <v>250</v>
      </c>
      <c r="AM559" s="14">
        <v>430</v>
      </c>
      <c r="AN559" s="19">
        <v>-5.3453151444664497</v>
      </c>
      <c r="AO559" s="19">
        <v>9.0556493450138706E-2</v>
      </c>
      <c r="AP559" s="19">
        <v>-3.1334566257437398E-4</v>
      </c>
      <c r="AQ559" s="19">
        <v>5.2025060216222595E-7</v>
      </c>
      <c r="AR559" s="19">
        <v>-3.0542978580669499E-10</v>
      </c>
      <c r="AS559" s="19">
        <v>-5.2104365775953503E-14</v>
      </c>
      <c r="AT559" s="19">
        <v>0</v>
      </c>
      <c r="AU559" s="19">
        <v>0</v>
      </c>
      <c r="AV559" s="19">
        <v>0</v>
      </c>
      <c r="AW559" s="19">
        <v>0</v>
      </c>
    </row>
    <row r="560" spans="1:49" ht="17" customHeight="1">
      <c r="A560" s="11" t="s">
        <v>3642</v>
      </c>
      <c r="B560" s="11" t="s">
        <v>3641</v>
      </c>
      <c r="C560" s="14" t="s">
        <v>2867</v>
      </c>
      <c r="D560" s="14" t="s">
        <v>2868</v>
      </c>
      <c r="E560" s="14" t="s">
        <v>2983</v>
      </c>
      <c r="F560" s="14"/>
      <c r="G560" s="14"/>
      <c r="H560" s="14"/>
      <c r="I560" s="14"/>
      <c r="J560" s="14"/>
      <c r="K560" s="14"/>
      <c r="L560" s="14">
        <v>20</v>
      </c>
      <c r="M560" s="14"/>
      <c r="N560" s="14"/>
      <c r="O560" s="14"/>
      <c r="P560" s="14"/>
      <c r="Q560" s="14"/>
      <c r="R560" s="14"/>
      <c r="S560" s="14"/>
      <c r="T560" s="14"/>
      <c r="U560" s="14"/>
      <c r="V560" s="15"/>
      <c r="W560" s="14"/>
      <c r="X560" s="14"/>
      <c r="Y560" s="14"/>
      <c r="Z560" s="14"/>
      <c r="AA560" s="14"/>
      <c r="AB560" s="14"/>
      <c r="AC560" s="14"/>
      <c r="AD560" s="14"/>
      <c r="AE560" s="14"/>
      <c r="AF560" s="14"/>
      <c r="AG560" s="14"/>
      <c r="AH560" s="14" t="s">
        <v>3640</v>
      </c>
      <c r="AI560" s="14"/>
      <c r="AJ560" s="16">
        <v>3.3062999999999998</v>
      </c>
      <c r="AK560" s="14">
        <v>1</v>
      </c>
      <c r="AL560" s="14">
        <v>250</v>
      </c>
      <c r="AM560" s="14">
        <v>430</v>
      </c>
      <c r="AN560" s="19">
        <v>-5.3453151444664497</v>
      </c>
      <c r="AO560" s="19">
        <v>9.0556493450138706E-2</v>
      </c>
      <c r="AP560" s="19">
        <v>-3.1334566257437398E-4</v>
      </c>
      <c r="AQ560" s="19">
        <v>5.2025060216222595E-7</v>
      </c>
      <c r="AR560" s="19">
        <v>-3.0542978580669499E-10</v>
      </c>
      <c r="AS560" s="19">
        <v>-5.2104365775953503E-14</v>
      </c>
      <c r="AT560" s="19">
        <v>0</v>
      </c>
      <c r="AU560" s="19">
        <v>0</v>
      </c>
      <c r="AV560" s="19">
        <v>0</v>
      </c>
      <c r="AW560" s="19">
        <v>0</v>
      </c>
    </row>
    <row r="561" spans="1:49" ht="17" customHeight="1">
      <c r="A561" s="11" t="s">
        <v>3643</v>
      </c>
      <c r="B561" s="11" t="s">
        <v>3643</v>
      </c>
      <c r="C561" s="18" t="s">
        <v>2867</v>
      </c>
      <c r="D561" s="18" t="s">
        <v>2868</v>
      </c>
      <c r="E561" s="18" t="s">
        <v>2983</v>
      </c>
      <c r="F561" s="18"/>
      <c r="G561" s="14"/>
      <c r="H561" s="18"/>
      <c r="I561" s="14"/>
      <c r="J561" s="14"/>
      <c r="K561" s="14"/>
      <c r="L561" s="18">
        <v>34</v>
      </c>
      <c r="M561" s="18"/>
      <c r="N561" s="18"/>
      <c r="O561" s="14"/>
      <c r="P561" s="18"/>
      <c r="Q561" s="18"/>
      <c r="R561" s="18"/>
      <c r="S561" s="18"/>
      <c r="T561" s="18"/>
      <c r="U561" s="18"/>
      <c r="V561" s="20"/>
      <c r="W561" s="18"/>
      <c r="X561" s="14"/>
      <c r="Y561" s="14"/>
      <c r="Z561" s="14"/>
      <c r="AA561" s="14"/>
      <c r="AB561" s="14"/>
      <c r="AC561" s="14"/>
      <c r="AD561" s="14"/>
      <c r="AE561" s="14"/>
      <c r="AF561" s="14"/>
      <c r="AG561" s="14"/>
      <c r="AH561" s="18" t="s">
        <v>3643</v>
      </c>
      <c r="AI561" s="14"/>
      <c r="AJ561" s="21">
        <v>1.8407</v>
      </c>
      <c r="AK561" s="18">
        <v>1</v>
      </c>
      <c r="AL561" s="18">
        <v>0</v>
      </c>
      <c r="AM561" s="18">
        <v>200</v>
      </c>
      <c r="AN561" s="17">
        <v>-7.8298593728423998E-5</v>
      </c>
      <c r="AO561" s="17">
        <v>1.22351177179746E-2</v>
      </c>
      <c r="AP561" s="19">
        <v>-2.2350963991848898E-5</v>
      </c>
      <c r="AQ561" s="19">
        <v>1.96144423874127E-7</v>
      </c>
      <c r="AR561" s="19">
        <v>-5.5933899833601199E-10</v>
      </c>
      <c r="AS561" s="19">
        <v>0</v>
      </c>
      <c r="AT561" s="19">
        <v>0</v>
      </c>
      <c r="AU561" s="19">
        <v>0</v>
      </c>
      <c r="AV561" s="19">
        <v>0</v>
      </c>
      <c r="AW561" s="19">
        <v>0</v>
      </c>
    </row>
    <row r="562" spans="1:49" ht="17" customHeight="1">
      <c r="A562" s="11" t="s">
        <v>3644</v>
      </c>
      <c r="B562" s="11" t="s">
        <v>3645</v>
      </c>
      <c r="C562" s="18" t="s">
        <v>2867</v>
      </c>
      <c r="D562" s="18" t="s">
        <v>2868</v>
      </c>
      <c r="E562" s="18" t="s">
        <v>2983</v>
      </c>
      <c r="F562" s="18"/>
      <c r="G562" s="14"/>
      <c r="H562" s="18"/>
      <c r="I562" s="14"/>
      <c r="J562" s="14"/>
      <c r="K562" s="14"/>
      <c r="L562" s="18">
        <v>34</v>
      </c>
      <c r="M562" s="18"/>
      <c r="N562" s="18"/>
      <c r="O562" s="14"/>
      <c r="P562" s="18"/>
      <c r="Q562" s="18"/>
      <c r="R562" s="18"/>
      <c r="S562" s="18"/>
      <c r="T562" s="18"/>
      <c r="U562" s="18"/>
      <c r="V562" s="20"/>
      <c r="W562" s="18"/>
      <c r="X562" s="14"/>
      <c r="Y562" s="14"/>
      <c r="Z562" s="14"/>
      <c r="AA562" s="14"/>
      <c r="AB562" s="14"/>
      <c r="AC562" s="14"/>
      <c r="AD562" s="14"/>
      <c r="AE562" s="14"/>
      <c r="AF562" s="14"/>
      <c r="AG562" s="14"/>
      <c r="AH562" s="18" t="s">
        <v>3643</v>
      </c>
      <c r="AI562" s="14"/>
      <c r="AJ562" s="21">
        <v>1.8407</v>
      </c>
      <c r="AK562" s="18">
        <v>1</v>
      </c>
      <c r="AL562" s="18">
        <v>0</v>
      </c>
      <c r="AM562" s="18">
        <v>200</v>
      </c>
      <c r="AN562" s="17">
        <v>-7.8298593728423998E-5</v>
      </c>
      <c r="AO562" s="17">
        <v>1.22351177179746E-2</v>
      </c>
      <c r="AP562" s="19">
        <v>-2.2350963991848898E-5</v>
      </c>
      <c r="AQ562" s="19">
        <v>1.96144423874127E-7</v>
      </c>
      <c r="AR562" s="19">
        <v>-5.5933899833601199E-10</v>
      </c>
      <c r="AS562" s="19">
        <v>0</v>
      </c>
      <c r="AT562" s="19">
        <v>0</v>
      </c>
      <c r="AU562" s="19">
        <v>0</v>
      </c>
      <c r="AV562" s="19">
        <v>0</v>
      </c>
      <c r="AW562" s="19">
        <v>0</v>
      </c>
    </row>
    <row r="563" spans="1:49" ht="17" customHeight="1">
      <c r="A563" s="11" t="s">
        <v>3646</v>
      </c>
      <c r="B563" s="11" t="s">
        <v>3645</v>
      </c>
      <c r="C563" s="18" t="s">
        <v>2867</v>
      </c>
      <c r="D563" s="18" t="s">
        <v>2868</v>
      </c>
      <c r="E563" s="18" t="s">
        <v>2983</v>
      </c>
      <c r="F563" s="18"/>
      <c r="G563" s="14"/>
      <c r="H563" s="18"/>
      <c r="I563" s="14"/>
      <c r="J563" s="14"/>
      <c r="K563" s="14"/>
      <c r="L563" s="18">
        <v>34</v>
      </c>
      <c r="M563" s="18"/>
      <c r="N563" s="18"/>
      <c r="O563" s="14"/>
      <c r="P563" s="18"/>
      <c r="Q563" s="18"/>
      <c r="R563" s="18"/>
      <c r="S563" s="18"/>
      <c r="T563" s="18"/>
      <c r="U563" s="18"/>
      <c r="V563" s="20"/>
      <c r="W563" s="18"/>
      <c r="X563" s="14"/>
      <c r="Y563" s="14"/>
      <c r="Z563" s="14"/>
      <c r="AA563" s="14"/>
      <c r="AB563" s="14"/>
      <c r="AC563" s="14"/>
      <c r="AD563" s="14"/>
      <c r="AE563" s="14"/>
      <c r="AF563" s="14"/>
      <c r="AG563" s="14"/>
      <c r="AH563" s="18" t="s">
        <v>3643</v>
      </c>
      <c r="AI563" s="14"/>
      <c r="AJ563" s="21">
        <v>1.8407</v>
      </c>
      <c r="AK563" s="18">
        <v>1</v>
      </c>
      <c r="AL563" s="18">
        <v>0</v>
      </c>
      <c r="AM563" s="18">
        <v>200</v>
      </c>
      <c r="AN563" s="17">
        <v>-7.8298593728423998E-5</v>
      </c>
      <c r="AO563" s="17">
        <v>1.22351177179746E-2</v>
      </c>
      <c r="AP563" s="19">
        <v>-2.2350963991848898E-5</v>
      </c>
      <c r="AQ563" s="19">
        <v>1.96144423874127E-7</v>
      </c>
      <c r="AR563" s="19">
        <v>-5.5933899833601199E-10</v>
      </c>
      <c r="AS563" s="19">
        <v>0</v>
      </c>
      <c r="AT563" s="19">
        <v>0</v>
      </c>
      <c r="AU563" s="19">
        <v>0</v>
      </c>
      <c r="AV563" s="19">
        <v>0</v>
      </c>
      <c r="AW563" s="19">
        <v>0</v>
      </c>
    </row>
    <row r="564" spans="1:49" ht="17" customHeight="1">
      <c r="A564" s="11" t="s">
        <v>3647</v>
      </c>
      <c r="B564" s="11" t="s">
        <v>3647</v>
      </c>
      <c r="C564" s="18" t="s">
        <v>2867</v>
      </c>
      <c r="D564" s="18" t="s">
        <v>2916</v>
      </c>
      <c r="E564" s="18" t="s">
        <v>2927</v>
      </c>
      <c r="F564" s="18" t="s">
        <v>2918</v>
      </c>
      <c r="G564" s="14"/>
      <c r="H564" s="18" t="s">
        <v>3648</v>
      </c>
      <c r="I564" s="14"/>
      <c r="J564" s="14"/>
      <c r="K564" s="14"/>
      <c r="L564" s="18">
        <v>102</v>
      </c>
      <c r="M564" s="18">
        <v>50</v>
      </c>
      <c r="N564" s="18">
        <v>5</v>
      </c>
      <c r="O564" s="14"/>
      <c r="P564" s="18">
        <v>21.17</v>
      </c>
      <c r="Q564" s="18">
        <v>368</v>
      </c>
      <c r="R564" s="18">
        <v>1.7</v>
      </c>
      <c r="S564" s="18"/>
      <c r="T564" s="18"/>
      <c r="U564" s="18">
        <v>4.2063733809088673</v>
      </c>
      <c r="V564" s="20">
        <v>1.510872741927038</v>
      </c>
      <c r="W564" s="18" t="s">
        <v>2873</v>
      </c>
      <c r="X564" s="14"/>
      <c r="Y564" s="14"/>
      <c r="Z564" s="14"/>
      <c r="AA564" s="14"/>
      <c r="AB564" s="14"/>
      <c r="AC564" s="14"/>
      <c r="AD564" s="14"/>
      <c r="AE564" s="14"/>
      <c r="AF564" s="14"/>
      <c r="AG564" s="14"/>
      <c r="AH564" s="18" t="s">
        <v>3647</v>
      </c>
      <c r="AI564" s="14"/>
      <c r="AJ564" s="21">
        <v>0.1228363016463019</v>
      </c>
      <c r="AK564" s="18">
        <v>1</v>
      </c>
      <c r="AL564" s="18">
        <v>0</v>
      </c>
      <c r="AM564" s="18">
        <v>5</v>
      </c>
      <c r="AN564" s="17">
        <v>2.64994497E-3</v>
      </c>
      <c r="AO564" s="17">
        <v>3.450085671E-2</v>
      </c>
      <c r="AP564" s="19">
        <v>1.527877748E-3</v>
      </c>
      <c r="AQ564" s="19">
        <v>-4.3712333810000002E-4</v>
      </c>
      <c r="AR564" s="19">
        <v>5.2413036470000002E-5</v>
      </c>
      <c r="AS564" s="19">
        <v>-2.1774890739999999E-6</v>
      </c>
      <c r="AT564" s="19">
        <v>0</v>
      </c>
      <c r="AU564" s="19">
        <v>0</v>
      </c>
      <c r="AV564" s="19">
        <v>0</v>
      </c>
      <c r="AW564" s="19">
        <v>0</v>
      </c>
    </row>
    <row r="565" spans="1:49" ht="17" customHeight="1">
      <c r="A565" s="11" t="s">
        <v>3649</v>
      </c>
      <c r="B565" s="11" t="s">
        <v>3649</v>
      </c>
      <c r="C565" s="18" t="s">
        <v>2867</v>
      </c>
      <c r="D565" s="18" t="s">
        <v>2916</v>
      </c>
      <c r="E565" s="18" t="s">
        <v>2927</v>
      </c>
      <c r="F565" s="18" t="s">
        <v>2918</v>
      </c>
      <c r="G565" s="14"/>
      <c r="H565" s="18" t="s">
        <v>2919</v>
      </c>
      <c r="I565" s="14"/>
      <c r="J565" s="14"/>
      <c r="K565" s="14"/>
      <c r="L565" s="18">
        <v>52</v>
      </c>
      <c r="M565" s="18">
        <v>350</v>
      </c>
      <c r="N565" s="18">
        <v>50</v>
      </c>
      <c r="O565" s="14"/>
      <c r="P565" s="18">
        <v>8.15</v>
      </c>
      <c r="Q565" s="18">
        <v>90</v>
      </c>
      <c r="R565" s="18" t="s">
        <v>3650</v>
      </c>
      <c r="S565" s="18"/>
      <c r="T565" s="18" t="s">
        <v>2920</v>
      </c>
      <c r="U565" s="18">
        <v>0.16300000000000001</v>
      </c>
      <c r="V565" s="20">
        <v>17.02</v>
      </c>
      <c r="W565" s="18" t="s">
        <v>2873</v>
      </c>
      <c r="X565" s="14"/>
      <c r="Y565" s="14"/>
      <c r="Z565" s="14"/>
      <c r="AA565" s="14"/>
      <c r="AB565" s="14"/>
      <c r="AC565" s="14"/>
      <c r="AD565" s="14"/>
      <c r="AE565" s="14"/>
      <c r="AF565" s="14"/>
      <c r="AG565" s="14"/>
      <c r="AH565" s="18" t="s">
        <v>3649</v>
      </c>
      <c r="AI565" s="14"/>
      <c r="AJ565" s="21">
        <v>0.37769999999999998</v>
      </c>
      <c r="AK565" s="18">
        <v>1</v>
      </c>
      <c r="AL565" s="18">
        <v>0</v>
      </c>
      <c r="AM565" s="18">
        <v>50</v>
      </c>
      <c r="AN565" s="17">
        <v>2.54883468519E-2</v>
      </c>
      <c r="AO565" s="17">
        <v>0.12914896280999999</v>
      </c>
      <c r="AP565" s="19">
        <v>1.6297540088699999E-4</v>
      </c>
      <c r="AQ565" s="19">
        <v>-1.1058873570899999E-5</v>
      </c>
      <c r="AR565" s="19">
        <v>2.7070187689499998E-7</v>
      </c>
      <c r="AS565" s="19">
        <v>-2.63184951927E-9</v>
      </c>
      <c r="AT565" s="19">
        <v>0</v>
      </c>
      <c r="AU565" s="19">
        <v>0</v>
      </c>
      <c r="AV565" s="19">
        <v>0</v>
      </c>
      <c r="AW565" s="19">
        <v>0</v>
      </c>
    </row>
    <row r="566" spans="1:49" ht="17" customHeight="1">
      <c r="A566" s="11" t="s">
        <v>3651</v>
      </c>
      <c r="B566" s="11" t="s">
        <v>3651</v>
      </c>
      <c r="C566" s="18" t="s">
        <v>2867</v>
      </c>
      <c r="D566" s="18" t="s">
        <v>2916</v>
      </c>
      <c r="E566" s="18" t="s">
        <v>2927</v>
      </c>
      <c r="F566" s="18" t="s">
        <v>2918</v>
      </c>
      <c r="G566" s="14"/>
      <c r="H566" s="18" t="s">
        <v>2919</v>
      </c>
      <c r="I566" s="14"/>
      <c r="J566" s="14"/>
      <c r="K566" s="14"/>
      <c r="L566" s="18">
        <v>52</v>
      </c>
      <c r="M566" s="18">
        <v>350</v>
      </c>
      <c r="N566" s="18">
        <v>50</v>
      </c>
      <c r="O566" s="14"/>
      <c r="P566" s="18">
        <v>8.15</v>
      </c>
      <c r="Q566" s="18">
        <v>90</v>
      </c>
      <c r="R566" s="18" t="s">
        <v>3650</v>
      </c>
      <c r="S566" s="18"/>
      <c r="T566" s="18" t="s">
        <v>2920</v>
      </c>
      <c r="U566" s="18">
        <v>0.16300000000000001</v>
      </c>
      <c r="V566" s="20">
        <v>17.02</v>
      </c>
      <c r="W566" s="18" t="s">
        <v>2873</v>
      </c>
      <c r="X566" s="14"/>
      <c r="Y566" s="14"/>
      <c r="Z566" s="14"/>
      <c r="AA566" s="14"/>
      <c r="AB566" s="14"/>
      <c r="AC566" s="14"/>
      <c r="AD566" s="14"/>
      <c r="AE566" s="14"/>
      <c r="AF566" s="14"/>
      <c r="AG566" s="14"/>
      <c r="AH566" s="18" t="s">
        <v>3649</v>
      </c>
      <c r="AI566" s="14"/>
      <c r="AJ566" s="21">
        <v>0.37769999999999998</v>
      </c>
      <c r="AK566" s="18">
        <v>1</v>
      </c>
      <c r="AL566" s="18">
        <v>0</v>
      </c>
      <c r="AM566" s="18">
        <v>50</v>
      </c>
      <c r="AN566" s="17">
        <v>2.54883468519E-2</v>
      </c>
      <c r="AO566" s="17">
        <v>0.12914896280999999</v>
      </c>
      <c r="AP566" s="19">
        <v>1.6297540088699999E-4</v>
      </c>
      <c r="AQ566" s="19">
        <v>-1.1058873570899999E-5</v>
      </c>
      <c r="AR566" s="19">
        <v>2.7070187689499998E-7</v>
      </c>
      <c r="AS566" s="19">
        <v>-2.63184951927E-9</v>
      </c>
      <c r="AT566" s="19">
        <v>0</v>
      </c>
      <c r="AU566" s="19">
        <v>0</v>
      </c>
      <c r="AV566" s="19">
        <v>0</v>
      </c>
      <c r="AW566" s="19">
        <v>0</v>
      </c>
    </row>
    <row r="567" spans="1:49" ht="17" customHeight="1">
      <c r="A567" s="11" t="s">
        <v>3652</v>
      </c>
      <c r="B567" s="11" t="s">
        <v>3652</v>
      </c>
      <c r="C567" s="18" t="s">
        <v>2867</v>
      </c>
      <c r="D567" s="18" t="s">
        <v>2916</v>
      </c>
      <c r="E567" s="18" t="s">
        <v>2927</v>
      </c>
      <c r="F567" s="18" t="s">
        <v>2918</v>
      </c>
      <c r="G567" s="14"/>
      <c r="H567" s="18" t="s">
        <v>2919</v>
      </c>
      <c r="I567" s="14"/>
      <c r="J567" s="14"/>
      <c r="K567" s="14"/>
      <c r="L567" s="18">
        <v>52</v>
      </c>
      <c r="M567" s="18">
        <v>500</v>
      </c>
      <c r="N567" s="18">
        <v>50</v>
      </c>
      <c r="O567" s="14"/>
      <c r="P567" s="18">
        <v>10.35</v>
      </c>
      <c r="Q567" s="18">
        <v>90</v>
      </c>
      <c r="R567" s="18" t="s">
        <v>3650</v>
      </c>
      <c r="S567" s="18"/>
      <c r="T567" s="18" t="s">
        <v>2920</v>
      </c>
      <c r="U567" s="18">
        <v>0.20699999999999999</v>
      </c>
      <c r="V567" s="20">
        <v>17.239999999999998</v>
      </c>
      <c r="W567" s="18" t="s">
        <v>2873</v>
      </c>
      <c r="X567" s="14"/>
      <c r="Y567" s="14"/>
      <c r="Z567" s="14"/>
      <c r="AA567" s="14"/>
      <c r="AB567" s="14"/>
      <c r="AC567" s="14"/>
      <c r="AD567" s="14"/>
      <c r="AE567" s="14"/>
      <c r="AF567" s="14"/>
      <c r="AG567" s="14"/>
      <c r="AH567" s="18" t="s">
        <v>3652</v>
      </c>
      <c r="AI567" s="14"/>
      <c r="AJ567" s="21">
        <v>0.52239999999999998</v>
      </c>
      <c r="AK567" s="18">
        <v>1</v>
      </c>
      <c r="AL567" s="18">
        <v>0</v>
      </c>
      <c r="AM567" s="18">
        <v>50</v>
      </c>
      <c r="AN567" s="17">
        <v>1.9770865850399999E-2</v>
      </c>
      <c r="AO567" s="17">
        <v>0.176797545472</v>
      </c>
      <c r="AP567" s="19">
        <v>3.5731210799199998E-4</v>
      </c>
      <c r="AQ567" s="19">
        <v>-1.41252691992E-5</v>
      </c>
      <c r="AR567" s="19">
        <v>2.15486322304E-7</v>
      </c>
      <c r="AS567" s="19">
        <v>-1.28063429336E-9</v>
      </c>
      <c r="AT567" s="19">
        <v>0</v>
      </c>
      <c r="AU567" s="19">
        <v>0</v>
      </c>
      <c r="AV567" s="19">
        <v>0</v>
      </c>
      <c r="AW567" s="19">
        <v>0</v>
      </c>
    </row>
    <row r="568" spans="1:49" ht="17" customHeight="1">
      <c r="A568" s="11" t="s">
        <v>3653</v>
      </c>
      <c r="B568" s="11" t="s">
        <v>3653</v>
      </c>
      <c r="C568" s="18" t="s">
        <v>2867</v>
      </c>
      <c r="D568" s="18" t="s">
        <v>2916</v>
      </c>
      <c r="E568" s="18" t="s">
        <v>2927</v>
      </c>
      <c r="F568" s="18" t="s">
        <v>2918</v>
      </c>
      <c r="G568" s="14"/>
      <c r="H568" s="18" t="s">
        <v>2919</v>
      </c>
      <c r="I568" s="14"/>
      <c r="J568" s="14"/>
      <c r="K568" s="14"/>
      <c r="L568" s="18">
        <v>52</v>
      </c>
      <c r="M568" s="18">
        <v>500</v>
      </c>
      <c r="N568" s="18">
        <v>50</v>
      </c>
      <c r="O568" s="14"/>
      <c r="P568" s="18">
        <v>10.35</v>
      </c>
      <c r="Q568" s="18">
        <v>90</v>
      </c>
      <c r="R568" s="18" t="s">
        <v>3650</v>
      </c>
      <c r="S568" s="18"/>
      <c r="T568" s="18" t="s">
        <v>2920</v>
      </c>
      <c r="U568" s="18">
        <v>0.20699999999999999</v>
      </c>
      <c r="V568" s="20">
        <v>17.239999999999998</v>
      </c>
      <c r="W568" s="18" t="s">
        <v>2873</v>
      </c>
      <c r="X568" s="14"/>
      <c r="Y568" s="14"/>
      <c r="Z568" s="14"/>
      <c r="AA568" s="14"/>
      <c r="AB568" s="14"/>
      <c r="AC568" s="14"/>
      <c r="AD568" s="14"/>
      <c r="AE568" s="14"/>
      <c r="AF568" s="14"/>
      <c r="AG568" s="14"/>
      <c r="AH568" s="18" t="s">
        <v>3652</v>
      </c>
      <c r="AI568" s="14"/>
      <c r="AJ568" s="21">
        <v>0.52239999999999998</v>
      </c>
      <c r="AK568" s="18">
        <v>1</v>
      </c>
      <c r="AL568" s="18">
        <v>0</v>
      </c>
      <c r="AM568" s="18">
        <v>50</v>
      </c>
      <c r="AN568" s="17">
        <v>1.9770865850399999E-2</v>
      </c>
      <c r="AO568" s="17">
        <v>0.176797545472</v>
      </c>
      <c r="AP568" s="19">
        <v>3.5731210799199998E-4</v>
      </c>
      <c r="AQ568" s="19">
        <v>-1.41252691992E-5</v>
      </c>
      <c r="AR568" s="19">
        <v>2.15486322304E-7</v>
      </c>
      <c r="AS568" s="19">
        <v>-1.28063429336E-9</v>
      </c>
      <c r="AT568" s="19">
        <v>0</v>
      </c>
      <c r="AU568" s="19">
        <v>0</v>
      </c>
      <c r="AV568" s="19">
        <v>0</v>
      </c>
      <c r="AW568" s="19">
        <v>0</v>
      </c>
    </row>
    <row r="569" spans="1:49" ht="17" customHeight="1">
      <c r="A569" s="11" t="s">
        <v>3654</v>
      </c>
      <c r="B569" s="11" t="s">
        <v>3654</v>
      </c>
      <c r="C569" s="18" t="s">
        <v>2867</v>
      </c>
      <c r="D569" s="18" t="s">
        <v>2868</v>
      </c>
      <c r="E569" s="18" t="s">
        <v>2927</v>
      </c>
      <c r="F569" s="18"/>
      <c r="G569" s="14"/>
      <c r="H569" s="18" t="s">
        <v>2881</v>
      </c>
      <c r="I569" s="14">
        <v>1999.03</v>
      </c>
      <c r="J569" s="14"/>
      <c r="K569" s="14" t="s">
        <v>3655</v>
      </c>
      <c r="L569" s="18">
        <v>44</v>
      </c>
      <c r="M569" s="18">
        <v>600</v>
      </c>
      <c r="N569" s="18">
        <v>20</v>
      </c>
      <c r="O569" s="14">
        <v>400</v>
      </c>
      <c r="P569" s="18">
        <v>125</v>
      </c>
      <c r="Q569" s="18">
        <v>352</v>
      </c>
      <c r="R569" s="18"/>
      <c r="S569" s="18"/>
      <c r="T569" s="18"/>
      <c r="U569" s="18">
        <v>5.64</v>
      </c>
      <c r="V569" s="20">
        <v>32.200000000000003</v>
      </c>
      <c r="W569" s="18" t="s">
        <v>2975</v>
      </c>
      <c r="X569" s="14">
        <v>12.5</v>
      </c>
      <c r="Y569" s="14"/>
      <c r="Z569" s="14"/>
      <c r="AA569" s="14"/>
      <c r="AB569" s="14" t="s">
        <v>3656</v>
      </c>
      <c r="AC569" s="14"/>
      <c r="AD569" s="14"/>
      <c r="AE569" s="14"/>
      <c r="AF569" s="14"/>
      <c r="AG569" s="14"/>
      <c r="AH569" s="18" t="s">
        <v>3654</v>
      </c>
      <c r="AI569" s="14"/>
      <c r="AJ569" s="21">
        <v>0.622</v>
      </c>
      <c r="AK569" s="18">
        <v>1</v>
      </c>
      <c r="AL569" s="18">
        <v>0</v>
      </c>
      <c r="AM569" s="18">
        <v>20</v>
      </c>
      <c r="AN569" s="17">
        <v>-2.50216004329132E-2</v>
      </c>
      <c r="AO569" s="17">
        <v>1.15662823720677</v>
      </c>
      <c r="AP569" s="19">
        <v>-6.2660465033211904E-2</v>
      </c>
      <c r="AQ569" s="19">
        <v>1.5794928536033599E-2</v>
      </c>
      <c r="AR569" s="19">
        <v>-1.68362949673858E-3</v>
      </c>
      <c r="AS569" s="19">
        <v>8.0002440390646094E-5</v>
      </c>
      <c r="AT569" s="19">
        <v>-1.4234209083648499E-6</v>
      </c>
      <c r="AU569" s="19">
        <v>0</v>
      </c>
      <c r="AV569" s="19">
        <v>0</v>
      </c>
      <c r="AW569" s="19">
        <v>0</v>
      </c>
    </row>
    <row r="570" spans="1:49" ht="17" customHeight="1">
      <c r="A570" s="11" t="s">
        <v>3657</v>
      </c>
      <c r="B570" s="11" t="s">
        <v>3657</v>
      </c>
      <c r="C570" s="14" t="s">
        <v>2867</v>
      </c>
      <c r="D570" s="14" t="s">
        <v>2868</v>
      </c>
      <c r="E570" s="14" t="s">
        <v>2927</v>
      </c>
      <c r="F570" s="14"/>
      <c r="G570" s="14"/>
      <c r="H570" s="14" t="s">
        <v>2881</v>
      </c>
      <c r="I570" s="14">
        <v>1999.03</v>
      </c>
      <c r="J570" s="14"/>
      <c r="K570" s="14" t="s">
        <v>3655</v>
      </c>
      <c r="L570" s="14">
        <v>44</v>
      </c>
      <c r="M570" s="14">
        <v>600</v>
      </c>
      <c r="N570" s="14">
        <v>20</v>
      </c>
      <c r="O570" s="14">
        <v>400</v>
      </c>
      <c r="P570" s="14">
        <v>125</v>
      </c>
      <c r="Q570" s="14">
        <v>352</v>
      </c>
      <c r="R570" s="14"/>
      <c r="S570" s="14"/>
      <c r="T570" s="14"/>
      <c r="U570" s="14">
        <v>5.64</v>
      </c>
      <c r="V570" s="15">
        <v>32.200000000000003</v>
      </c>
      <c r="W570" s="14" t="s">
        <v>2975</v>
      </c>
      <c r="X570" s="14">
        <v>12.5</v>
      </c>
      <c r="Y570" s="14"/>
      <c r="Z570" s="14"/>
      <c r="AA570" s="14"/>
      <c r="AB570" s="14" t="s">
        <v>3656</v>
      </c>
      <c r="AC570" s="14"/>
      <c r="AD570" s="14"/>
      <c r="AE570" s="14"/>
      <c r="AF570" s="14"/>
      <c r="AG570" s="14"/>
      <c r="AH570" s="14" t="s">
        <v>3654</v>
      </c>
      <c r="AI570" s="14"/>
      <c r="AJ570" s="16">
        <v>0.622</v>
      </c>
      <c r="AK570" s="14">
        <v>1</v>
      </c>
      <c r="AL570" s="14">
        <v>0</v>
      </c>
      <c r="AM570" s="14">
        <v>20</v>
      </c>
      <c r="AN570" s="17">
        <v>-2.50216004329132E-2</v>
      </c>
      <c r="AO570" s="17">
        <v>1.15662823720677</v>
      </c>
      <c r="AP570" s="17">
        <v>-6.2660465033211904E-2</v>
      </c>
      <c r="AQ570" s="17">
        <v>1.5794928536033599E-2</v>
      </c>
      <c r="AR570" s="17">
        <v>-1.68362949673858E-3</v>
      </c>
      <c r="AS570" s="17">
        <v>8.0002440390646094E-5</v>
      </c>
      <c r="AT570" s="17">
        <v>-1.4234209083648499E-6</v>
      </c>
      <c r="AU570" s="17">
        <v>0</v>
      </c>
      <c r="AV570" s="17">
        <v>0</v>
      </c>
      <c r="AW570" s="17">
        <v>0</v>
      </c>
    </row>
    <row r="571" spans="1:49" ht="17" customHeight="1">
      <c r="A571" s="11" t="s">
        <v>3658</v>
      </c>
      <c r="B571" s="11" t="s">
        <v>3658</v>
      </c>
      <c r="C571" s="18" t="s">
        <v>2867</v>
      </c>
      <c r="D571" s="18" t="s">
        <v>2868</v>
      </c>
      <c r="E571" s="18" t="s">
        <v>3143</v>
      </c>
      <c r="F571" s="18"/>
      <c r="G571" s="14"/>
      <c r="H571" s="18"/>
      <c r="I571" s="14"/>
      <c r="J571" s="14"/>
      <c r="K571" s="14"/>
      <c r="L571" s="18">
        <v>25</v>
      </c>
      <c r="M571" s="18"/>
      <c r="N571" s="18"/>
      <c r="O571" s="14"/>
      <c r="P571" s="18"/>
      <c r="Q571" s="18">
        <v>82</v>
      </c>
      <c r="R571" s="18"/>
      <c r="S571" s="18"/>
      <c r="T571" s="18"/>
      <c r="U571" s="18"/>
      <c r="V571" s="20"/>
      <c r="W571" s="18"/>
      <c r="X571" s="14"/>
      <c r="Y571" s="14"/>
      <c r="Z571" s="14"/>
      <c r="AA571" s="14"/>
      <c r="AB571" s="14"/>
      <c r="AC571" s="14"/>
      <c r="AD571" s="14"/>
      <c r="AE571" s="14"/>
      <c r="AF571" s="14"/>
      <c r="AG571" s="14"/>
      <c r="AH571" s="18" t="s">
        <v>3658</v>
      </c>
      <c r="AI571" s="14"/>
      <c r="AJ571" s="21">
        <v>1.8121080000000001</v>
      </c>
      <c r="AK571" s="18">
        <v>1</v>
      </c>
      <c r="AL571" s="18">
        <v>-10</v>
      </c>
      <c r="AM571" s="18">
        <v>10</v>
      </c>
      <c r="AN571" s="17">
        <v>0</v>
      </c>
      <c r="AO571" s="17">
        <v>4.1217695615098082E-3</v>
      </c>
      <c r="AP571" s="19">
        <v>0</v>
      </c>
      <c r="AQ571" s="19">
        <v>0</v>
      </c>
      <c r="AR571" s="19">
        <v>0</v>
      </c>
      <c r="AS571" s="19">
        <v>0</v>
      </c>
      <c r="AT571" s="19">
        <v>0</v>
      </c>
      <c r="AU571" s="19">
        <v>0</v>
      </c>
      <c r="AV571" s="19">
        <v>0</v>
      </c>
      <c r="AW571" s="19">
        <v>0</v>
      </c>
    </row>
    <row r="572" spans="1:49" ht="17" customHeight="1">
      <c r="A572" s="11" t="s">
        <v>3659</v>
      </c>
      <c r="B572" s="11" t="s">
        <v>3659</v>
      </c>
      <c r="C572" s="18" t="s">
        <v>2867</v>
      </c>
      <c r="D572" s="18" t="s">
        <v>2868</v>
      </c>
      <c r="E572" s="18" t="s">
        <v>3143</v>
      </c>
      <c r="F572" s="18"/>
      <c r="G572" s="14"/>
      <c r="H572" s="18"/>
      <c r="I572" s="14"/>
      <c r="J572" s="14"/>
      <c r="K572" s="14"/>
      <c r="L572" s="18">
        <v>20</v>
      </c>
      <c r="M572" s="18"/>
      <c r="N572" s="18"/>
      <c r="O572" s="14"/>
      <c r="P572" s="18"/>
      <c r="Q572" s="18">
        <v>83</v>
      </c>
      <c r="R572" s="18"/>
      <c r="S572" s="18"/>
      <c r="T572" s="18"/>
      <c r="U572" s="18"/>
      <c r="V572" s="20"/>
      <c r="W572" s="18"/>
      <c r="X572" s="14"/>
      <c r="Y572" s="14"/>
      <c r="Z572" s="14"/>
      <c r="AA572" s="14"/>
      <c r="AB572" s="14"/>
      <c r="AC572" s="14"/>
      <c r="AD572" s="14"/>
      <c r="AE572" s="14"/>
      <c r="AF572" s="14"/>
      <c r="AG572" s="14"/>
      <c r="AH572" s="18" t="s">
        <v>3659</v>
      </c>
      <c r="AI572" s="14"/>
      <c r="AJ572" s="21">
        <v>1.85083</v>
      </c>
      <c r="AK572" s="18">
        <v>1</v>
      </c>
      <c r="AL572" s="18">
        <v>-10</v>
      </c>
      <c r="AM572" s="18">
        <v>10</v>
      </c>
      <c r="AN572" s="17">
        <v>0</v>
      </c>
      <c r="AO572" s="17">
        <v>5.2150438049590568E-3</v>
      </c>
      <c r="AP572" s="19">
        <v>0</v>
      </c>
      <c r="AQ572" s="19">
        <v>0</v>
      </c>
      <c r="AR572" s="19">
        <v>0</v>
      </c>
      <c r="AS572" s="19">
        <v>0</v>
      </c>
      <c r="AT572" s="19">
        <v>0</v>
      </c>
      <c r="AU572" s="19">
        <v>0</v>
      </c>
      <c r="AV572" s="19">
        <v>0</v>
      </c>
      <c r="AW572" s="19">
        <v>0</v>
      </c>
    </row>
    <row r="573" spans="1:49" ht="17" customHeight="1">
      <c r="A573" s="11" t="s">
        <v>3660</v>
      </c>
      <c r="B573" s="11" t="s">
        <v>3660</v>
      </c>
      <c r="C573" s="14" t="s">
        <v>2867</v>
      </c>
      <c r="D573" s="14" t="s">
        <v>2868</v>
      </c>
      <c r="E573" s="14" t="s">
        <v>3143</v>
      </c>
      <c r="F573" s="14"/>
      <c r="G573" s="14"/>
      <c r="H573" s="14"/>
      <c r="I573" s="14"/>
      <c r="J573" s="14"/>
      <c r="K573" s="14"/>
      <c r="L573" s="14">
        <v>20</v>
      </c>
      <c r="M573" s="14"/>
      <c r="N573" s="14"/>
      <c r="O573" s="14"/>
      <c r="P573" s="14"/>
      <c r="Q573" s="14">
        <v>89</v>
      </c>
      <c r="R573" s="14"/>
      <c r="S573" s="14"/>
      <c r="T573" s="14"/>
      <c r="U573" s="14"/>
      <c r="V573" s="15"/>
      <c r="W573" s="14"/>
      <c r="X573" s="14"/>
      <c r="Y573" s="14"/>
      <c r="Z573" s="14"/>
      <c r="AA573" s="14"/>
      <c r="AB573" s="14"/>
      <c r="AC573" s="14"/>
      <c r="AD573" s="14"/>
      <c r="AE573" s="14"/>
      <c r="AF573" s="14"/>
      <c r="AG573" s="14"/>
      <c r="AH573" s="14" t="s">
        <v>3660</v>
      </c>
      <c r="AI573" s="14"/>
      <c r="AJ573" s="16">
        <v>3.2285499999999998</v>
      </c>
      <c r="AK573" s="14">
        <v>1</v>
      </c>
      <c r="AL573" s="14">
        <v>-10</v>
      </c>
      <c r="AM573" s="14">
        <v>10</v>
      </c>
      <c r="AN573" s="17">
        <v>0</v>
      </c>
      <c r="AO573" s="17">
        <v>5.5920349233898317E-3</v>
      </c>
      <c r="AP573" s="17">
        <v>0</v>
      </c>
      <c r="AQ573" s="17">
        <v>0</v>
      </c>
      <c r="AR573" s="17">
        <v>0</v>
      </c>
      <c r="AS573" s="17">
        <v>0</v>
      </c>
      <c r="AT573" s="17">
        <v>0</v>
      </c>
      <c r="AU573" s="17">
        <v>0</v>
      </c>
      <c r="AV573" s="17">
        <v>0</v>
      </c>
      <c r="AW573" s="17">
        <v>0</v>
      </c>
    </row>
    <row r="574" spans="1:49" ht="17" customHeight="1">
      <c r="A574" s="11" t="s">
        <v>3661</v>
      </c>
      <c r="B574" s="11" t="s">
        <v>3661</v>
      </c>
      <c r="C574" s="14" t="s">
        <v>2867</v>
      </c>
      <c r="D574" s="14" t="s">
        <v>2868</v>
      </c>
      <c r="E574" s="14" t="s">
        <v>3143</v>
      </c>
      <c r="F574" s="14"/>
      <c r="G574" s="14"/>
      <c r="H574" s="14"/>
      <c r="I574" s="14"/>
      <c r="J574" s="14"/>
      <c r="K574" s="14"/>
      <c r="L574" s="14">
        <v>20</v>
      </c>
      <c r="M574" s="14"/>
      <c r="N574" s="14"/>
      <c r="O574" s="14"/>
      <c r="P574" s="14"/>
      <c r="Q574" s="14">
        <v>89</v>
      </c>
      <c r="R574" s="14"/>
      <c r="S574" s="14"/>
      <c r="T574" s="14"/>
      <c r="U574" s="14"/>
      <c r="V574" s="15"/>
      <c r="W574" s="14"/>
      <c r="X574" s="14"/>
      <c r="Y574" s="14"/>
      <c r="Z574" s="14"/>
      <c r="AA574" s="14"/>
      <c r="AB574" s="14"/>
      <c r="AC574" s="14"/>
      <c r="AD574" s="14"/>
      <c r="AE574" s="14"/>
      <c r="AF574" s="14"/>
      <c r="AG574" s="14"/>
      <c r="AH574" s="14" t="s">
        <v>3660</v>
      </c>
      <c r="AI574" s="14"/>
      <c r="AJ574" s="16">
        <v>3.2285499999999998</v>
      </c>
      <c r="AK574" s="14">
        <v>1</v>
      </c>
      <c r="AL574" s="14">
        <v>-10</v>
      </c>
      <c r="AM574" s="14">
        <v>10</v>
      </c>
      <c r="AN574" s="17">
        <v>0</v>
      </c>
      <c r="AO574" s="17">
        <v>5.5920349233898317E-3</v>
      </c>
      <c r="AP574" s="17">
        <v>0</v>
      </c>
      <c r="AQ574" s="17">
        <v>0</v>
      </c>
      <c r="AR574" s="17">
        <v>0</v>
      </c>
      <c r="AS574" s="17">
        <v>0</v>
      </c>
      <c r="AT574" s="17">
        <v>0</v>
      </c>
      <c r="AU574" s="17">
        <v>0</v>
      </c>
      <c r="AV574" s="17">
        <v>0</v>
      </c>
      <c r="AW574" s="17">
        <v>0</v>
      </c>
    </row>
    <row r="575" spans="1:49" ht="17" customHeight="1">
      <c r="A575" s="11" t="s">
        <v>3662</v>
      </c>
      <c r="B575" s="11" t="s">
        <v>3662</v>
      </c>
      <c r="C575" s="14" t="s">
        <v>2867</v>
      </c>
      <c r="D575" s="14" t="s">
        <v>2868</v>
      </c>
      <c r="E575" s="14" t="s">
        <v>3143</v>
      </c>
      <c r="F575" s="14"/>
      <c r="G575" s="14"/>
      <c r="H575" s="14"/>
      <c r="I575" s="14"/>
      <c r="J575" s="14"/>
      <c r="K575" s="14"/>
      <c r="L575" s="14">
        <v>20</v>
      </c>
      <c r="M575" s="14"/>
      <c r="N575" s="14"/>
      <c r="O575" s="14"/>
      <c r="P575" s="14"/>
      <c r="Q575" s="14">
        <v>83</v>
      </c>
      <c r="R575" s="14"/>
      <c r="S575" s="14"/>
      <c r="T575" s="14"/>
      <c r="U575" s="14"/>
      <c r="V575" s="15"/>
      <c r="W575" s="14"/>
      <c r="X575" s="14"/>
      <c r="Y575" s="14"/>
      <c r="Z575" s="14"/>
      <c r="AA575" s="14"/>
      <c r="AB575" s="14"/>
      <c r="AC575" s="14"/>
      <c r="AD575" s="14"/>
      <c r="AE575" s="14"/>
      <c r="AF575" s="14"/>
      <c r="AG575" s="14"/>
      <c r="AH575" s="14" t="s">
        <v>3659</v>
      </c>
      <c r="AI575" s="14"/>
      <c r="AJ575" s="16">
        <v>1.85083</v>
      </c>
      <c r="AK575" s="14">
        <v>1</v>
      </c>
      <c r="AL575" s="14">
        <v>-10</v>
      </c>
      <c r="AM575" s="14">
        <v>10</v>
      </c>
      <c r="AN575" s="17">
        <v>0</v>
      </c>
      <c r="AO575" s="17">
        <v>5.2150438049590568E-3</v>
      </c>
      <c r="AP575" s="17">
        <v>0</v>
      </c>
      <c r="AQ575" s="17">
        <v>0</v>
      </c>
      <c r="AR575" s="17">
        <v>0</v>
      </c>
      <c r="AS575" s="17">
        <v>0</v>
      </c>
      <c r="AT575" s="17">
        <v>0</v>
      </c>
      <c r="AU575" s="17">
        <v>0</v>
      </c>
      <c r="AV575" s="17">
        <v>0</v>
      </c>
      <c r="AW575" s="17">
        <v>0</v>
      </c>
    </row>
    <row r="576" spans="1:49" ht="17" customHeight="1">
      <c r="A576" s="11" t="s">
        <v>3663</v>
      </c>
      <c r="B576" s="11" t="s">
        <v>3663</v>
      </c>
      <c r="C576" s="14" t="s">
        <v>2867</v>
      </c>
      <c r="D576" s="14" t="s">
        <v>2868</v>
      </c>
      <c r="E576" s="14" t="s">
        <v>3143</v>
      </c>
      <c r="F576" s="14"/>
      <c r="G576" s="14"/>
      <c r="H576" s="14"/>
      <c r="I576" s="14"/>
      <c r="J576" s="14"/>
      <c r="K576" s="14"/>
      <c r="L576" s="14">
        <v>25</v>
      </c>
      <c r="M576" s="14"/>
      <c r="N576" s="14"/>
      <c r="O576" s="14"/>
      <c r="P576" s="14"/>
      <c r="Q576" s="14">
        <v>82</v>
      </c>
      <c r="R576" s="14"/>
      <c r="S576" s="14"/>
      <c r="T576" s="14"/>
      <c r="U576" s="14"/>
      <c r="V576" s="15"/>
      <c r="W576" s="14"/>
      <c r="X576" s="14"/>
      <c r="Y576" s="14"/>
      <c r="Z576" s="14"/>
      <c r="AA576" s="14"/>
      <c r="AB576" s="14"/>
      <c r="AC576" s="14"/>
      <c r="AD576" s="14"/>
      <c r="AE576" s="14"/>
      <c r="AF576" s="14"/>
      <c r="AG576" s="14"/>
      <c r="AH576" s="14" t="s">
        <v>3658</v>
      </c>
      <c r="AI576" s="14"/>
      <c r="AJ576" s="16">
        <v>1.8121080000000001</v>
      </c>
      <c r="AK576" s="14">
        <v>1</v>
      </c>
      <c r="AL576" s="14">
        <v>-10</v>
      </c>
      <c r="AM576" s="14">
        <v>10</v>
      </c>
      <c r="AN576" s="17">
        <v>0</v>
      </c>
      <c r="AO576" s="17">
        <v>4.1217695615098082E-3</v>
      </c>
      <c r="AP576" s="17">
        <v>0</v>
      </c>
      <c r="AQ576" s="17">
        <v>0</v>
      </c>
      <c r="AR576" s="17">
        <v>0</v>
      </c>
      <c r="AS576" s="17">
        <v>0</v>
      </c>
      <c r="AT576" s="17">
        <v>0</v>
      </c>
      <c r="AU576" s="17">
        <v>0</v>
      </c>
      <c r="AV576" s="17">
        <v>0</v>
      </c>
      <c r="AW576" s="17">
        <v>0</v>
      </c>
    </row>
    <row r="577" spans="1:49" ht="17" customHeight="1">
      <c r="A577" s="11" t="s">
        <v>3664</v>
      </c>
      <c r="B577" s="11" t="s">
        <v>3664</v>
      </c>
      <c r="C577" s="14" t="s">
        <v>2867</v>
      </c>
      <c r="D577" s="14" t="s">
        <v>2868</v>
      </c>
      <c r="E577" s="14" t="s">
        <v>3143</v>
      </c>
      <c r="F577" s="14"/>
      <c r="G577" s="14"/>
      <c r="H577" s="14"/>
      <c r="I577" s="14"/>
      <c r="J577" s="14"/>
      <c r="K577" s="14"/>
      <c r="L577" s="14">
        <v>34</v>
      </c>
      <c r="M577" s="14"/>
      <c r="N577" s="14"/>
      <c r="O577" s="14"/>
      <c r="P577" s="14"/>
      <c r="Q577" s="14">
        <v>23</v>
      </c>
      <c r="R577" s="14"/>
      <c r="S577" s="14"/>
      <c r="T577" s="14"/>
      <c r="U577" s="14"/>
      <c r="V577" s="15"/>
      <c r="W577" s="14"/>
      <c r="X577" s="14"/>
      <c r="Y577" s="14"/>
      <c r="Z577" s="14"/>
      <c r="AA577" s="14"/>
      <c r="AB577" s="14"/>
      <c r="AC577" s="14"/>
      <c r="AD577" s="14"/>
      <c r="AE577" s="14"/>
      <c r="AF577" s="14"/>
      <c r="AG577" s="14"/>
      <c r="AH577" s="14" t="s">
        <v>3664</v>
      </c>
      <c r="AI577" s="14"/>
      <c r="AJ577" s="16">
        <v>1.8407</v>
      </c>
      <c r="AK577" s="14">
        <v>1</v>
      </c>
      <c r="AL577" s="14">
        <v>-10</v>
      </c>
      <c r="AM577" s="14">
        <v>10</v>
      </c>
      <c r="AN577" s="17">
        <v>0</v>
      </c>
      <c r="AO577" s="17">
        <v>8.5007801214782635E-4</v>
      </c>
      <c r="AP577" s="17">
        <v>0</v>
      </c>
      <c r="AQ577" s="17">
        <v>0</v>
      </c>
      <c r="AR577" s="17">
        <v>0</v>
      </c>
      <c r="AS577" s="17">
        <v>0</v>
      </c>
      <c r="AT577" s="17">
        <v>0</v>
      </c>
      <c r="AU577" s="17">
        <v>0</v>
      </c>
      <c r="AV577" s="17">
        <v>0</v>
      </c>
      <c r="AW577" s="17">
        <v>0</v>
      </c>
    </row>
    <row r="578" spans="1:49" ht="17" customHeight="1">
      <c r="A578" s="11" t="s">
        <v>3665</v>
      </c>
      <c r="B578" s="11" t="s">
        <v>3665</v>
      </c>
      <c r="C578" s="14" t="s">
        <v>2867</v>
      </c>
      <c r="D578" s="14" t="s">
        <v>2868</v>
      </c>
      <c r="E578" s="14" t="s">
        <v>3143</v>
      </c>
      <c r="F578" s="14"/>
      <c r="G578" s="14"/>
      <c r="H578" s="14"/>
      <c r="I578" s="14"/>
      <c r="J578" s="14"/>
      <c r="K578" s="14"/>
      <c r="L578" s="14">
        <v>34</v>
      </c>
      <c r="M578" s="14"/>
      <c r="N578" s="14"/>
      <c r="O578" s="14"/>
      <c r="P578" s="14"/>
      <c r="Q578" s="14">
        <v>23</v>
      </c>
      <c r="R578" s="14"/>
      <c r="S578" s="14"/>
      <c r="T578" s="14"/>
      <c r="U578" s="14"/>
      <c r="V578" s="15"/>
      <c r="W578" s="14"/>
      <c r="X578" s="14"/>
      <c r="Y578" s="14"/>
      <c r="Z578" s="14"/>
      <c r="AA578" s="14"/>
      <c r="AB578" s="14"/>
      <c r="AC578" s="14"/>
      <c r="AD578" s="14"/>
      <c r="AE578" s="14"/>
      <c r="AF578" s="14"/>
      <c r="AG578" s="14"/>
      <c r="AH578" s="14" t="s">
        <v>3664</v>
      </c>
      <c r="AI578" s="14"/>
      <c r="AJ578" s="16">
        <v>1.8407</v>
      </c>
      <c r="AK578" s="14">
        <v>1</v>
      </c>
      <c r="AL578" s="14">
        <v>-10</v>
      </c>
      <c r="AM578" s="14">
        <v>10</v>
      </c>
      <c r="AN578" s="17">
        <v>0</v>
      </c>
      <c r="AO578" s="17">
        <v>8.5007801214782635E-4</v>
      </c>
      <c r="AP578" s="17">
        <v>0</v>
      </c>
      <c r="AQ578" s="17">
        <v>0</v>
      </c>
      <c r="AR578" s="17">
        <v>0</v>
      </c>
      <c r="AS578" s="17">
        <v>0</v>
      </c>
      <c r="AT578" s="17">
        <v>0</v>
      </c>
      <c r="AU578" s="17">
        <v>0</v>
      </c>
      <c r="AV578" s="17">
        <v>0</v>
      </c>
      <c r="AW578" s="17">
        <v>0</v>
      </c>
    </row>
    <row r="579" spans="1:49" ht="17" customHeight="1">
      <c r="A579" s="11" t="s">
        <v>3666</v>
      </c>
      <c r="B579" s="11" t="s">
        <v>3666</v>
      </c>
      <c r="C579" s="14" t="s">
        <v>2867</v>
      </c>
      <c r="D579" s="14" t="s">
        <v>2868</v>
      </c>
      <c r="E579" s="14" t="s">
        <v>3143</v>
      </c>
      <c r="F579" s="14"/>
      <c r="G579" s="14"/>
      <c r="H579" s="14"/>
      <c r="I579" s="14"/>
      <c r="J579" s="14"/>
      <c r="K579" s="14"/>
      <c r="L579" s="14">
        <v>34</v>
      </c>
      <c r="M579" s="14"/>
      <c r="N579" s="14"/>
      <c r="O579" s="14"/>
      <c r="P579" s="14"/>
      <c r="Q579" s="14">
        <v>23</v>
      </c>
      <c r="R579" s="14"/>
      <c r="S579" s="14"/>
      <c r="T579" s="14"/>
      <c r="U579" s="14"/>
      <c r="V579" s="15"/>
      <c r="W579" s="14"/>
      <c r="X579" s="14"/>
      <c r="Y579" s="14"/>
      <c r="Z579" s="14"/>
      <c r="AA579" s="14"/>
      <c r="AB579" s="14"/>
      <c r="AC579" s="14"/>
      <c r="AD579" s="14"/>
      <c r="AE579" s="14"/>
      <c r="AF579" s="14"/>
      <c r="AG579" s="14"/>
      <c r="AH579" s="14" t="s">
        <v>3664</v>
      </c>
      <c r="AI579" s="14"/>
      <c r="AJ579" s="16">
        <v>1.8407</v>
      </c>
      <c r="AK579" s="14">
        <v>1</v>
      </c>
      <c r="AL579" s="14">
        <v>-10</v>
      </c>
      <c r="AM579" s="14">
        <v>10</v>
      </c>
      <c r="AN579" s="17">
        <v>0</v>
      </c>
      <c r="AO579" s="17">
        <v>8.5007801214782635E-4</v>
      </c>
      <c r="AP579" s="17">
        <v>0</v>
      </c>
      <c r="AQ579" s="17">
        <v>0</v>
      </c>
      <c r="AR579" s="17">
        <v>0</v>
      </c>
      <c r="AS579" s="17">
        <v>0</v>
      </c>
      <c r="AT579" s="17">
        <v>0</v>
      </c>
      <c r="AU579" s="17">
        <v>0</v>
      </c>
      <c r="AV579" s="17">
        <v>0</v>
      </c>
      <c r="AW579" s="17">
        <v>0</v>
      </c>
    </row>
    <row r="580" spans="1:49" ht="17" customHeight="1">
      <c r="A580" s="11" t="s">
        <v>3667</v>
      </c>
      <c r="B580" s="11" t="s">
        <v>3667</v>
      </c>
      <c r="C580" s="14" t="s">
        <v>2867</v>
      </c>
      <c r="D580" s="14" t="s">
        <v>3109</v>
      </c>
      <c r="E580" s="14" t="s">
        <v>2983</v>
      </c>
      <c r="F580" s="14" t="s">
        <v>3668</v>
      </c>
      <c r="G580" s="14"/>
      <c r="H580" s="14"/>
      <c r="I580" s="14"/>
      <c r="J580" s="14"/>
      <c r="K580" s="14"/>
      <c r="L580" s="14">
        <v>34</v>
      </c>
      <c r="M580" s="14">
        <v>1000</v>
      </c>
      <c r="N580" s="14">
        <v>200</v>
      </c>
      <c r="O580" s="14"/>
      <c r="P580" s="14">
        <v>50</v>
      </c>
      <c r="Q580" s="14">
        <v>80</v>
      </c>
      <c r="R580" s="14" t="s">
        <v>3669</v>
      </c>
      <c r="S580" s="14"/>
      <c r="T580" s="14">
        <v>140</v>
      </c>
      <c r="U580" s="14">
        <v>0.15</v>
      </c>
      <c r="V580" s="15">
        <v>1.2</v>
      </c>
      <c r="W580" s="14" t="s">
        <v>3670</v>
      </c>
      <c r="X580" s="14">
        <v>3.2</v>
      </c>
      <c r="Y580" s="14">
        <v>1630</v>
      </c>
      <c r="Z580" s="14"/>
      <c r="AA580" s="14"/>
      <c r="AB580" s="14" t="s">
        <v>3671</v>
      </c>
      <c r="AC580" s="14"/>
      <c r="AD580" s="14"/>
      <c r="AE580" s="14"/>
      <c r="AF580" s="14"/>
      <c r="AG580" s="14"/>
      <c r="AH580" s="14" t="s">
        <v>3667</v>
      </c>
      <c r="AI580" s="14"/>
      <c r="AJ580" s="16">
        <v>1.0569999999999999</v>
      </c>
      <c r="AK580" s="14">
        <v>1</v>
      </c>
      <c r="AL580" s="14">
        <v>0</v>
      </c>
      <c r="AM580" s="14">
        <v>200</v>
      </c>
      <c r="AN580" s="17">
        <v>-0.60729560252409009</v>
      </c>
      <c r="AO580" s="17">
        <v>3.5757476352408703E-2</v>
      </c>
      <c r="AP580" s="17">
        <v>-5.8857035137422937E-4</v>
      </c>
      <c r="AQ580" s="17">
        <v>6.2010267185423062E-6</v>
      </c>
      <c r="AR580" s="17">
        <v>-3.6489298317117713E-8</v>
      </c>
      <c r="AS580" s="17">
        <v>1.137967016786106E-10</v>
      </c>
      <c r="AT580" s="17">
        <v>-1.4723875824689639E-13</v>
      </c>
      <c r="AU580" s="17">
        <v>0</v>
      </c>
      <c r="AV580" s="17">
        <v>0</v>
      </c>
      <c r="AW580" s="17">
        <v>0</v>
      </c>
    </row>
    <row r="581" spans="1:49" ht="17" customHeight="1">
      <c r="A581" s="11" t="s">
        <v>3672</v>
      </c>
      <c r="B581" s="11" t="s">
        <v>3672</v>
      </c>
      <c r="C581" s="14" t="s">
        <v>2867</v>
      </c>
      <c r="D581" s="14" t="s">
        <v>3109</v>
      </c>
      <c r="E581" s="14" t="s">
        <v>2983</v>
      </c>
      <c r="F581" s="14" t="s">
        <v>3668</v>
      </c>
      <c r="G581" s="14"/>
      <c r="H581" s="14"/>
      <c r="I581" s="14"/>
      <c r="J581" s="14"/>
      <c r="K581" s="14"/>
      <c r="L581" s="14">
        <v>34</v>
      </c>
      <c r="M581" s="14">
        <v>1000</v>
      </c>
      <c r="N581" s="14">
        <v>200</v>
      </c>
      <c r="O581" s="14"/>
      <c r="P581" s="14">
        <v>50</v>
      </c>
      <c r="Q581" s="14">
        <v>80</v>
      </c>
      <c r="R581" s="14" t="s">
        <v>3669</v>
      </c>
      <c r="S581" s="14"/>
      <c r="T581" s="14">
        <v>140</v>
      </c>
      <c r="U581" s="14">
        <v>0.15</v>
      </c>
      <c r="V581" s="15">
        <v>1.2</v>
      </c>
      <c r="W581" s="14" t="s">
        <v>3670</v>
      </c>
      <c r="X581" s="14">
        <v>3.2</v>
      </c>
      <c r="Y581" s="14">
        <v>1630</v>
      </c>
      <c r="Z581" s="14"/>
      <c r="AA581" s="14"/>
      <c r="AB581" s="14" t="s">
        <v>3673</v>
      </c>
      <c r="AC581" s="14"/>
      <c r="AD581" s="14"/>
      <c r="AE581" s="14"/>
      <c r="AF581" s="14"/>
      <c r="AG581" s="14"/>
      <c r="AH581" s="14" t="s">
        <v>3672</v>
      </c>
      <c r="AI581" s="14"/>
      <c r="AJ581" s="16">
        <v>1.0569999999999999</v>
      </c>
      <c r="AK581" s="14">
        <v>1</v>
      </c>
      <c r="AL581" s="14">
        <v>0</v>
      </c>
      <c r="AM581" s="14">
        <v>200</v>
      </c>
      <c r="AN581" s="17">
        <v>-0.86221680704912529</v>
      </c>
      <c r="AO581" s="17">
        <v>4.8128941958768122E-2</v>
      </c>
      <c r="AP581" s="17">
        <v>-8.331628805331989E-4</v>
      </c>
      <c r="AQ581" s="17">
        <v>8.723585759827466E-6</v>
      </c>
      <c r="AR581" s="17">
        <v>-5.0833293752850262E-8</v>
      </c>
      <c r="AS581" s="17">
        <v>1.5651778852327979E-10</v>
      </c>
      <c r="AT581" s="17">
        <v>-1.9941979242068171E-13</v>
      </c>
      <c r="AU581" s="17">
        <v>0</v>
      </c>
      <c r="AV581" s="17">
        <v>0</v>
      </c>
      <c r="AW581" s="17">
        <v>0</v>
      </c>
    </row>
    <row r="582" spans="1:49" ht="17" customHeight="1">
      <c r="A582" s="11" t="s">
        <v>3674</v>
      </c>
      <c r="B582" s="11" t="s">
        <v>3674</v>
      </c>
      <c r="C582" s="14" t="s">
        <v>2867</v>
      </c>
      <c r="D582" s="14" t="s">
        <v>3109</v>
      </c>
      <c r="E582" s="14" t="s">
        <v>2927</v>
      </c>
      <c r="F582" s="14" t="s">
        <v>3668</v>
      </c>
      <c r="G582" s="14"/>
      <c r="H582" s="14"/>
      <c r="I582" s="14"/>
      <c r="J582" s="14"/>
      <c r="K582" s="14"/>
      <c r="L582" s="14">
        <v>63</v>
      </c>
      <c r="M582" s="14">
        <v>360</v>
      </c>
      <c r="N582" s="14">
        <v>30</v>
      </c>
      <c r="O582" s="14">
        <v>390</v>
      </c>
      <c r="P582" s="14">
        <v>20</v>
      </c>
      <c r="Q582" s="14">
        <v>118</v>
      </c>
      <c r="R582" s="14"/>
      <c r="S582" s="14"/>
      <c r="T582" s="14">
        <v>560</v>
      </c>
      <c r="U582" s="14">
        <v>0.37</v>
      </c>
      <c r="V582" s="15">
        <v>8.7379999999999995</v>
      </c>
      <c r="W582" s="14" t="s">
        <v>2873</v>
      </c>
      <c r="X582" s="14"/>
      <c r="Y582" s="14">
        <v>370</v>
      </c>
      <c r="Z582" s="14"/>
      <c r="AA582" s="14"/>
      <c r="AB582" s="14" t="s">
        <v>3675</v>
      </c>
      <c r="AC582" s="14"/>
      <c r="AD582" s="14"/>
      <c r="AE582" s="14"/>
      <c r="AF582" s="14"/>
      <c r="AG582" s="14"/>
      <c r="AH582" s="14" t="s">
        <v>3674</v>
      </c>
      <c r="AI582" s="14"/>
      <c r="AJ582" s="16">
        <v>0.39150000000000001</v>
      </c>
      <c r="AK582" s="14">
        <v>1</v>
      </c>
      <c r="AL582" s="14">
        <v>0</v>
      </c>
      <c r="AM582" s="14">
        <v>30</v>
      </c>
      <c r="AN582" s="17">
        <v>1.741755247430261E-2</v>
      </c>
      <c r="AO582" s="17">
        <v>0.1128498420160909</v>
      </c>
      <c r="AP582" s="17">
        <v>2.0507775611279549E-4</v>
      </c>
      <c r="AQ582" s="17">
        <v>2.3588594513405881E-6</v>
      </c>
      <c r="AR582" s="17">
        <v>-8.5836214326432712E-7</v>
      </c>
      <c r="AS582" s="17">
        <v>3.2157673465424528E-8</v>
      </c>
      <c r="AT582" s="17">
        <v>-3.8386661856274471E-10</v>
      </c>
      <c r="AU582" s="17">
        <v>0</v>
      </c>
      <c r="AV582" s="17">
        <v>0</v>
      </c>
      <c r="AW582" s="17">
        <v>0</v>
      </c>
    </row>
    <row r="583" spans="1:49" ht="17" customHeight="1">
      <c r="A583" s="11" t="s">
        <v>3676</v>
      </c>
      <c r="B583" s="11" t="s">
        <v>3676</v>
      </c>
      <c r="C583" s="14" t="s">
        <v>2867</v>
      </c>
      <c r="D583" s="14" t="s">
        <v>3109</v>
      </c>
      <c r="E583" s="14" t="s">
        <v>2927</v>
      </c>
      <c r="F583" s="14" t="s">
        <v>3668</v>
      </c>
      <c r="G583" s="14"/>
      <c r="H583" s="14"/>
      <c r="I583" s="14"/>
      <c r="J583" s="14"/>
      <c r="K583" s="14"/>
      <c r="L583" s="14">
        <v>63</v>
      </c>
      <c r="M583" s="14">
        <v>360</v>
      </c>
      <c r="N583" s="14">
        <v>30</v>
      </c>
      <c r="O583" s="14">
        <v>390</v>
      </c>
      <c r="P583" s="14">
        <v>20</v>
      </c>
      <c r="Q583" s="14">
        <v>118</v>
      </c>
      <c r="R583" s="14"/>
      <c r="S583" s="14"/>
      <c r="T583" s="14">
        <v>560</v>
      </c>
      <c r="U583" s="14">
        <v>0.37</v>
      </c>
      <c r="V583" s="15">
        <v>8.7379999999999995</v>
      </c>
      <c r="W583" s="14" t="s">
        <v>2873</v>
      </c>
      <c r="X583" s="14"/>
      <c r="Y583" s="14">
        <v>370</v>
      </c>
      <c r="Z583" s="14"/>
      <c r="AA583" s="14"/>
      <c r="AB583" s="14" t="s">
        <v>3677</v>
      </c>
      <c r="AC583" s="14"/>
      <c r="AD583" s="14"/>
      <c r="AE583" s="14"/>
      <c r="AF583" s="14"/>
      <c r="AG583" s="14"/>
      <c r="AH583" s="14" t="s">
        <v>3676</v>
      </c>
      <c r="AI583" s="14"/>
      <c r="AJ583" s="16">
        <v>0.39150000000000001</v>
      </c>
      <c r="AK583" s="14">
        <v>1</v>
      </c>
      <c r="AL583" s="14">
        <v>0</v>
      </c>
      <c r="AM583" s="14">
        <v>30</v>
      </c>
      <c r="AN583" s="17">
        <v>1.81956064934417E-2</v>
      </c>
      <c r="AO583" s="17">
        <v>0.1148151191274418</v>
      </c>
      <c r="AP583" s="17">
        <v>1.2873852523397259E-4</v>
      </c>
      <c r="AQ583" s="17">
        <v>1.02946338347536E-5</v>
      </c>
      <c r="AR583" s="17">
        <v>-1.471303513444732E-6</v>
      </c>
      <c r="AS583" s="17">
        <v>5.1550268755042159E-8</v>
      </c>
      <c r="AT583" s="17">
        <v>-5.9663892579962928E-10</v>
      </c>
      <c r="AU583" s="17">
        <v>0</v>
      </c>
      <c r="AV583" s="17">
        <v>0</v>
      </c>
      <c r="AW583" s="17">
        <v>0</v>
      </c>
    </row>
    <row r="584" spans="1:49" ht="17" customHeight="1">
      <c r="A584" s="11" t="s">
        <v>3678</v>
      </c>
      <c r="B584" s="11" t="s">
        <v>3678</v>
      </c>
      <c r="C584" s="14" t="s">
        <v>2867</v>
      </c>
      <c r="D584" s="14" t="s">
        <v>3109</v>
      </c>
      <c r="E584" s="14" t="s">
        <v>2927</v>
      </c>
      <c r="F584" s="14" t="s">
        <v>3668</v>
      </c>
      <c r="G584" s="14"/>
      <c r="H584" s="14"/>
      <c r="I584" s="14"/>
      <c r="J584" s="14"/>
      <c r="K584" s="14"/>
      <c r="L584" s="14">
        <v>63</v>
      </c>
      <c r="M584" s="14">
        <v>300</v>
      </c>
      <c r="N584" s="14">
        <v>3</v>
      </c>
      <c r="O584" s="14">
        <v>360</v>
      </c>
      <c r="P584" s="14">
        <v>110</v>
      </c>
      <c r="Q584" s="14">
        <v>1000</v>
      </c>
      <c r="R584" s="14"/>
      <c r="S584" s="14"/>
      <c r="T584" s="14"/>
      <c r="U584" s="14"/>
      <c r="V584" s="15">
        <v>7.6</v>
      </c>
      <c r="W584" s="14" t="s">
        <v>2873</v>
      </c>
      <c r="X584" s="14"/>
      <c r="Y584" s="14">
        <v>340</v>
      </c>
      <c r="Z584" s="14"/>
      <c r="AA584" s="14"/>
      <c r="AB584" s="14" t="s">
        <v>3679</v>
      </c>
      <c r="AC584" s="14"/>
      <c r="AD584" s="14"/>
      <c r="AE584" s="14"/>
      <c r="AF584" s="14"/>
      <c r="AG584" s="14"/>
      <c r="AH584" s="14" t="s">
        <v>3678</v>
      </c>
      <c r="AI584" s="14"/>
      <c r="AJ584" s="16">
        <v>0.33150000000000002</v>
      </c>
      <c r="AK584" s="14">
        <v>1</v>
      </c>
      <c r="AL584" s="14">
        <v>0</v>
      </c>
      <c r="AM584" s="14">
        <v>3</v>
      </c>
      <c r="AN584" s="17">
        <v>2.8312607320256519E-2</v>
      </c>
      <c r="AO584" s="17">
        <v>0.76348214604524933</v>
      </c>
      <c r="AP584" s="17">
        <v>5.885826456538585E-2</v>
      </c>
      <c r="AQ584" s="17">
        <v>-2.5227291038022459E-2</v>
      </c>
      <c r="AR584" s="17">
        <v>4.6037654787668752E-3</v>
      </c>
      <c r="AS584" s="17">
        <v>-1.6124351481227491E-4</v>
      </c>
      <c r="AT584" s="17">
        <v>-4.0916415300751382E-5</v>
      </c>
      <c r="AU584" s="17">
        <v>0</v>
      </c>
      <c r="AV584" s="17">
        <v>0</v>
      </c>
      <c r="AW584" s="17">
        <v>0</v>
      </c>
    </row>
    <row r="585" spans="1:49" ht="17" customHeight="1">
      <c r="A585" s="11" t="s">
        <v>3680</v>
      </c>
      <c r="B585" s="11" t="s">
        <v>3680</v>
      </c>
      <c r="C585" s="14" t="s">
        <v>2867</v>
      </c>
      <c r="D585" s="14" t="s">
        <v>3109</v>
      </c>
      <c r="E585" s="14" t="s">
        <v>2927</v>
      </c>
      <c r="F585" s="14" t="s">
        <v>3668</v>
      </c>
      <c r="G585" s="14"/>
      <c r="H585" s="14"/>
      <c r="I585" s="14"/>
      <c r="J585" s="14"/>
      <c r="K585" s="14"/>
      <c r="L585" s="14">
        <v>63</v>
      </c>
      <c r="M585" s="14">
        <v>300</v>
      </c>
      <c r="N585" s="14">
        <v>3</v>
      </c>
      <c r="O585" s="14">
        <v>360</v>
      </c>
      <c r="P585" s="14">
        <v>110</v>
      </c>
      <c r="Q585" s="14">
        <v>1000</v>
      </c>
      <c r="R585" s="14"/>
      <c r="S585" s="14"/>
      <c r="T585" s="14"/>
      <c r="U585" s="14"/>
      <c r="V585" s="15">
        <v>7.6</v>
      </c>
      <c r="W585" s="14" t="s">
        <v>2873</v>
      </c>
      <c r="X585" s="14"/>
      <c r="Y585" s="14">
        <v>340</v>
      </c>
      <c r="Z585" s="14"/>
      <c r="AA585" s="14"/>
      <c r="AB585" s="14" t="s">
        <v>3681</v>
      </c>
      <c r="AC585" s="14"/>
      <c r="AD585" s="14"/>
      <c r="AE585" s="14"/>
      <c r="AF585" s="14"/>
      <c r="AG585" s="14"/>
      <c r="AH585" s="14" t="s">
        <v>3680</v>
      </c>
      <c r="AI585" s="14"/>
      <c r="AJ585" s="16">
        <v>0.33150000000000002</v>
      </c>
      <c r="AK585" s="14">
        <v>1</v>
      </c>
      <c r="AL585" s="14">
        <v>0</v>
      </c>
      <c r="AM585" s="14">
        <v>3</v>
      </c>
      <c r="AN585" s="19">
        <v>2.8312607320256519E-2</v>
      </c>
      <c r="AO585" s="19">
        <v>0.76348214604524933</v>
      </c>
      <c r="AP585" s="19">
        <v>5.885826456538585E-2</v>
      </c>
      <c r="AQ585" s="19">
        <v>-2.5227291038022459E-2</v>
      </c>
      <c r="AR585" s="19">
        <v>4.6037654787668752E-3</v>
      </c>
      <c r="AS585" s="19">
        <v>-1.6124351481227491E-4</v>
      </c>
      <c r="AT585" s="19">
        <v>-4.0916415300751382E-5</v>
      </c>
      <c r="AU585" s="19">
        <v>0</v>
      </c>
      <c r="AV585" s="19">
        <v>0</v>
      </c>
      <c r="AW585" s="19">
        <v>0</v>
      </c>
    </row>
    <row r="586" spans="1:49" ht="17" customHeight="1">
      <c r="A586" s="11" t="s">
        <v>3682</v>
      </c>
      <c r="B586" s="11" t="s">
        <v>3682</v>
      </c>
      <c r="C586" s="14" t="s">
        <v>2867</v>
      </c>
      <c r="D586" s="14" t="s">
        <v>3109</v>
      </c>
      <c r="E586" s="14" t="s">
        <v>2917</v>
      </c>
      <c r="F586" s="14" t="s">
        <v>3668</v>
      </c>
      <c r="G586" s="14"/>
      <c r="H586" s="14"/>
      <c r="I586" s="14"/>
      <c r="J586" s="14"/>
      <c r="K586" s="14"/>
      <c r="L586" s="14">
        <v>70</v>
      </c>
      <c r="M586" s="14">
        <v>150</v>
      </c>
      <c r="N586" s="14">
        <v>3</v>
      </c>
      <c r="O586" s="14">
        <v>144</v>
      </c>
      <c r="P586" s="14">
        <v>55</v>
      </c>
      <c r="Q586" s="14">
        <v>700</v>
      </c>
      <c r="R586" s="14"/>
      <c r="S586" s="14"/>
      <c r="T586" s="14"/>
      <c r="U586" s="14"/>
      <c r="V586" s="15"/>
      <c r="W586" s="14" t="s">
        <v>2873</v>
      </c>
      <c r="X586" s="14"/>
      <c r="Y586" s="14">
        <v>20</v>
      </c>
      <c r="Z586" s="14"/>
      <c r="AA586" s="14"/>
      <c r="AB586" s="14" t="s">
        <v>3683</v>
      </c>
      <c r="AC586" s="14"/>
      <c r="AD586" s="14"/>
      <c r="AE586" s="14"/>
      <c r="AF586" s="14"/>
      <c r="AG586" s="14"/>
      <c r="AH586" s="14" t="s">
        <v>3684</v>
      </c>
      <c r="AI586" s="14"/>
      <c r="AJ586" s="16">
        <v>0.185</v>
      </c>
      <c r="AK586" s="14">
        <v>1</v>
      </c>
      <c r="AL586" s="14">
        <v>-3</v>
      </c>
      <c r="AM586" s="14">
        <v>3</v>
      </c>
      <c r="AN586" s="19">
        <v>0</v>
      </c>
      <c r="AO586" s="19">
        <v>2.3248333333333328E-3</v>
      </c>
      <c r="AP586" s="19">
        <v>0</v>
      </c>
      <c r="AQ586" s="19">
        <v>0</v>
      </c>
      <c r="AR586" s="19">
        <v>0</v>
      </c>
      <c r="AS586" s="19">
        <v>0</v>
      </c>
      <c r="AT586" s="19">
        <v>0</v>
      </c>
      <c r="AU586" s="19">
        <v>0</v>
      </c>
      <c r="AV586" s="19">
        <v>0</v>
      </c>
      <c r="AW586" s="19">
        <v>0</v>
      </c>
    </row>
    <row r="587" spans="1:49" ht="17" customHeight="1">
      <c r="A587" s="11" t="s">
        <v>3684</v>
      </c>
      <c r="B587" s="11" t="s">
        <v>3684</v>
      </c>
      <c r="C587" s="14" t="s">
        <v>2867</v>
      </c>
      <c r="D587" s="14" t="s">
        <v>3109</v>
      </c>
      <c r="E587" s="14" t="s">
        <v>2917</v>
      </c>
      <c r="F587" s="14" t="s">
        <v>3668</v>
      </c>
      <c r="G587" s="14"/>
      <c r="H587" s="14"/>
      <c r="I587" s="14"/>
      <c r="J587" s="14"/>
      <c r="K587" s="14"/>
      <c r="L587" s="14">
        <v>70</v>
      </c>
      <c r="M587" s="14">
        <v>150</v>
      </c>
      <c r="N587" s="14">
        <v>3</v>
      </c>
      <c r="O587" s="14">
        <v>144</v>
      </c>
      <c r="P587" s="14">
        <v>55</v>
      </c>
      <c r="Q587" s="14">
        <v>700</v>
      </c>
      <c r="R587" s="14"/>
      <c r="S587" s="14"/>
      <c r="T587" s="14"/>
      <c r="U587" s="14"/>
      <c r="V587" s="15"/>
      <c r="W587" s="14" t="s">
        <v>2873</v>
      </c>
      <c r="X587" s="14"/>
      <c r="Y587" s="14">
        <v>20</v>
      </c>
      <c r="Z587" s="14"/>
      <c r="AA587" s="14"/>
      <c r="AB587" s="14" t="s">
        <v>3685</v>
      </c>
      <c r="AC587" s="14"/>
      <c r="AD587" s="14"/>
      <c r="AE587" s="14"/>
      <c r="AF587" s="14"/>
      <c r="AG587" s="14"/>
      <c r="AH587" s="14" t="s">
        <v>3684</v>
      </c>
      <c r="AI587" s="14"/>
      <c r="AJ587" s="16">
        <v>0.185</v>
      </c>
      <c r="AK587" s="14">
        <v>1</v>
      </c>
      <c r="AL587" s="14">
        <v>-3</v>
      </c>
      <c r="AM587" s="14">
        <v>3</v>
      </c>
      <c r="AN587" s="19">
        <v>0</v>
      </c>
      <c r="AO587" s="19">
        <v>2.3248333333333328E-3</v>
      </c>
      <c r="AP587" s="19">
        <v>0</v>
      </c>
      <c r="AQ587" s="19">
        <v>0</v>
      </c>
      <c r="AR587" s="19">
        <v>0</v>
      </c>
      <c r="AS587" s="19">
        <v>0</v>
      </c>
      <c r="AT587" s="19">
        <v>0</v>
      </c>
      <c r="AU587" s="19">
        <v>0</v>
      </c>
      <c r="AV587" s="19">
        <v>0</v>
      </c>
      <c r="AW587" s="19">
        <v>0</v>
      </c>
    </row>
    <row r="588" spans="1:49" ht="17" customHeight="1">
      <c r="A588" s="11" t="s">
        <v>3686</v>
      </c>
      <c r="B588" s="11" t="s">
        <v>3686</v>
      </c>
      <c r="C588" s="14" t="s">
        <v>2867</v>
      </c>
      <c r="D588" s="14" t="s">
        <v>3109</v>
      </c>
      <c r="E588" s="14" t="s">
        <v>2917</v>
      </c>
      <c r="F588" s="14" t="s">
        <v>3668</v>
      </c>
      <c r="G588" s="14"/>
      <c r="H588" s="14"/>
      <c r="I588" s="14"/>
      <c r="J588" s="14"/>
      <c r="K588" s="14"/>
      <c r="L588" s="14">
        <v>70</v>
      </c>
      <c r="M588" s="14">
        <v>150</v>
      </c>
      <c r="N588" s="14">
        <v>3</v>
      </c>
      <c r="O588" s="14">
        <v>144</v>
      </c>
      <c r="P588" s="14">
        <v>55</v>
      </c>
      <c r="Q588" s="14">
        <v>700</v>
      </c>
      <c r="R588" s="14"/>
      <c r="S588" s="14"/>
      <c r="T588" s="14"/>
      <c r="U588" s="14"/>
      <c r="V588" s="15"/>
      <c r="W588" s="14" t="s">
        <v>2873</v>
      </c>
      <c r="X588" s="14"/>
      <c r="Y588" s="14">
        <v>20</v>
      </c>
      <c r="Z588" s="14"/>
      <c r="AA588" s="14"/>
      <c r="AB588" s="14" t="s">
        <v>3687</v>
      </c>
      <c r="AC588" s="14"/>
      <c r="AD588" s="14"/>
      <c r="AE588" s="14"/>
      <c r="AF588" s="14"/>
      <c r="AG588" s="14"/>
      <c r="AH588" s="14" t="s">
        <v>3684</v>
      </c>
      <c r="AI588" s="14"/>
      <c r="AJ588" s="16">
        <v>0.185</v>
      </c>
      <c r="AK588" s="14">
        <v>1</v>
      </c>
      <c r="AL588" s="14">
        <v>-3</v>
      </c>
      <c r="AM588" s="14">
        <v>3</v>
      </c>
      <c r="AN588" s="19">
        <v>0</v>
      </c>
      <c r="AO588" s="19">
        <v>2.3248333333333328E-3</v>
      </c>
      <c r="AP588" s="19">
        <v>0</v>
      </c>
      <c r="AQ588" s="19">
        <v>0</v>
      </c>
      <c r="AR588" s="19">
        <v>0</v>
      </c>
      <c r="AS588" s="19">
        <v>0</v>
      </c>
      <c r="AT588" s="19">
        <v>0</v>
      </c>
      <c r="AU588" s="19">
        <v>0</v>
      </c>
      <c r="AV588" s="19">
        <v>0</v>
      </c>
      <c r="AW588" s="19">
        <v>0</v>
      </c>
    </row>
    <row r="589" spans="1:49" ht="17" customHeight="1">
      <c r="A589" s="11" t="s">
        <v>3688</v>
      </c>
      <c r="B589" s="11" t="s">
        <v>3688</v>
      </c>
      <c r="C589" s="14" t="s">
        <v>2867</v>
      </c>
      <c r="D589" s="14" t="s">
        <v>3109</v>
      </c>
      <c r="E589" s="14" t="s">
        <v>2917</v>
      </c>
      <c r="F589" s="14" t="s">
        <v>3668</v>
      </c>
      <c r="G589" s="14"/>
      <c r="H589" s="14"/>
      <c r="I589" s="14"/>
      <c r="J589" s="14"/>
      <c r="K589" s="14"/>
      <c r="L589" s="14">
        <v>70</v>
      </c>
      <c r="M589" s="14">
        <v>150</v>
      </c>
      <c r="N589" s="14">
        <v>3</v>
      </c>
      <c r="O589" s="14">
        <v>144</v>
      </c>
      <c r="P589" s="14">
        <v>55</v>
      </c>
      <c r="Q589" s="14">
        <v>700</v>
      </c>
      <c r="R589" s="14"/>
      <c r="S589" s="14"/>
      <c r="T589" s="14"/>
      <c r="U589" s="14"/>
      <c r="V589" s="15"/>
      <c r="W589" s="14" t="s">
        <v>2873</v>
      </c>
      <c r="X589" s="14"/>
      <c r="Y589" s="14">
        <v>20</v>
      </c>
      <c r="Z589" s="14"/>
      <c r="AA589" s="14"/>
      <c r="AB589" s="14" t="s">
        <v>3689</v>
      </c>
      <c r="AC589" s="14"/>
      <c r="AD589" s="14"/>
      <c r="AE589" s="14"/>
      <c r="AF589" s="14"/>
      <c r="AG589" s="14"/>
      <c r="AH589" s="14" t="s">
        <v>3684</v>
      </c>
      <c r="AI589" s="14"/>
      <c r="AJ589" s="16">
        <v>0.185</v>
      </c>
      <c r="AK589" s="14">
        <v>1</v>
      </c>
      <c r="AL589" s="14">
        <v>-3</v>
      </c>
      <c r="AM589" s="14">
        <v>3</v>
      </c>
      <c r="AN589" s="17">
        <v>0</v>
      </c>
      <c r="AO589" s="17">
        <v>2.3248333333333328E-3</v>
      </c>
      <c r="AP589" s="17">
        <v>0</v>
      </c>
      <c r="AQ589" s="17">
        <v>0</v>
      </c>
      <c r="AR589" s="17">
        <v>0</v>
      </c>
      <c r="AS589" s="17">
        <v>0</v>
      </c>
      <c r="AT589" s="17">
        <v>0</v>
      </c>
      <c r="AU589" s="17">
        <v>0</v>
      </c>
      <c r="AV589" s="17">
        <v>0</v>
      </c>
      <c r="AW589" s="17">
        <v>0</v>
      </c>
    </row>
    <row r="590" spans="1:49" ht="17" customHeight="1">
      <c r="A590" s="11" t="s">
        <v>3690</v>
      </c>
      <c r="B590" s="11" t="s">
        <v>3690</v>
      </c>
      <c r="C590" s="14" t="s">
        <v>2867</v>
      </c>
      <c r="D590" s="14" t="s">
        <v>3109</v>
      </c>
      <c r="E590" s="14" t="s">
        <v>2917</v>
      </c>
      <c r="F590" s="14" t="s">
        <v>3668</v>
      </c>
      <c r="G590" s="14"/>
      <c r="H590" s="14"/>
      <c r="I590" s="14"/>
      <c r="J590" s="14"/>
      <c r="K590" s="14"/>
      <c r="L590" s="14">
        <v>70</v>
      </c>
      <c r="M590" s="14">
        <v>150</v>
      </c>
      <c r="N590" s="14">
        <v>3</v>
      </c>
      <c r="O590" s="14">
        <v>144</v>
      </c>
      <c r="P590" s="14">
        <v>55</v>
      </c>
      <c r="Q590" s="14">
        <v>700</v>
      </c>
      <c r="R590" s="14"/>
      <c r="S590" s="14"/>
      <c r="T590" s="14"/>
      <c r="U590" s="14"/>
      <c r="V590" s="15"/>
      <c r="W590" s="14" t="s">
        <v>2873</v>
      </c>
      <c r="X590" s="14"/>
      <c r="Y590" s="14">
        <v>20</v>
      </c>
      <c r="Z590" s="14"/>
      <c r="AA590" s="14"/>
      <c r="AB590" s="14" t="s">
        <v>3691</v>
      </c>
      <c r="AC590" s="14"/>
      <c r="AD590" s="14"/>
      <c r="AE590" s="14"/>
      <c r="AF590" s="14"/>
      <c r="AG590" s="14"/>
      <c r="AH590" s="14" t="s">
        <v>3684</v>
      </c>
      <c r="AI590" s="14"/>
      <c r="AJ590" s="16">
        <v>0.185</v>
      </c>
      <c r="AK590" s="14">
        <v>1</v>
      </c>
      <c r="AL590" s="14">
        <v>-3</v>
      </c>
      <c r="AM590" s="14">
        <v>3</v>
      </c>
      <c r="AN590" s="17">
        <v>0</v>
      </c>
      <c r="AO590" s="17">
        <v>2.3248333333333328E-3</v>
      </c>
      <c r="AP590" s="17">
        <v>0</v>
      </c>
      <c r="AQ590" s="17">
        <v>0</v>
      </c>
      <c r="AR590" s="17">
        <v>0</v>
      </c>
      <c r="AS590" s="17">
        <v>0</v>
      </c>
      <c r="AT590" s="17">
        <v>0</v>
      </c>
      <c r="AU590" s="17">
        <v>0</v>
      </c>
      <c r="AV590" s="17">
        <v>0</v>
      </c>
      <c r="AW590" s="17">
        <v>0</v>
      </c>
    </row>
    <row r="591" spans="1:49" ht="17" customHeight="1">
      <c r="A591" s="11" t="s">
        <v>3692</v>
      </c>
      <c r="B591" s="11" t="s">
        <v>3692</v>
      </c>
      <c r="C591" s="14" t="s">
        <v>2867</v>
      </c>
      <c r="D591" s="14" t="s">
        <v>3109</v>
      </c>
      <c r="E591" s="14" t="s">
        <v>3693</v>
      </c>
      <c r="F591" s="14" t="s">
        <v>3668</v>
      </c>
      <c r="G591" s="14"/>
      <c r="H591" s="14"/>
      <c r="I591" s="14"/>
      <c r="J591" s="14"/>
      <c r="K591" s="14"/>
      <c r="L591" s="14">
        <v>34</v>
      </c>
      <c r="M591" s="14">
        <v>1000</v>
      </c>
      <c r="N591" s="14">
        <v>3</v>
      </c>
      <c r="O591" s="14"/>
      <c r="P591" s="14">
        <v>20</v>
      </c>
      <c r="Q591" s="14">
        <v>50</v>
      </c>
      <c r="R591" s="14"/>
      <c r="S591" s="14"/>
      <c r="T591" s="14">
        <v>54</v>
      </c>
      <c r="U591" s="14">
        <v>1.7</v>
      </c>
      <c r="V591" s="15">
        <v>1.0999999999999999E-2</v>
      </c>
      <c r="W591" s="14" t="s">
        <v>2873</v>
      </c>
      <c r="X591" s="14"/>
      <c r="Y591" s="14"/>
      <c r="Z591" s="14"/>
      <c r="AA591" s="14"/>
      <c r="AB591" s="14"/>
      <c r="AC591" s="14"/>
      <c r="AD591" s="14"/>
      <c r="AE591" s="14"/>
      <c r="AF591" s="14"/>
      <c r="AG591" s="14"/>
      <c r="AH591" s="14" t="s">
        <v>3692</v>
      </c>
      <c r="AI591" s="14"/>
      <c r="AJ591" s="16">
        <v>1.034</v>
      </c>
      <c r="AK591" s="14">
        <v>1</v>
      </c>
      <c r="AL591" s="14">
        <v>-3</v>
      </c>
      <c r="AM591" s="14">
        <v>3</v>
      </c>
      <c r="AN591" s="17">
        <v>0</v>
      </c>
      <c r="AO591" s="17">
        <v>3.666666666666667E-3</v>
      </c>
      <c r="AP591" s="17">
        <v>0</v>
      </c>
      <c r="AQ591" s="17">
        <v>0</v>
      </c>
      <c r="AR591" s="17">
        <v>0</v>
      </c>
      <c r="AS591" s="17">
        <v>0</v>
      </c>
      <c r="AT591" s="17">
        <v>0</v>
      </c>
      <c r="AU591" s="17">
        <v>0</v>
      </c>
      <c r="AV591" s="17">
        <v>0</v>
      </c>
      <c r="AW591" s="17">
        <v>0</v>
      </c>
    </row>
    <row r="592" spans="1:49" ht="17" customHeight="1">
      <c r="A592" s="11" t="s">
        <v>3694</v>
      </c>
      <c r="B592" s="11" t="s">
        <v>3694</v>
      </c>
      <c r="C592" s="14" t="s">
        <v>2867</v>
      </c>
      <c r="D592" s="14" t="s">
        <v>3109</v>
      </c>
      <c r="E592" s="14" t="s">
        <v>3693</v>
      </c>
      <c r="F592" s="14" t="s">
        <v>3668</v>
      </c>
      <c r="G592" s="14"/>
      <c r="H592" s="14"/>
      <c r="I592" s="14"/>
      <c r="J592" s="14"/>
      <c r="K592" s="14"/>
      <c r="L592" s="14">
        <v>34</v>
      </c>
      <c r="M592" s="14">
        <v>1000</v>
      </c>
      <c r="N592" s="14">
        <v>3</v>
      </c>
      <c r="O592" s="14"/>
      <c r="P592" s="14">
        <v>20</v>
      </c>
      <c r="Q592" s="14">
        <v>50</v>
      </c>
      <c r="R592" s="14"/>
      <c r="S592" s="14"/>
      <c r="T592" s="14">
        <v>54</v>
      </c>
      <c r="U592" s="14">
        <v>1.7</v>
      </c>
      <c r="V592" s="15">
        <v>1.0999999999999999E-2</v>
      </c>
      <c r="W592" s="14" t="s">
        <v>2873</v>
      </c>
      <c r="X592" s="14"/>
      <c r="Y592" s="14"/>
      <c r="Z592" s="14"/>
      <c r="AA592" s="14"/>
      <c r="AB592" s="14"/>
      <c r="AC592" s="14"/>
      <c r="AD592" s="14"/>
      <c r="AE592" s="14"/>
      <c r="AF592" s="14"/>
      <c r="AG592" s="14"/>
      <c r="AH592" s="14" t="s">
        <v>3692</v>
      </c>
      <c r="AI592" s="14"/>
      <c r="AJ592" s="16">
        <v>1.034</v>
      </c>
      <c r="AK592" s="14">
        <v>1</v>
      </c>
      <c r="AL592" s="14">
        <v>-3</v>
      </c>
      <c r="AM592" s="14">
        <v>3</v>
      </c>
      <c r="AN592" s="17">
        <v>0</v>
      </c>
      <c r="AO592" s="17">
        <v>3.666666666666667E-3</v>
      </c>
      <c r="AP592" s="17">
        <v>0</v>
      </c>
      <c r="AQ592" s="17">
        <v>0</v>
      </c>
      <c r="AR592" s="17">
        <v>0</v>
      </c>
      <c r="AS592" s="17">
        <v>0</v>
      </c>
      <c r="AT592" s="17">
        <v>0</v>
      </c>
      <c r="AU592" s="17">
        <v>0</v>
      </c>
      <c r="AV592" s="17">
        <v>0</v>
      </c>
      <c r="AW592" s="17">
        <v>0</v>
      </c>
    </row>
    <row r="593" spans="40:49" ht="17" customHeight="1">
      <c r="AN593" s="22"/>
      <c r="AO593" s="22"/>
      <c r="AP593" s="22"/>
      <c r="AQ593" s="22"/>
      <c r="AR593" s="22"/>
      <c r="AS593" s="22"/>
      <c r="AT593" s="22"/>
      <c r="AU593" s="22"/>
      <c r="AV593" s="22"/>
      <c r="AW593" s="22"/>
    </row>
    <row r="594" spans="40:49" ht="17" customHeight="1">
      <c r="AN594" s="22"/>
      <c r="AO594" s="22"/>
      <c r="AP594" s="22"/>
      <c r="AQ594" s="22"/>
      <c r="AR594" s="22"/>
      <c r="AS594" s="22"/>
      <c r="AT594" s="22"/>
      <c r="AU594" s="22"/>
      <c r="AV594" s="22"/>
      <c r="AW594" s="22"/>
    </row>
    <row r="595" spans="40:49" ht="17" customHeight="1">
      <c r="AN595" s="22"/>
      <c r="AO595" s="22"/>
      <c r="AP595" s="22"/>
      <c r="AQ595" s="22"/>
      <c r="AR595" s="22"/>
      <c r="AS595" s="22"/>
      <c r="AT595" s="22"/>
      <c r="AU595" s="22"/>
      <c r="AV595" s="22"/>
      <c r="AW595" s="22"/>
    </row>
    <row r="596" spans="40:49" ht="17" customHeight="1">
      <c r="AN596" s="22"/>
      <c r="AO596" s="22"/>
      <c r="AP596" s="22"/>
      <c r="AQ596" s="22"/>
      <c r="AR596" s="22"/>
      <c r="AS596" s="22"/>
      <c r="AT596" s="22"/>
      <c r="AU596" s="22"/>
      <c r="AV596" s="22"/>
      <c r="AW596" s="22"/>
    </row>
    <row r="597" spans="40:49" ht="17" customHeight="1">
      <c r="AN597" s="22"/>
      <c r="AO597" s="22"/>
      <c r="AP597" s="22"/>
      <c r="AQ597" s="22"/>
      <c r="AR597" s="22"/>
      <c r="AS597" s="22"/>
      <c r="AT597" s="22"/>
      <c r="AU597" s="22"/>
      <c r="AV597" s="22"/>
      <c r="AW597" s="22"/>
    </row>
    <row r="598" spans="40:49" ht="17" customHeight="1">
      <c r="AN598" s="22"/>
      <c r="AO598" s="22"/>
      <c r="AP598" s="22"/>
      <c r="AQ598" s="22"/>
      <c r="AR598" s="22"/>
      <c r="AS598" s="22"/>
      <c r="AT598" s="22"/>
      <c r="AU598" s="22"/>
      <c r="AV598" s="22"/>
      <c r="AW598" s="22"/>
    </row>
    <row r="599" spans="40:49" ht="17" customHeight="1">
      <c r="AN599" s="22"/>
      <c r="AO599" s="22"/>
      <c r="AP599" s="22"/>
      <c r="AQ599" s="22"/>
      <c r="AR599" s="22"/>
      <c r="AS599" s="22"/>
      <c r="AT599" s="22"/>
      <c r="AU599" s="22"/>
      <c r="AV599" s="22"/>
      <c r="AW599" s="22"/>
    </row>
    <row r="600" spans="40:49" ht="17" customHeight="1">
      <c r="AN600" s="22"/>
      <c r="AO600" s="22"/>
      <c r="AP600" s="22"/>
      <c r="AQ600" s="22"/>
      <c r="AR600" s="22"/>
      <c r="AS600" s="22"/>
      <c r="AT600" s="22"/>
      <c r="AU600" s="22"/>
      <c r="AV600" s="22"/>
      <c r="AW600" s="22"/>
    </row>
    <row r="601" spans="40:49">
      <c r="AN601" s="22"/>
      <c r="AO601" s="22"/>
      <c r="AP601" s="22"/>
      <c r="AQ601" s="22"/>
      <c r="AR601" s="22"/>
      <c r="AS601" s="22"/>
      <c r="AT601" s="22"/>
      <c r="AU601" s="22"/>
      <c r="AV601" s="22"/>
      <c r="AW601" s="22"/>
    </row>
    <row r="602" spans="40:49">
      <c r="AN602" s="22"/>
      <c r="AO602" s="22"/>
      <c r="AP602" s="22"/>
      <c r="AQ602" s="22"/>
      <c r="AR602" s="22"/>
      <c r="AS602" s="22"/>
      <c r="AT602" s="22"/>
      <c r="AU602" s="22"/>
      <c r="AV602" s="22"/>
      <c r="AW602" s="22"/>
    </row>
    <row r="603" spans="40:49">
      <c r="AN603" s="22"/>
      <c r="AO603" s="22"/>
      <c r="AP603" s="22"/>
      <c r="AQ603" s="22"/>
      <c r="AR603" s="22"/>
      <c r="AS603" s="22"/>
      <c r="AT603" s="22"/>
      <c r="AU603" s="22"/>
      <c r="AV603" s="22"/>
      <c r="AW603" s="22"/>
    </row>
    <row r="604" spans="40:49">
      <c r="AN604" s="22"/>
      <c r="AO604" s="22"/>
      <c r="AP604" s="22"/>
      <c r="AQ604" s="22"/>
      <c r="AR604" s="22"/>
      <c r="AS604" s="22"/>
      <c r="AT604" s="22"/>
      <c r="AU604" s="22"/>
      <c r="AV604" s="22"/>
      <c r="AW604" s="22"/>
    </row>
    <row r="605" spans="40:49">
      <c r="AN605" s="22"/>
      <c r="AO605" s="22"/>
      <c r="AP605" s="22"/>
      <c r="AQ605" s="22"/>
      <c r="AR605" s="22"/>
      <c r="AS605" s="22"/>
      <c r="AT605" s="22"/>
      <c r="AU605" s="22"/>
      <c r="AV605" s="22"/>
      <c r="AW605" s="22"/>
    </row>
    <row r="606" spans="40:49">
      <c r="AN606" s="22"/>
      <c r="AO606" s="22"/>
      <c r="AP606" s="22"/>
      <c r="AQ606" s="22"/>
      <c r="AR606" s="22"/>
      <c r="AS606" s="22"/>
      <c r="AT606" s="22"/>
      <c r="AU606" s="22"/>
      <c r="AV606" s="22"/>
      <c r="AW606" s="22"/>
    </row>
    <row r="607" spans="40:49">
      <c r="AN607" s="22"/>
      <c r="AO607" s="22"/>
      <c r="AP607" s="22"/>
      <c r="AQ607" s="22"/>
      <c r="AR607" s="22"/>
      <c r="AS607" s="22"/>
      <c r="AT607" s="22"/>
      <c r="AU607" s="22"/>
      <c r="AV607" s="22"/>
      <c r="AW607" s="22"/>
    </row>
    <row r="608" spans="40:49">
      <c r="AN608" s="22"/>
      <c r="AO608" s="22"/>
      <c r="AP608" s="22"/>
      <c r="AQ608" s="22"/>
      <c r="AR608" s="22"/>
      <c r="AS608" s="22"/>
      <c r="AT608" s="22"/>
      <c r="AU608" s="22"/>
      <c r="AV608" s="22"/>
      <c r="AW608" s="22"/>
    </row>
    <row r="609" spans="40:49">
      <c r="AN609" s="22"/>
      <c r="AO609" s="22"/>
      <c r="AP609" s="22"/>
      <c r="AQ609" s="22"/>
      <c r="AR609" s="22"/>
      <c r="AS609" s="22"/>
      <c r="AT609" s="22"/>
      <c r="AU609" s="22"/>
      <c r="AV609" s="22"/>
      <c r="AW609" s="22"/>
    </row>
    <row r="610" spans="40:49">
      <c r="AN610" s="22"/>
      <c r="AO610" s="22"/>
      <c r="AP610" s="22"/>
      <c r="AQ610" s="22"/>
      <c r="AR610" s="22"/>
      <c r="AS610" s="22"/>
      <c r="AT610" s="22"/>
      <c r="AU610" s="22"/>
      <c r="AV610" s="22"/>
      <c r="AW610" s="22"/>
    </row>
    <row r="611" spans="40:49">
      <c r="AN611" s="22"/>
      <c r="AO611" s="22"/>
      <c r="AP611" s="22"/>
      <c r="AQ611" s="22"/>
      <c r="AR611" s="22"/>
      <c r="AS611" s="22"/>
      <c r="AT611" s="22"/>
      <c r="AU611" s="22"/>
      <c r="AV611" s="22"/>
      <c r="AW611" s="22"/>
    </row>
    <row r="612" spans="40:49">
      <c r="AN612" s="22"/>
      <c r="AO612" s="22"/>
      <c r="AP612" s="22"/>
      <c r="AQ612" s="22"/>
      <c r="AR612" s="22"/>
      <c r="AS612" s="22"/>
      <c r="AT612" s="22"/>
      <c r="AU612" s="22"/>
      <c r="AV612" s="22"/>
      <c r="AW612" s="22"/>
    </row>
    <row r="613" spans="40:49">
      <c r="AN613" s="22"/>
      <c r="AO613" s="22"/>
      <c r="AP613" s="22"/>
      <c r="AQ613" s="22"/>
      <c r="AR613" s="22"/>
      <c r="AS613" s="22"/>
      <c r="AT613" s="22"/>
      <c r="AU613" s="22"/>
      <c r="AV613" s="22"/>
      <c r="AW613" s="22"/>
    </row>
    <row r="614" spans="40:49">
      <c r="AN614" s="22"/>
      <c r="AO614" s="22"/>
      <c r="AP614" s="22"/>
      <c r="AQ614" s="22"/>
      <c r="AR614" s="22"/>
      <c r="AS614" s="22"/>
      <c r="AT614" s="22"/>
      <c r="AU614" s="22"/>
      <c r="AV614" s="22"/>
      <c r="AW614" s="22"/>
    </row>
    <row r="615" spans="40:49">
      <c r="AN615" s="22"/>
      <c r="AO615" s="22"/>
      <c r="AP615" s="22"/>
      <c r="AQ615" s="22"/>
      <c r="AR615" s="22"/>
      <c r="AS615" s="22"/>
      <c r="AT615" s="22"/>
      <c r="AU615" s="22"/>
      <c r="AV615" s="22"/>
      <c r="AW615" s="22"/>
    </row>
    <row r="616" spans="40:49">
      <c r="AN616" s="22"/>
      <c r="AO616" s="22"/>
      <c r="AP616" s="22"/>
      <c r="AQ616" s="22"/>
      <c r="AR616" s="22"/>
      <c r="AS616" s="22"/>
      <c r="AT616" s="22"/>
      <c r="AU616" s="22"/>
      <c r="AV616" s="22"/>
      <c r="AW616" s="22"/>
    </row>
    <row r="617" spans="40:49">
      <c r="AN617" s="22"/>
      <c r="AO617" s="22"/>
      <c r="AP617" s="22"/>
      <c r="AQ617" s="22"/>
      <c r="AR617" s="22"/>
      <c r="AS617" s="22"/>
      <c r="AT617" s="22"/>
      <c r="AU617" s="22"/>
      <c r="AV617" s="22"/>
      <c r="AW617" s="22"/>
    </row>
    <row r="618" spans="40:49">
      <c r="AN618" s="22"/>
      <c r="AO618" s="22"/>
      <c r="AP618" s="22"/>
      <c r="AQ618" s="22"/>
      <c r="AR618" s="22"/>
      <c r="AS618" s="22"/>
      <c r="AT618" s="22"/>
      <c r="AU618" s="22"/>
      <c r="AV618" s="22"/>
      <c r="AW618" s="22"/>
    </row>
    <row r="619" spans="40:49">
      <c r="AN619" s="22"/>
      <c r="AO619" s="22"/>
      <c r="AP619" s="22"/>
      <c r="AQ619" s="22"/>
      <c r="AR619" s="22"/>
      <c r="AS619" s="22"/>
      <c r="AT619" s="22"/>
      <c r="AU619" s="22"/>
      <c r="AV619" s="22"/>
      <c r="AW619" s="22"/>
    </row>
    <row r="620" spans="40:49">
      <c r="AN620" s="22"/>
      <c r="AO620" s="22"/>
      <c r="AP620" s="22"/>
      <c r="AQ620" s="22"/>
      <c r="AR620" s="22"/>
      <c r="AS620" s="22"/>
      <c r="AT620" s="22"/>
      <c r="AU620" s="22"/>
      <c r="AV620" s="22"/>
      <c r="AW620" s="22"/>
    </row>
    <row r="621" spans="40:49">
      <c r="AN621" s="22"/>
      <c r="AO621" s="22"/>
      <c r="AP621" s="22"/>
      <c r="AQ621" s="22"/>
      <c r="AR621" s="22"/>
      <c r="AS621" s="22"/>
      <c r="AT621" s="22"/>
      <c r="AU621" s="22"/>
      <c r="AV621" s="22"/>
      <c r="AW621" s="22"/>
    </row>
    <row r="622" spans="40:49">
      <c r="AN622" s="22"/>
      <c r="AO622" s="22"/>
      <c r="AP622" s="22"/>
      <c r="AQ622" s="22"/>
      <c r="AR622" s="22"/>
      <c r="AS622" s="22"/>
      <c r="AT622" s="22"/>
      <c r="AU622" s="22"/>
      <c r="AV622" s="22"/>
      <c r="AW622" s="22"/>
    </row>
    <row r="623" spans="40:49">
      <c r="AN623" s="22"/>
      <c r="AO623" s="22"/>
      <c r="AP623" s="22"/>
      <c r="AQ623" s="22"/>
      <c r="AR623" s="22"/>
      <c r="AS623" s="22"/>
      <c r="AT623" s="22"/>
      <c r="AU623" s="22"/>
      <c r="AV623" s="22"/>
      <c r="AW623" s="22"/>
    </row>
    <row r="624" spans="40:49">
      <c r="AN624" s="22"/>
      <c r="AO624" s="22"/>
      <c r="AP624" s="22"/>
      <c r="AQ624" s="22"/>
      <c r="AR624" s="22"/>
      <c r="AS624" s="22"/>
      <c r="AT624" s="22"/>
      <c r="AU624" s="22"/>
      <c r="AV624" s="22"/>
      <c r="AW624" s="22"/>
    </row>
    <row r="625" spans="40:49">
      <c r="AN625" s="22"/>
      <c r="AO625" s="22"/>
      <c r="AP625" s="22"/>
      <c r="AQ625" s="22"/>
      <c r="AR625" s="22"/>
      <c r="AS625" s="22"/>
      <c r="AT625" s="22"/>
      <c r="AU625" s="22"/>
      <c r="AV625" s="22"/>
      <c r="AW625"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5C2D-2E15-4B8C-98A3-EED39E1E942A}">
  <sheetPr codeName="Sheet4"/>
  <dimension ref="A1:S2301"/>
  <sheetViews>
    <sheetView workbookViewId="0">
      <pane xSplit="5" ySplit="12" topLeftCell="F1261" activePane="bottomRight" state="frozen"/>
      <selection pane="topRight" activeCell="F1" sqref="F1"/>
      <selection pane="bottomLeft" activeCell="A8" sqref="A8"/>
      <selection pane="bottomRight" activeCell="E2301" sqref="E2301"/>
    </sheetView>
  </sheetViews>
  <sheetFormatPr baseColWidth="10" defaultColWidth="8.7109375" defaultRowHeight="16"/>
  <cols>
    <col min="5" max="6" width="12.7109375" customWidth="1"/>
    <col min="19" max="19" width="15.7109375" customWidth="1"/>
  </cols>
  <sheetData>
    <row r="1" spans="1:15">
      <c r="A1" t="s">
        <v>1155</v>
      </c>
      <c r="J1" t="s">
        <v>1156</v>
      </c>
    </row>
    <row r="2" spans="1:15">
      <c r="B2" t="s">
        <v>1159</v>
      </c>
      <c r="C2" t="s">
        <v>3711</v>
      </c>
      <c r="D2" t="s">
        <v>3713</v>
      </c>
      <c r="J2" t="s">
        <v>1163</v>
      </c>
    </row>
    <row r="3" spans="1:15">
      <c r="B3" t="s">
        <v>1158</v>
      </c>
      <c r="C3" t="s">
        <v>1161</v>
      </c>
      <c r="J3" t="s">
        <v>3717</v>
      </c>
    </row>
    <row r="4" spans="1:15">
      <c r="B4" t="s">
        <v>1160</v>
      </c>
      <c r="J4" t="s">
        <v>3718</v>
      </c>
    </row>
    <row r="5" spans="1:15">
      <c r="B5" t="s">
        <v>1927</v>
      </c>
    </row>
    <row r="6" spans="1:15">
      <c r="B6" t="s">
        <v>3837</v>
      </c>
    </row>
    <row r="7" spans="1:15">
      <c r="B7" t="s">
        <v>3838</v>
      </c>
    </row>
    <row r="8" spans="1:15">
      <c r="B8" t="s">
        <v>3853</v>
      </c>
    </row>
    <row r="9" spans="1:15">
      <c r="B9" t="s">
        <v>3854</v>
      </c>
    </row>
    <row r="10" spans="1:15">
      <c r="B10" t="s">
        <v>3856</v>
      </c>
    </row>
    <row r="12" spans="1:15">
      <c r="A12" t="s">
        <v>802</v>
      </c>
      <c r="B12" t="s">
        <v>3851</v>
      </c>
      <c r="C12" t="s">
        <v>1162</v>
      </c>
      <c r="E12" t="s">
        <v>486</v>
      </c>
      <c r="F12" t="s">
        <v>2348</v>
      </c>
      <c r="G12" t="s">
        <v>1</v>
      </c>
      <c r="H12" t="s">
        <v>481</v>
      </c>
      <c r="I12" t="s">
        <v>482</v>
      </c>
      <c r="J12" t="s">
        <v>485</v>
      </c>
      <c r="K12" t="s">
        <v>1157</v>
      </c>
      <c r="L12" t="s">
        <v>3702</v>
      </c>
      <c r="M12" t="s">
        <v>3703</v>
      </c>
      <c r="O12" t="s">
        <v>3705</v>
      </c>
    </row>
    <row r="13" spans="1:15">
      <c r="A13" t="s">
        <v>800</v>
      </c>
      <c r="B13" t="s">
        <v>3832</v>
      </c>
      <c r="C13" t="s">
        <v>1152</v>
      </c>
      <c r="D13" t="s">
        <v>804</v>
      </c>
      <c r="E13" t="s">
        <v>3833</v>
      </c>
      <c r="F13" t="s">
        <v>3833</v>
      </c>
      <c r="G13">
        <f>$G$14-564.0184/1000</f>
        <v>-4.3755336000000007</v>
      </c>
      <c r="H13">
        <f>$H$14-564.0184</f>
        <v>-3513.6945000000001</v>
      </c>
      <c r="I13">
        <v>-9209.3248999999996</v>
      </c>
      <c r="J13">
        <v>-270</v>
      </c>
      <c r="K13">
        <v>0</v>
      </c>
      <c r="L13">
        <v>0</v>
      </c>
    </row>
    <row r="14" spans="1:15">
      <c r="A14" t="s">
        <v>800</v>
      </c>
      <c r="B14" t="s">
        <v>806</v>
      </c>
      <c r="C14" t="s">
        <v>1152</v>
      </c>
      <c r="D14" t="s">
        <v>804</v>
      </c>
      <c r="E14" t="s">
        <v>1124</v>
      </c>
      <c r="F14" t="s">
        <v>2349</v>
      </c>
      <c r="G14">
        <v>-3.811515200000001</v>
      </c>
      <c r="H14">
        <v>-2949.6761000000001</v>
      </c>
      <c r="I14">
        <v>-9209.3248999999996</v>
      </c>
      <c r="J14">
        <v>-160</v>
      </c>
      <c r="K14">
        <v>110</v>
      </c>
      <c r="L14">
        <v>68</v>
      </c>
      <c r="M14">
        <f>_xlfn.XLOOKUP(F14,magnet_list!$A$2:$A$592,magnet_list!$L$2:$L$592,"n/a",0,1)</f>
        <v>80</v>
      </c>
      <c r="O14" t="s">
        <v>3712</v>
      </c>
    </row>
    <row r="15" spans="1:15">
      <c r="A15" t="s">
        <v>800</v>
      </c>
      <c r="B15" t="s">
        <v>806</v>
      </c>
      <c r="C15" t="s">
        <v>1152</v>
      </c>
      <c r="D15" t="s">
        <v>804</v>
      </c>
      <c r="E15" t="s">
        <v>1125</v>
      </c>
      <c r="F15" t="s">
        <v>2350</v>
      </c>
      <c r="G15">
        <v>-3.811515200000001</v>
      </c>
      <c r="H15">
        <v>-2949.6761000000001</v>
      </c>
      <c r="I15">
        <v>-9209.3248999999996</v>
      </c>
      <c r="J15">
        <v>-160</v>
      </c>
      <c r="K15">
        <v>110</v>
      </c>
      <c r="L15">
        <v>68</v>
      </c>
      <c r="M15">
        <f>_xlfn.XLOOKUP(F15,magnet_list!$A$2:$A$592,magnet_list!$L$2:$L$592,"n/a",0,1)</f>
        <v>80</v>
      </c>
      <c r="O15" t="s">
        <v>3712</v>
      </c>
    </row>
    <row r="16" spans="1:15">
      <c r="A16" t="s">
        <v>800</v>
      </c>
      <c r="B16" t="s">
        <v>1152</v>
      </c>
      <c r="C16" t="s">
        <v>1152</v>
      </c>
      <c r="D16" t="s">
        <v>804</v>
      </c>
      <c r="E16" s="3" t="s">
        <v>1940</v>
      </c>
      <c r="F16" s="3" t="s">
        <v>1940</v>
      </c>
      <c r="G16">
        <f>G17-106.5/1000</f>
        <v>-3.462415200000001</v>
      </c>
      <c r="H16">
        <v>-2600.5761000000002</v>
      </c>
      <c r="I16">
        <v>-9209.3248999999996</v>
      </c>
      <c r="J16">
        <v>-270</v>
      </c>
      <c r="K16">
        <v>0</v>
      </c>
    </row>
    <row r="17" spans="1:18">
      <c r="A17" t="s">
        <v>800</v>
      </c>
      <c r="B17" t="s">
        <v>1152</v>
      </c>
      <c r="C17" t="s">
        <v>1152</v>
      </c>
      <c r="D17" t="s">
        <v>804</v>
      </c>
      <c r="E17" s="3" t="s">
        <v>1939</v>
      </c>
      <c r="F17" s="3" t="s">
        <v>1939</v>
      </c>
      <c r="G17">
        <f>G18-56/1000</f>
        <v>-3.355915200000001</v>
      </c>
      <c r="H17">
        <v>-2494.0761000000002</v>
      </c>
      <c r="I17">
        <v>-9209.3248999999996</v>
      </c>
      <c r="J17">
        <v>-270</v>
      </c>
      <c r="K17">
        <v>0</v>
      </c>
    </row>
    <row r="18" spans="1:18">
      <c r="A18" t="s">
        <v>800</v>
      </c>
      <c r="B18" t="s">
        <v>805</v>
      </c>
      <c r="C18" t="s">
        <v>1152</v>
      </c>
      <c r="D18" t="s">
        <v>804</v>
      </c>
      <c r="E18" s="2" t="s">
        <v>1126</v>
      </c>
      <c r="F18" s="2" t="s">
        <v>2351</v>
      </c>
      <c r="G18">
        <v>-3.2999152000000009</v>
      </c>
      <c r="H18">
        <v>-2438.0761000000002</v>
      </c>
      <c r="I18">
        <v>-9209.3248999999996</v>
      </c>
      <c r="J18">
        <v>-125</v>
      </c>
      <c r="K18">
        <v>145</v>
      </c>
      <c r="L18">
        <v>50</v>
      </c>
      <c r="M18">
        <f>_xlfn.XLOOKUP(F18,magnet_list!$A$2:$A$592,magnet_list!$L$2:$L$592,"n/a",0,1)</f>
        <v>44</v>
      </c>
      <c r="O18" t="s">
        <v>3712</v>
      </c>
    </row>
    <row r="19" spans="1:18">
      <c r="A19" t="s">
        <v>800</v>
      </c>
      <c r="B19" t="s">
        <v>805</v>
      </c>
      <c r="C19" t="s">
        <v>1152</v>
      </c>
      <c r="D19" t="s">
        <v>804</v>
      </c>
      <c r="E19" s="2" t="s">
        <v>1127</v>
      </c>
      <c r="F19" s="2" t="s">
        <v>2352</v>
      </c>
      <c r="G19">
        <v>-3.149915200000001</v>
      </c>
      <c r="H19">
        <v>-2288.0761000000002</v>
      </c>
      <c r="I19">
        <v>-9209.3248999999996</v>
      </c>
      <c r="J19">
        <v>-125</v>
      </c>
      <c r="K19">
        <v>145</v>
      </c>
      <c r="L19">
        <v>50</v>
      </c>
      <c r="M19">
        <f>_xlfn.XLOOKUP(F19,magnet_list!$A$2:$A$592,magnet_list!$L$2:$L$592,"n/a",0,1)</f>
        <v>44</v>
      </c>
      <c r="O19" t="s">
        <v>3712</v>
      </c>
    </row>
    <row r="20" spans="1:18">
      <c r="A20" t="s">
        <v>800</v>
      </c>
      <c r="B20" t="s">
        <v>806</v>
      </c>
      <c r="C20" t="s">
        <v>1152</v>
      </c>
      <c r="D20" t="s">
        <v>804</v>
      </c>
      <c r="E20" t="s">
        <v>1128</v>
      </c>
      <c r="F20" t="s">
        <v>2353</v>
      </c>
      <c r="G20">
        <v>-2.9909152000000012</v>
      </c>
      <c r="H20">
        <v>-2129.0761000000002</v>
      </c>
      <c r="I20">
        <v>-9209.3248999999996</v>
      </c>
      <c r="J20">
        <v>-160</v>
      </c>
      <c r="K20">
        <v>110</v>
      </c>
      <c r="L20">
        <v>68</v>
      </c>
      <c r="M20">
        <f>_xlfn.XLOOKUP(F20,magnet_list!$A$2:$A$592,magnet_list!$L$2:$L$592,"n/a",0,1)</f>
        <v>80</v>
      </c>
      <c r="O20" t="s">
        <v>3712</v>
      </c>
    </row>
    <row r="21" spans="1:18">
      <c r="A21" t="s">
        <v>800</v>
      </c>
      <c r="B21" t="s">
        <v>806</v>
      </c>
      <c r="C21" t="s">
        <v>1152</v>
      </c>
      <c r="D21" t="s">
        <v>804</v>
      </c>
      <c r="E21" t="s">
        <v>1129</v>
      </c>
      <c r="F21" t="s">
        <v>2354</v>
      </c>
      <c r="G21">
        <v>-2.9909152000000012</v>
      </c>
      <c r="H21">
        <v>-2129.0761000000002</v>
      </c>
      <c r="I21">
        <v>-9209.3248999999996</v>
      </c>
      <c r="J21">
        <v>-160</v>
      </c>
      <c r="K21">
        <v>110</v>
      </c>
      <c r="L21">
        <v>68</v>
      </c>
      <c r="M21">
        <f>_xlfn.XLOOKUP(F21,magnet_list!$A$2:$A$592,magnet_list!$L$2:$L$592,"n/a",0,1)</f>
        <v>80</v>
      </c>
      <c r="O21" t="s">
        <v>3712</v>
      </c>
    </row>
    <row r="22" spans="1:18">
      <c r="A22" t="s">
        <v>800</v>
      </c>
      <c r="B22" t="s">
        <v>805</v>
      </c>
      <c r="C22" t="s">
        <v>1152</v>
      </c>
      <c r="D22" t="s">
        <v>804</v>
      </c>
      <c r="E22" s="2" t="s">
        <v>1130</v>
      </c>
      <c r="F22" s="2" t="s">
        <v>2355</v>
      </c>
      <c r="G22">
        <v>-2.5606721500000011</v>
      </c>
      <c r="H22">
        <v>-1703.8408999999999</v>
      </c>
      <c r="I22">
        <v>-9171.2646999999997</v>
      </c>
      <c r="J22">
        <v>-125</v>
      </c>
      <c r="K22">
        <v>145</v>
      </c>
      <c r="L22">
        <v>392.70049999999998</v>
      </c>
      <c r="M22">
        <f>_xlfn.XLOOKUP(F22,magnet_list!$A$2:$A$592,magnet_list!$L$2:$L$592,"n/a",0,1)</f>
        <v>30</v>
      </c>
      <c r="O22" t="s">
        <v>3712</v>
      </c>
    </row>
    <row r="23" spans="1:18">
      <c r="A23" t="s">
        <v>798</v>
      </c>
      <c r="B23" t="s">
        <v>1152</v>
      </c>
      <c r="C23" t="s">
        <v>1152</v>
      </c>
      <c r="D23" t="s">
        <v>804</v>
      </c>
      <c r="E23" s="3" t="s">
        <v>1928</v>
      </c>
      <c r="F23" s="3" t="s">
        <v>1928</v>
      </c>
      <c r="G23" s="2">
        <f t="shared" ref="G23:G29" si="0">$G$112-ABS($I$112-I23)/1000</f>
        <v>-2.6197771756314507</v>
      </c>
      <c r="H23">
        <v>0</v>
      </c>
      <c r="I23" s="2">
        <v>-9862.4182924699999</v>
      </c>
      <c r="J23">
        <v>480</v>
      </c>
      <c r="K23">
        <v>750</v>
      </c>
      <c r="R23" s="2"/>
    </row>
    <row r="24" spans="1:18">
      <c r="A24" t="s">
        <v>798</v>
      </c>
      <c r="B24" t="s">
        <v>805</v>
      </c>
      <c r="C24" t="s">
        <v>1152</v>
      </c>
      <c r="D24" t="s">
        <v>804</v>
      </c>
      <c r="E24" s="2" t="s">
        <v>1146</v>
      </c>
      <c r="F24" s="2" t="s">
        <v>1851</v>
      </c>
      <c r="G24" s="2">
        <f t="shared" si="0"/>
        <v>-2.5382771756314506</v>
      </c>
      <c r="H24">
        <v>0</v>
      </c>
      <c r="I24" s="2">
        <v>-9780.9182924699999</v>
      </c>
      <c r="J24">
        <v>642</v>
      </c>
      <c r="K24">
        <v>912</v>
      </c>
      <c r="L24">
        <v>50</v>
      </c>
      <c r="M24">
        <f>_xlfn.XLOOKUP(F24,magnet_list!$A$2:$A$592,magnet_list!$L$2:$L$592,"n/a",0,1)</f>
        <v>44</v>
      </c>
      <c r="R24" s="2"/>
    </row>
    <row r="25" spans="1:18">
      <c r="A25" t="s">
        <v>798</v>
      </c>
      <c r="B25" t="s">
        <v>805</v>
      </c>
      <c r="C25" t="s">
        <v>806</v>
      </c>
      <c r="E25" s="2" t="s">
        <v>487</v>
      </c>
      <c r="F25" s="2" t="s">
        <v>487</v>
      </c>
      <c r="G25" s="2">
        <f t="shared" si="0"/>
        <v>-2.393277175631451</v>
      </c>
      <c r="H25">
        <v>0</v>
      </c>
      <c r="I25" s="2">
        <v>-9635.9182924699999</v>
      </c>
      <c r="J25">
        <v>642</v>
      </c>
      <c r="K25">
        <v>912</v>
      </c>
      <c r="L25">
        <v>100</v>
      </c>
      <c r="M25">
        <f>_xlfn.XLOOKUP(F25,magnet_list!$A$2:$A$592,magnet_list!$L$2:$L$592,"n/a",0,1)</f>
        <v>44</v>
      </c>
      <c r="R25" s="2"/>
    </row>
    <row r="26" spans="1:18">
      <c r="A26" t="s">
        <v>798</v>
      </c>
      <c r="B26" t="s">
        <v>805</v>
      </c>
      <c r="C26" t="s">
        <v>1152</v>
      </c>
      <c r="D26" t="s">
        <v>804</v>
      </c>
      <c r="E26" s="2" t="s">
        <v>1144</v>
      </c>
      <c r="F26" s="2" t="s">
        <v>487</v>
      </c>
      <c r="G26" s="2">
        <f t="shared" si="0"/>
        <v>-2.3632771090014506</v>
      </c>
      <c r="H26">
        <v>0</v>
      </c>
      <c r="I26" s="2">
        <v>-9605.9182258399996</v>
      </c>
      <c r="J26">
        <v>642</v>
      </c>
      <c r="K26">
        <v>912</v>
      </c>
      <c r="L26">
        <v>100</v>
      </c>
      <c r="M26">
        <f>_xlfn.XLOOKUP(F26,magnet_list!$A$2:$A$592,magnet_list!$L$2:$L$592,"n/a",0,1)</f>
        <v>44</v>
      </c>
      <c r="R26" s="2"/>
    </row>
    <row r="27" spans="1:18">
      <c r="A27" t="s">
        <v>798</v>
      </c>
      <c r="B27" t="s">
        <v>805</v>
      </c>
      <c r="C27" t="s">
        <v>1152</v>
      </c>
      <c r="D27" t="s">
        <v>804</v>
      </c>
      <c r="E27" s="2" t="s">
        <v>1145</v>
      </c>
      <c r="F27" s="2" t="s">
        <v>488</v>
      </c>
      <c r="G27" s="2">
        <f t="shared" si="0"/>
        <v>-2.208470209001451</v>
      </c>
      <c r="H27">
        <v>0</v>
      </c>
      <c r="I27" s="2">
        <v>-9451.1113258400001</v>
      </c>
      <c r="J27">
        <v>642</v>
      </c>
      <c r="K27">
        <v>912</v>
      </c>
      <c r="L27">
        <v>50</v>
      </c>
      <c r="M27">
        <f>_xlfn.XLOOKUP(F27,magnet_list!$A$2:$A$592,magnet_list!$L$2:$L$592,"n/a",0,1)</f>
        <v>44</v>
      </c>
      <c r="R27" s="2"/>
    </row>
    <row r="28" spans="1:18">
      <c r="A28" t="s">
        <v>798</v>
      </c>
      <c r="B28" t="s">
        <v>805</v>
      </c>
      <c r="C28" t="s">
        <v>806</v>
      </c>
      <c r="E28" s="2" t="s">
        <v>488</v>
      </c>
      <c r="F28" s="2" t="s">
        <v>488</v>
      </c>
      <c r="G28" s="2">
        <f t="shared" si="0"/>
        <v>-2.2034702090014511</v>
      </c>
      <c r="H28">
        <v>0</v>
      </c>
      <c r="I28" s="2">
        <v>-9446.1113258400001</v>
      </c>
      <c r="J28">
        <v>642</v>
      </c>
      <c r="K28">
        <v>912</v>
      </c>
      <c r="L28">
        <v>50</v>
      </c>
      <c r="M28">
        <f>_xlfn.XLOOKUP(F28,magnet_list!$A$2:$A$592,magnet_list!$L$2:$L$592,"n/a",0,1)</f>
        <v>44</v>
      </c>
      <c r="R28" s="2"/>
    </row>
    <row r="29" spans="1:18">
      <c r="A29" t="s">
        <v>798</v>
      </c>
      <c r="B29" t="s">
        <v>1152</v>
      </c>
      <c r="C29" t="s">
        <v>1152</v>
      </c>
      <c r="D29" t="s">
        <v>804</v>
      </c>
      <c r="E29" s="3" t="s">
        <v>1929</v>
      </c>
      <c r="F29" s="3" t="s">
        <v>1929</v>
      </c>
      <c r="G29" s="2">
        <f t="shared" si="0"/>
        <v>-2.0799702090014511</v>
      </c>
      <c r="H29">
        <v>0</v>
      </c>
      <c r="I29" s="2">
        <v>-9322.6113258400001</v>
      </c>
      <c r="J29">
        <v>480</v>
      </c>
      <c r="K29">
        <v>750</v>
      </c>
      <c r="R29" s="2"/>
    </row>
    <row r="30" spans="1:18">
      <c r="A30" t="s">
        <v>800</v>
      </c>
      <c r="B30" t="s">
        <v>1152</v>
      </c>
      <c r="C30" t="s">
        <v>1152</v>
      </c>
      <c r="D30" t="s">
        <v>804</v>
      </c>
      <c r="E30" s="3" t="s">
        <v>1938</v>
      </c>
      <c r="F30" s="3" t="s">
        <v>1938</v>
      </c>
      <c r="G30">
        <f>G31-56/1000</f>
        <v>-2.1474295000000012</v>
      </c>
      <c r="H30">
        <v>-1388.2627</v>
      </c>
      <c r="I30">
        <v>-8909.5116999999991</v>
      </c>
      <c r="J30">
        <v>-270</v>
      </c>
      <c r="K30">
        <v>0</v>
      </c>
    </row>
    <row r="31" spans="1:18">
      <c r="A31" t="s">
        <v>800</v>
      </c>
      <c r="B31" t="s">
        <v>805</v>
      </c>
      <c r="C31" t="s">
        <v>1152</v>
      </c>
      <c r="D31" t="s">
        <v>804</v>
      </c>
      <c r="E31" s="2" t="s">
        <v>1131</v>
      </c>
      <c r="F31" s="2" t="s">
        <v>2356</v>
      </c>
      <c r="G31">
        <v>-2.0914295000000012</v>
      </c>
      <c r="H31">
        <v>-1348.6647</v>
      </c>
      <c r="I31">
        <v>-8860.5577000000012</v>
      </c>
      <c r="J31">
        <v>-125</v>
      </c>
      <c r="K31">
        <v>145</v>
      </c>
      <c r="L31">
        <v>50</v>
      </c>
      <c r="M31">
        <f>_xlfn.XLOOKUP(F31,magnet_list!$A$2:$A$592,magnet_list!$L$2:$L$592,"n/a",0,1)</f>
        <v>44</v>
      </c>
      <c r="O31" t="s">
        <v>3712</v>
      </c>
    </row>
    <row r="32" spans="1:18">
      <c r="A32" t="s">
        <v>800</v>
      </c>
      <c r="B32" t="s">
        <v>805</v>
      </c>
      <c r="C32" t="s">
        <v>1152</v>
      </c>
      <c r="D32" t="s">
        <v>804</v>
      </c>
      <c r="E32" s="2" t="s">
        <v>1132</v>
      </c>
      <c r="F32" s="2" t="s">
        <v>2357</v>
      </c>
      <c r="G32">
        <v>-1.941429500000001</v>
      </c>
      <c r="H32">
        <v>-1242.5987</v>
      </c>
      <c r="I32">
        <v>-8754.4916000000012</v>
      </c>
      <c r="J32">
        <v>-125</v>
      </c>
      <c r="K32">
        <v>145</v>
      </c>
      <c r="L32">
        <v>50</v>
      </c>
      <c r="M32">
        <f>_xlfn.XLOOKUP(F32,magnet_list!$A$2:$A$592,magnet_list!$L$2:$L$592,"n/a",0,1)</f>
        <v>44</v>
      </c>
      <c r="O32" t="s">
        <v>3712</v>
      </c>
    </row>
    <row r="33" spans="1:18">
      <c r="A33" t="s">
        <v>798</v>
      </c>
      <c r="B33" t="s">
        <v>805</v>
      </c>
      <c r="C33" t="s">
        <v>1152</v>
      </c>
      <c r="D33" t="s">
        <v>804</v>
      </c>
      <c r="E33" s="2" t="s">
        <v>1117</v>
      </c>
      <c r="F33" s="2" t="s">
        <v>2358</v>
      </c>
      <c r="G33" s="2">
        <f>$G$112-ABS($I$112-I33)/1000</f>
        <v>-1.9197038831614499</v>
      </c>
      <c r="H33">
        <v>0</v>
      </c>
      <c r="I33" s="2">
        <v>-9162.3449999999993</v>
      </c>
      <c r="J33">
        <v>575</v>
      </c>
      <c r="K33">
        <v>845</v>
      </c>
      <c r="L33">
        <v>50</v>
      </c>
      <c r="M33">
        <f>_xlfn.XLOOKUP(F33,magnet_list!$A$2:$A$592,magnet_list!$L$2:$L$592,"n/a",0,1)</f>
        <v>82</v>
      </c>
      <c r="O33" t="s">
        <v>3712</v>
      </c>
      <c r="R33" s="2"/>
    </row>
    <row r="34" spans="1:18">
      <c r="A34" t="s">
        <v>798</v>
      </c>
      <c r="B34" t="s">
        <v>805</v>
      </c>
      <c r="C34" t="s">
        <v>1152</v>
      </c>
      <c r="D34" t="s">
        <v>804</v>
      </c>
      <c r="E34" s="2" t="s">
        <v>1118</v>
      </c>
      <c r="F34" s="2" t="s">
        <v>2359</v>
      </c>
      <c r="G34" s="2">
        <f>$G$112-ABS($I$112-I34)/1000</f>
        <v>-1.9197038831614499</v>
      </c>
      <c r="H34">
        <v>0</v>
      </c>
      <c r="I34" s="2">
        <v>-9162.3449999999993</v>
      </c>
      <c r="J34">
        <v>575</v>
      </c>
      <c r="K34">
        <v>845</v>
      </c>
      <c r="L34">
        <v>50</v>
      </c>
      <c r="M34">
        <f>_xlfn.XLOOKUP(F34,magnet_list!$A$2:$A$592,magnet_list!$L$2:$L$592,"n/a",0,1)</f>
        <v>82</v>
      </c>
      <c r="O34" t="s">
        <v>3712</v>
      </c>
      <c r="R34" s="2"/>
    </row>
    <row r="35" spans="1:18">
      <c r="A35" t="s">
        <v>798</v>
      </c>
      <c r="B35" t="s">
        <v>804</v>
      </c>
      <c r="C35" t="s">
        <v>1152</v>
      </c>
      <c r="D35" t="s">
        <v>804</v>
      </c>
      <c r="E35" s="10" t="s">
        <v>1398</v>
      </c>
      <c r="F35" s="10" t="s">
        <v>1119</v>
      </c>
      <c r="G35" s="2">
        <f>$G$112-ABS($I$112-I35)/1000</f>
        <v>-1.7405884831614511</v>
      </c>
      <c r="H35">
        <v>0</v>
      </c>
      <c r="I35" s="2">
        <f>$I$47-$L$47/2</f>
        <v>-8983.2296000000006</v>
      </c>
      <c r="J35">
        <v>480</v>
      </c>
      <c r="K35">
        <v>750</v>
      </c>
      <c r="L35">
        <v>1889.4492</v>
      </c>
      <c r="O35" s="2"/>
      <c r="R35" s="2"/>
    </row>
    <row r="36" spans="1:18">
      <c r="A36" t="s">
        <v>798</v>
      </c>
      <c r="B36" t="s">
        <v>3855</v>
      </c>
      <c r="C36" t="s">
        <v>1152</v>
      </c>
      <c r="D36" t="s">
        <v>804</v>
      </c>
      <c r="E36" t="s">
        <v>2190</v>
      </c>
      <c r="F36" t="s">
        <v>2190</v>
      </c>
      <c r="G36" s="2">
        <f>$G$112-ABS($I$112-I36)/1000</f>
        <v>-1.057108883161451</v>
      </c>
      <c r="H36">
        <v>0</v>
      </c>
      <c r="I36" s="2">
        <v>-8299.75</v>
      </c>
      <c r="J36">
        <v>480</v>
      </c>
      <c r="K36">
        <v>750</v>
      </c>
      <c r="L36">
        <v>1000</v>
      </c>
      <c r="M36">
        <f>_xlfn.XLOOKUP(F36,magnet_list!$A$2:$A$592,magnet_list!$L$2:$L$592,"n/a",0,1)</f>
        <v>120</v>
      </c>
      <c r="R36" s="2"/>
    </row>
    <row r="37" spans="1:18">
      <c r="A37" t="s">
        <v>798</v>
      </c>
      <c r="B37" t="s">
        <v>3855</v>
      </c>
      <c r="C37" t="s">
        <v>1152</v>
      </c>
      <c r="D37" t="s">
        <v>804</v>
      </c>
      <c r="E37" t="s">
        <v>2191</v>
      </c>
      <c r="F37" t="s">
        <v>2191</v>
      </c>
      <c r="G37" s="2">
        <f>$G$112-ABS($I$112-I37)/1000</f>
        <v>-1.057108883161451</v>
      </c>
      <c r="H37">
        <v>0</v>
      </c>
      <c r="I37" s="2">
        <v>-8299.75</v>
      </c>
      <c r="J37">
        <v>480</v>
      </c>
      <c r="K37">
        <v>750</v>
      </c>
      <c r="L37">
        <v>1000</v>
      </c>
      <c r="M37">
        <f>_xlfn.XLOOKUP(F37,magnet_list!$A$2:$A$592,magnet_list!$L$2:$L$592,"n/a",0,1)</f>
        <v>120</v>
      </c>
      <c r="R37" s="2"/>
    </row>
    <row r="38" spans="1:18">
      <c r="A38" t="s">
        <v>799</v>
      </c>
      <c r="B38" t="s">
        <v>3832</v>
      </c>
      <c r="C38" t="s">
        <v>1152</v>
      </c>
      <c r="D38" t="s">
        <v>804</v>
      </c>
      <c r="E38" t="s">
        <v>3836</v>
      </c>
      <c r="F38" t="s">
        <v>3836</v>
      </c>
      <c r="G38" s="2">
        <f>$G$39-312.3/1000</f>
        <v>-1.8603869000000011</v>
      </c>
      <c r="H38">
        <v>0</v>
      </c>
      <c r="I38" s="2">
        <f>$I$39-312.3</f>
        <v>-9189.1278999999995</v>
      </c>
      <c r="J38">
        <v>-270</v>
      </c>
      <c r="K38">
        <v>0</v>
      </c>
      <c r="R38" s="2"/>
    </row>
    <row r="39" spans="1:18">
      <c r="A39" t="s">
        <v>799</v>
      </c>
      <c r="B39" t="s">
        <v>805</v>
      </c>
      <c r="C39" t="s">
        <v>1152</v>
      </c>
      <c r="D39" t="s">
        <v>804</v>
      </c>
      <c r="E39" t="s">
        <v>3835</v>
      </c>
      <c r="F39" t="s">
        <v>3835</v>
      </c>
      <c r="G39" s="2">
        <f>$G$40-305/1000</f>
        <v>-1.548086900000001</v>
      </c>
      <c r="H39">
        <v>0</v>
      </c>
      <c r="I39" s="2">
        <f>$I$40-305</f>
        <v>-8876.8279000000002</v>
      </c>
      <c r="J39">
        <v>-270</v>
      </c>
      <c r="K39">
        <v>0</v>
      </c>
      <c r="L39">
        <v>40</v>
      </c>
      <c r="R39" s="2"/>
    </row>
    <row r="40" spans="1:18">
      <c r="A40" t="s">
        <v>799</v>
      </c>
      <c r="B40" t="s">
        <v>2288</v>
      </c>
      <c r="C40" t="s">
        <v>1152</v>
      </c>
      <c r="D40" t="s">
        <v>804</v>
      </c>
      <c r="E40" t="s">
        <v>3834</v>
      </c>
      <c r="F40" t="s">
        <v>3834</v>
      </c>
      <c r="G40" s="2">
        <f>$G$41-301/1000</f>
        <v>-1.2430869000000011</v>
      </c>
      <c r="H40">
        <v>0</v>
      </c>
      <c r="I40" s="2">
        <f>$I$42-301</f>
        <v>-8571.8279000000002</v>
      </c>
      <c r="J40">
        <v>-270</v>
      </c>
      <c r="K40">
        <v>0</v>
      </c>
      <c r="R40" s="2"/>
    </row>
    <row r="41" spans="1:18">
      <c r="A41" t="s">
        <v>799</v>
      </c>
      <c r="B41" t="s">
        <v>1152</v>
      </c>
      <c r="C41" t="s">
        <v>1152</v>
      </c>
      <c r="D41" t="s">
        <v>804</v>
      </c>
      <c r="E41" s="3" t="s">
        <v>1943</v>
      </c>
      <c r="F41" s="3" t="s">
        <v>1943</v>
      </c>
      <c r="G41">
        <f>$G$42-72/1000</f>
        <v>-0.94208690000000117</v>
      </c>
      <c r="H41">
        <v>0</v>
      </c>
      <c r="I41">
        <f>$I$42-72</f>
        <v>-8342.8279000000002</v>
      </c>
      <c r="J41">
        <v>-270</v>
      </c>
      <c r="K41">
        <v>0</v>
      </c>
    </row>
    <row r="42" spans="1:18">
      <c r="A42" t="s">
        <v>799</v>
      </c>
      <c r="B42" t="s">
        <v>805</v>
      </c>
      <c r="C42" t="s">
        <v>1152</v>
      </c>
      <c r="D42" t="s">
        <v>804</v>
      </c>
      <c r="E42" s="2" t="s">
        <v>1115</v>
      </c>
      <c r="F42" s="2" t="s">
        <v>2360</v>
      </c>
      <c r="G42">
        <v>-0.87008690000000122</v>
      </c>
      <c r="H42">
        <v>0</v>
      </c>
      <c r="I42">
        <v>-8270.8279000000002</v>
      </c>
      <c r="J42">
        <v>-80</v>
      </c>
      <c r="K42">
        <v>190</v>
      </c>
      <c r="L42">
        <v>50</v>
      </c>
      <c r="M42">
        <f>_xlfn.XLOOKUP(F42,magnet_list!$A$2:$A$592,magnet_list!$L$2:$L$592,"n/a",0,1)</f>
        <v>44</v>
      </c>
    </row>
    <row r="43" spans="1:18">
      <c r="A43" t="s">
        <v>800</v>
      </c>
      <c r="B43" t="s">
        <v>1152</v>
      </c>
      <c r="C43" t="s">
        <v>1152</v>
      </c>
      <c r="D43" t="s">
        <v>804</v>
      </c>
      <c r="E43" s="3" t="s">
        <v>1941</v>
      </c>
      <c r="F43" s="3" t="s">
        <v>1941</v>
      </c>
      <c r="G43">
        <f>G44-229/1000</f>
        <v>-1.0991295000000012</v>
      </c>
      <c r="H43">
        <v>-647.0027</v>
      </c>
      <c r="I43">
        <v>-8168.2516999999998</v>
      </c>
      <c r="J43">
        <v>-270</v>
      </c>
      <c r="K43">
        <v>0</v>
      </c>
    </row>
    <row r="44" spans="1:18">
      <c r="A44" t="s">
        <v>800</v>
      </c>
      <c r="B44" t="s">
        <v>1152</v>
      </c>
      <c r="C44" t="s">
        <v>1152</v>
      </c>
      <c r="D44" t="s">
        <v>804</v>
      </c>
      <c r="E44" s="3" t="s">
        <v>1942</v>
      </c>
      <c r="F44" s="3" t="s">
        <v>1942</v>
      </c>
      <c r="G44">
        <f>G45-56/1000</f>
        <v>-0.87012950000000111</v>
      </c>
      <c r="H44">
        <v>-485.07530000000003</v>
      </c>
      <c r="I44">
        <v>-8006.3243000000002</v>
      </c>
      <c r="J44">
        <v>-270</v>
      </c>
      <c r="K44">
        <v>0</v>
      </c>
    </row>
    <row r="45" spans="1:18">
      <c r="A45" t="s">
        <v>800</v>
      </c>
      <c r="B45" t="s">
        <v>805</v>
      </c>
      <c r="C45" t="s">
        <v>1152</v>
      </c>
      <c r="D45" t="s">
        <v>804</v>
      </c>
      <c r="E45" s="2" t="s">
        <v>1133</v>
      </c>
      <c r="F45" s="2" t="s">
        <v>2361</v>
      </c>
      <c r="G45">
        <v>-0.81412950000000106</v>
      </c>
      <c r="H45">
        <v>-445.47730000000001</v>
      </c>
      <c r="I45">
        <v>-7957.3702000000003</v>
      </c>
      <c r="J45">
        <v>-125</v>
      </c>
      <c r="K45">
        <v>145</v>
      </c>
      <c r="L45">
        <v>50</v>
      </c>
      <c r="M45">
        <f>_xlfn.XLOOKUP(F45,magnet_list!$A$2:$A$592,magnet_list!$L$2:$L$592,"n/a",0,1)</f>
        <v>44</v>
      </c>
    </row>
    <row r="46" spans="1:18">
      <c r="A46" t="s">
        <v>799</v>
      </c>
      <c r="B46" t="s">
        <v>805</v>
      </c>
      <c r="C46" t="s">
        <v>1152</v>
      </c>
      <c r="D46" t="s">
        <v>804</v>
      </c>
      <c r="E46" s="2" t="s">
        <v>1116</v>
      </c>
      <c r="F46" s="2" t="s">
        <v>2362</v>
      </c>
      <c r="G46">
        <v>-0.76008690000000034</v>
      </c>
      <c r="H46">
        <v>0</v>
      </c>
      <c r="I46">
        <v>-8160.8278999999993</v>
      </c>
      <c r="J46">
        <v>-80</v>
      </c>
      <c r="K46">
        <v>190</v>
      </c>
      <c r="L46">
        <v>50</v>
      </c>
      <c r="M46">
        <f>_xlfn.XLOOKUP(F46,magnet_list!$A$2:$A$592,magnet_list!$L$2:$L$592,"n/a",0,1)</f>
        <v>44</v>
      </c>
    </row>
    <row r="47" spans="1:18">
      <c r="A47" t="s">
        <v>798</v>
      </c>
      <c r="B47" t="s">
        <v>804</v>
      </c>
      <c r="C47" t="s">
        <v>1152</v>
      </c>
      <c r="D47" t="s">
        <v>804</v>
      </c>
      <c r="E47" s="10" t="s">
        <v>1164</v>
      </c>
      <c r="F47" s="10" t="s">
        <v>1119</v>
      </c>
      <c r="G47" s="2">
        <f t="shared" ref="G47" si="1">$G$112-ABS($I$112-I47)/1000</f>
        <v>-0.79586388316145218</v>
      </c>
      <c r="H47">
        <v>0</v>
      </c>
      <c r="I47">
        <v>-8038.5050000000001</v>
      </c>
      <c r="J47">
        <v>480</v>
      </c>
      <c r="K47">
        <v>750</v>
      </c>
      <c r="L47">
        <v>1889.4492</v>
      </c>
      <c r="R47" s="2"/>
    </row>
    <row r="48" spans="1:18">
      <c r="A48" t="s">
        <v>800</v>
      </c>
      <c r="B48" t="s">
        <v>805</v>
      </c>
      <c r="C48" t="s">
        <v>1152</v>
      </c>
      <c r="D48" t="s">
        <v>804</v>
      </c>
      <c r="E48" s="2" t="s">
        <v>1134</v>
      </c>
      <c r="F48" s="2" t="s">
        <v>2363</v>
      </c>
      <c r="G48">
        <v>-0.56412950000000106</v>
      </c>
      <c r="H48">
        <v>-339.41129999999998</v>
      </c>
      <c r="I48">
        <v>-7851.3041999999996</v>
      </c>
      <c r="J48">
        <v>-125</v>
      </c>
      <c r="K48">
        <v>145</v>
      </c>
      <c r="L48">
        <v>50</v>
      </c>
      <c r="M48">
        <f>_xlfn.XLOOKUP(F48,magnet_list!$A$2:$A$592,magnet_list!$L$2:$L$592,"n/a",0,1)</f>
        <v>44</v>
      </c>
    </row>
    <row r="49" spans="1:18">
      <c r="A49" t="s">
        <v>799</v>
      </c>
      <c r="B49" t="s">
        <v>1152</v>
      </c>
      <c r="C49" t="s">
        <v>1152</v>
      </c>
      <c r="D49" t="s">
        <v>804</v>
      </c>
      <c r="E49" s="3" t="s">
        <v>1944</v>
      </c>
      <c r="F49" s="3" t="s">
        <v>1944</v>
      </c>
      <c r="G49">
        <f>$G$50-98/1000</f>
        <v>-0.51265190000000083</v>
      </c>
      <c r="H49">
        <v>0</v>
      </c>
      <c r="I49">
        <f>$I$50-98</f>
        <v>-7913.3928999999998</v>
      </c>
      <c r="J49">
        <v>-270</v>
      </c>
      <c r="K49">
        <v>0</v>
      </c>
    </row>
    <row r="50" spans="1:18">
      <c r="A50" t="s">
        <v>799</v>
      </c>
      <c r="B50" t="s">
        <v>805</v>
      </c>
      <c r="C50" t="s">
        <v>1152</v>
      </c>
      <c r="D50" t="s">
        <v>804</v>
      </c>
      <c r="E50" s="2" t="s">
        <v>1136</v>
      </c>
      <c r="F50" s="2" t="s">
        <v>2364</v>
      </c>
      <c r="G50">
        <v>-0.41465190000000079</v>
      </c>
      <c r="H50">
        <v>0</v>
      </c>
      <c r="I50">
        <v>-7815.3928999999998</v>
      </c>
      <c r="J50">
        <v>-180</v>
      </c>
      <c r="K50">
        <v>90</v>
      </c>
      <c r="L50">
        <v>50</v>
      </c>
      <c r="M50">
        <f>_xlfn.XLOOKUP(F50,magnet_list!$A$2:$A$592,magnet_list!$L$2:$L$592,"n/a",0,1)</f>
        <v>82</v>
      </c>
    </row>
    <row r="51" spans="1:18">
      <c r="A51" t="s">
        <v>799</v>
      </c>
      <c r="B51" t="s">
        <v>805</v>
      </c>
      <c r="C51" t="s">
        <v>1152</v>
      </c>
      <c r="D51" t="s">
        <v>804</v>
      </c>
      <c r="E51" s="2" t="s">
        <v>1137</v>
      </c>
      <c r="F51" s="2" t="s">
        <v>2365</v>
      </c>
      <c r="G51">
        <v>-0.41465190000000079</v>
      </c>
      <c r="H51">
        <v>0</v>
      </c>
      <c r="I51">
        <v>-7815.3928999999998</v>
      </c>
      <c r="J51">
        <v>-180</v>
      </c>
      <c r="K51">
        <v>90</v>
      </c>
      <c r="L51">
        <v>50</v>
      </c>
      <c r="M51">
        <f>_xlfn.XLOOKUP(F51,magnet_list!$A$2:$A$592,magnet_list!$L$2:$L$592,"n/a",0,1)</f>
        <v>82</v>
      </c>
    </row>
    <row r="52" spans="1:18">
      <c r="A52" t="s">
        <v>800</v>
      </c>
      <c r="B52" t="s">
        <v>805</v>
      </c>
      <c r="C52" t="s">
        <v>1152</v>
      </c>
      <c r="D52" t="s">
        <v>804</v>
      </c>
      <c r="E52" s="2" t="s">
        <v>1135</v>
      </c>
      <c r="F52" s="2" t="s">
        <v>2366</v>
      </c>
      <c r="G52">
        <v>-9.538720000000106E-2</v>
      </c>
      <c r="H52">
        <v>-38.060600000000001</v>
      </c>
      <c r="I52">
        <v>-7496.1282000000001</v>
      </c>
      <c r="J52">
        <v>-125</v>
      </c>
      <c r="K52">
        <v>145</v>
      </c>
      <c r="L52">
        <v>392.69959999999998</v>
      </c>
      <c r="M52">
        <f>_xlfn.XLOOKUP(F52,magnet_list!$A$2:$A$592,magnet_list!$L$2:$L$592,"n/a",0,1)</f>
        <v>30</v>
      </c>
    </row>
    <row r="53" spans="1:18">
      <c r="A53" t="s">
        <v>800</v>
      </c>
      <c r="B53" t="s">
        <v>1152</v>
      </c>
      <c r="C53" t="s">
        <v>1152</v>
      </c>
      <c r="D53" t="s">
        <v>804</v>
      </c>
      <c r="E53" s="3" t="s">
        <v>1945</v>
      </c>
      <c r="F53" s="3" t="s">
        <v>1945</v>
      </c>
      <c r="G53">
        <f>G48+968.9999/1000</f>
        <v>0.40487039999999896</v>
      </c>
      <c r="H53">
        <v>345.77519999999998</v>
      </c>
      <c r="I53">
        <v>-7175.4739</v>
      </c>
      <c r="J53">
        <v>-270</v>
      </c>
      <c r="K53">
        <v>0</v>
      </c>
    </row>
    <row r="54" spans="1:18">
      <c r="A54" t="s">
        <v>797</v>
      </c>
      <c r="B54" t="s">
        <v>803</v>
      </c>
      <c r="C54" t="s">
        <v>806</v>
      </c>
      <c r="E54" t="s">
        <v>489</v>
      </c>
      <c r="F54" t="s">
        <v>489</v>
      </c>
      <c r="G54">
        <v>4.0377000000000003E-2</v>
      </c>
      <c r="H54">
        <v>-3178.9640029100001</v>
      </c>
      <c r="I54">
        <v>-7349.8935626100001</v>
      </c>
      <c r="J54">
        <v>179.73859612999999</v>
      </c>
      <c r="K54">
        <v>449.73859613000002</v>
      </c>
    </row>
    <row r="55" spans="1:18">
      <c r="A55" t="s">
        <v>798</v>
      </c>
      <c r="B55" t="s">
        <v>804</v>
      </c>
      <c r="C55" t="s">
        <v>1152</v>
      </c>
      <c r="D55" t="s">
        <v>804</v>
      </c>
      <c r="E55" s="10" t="s">
        <v>1399</v>
      </c>
      <c r="F55" s="10" t="s">
        <v>1119</v>
      </c>
      <c r="G55" s="2">
        <f t="shared" ref="G55" si="2">$G$112-ABS($I$112-I55)/1000</f>
        <v>0.1488607168385494</v>
      </c>
      <c r="H55">
        <v>0</v>
      </c>
      <c r="I55" s="2">
        <f>$I$47+$L$47/2</f>
        <v>-7093.7803999999996</v>
      </c>
      <c r="J55">
        <v>480</v>
      </c>
      <c r="K55">
        <v>750</v>
      </c>
      <c r="L55">
        <v>1889.4492</v>
      </c>
      <c r="R55" s="2"/>
    </row>
    <row r="56" spans="1:18">
      <c r="A56" t="s">
        <v>801</v>
      </c>
      <c r="B56" t="s">
        <v>1152</v>
      </c>
      <c r="C56" t="s">
        <v>1152</v>
      </c>
      <c r="D56" t="s">
        <v>804</v>
      </c>
      <c r="E56" s="3" t="s">
        <v>1946</v>
      </c>
      <c r="F56" s="3" t="s">
        <v>1946</v>
      </c>
      <c r="G56">
        <f>$G$58-38/1000</f>
        <v>0.36941309999999977</v>
      </c>
      <c r="H56">
        <v>0</v>
      </c>
      <c r="I56">
        <f>$I$58-38</f>
        <v>-7031.3278999999993</v>
      </c>
      <c r="J56">
        <v>-270</v>
      </c>
      <c r="K56">
        <v>0</v>
      </c>
    </row>
    <row r="57" spans="1:18">
      <c r="A57" t="s">
        <v>801</v>
      </c>
      <c r="B57" t="s">
        <v>805</v>
      </c>
      <c r="C57" t="s">
        <v>1152</v>
      </c>
      <c r="E57" s="2" t="s">
        <v>1871</v>
      </c>
      <c r="F57" s="2" t="s">
        <v>1871</v>
      </c>
      <c r="G57">
        <v>0.39241309999999974</v>
      </c>
      <c r="H57">
        <v>0</v>
      </c>
      <c r="I57">
        <v>-7008.3278999999993</v>
      </c>
      <c r="J57">
        <v>-80</v>
      </c>
      <c r="K57">
        <v>190</v>
      </c>
      <c r="L57">
        <v>50</v>
      </c>
      <c r="M57">
        <f>_xlfn.XLOOKUP(F57,magnet_list!$A$2:$A$592,magnet_list!$L$2:$L$592,"n/a",0,1)</f>
        <v>44</v>
      </c>
    </row>
    <row r="58" spans="1:18">
      <c r="A58" t="s">
        <v>801</v>
      </c>
      <c r="B58" t="s">
        <v>805</v>
      </c>
      <c r="C58" t="s">
        <v>1152</v>
      </c>
      <c r="D58" t="s">
        <v>804</v>
      </c>
      <c r="E58" s="2" t="s">
        <v>1122</v>
      </c>
      <c r="F58" s="2" t="s">
        <v>1871</v>
      </c>
      <c r="G58">
        <v>0.40741309999999975</v>
      </c>
      <c r="H58">
        <v>0</v>
      </c>
      <c r="I58">
        <v>-6993.3278999999993</v>
      </c>
      <c r="J58">
        <v>-80</v>
      </c>
      <c r="K58">
        <v>190</v>
      </c>
      <c r="L58">
        <v>50</v>
      </c>
      <c r="M58">
        <f>_xlfn.XLOOKUP(F58,magnet_list!$A$2:$A$592,magnet_list!$L$2:$L$592,"n/a",0,1)</f>
        <v>44</v>
      </c>
    </row>
    <row r="59" spans="1:18">
      <c r="A59" t="s">
        <v>798</v>
      </c>
      <c r="B59" t="s">
        <v>1152</v>
      </c>
      <c r="C59" t="s">
        <v>1152</v>
      </c>
      <c r="D59" t="s">
        <v>804</v>
      </c>
      <c r="E59" s="3" t="s">
        <v>1952</v>
      </c>
      <c r="F59" s="3" t="s">
        <v>1952</v>
      </c>
      <c r="G59" s="2">
        <f t="shared" ref="G59:G61" si="3">$G$112-ABS($I$112-I59)/1000</f>
        <v>0.23768334572854855</v>
      </c>
      <c r="H59">
        <v>0</v>
      </c>
      <c r="I59" s="2">
        <v>-7004.957771110001</v>
      </c>
      <c r="J59">
        <v>480</v>
      </c>
      <c r="K59">
        <v>750</v>
      </c>
      <c r="R59" s="2"/>
    </row>
    <row r="60" spans="1:18">
      <c r="A60" t="s">
        <v>798</v>
      </c>
      <c r="B60" t="s">
        <v>805</v>
      </c>
      <c r="C60" t="s">
        <v>1152</v>
      </c>
      <c r="E60" s="2" t="s">
        <v>490</v>
      </c>
      <c r="F60" s="2" t="s">
        <v>490</v>
      </c>
      <c r="G60" s="2">
        <f t="shared" si="3"/>
        <v>0.28816134572854946</v>
      </c>
      <c r="H60">
        <v>0</v>
      </c>
      <c r="I60" s="2">
        <v>-6954.47977111</v>
      </c>
      <c r="J60">
        <v>642</v>
      </c>
      <c r="K60">
        <v>912</v>
      </c>
      <c r="L60">
        <f>_xlfn.XLOOKUP(F60,magnet_list!$A$2:$A$592,magnet_list!$M$2:$M$592,"n/a",0,1)</f>
        <v>50</v>
      </c>
      <c r="M60">
        <f>_xlfn.XLOOKUP(F60,magnet_list!$A$2:$A$592,magnet_list!$L$2:$L$592,"n/a",0,1)</f>
        <v>44</v>
      </c>
      <c r="R60" s="2"/>
    </row>
    <row r="61" spans="1:18">
      <c r="A61" t="s">
        <v>798</v>
      </c>
      <c r="B61" t="s">
        <v>805</v>
      </c>
      <c r="C61" t="s">
        <v>1152</v>
      </c>
      <c r="D61" t="s">
        <v>804</v>
      </c>
      <c r="E61" s="2" t="s">
        <v>1141</v>
      </c>
      <c r="F61" s="2" t="s">
        <v>490</v>
      </c>
      <c r="G61" s="2">
        <f t="shared" si="3"/>
        <v>0.29316134572854757</v>
      </c>
      <c r="H61">
        <v>0</v>
      </c>
      <c r="I61" s="2">
        <v>-6949.4797711100009</v>
      </c>
      <c r="J61">
        <v>642</v>
      </c>
      <c r="K61">
        <v>912</v>
      </c>
      <c r="L61">
        <f>_xlfn.XLOOKUP(F61,magnet_list!$A$2:$A$592,magnet_list!$M$2:$M$592,"n/a",0,1)</f>
        <v>50</v>
      </c>
      <c r="M61">
        <f>_xlfn.XLOOKUP(F61,magnet_list!$A$2:$A$592,magnet_list!$L$2:$L$592,"n/a",0,1)</f>
        <v>44</v>
      </c>
      <c r="R61" s="2"/>
    </row>
    <row r="62" spans="1:18">
      <c r="A62" t="s">
        <v>801</v>
      </c>
      <c r="B62" t="s">
        <v>805</v>
      </c>
      <c r="C62" t="s">
        <v>1152</v>
      </c>
      <c r="D62" t="s">
        <v>804</v>
      </c>
      <c r="E62" s="2" t="s">
        <v>1123</v>
      </c>
      <c r="F62" s="2" t="s">
        <v>1872</v>
      </c>
      <c r="G62">
        <v>0.50805699999999976</v>
      </c>
      <c r="H62">
        <v>0</v>
      </c>
      <c r="I62">
        <v>-6892.6839999999993</v>
      </c>
      <c r="J62">
        <v>-80</v>
      </c>
      <c r="K62">
        <v>190</v>
      </c>
      <c r="L62">
        <f>_xlfn.XLOOKUP(F62,magnet_list!$A$2:$A$592,magnet_list!$M$2:$M$592,"n/a",0,1)</f>
        <v>50</v>
      </c>
      <c r="M62">
        <f>_xlfn.XLOOKUP(F62,magnet_list!$A$2:$A$592,magnet_list!$L$2:$L$592,"n/a",0,1)</f>
        <v>44</v>
      </c>
    </row>
    <row r="63" spans="1:18">
      <c r="A63" t="s">
        <v>801</v>
      </c>
      <c r="B63" t="s">
        <v>805</v>
      </c>
      <c r="C63" t="s">
        <v>1152</v>
      </c>
      <c r="E63" s="2" t="s">
        <v>1872</v>
      </c>
      <c r="F63" s="2" t="s">
        <v>1872</v>
      </c>
      <c r="G63">
        <v>0.52305699999999977</v>
      </c>
      <c r="H63">
        <v>0</v>
      </c>
      <c r="I63">
        <v>-6877.6839999999993</v>
      </c>
      <c r="J63">
        <v>-80</v>
      </c>
      <c r="K63">
        <v>190</v>
      </c>
      <c r="L63">
        <f>_xlfn.XLOOKUP(F63,magnet_list!$A$2:$A$592,magnet_list!$M$2:$M$592,"n/a",0,1)</f>
        <v>50</v>
      </c>
      <c r="M63">
        <f>_xlfn.XLOOKUP(F63,magnet_list!$A$2:$A$592,magnet_list!$L$2:$L$592,"n/a",0,1)</f>
        <v>44</v>
      </c>
    </row>
    <row r="64" spans="1:18">
      <c r="A64" t="s">
        <v>801</v>
      </c>
      <c r="B64" t="s">
        <v>1152</v>
      </c>
      <c r="C64" t="s">
        <v>1152</v>
      </c>
      <c r="D64" t="s">
        <v>804</v>
      </c>
      <c r="E64" s="3" t="s">
        <v>1947</v>
      </c>
      <c r="F64" s="3" t="s">
        <v>1947</v>
      </c>
      <c r="G64">
        <f>$G$62+(I64-I62)/1000</f>
        <v>0.62805699999999975</v>
      </c>
      <c r="H64">
        <v>0</v>
      </c>
      <c r="I64">
        <f>$I$62+95+25</f>
        <v>-6772.6839999999993</v>
      </c>
      <c r="J64">
        <v>-270</v>
      </c>
      <c r="K64">
        <v>0</v>
      </c>
    </row>
    <row r="65" spans="1:18">
      <c r="A65" t="s">
        <v>798</v>
      </c>
      <c r="B65" t="s">
        <v>805</v>
      </c>
      <c r="C65" t="s">
        <v>1152</v>
      </c>
      <c r="E65" s="2" t="s">
        <v>491</v>
      </c>
      <c r="F65" s="2" t="s">
        <v>491</v>
      </c>
      <c r="G65" s="2">
        <f t="shared" ref="G65:G66" si="4">$G$112-ABS($I$112-I65)/1000</f>
        <v>0.4375520371185484</v>
      </c>
      <c r="H65">
        <v>0</v>
      </c>
      <c r="I65" s="2">
        <v>-6805.08907972</v>
      </c>
      <c r="J65">
        <v>642</v>
      </c>
      <c r="K65">
        <v>912</v>
      </c>
      <c r="L65">
        <f>_xlfn.XLOOKUP(F65,magnet_list!$A$2:$A$592,magnet_list!$M$2:$M$592,"n/a",0,1)</f>
        <v>100</v>
      </c>
      <c r="M65">
        <f>_xlfn.XLOOKUP(F65,magnet_list!$A$2:$A$592,magnet_list!$L$2:$L$592,"n/a",0,1)</f>
        <v>44</v>
      </c>
      <c r="R65" s="2"/>
    </row>
    <row r="66" spans="1:18">
      <c r="A66" t="s">
        <v>798</v>
      </c>
      <c r="B66" t="s">
        <v>805</v>
      </c>
      <c r="C66" t="s">
        <v>1152</v>
      </c>
      <c r="D66" t="s">
        <v>804</v>
      </c>
      <c r="E66" s="2" t="s">
        <v>1142</v>
      </c>
      <c r="F66" s="2" t="s">
        <v>491</v>
      </c>
      <c r="G66" s="2">
        <f t="shared" si="4"/>
        <v>0.46755203711854865</v>
      </c>
      <c r="H66">
        <v>0</v>
      </c>
      <c r="I66" s="2">
        <v>-6775.0890797200009</v>
      </c>
      <c r="J66">
        <v>642</v>
      </c>
      <c r="K66">
        <v>912</v>
      </c>
      <c r="L66">
        <f>_xlfn.XLOOKUP(F66,magnet_list!$A$2:$A$592,magnet_list!$M$2:$M$592,"n/a",0,1)</f>
        <v>100</v>
      </c>
      <c r="M66">
        <f>_xlfn.XLOOKUP(F66,magnet_list!$A$2:$A$592,magnet_list!$L$2:$L$592,"n/a",0,1)</f>
        <v>44</v>
      </c>
      <c r="R66" s="2"/>
    </row>
    <row r="67" spans="1:18">
      <c r="A67" t="s">
        <v>801</v>
      </c>
      <c r="B67" t="s">
        <v>804</v>
      </c>
      <c r="C67" t="s">
        <v>1152</v>
      </c>
      <c r="D67" t="s">
        <v>804</v>
      </c>
      <c r="E67" s="10" t="s">
        <v>1400</v>
      </c>
      <c r="F67" s="10" t="s">
        <v>1121</v>
      </c>
      <c r="G67">
        <v>0.76890309999999951</v>
      </c>
      <c r="H67">
        <v>0</v>
      </c>
      <c r="I67">
        <v>-6631.8378999999995</v>
      </c>
      <c r="J67">
        <v>-270</v>
      </c>
      <c r="K67">
        <v>0</v>
      </c>
      <c r="L67">
        <v>1889.4492</v>
      </c>
    </row>
    <row r="68" spans="1:18">
      <c r="A68" t="s">
        <v>801</v>
      </c>
      <c r="B68" t="s">
        <v>3855</v>
      </c>
      <c r="C68" t="s">
        <v>1152</v>
      </c>
      <c r="D68" t="s">
        <v>804</v>
      </c>
      <c r="E68" s="1" t="s">
        <v>2194</v>
      </c>
      <c r="F68" s="1" t="s">
        <v>2194</v>
      </c>
      <c r="G68">
        <f>$G$67+ABS($I$68-$I$67)/1000</f>
        <v>1.4049030999999994</v>
      </c>
      <c r="H68">
        <v>0</v>
      </c>
      <c r="I68">
        <f>$I$67+636</f>
        <v>-5995.8378999999995</v>
      </c>
      <c r="J68">
        <v>-270</v>
      </c>
      <c r="K68">
        <v>0</v>
      </c>
      <c r="M68">
        <f>_xlfn.XLOOKUP(F68,magnet_list!$A$2:$A$592,magnet_list!$L$2:$L$592,"n/a",0,1)</f>
        <v>120</v>
      </c>
    </row>
    <row r="69" spans="1:18">
      <c r="A69" t="s">
        <v>801</v>
      </c>
      <c r="B69" t="s">
        <v>3855</v>
      </c>
      <c r="C69" t="s">
        <v>1152</v>
      </c>
      <c r="D69" t="s">
        <v>804</v>
      </c>
      <c r="E69" s="1" t="s">
        <v>2195</v>
      </c>
      <c r="F69" s="1" t="s">
        <v>2195</v>
      </c>
      <c r="G69">
        <f>$G$67+ABS($I$68-$I$67)/1000</f>
        <v>1.4049030999999994</v>
      </c>
      <c r="H69">
        <v>0</v>
      </c>
      <c r="I69">
        <f>$I$67+636</f>
        <v>-5995.8378999999995</v>
      </c>
      <c r="J69">
        <v>-270</v>
      </c>
      <c r="K69">
        <v>0</v>
      </c>
      <c r="M69">
        <f>_xlfn.XLOOKUP(F69,magnet_list!$A$2:$A$592,magnet_list!$L$2:$L$592,"n/a",0,1)</f>
        <v>120</v>
      </c>
    </row>
    <row r="70" spans="1:18">
      <c r="A70" t="s">
        <v>798</v>
      </c>
      <c r="B70" t="s">
        <v>805</v>
      </c>
      <c r="C70" t="s">
        <v>1152</v>
      </c>
      <c r="D70" t="s">
        <v>804</v>
      </c>
      <c r="E70" s="2" t="s">
        <v>1143</v>
      </c>
      <c r="F70" s="2" t="s">
        <v>492</v>
      </c>
      <c r="G70" s="2">
        <f t="shared" ref="G70:G75" si="5">$G$112-ABS($I$112-I70)/1000</f>
        <v>0.6428662343885474</v>
      </c>
      <c r="H70">
        <v>0</v>
      </c>
      <c r="I70" s="2">
        <v>-6599.7748824500013</v>
      </c>
      <c r="J70">
        <v>642</v>
      </c>
      <c r="K70">
        <v>912</v>
      </c>
      <c r="L70">
        <f>_xlfn.XLOOKUP(F70,magnet_list!$A$2:$A$592,magnet_list!$M$2:$M$592,"n/a",0,1)</f>
        <v>50</v>
      </c>
      <c r="M70">
        <f>_xlfn.XLOOKUP(F70,magnet_list!$A$2:$A$592,magnet_list!$L$2:$L$592,"n/a",0,1)</f>
        <v>44</v>
      </c>
      <c r="R70" s="2"/>
    </row>
    <row r="71" spans="1:18">
      <c r="A71" t="s">
        <v>798</v>
      </c>
      <c r="B71" t="s">
        <v>805</v>
      </c>
      <c r="C71" t="s">
        <v>1152</v>
      </c>
      <c r="E71" s="2" t="s">
        <v>492</v>
      </c>
      <c r="F71" s="2" t="s">
        <v>492</v>
      </c>
      <c r="G71" s="2">
        <f t="shared" si="5"/>
        <v>0.64786623438854818</v>
      </c>
      <c r="H71">
        <v>0</v>
      </c>
      <c r="I71" s="2">
        <v>-6594.7748824500004</v>
      </c>
      <c r="J71">
        <v>642</v>
      </c>
      <c r="K71">
        <v>912</v>
      </c>
      <c r="L71">
        <f>_xlfn.XLOOKUP(F71,magnet_list!$A$2:$A$592,magnet_list!$M$2:$M$592,"n/a",0,1)</f>
        <v>50</v>
      </c>
      <c r="M71">
        <f>_xlfn.XLOOKUP(F71,magnet_list!$A$2:$A$592,magnet_list!$L$2:$L$592,"n/a",0,1)</f>
        <v>44</v>
      </c>
      <c r="R71" s="2"/>
    </row>
    <row r="72" spans="1:18">
      <c r="A72" t="s">
        <v>798</v>
      </c>
      <c r="B72" t="s">
        <v>1152</v>
      </c>
      <c r="C72" t="s">
        <v>1152</v>
      </c>
      <c r="D72" t="s">
        <v>804</v>
      </c>
      <c r="E72" s="3" t="s">
        <v>1930</v>
      </c>
      <c r="F72" s="3" t="s">
        <v>1930</v>
      </c>
      <c r="G72" s="2">
        <f t="shared" si="5"/>
        <v>0.76036623438854756</v>
      </c>
      <c r="H72">
        <v>0</v>
      </c>
      <c r="I72" s="2">
        <v>-6482.2748824500013</v>
      </c>
      <c r="J72">
        <v>480</v>
      </c>
      <c r="K72">
        <v>750</v>
      </c>
      <c r="R72" s="2"/>
    </row>
    <row r="73" spans="1:18">
      <c r="A73" t="s">
        <v>798</v>
      </c>
      <c r="B73" t="s">
        <v>804</v>
      </c>
      <c r="C73" t="s">
        <v>1152</v>
      </c>
      <c r="D73" t="s">
        <v>804</v>
      </c>
      <c r="E73" s="10" t="s">
        <v>1401</v>
      </c>
      <c r="F73" s="10" t="s">
        <v>1120</v>
      </c>
      <c r="G73" s="2">
        <f t="shared" si="5"/>
        <v>1.0073015168385475</v>
      </c>
      <c r="H73">
        <v>0</v>
      </c>
      <c r="I73" s="2">
        <f>$I$77-$L$77/2</f>
        <v>-6235.3396000000012</v>
      </c>
      <c r="J73">
        <v>480</v>
      </c>
      <c r="K73">
        <v>750</v>
      </c>
      <c r="L73">
        <v>1889.4492</v>
      </c>
      <c r="R73" s="2"/>
    </row>
    <row r="74" spans="1:18">
      <c r="A74" t="s">
        <v>798</v>
      </c>
      <c r="B74" t="s">
        <v>3855</v>
      </c>
      <c r="C74" t="s">
        <v>1152</v>
      </c>
      <c r="D74" t="s">
        <v>804</v>
      </c>
      <c r="E74" t="s">
        <v>2192</v>
      </c>
      <c r="F74" t="s">
        <v>3858</v>
      </c>
      <c r="G74" s="2">
        <f t="shared" si="5"/>
        <v>1.6907861168385483</v>
      </c>
      <c r="H74">
        <v>0</v>
      </c>
      <c r="I74" s="2">
        <v>-5551.8550000000005</v>
      </c>
      <c r="J74">
        <v>480</v>
      </c>
      <c r="K74">
        <v>750</v>
      </c>
      <c r="M74">
        <f>_xlfn.XLOOKUP(F74,magnet_list!$A$2:$A$592,magnet_list!$L$2:$L$592,"n/a",0,1)</f>
        <v>120</v>
      </c>
      <c r="O74">
        <f>$I$77-261.24</f>
        <v>-5551.8550000000005</v>
      </c>
      <c r="R74" s="2"/>
    </row>
    <row r="75" spans="1:18">
      <c r="A75" t="s">
        <v>798</v>
      </c>
      <c r="B75" t="s">
        <v>3855</v>
      </c>
      <c r="C75" t="s">
        <v>1152</v>
      </c>
      <c r="D75" t="s">
        <v>804</v>
      </c>
      <c r="E75" t="s">
        <v>2193</v>
      </c>
      <c r="F75" t="s">
        <v>3859</v>
      </c>
      <c r="G75" s="2">
        <f t="shared" si="5"/>
        <v>1.6907861168385483</v>
      </c>
      <c r="H75">
        <v>0</v>
      </c>
      <c r="I75" s="2">
        <v>-5551.8550000000005</v>
      </c>
      <c r="J75">
        <v>480</v>
      </c>
      <c r="K75">
        <v>750</v>
      </c>
      <c r="M75">
        <f>_xlfn.XLOOKUP(F75,magnet_list!$A$2:$A$592,magnet_list!$L$2:$L$592,"n/a",0,1)</f>
        <v>120</v>
      </c>
      <c r="R75" s="2"/>
    </row>
    <row r="76" spans="1:18">
      <c r="A76" t="s">
        <v>801</v>
      </c>
      <c r="B76" t="s">
        <v>804</v>
      </c>
      <c r="C76" t="s">
        <v>1152</v>
      </c>
      <c r="D76" t="s">
        <v>804</v>
      </c>
      <c r="E76" s="10" t="s">
        <v>1165</v>
      </c>
      <c r="F76" s="10" t="s">
        <v>1121</v>
      </c>
      <c r="G76">
        <v>1.7161330999999991</v>
      </c>
      <c r="H76">
        <v>0</v>
      </c>
      <c r="I76">
        <v>-5684.6079</v>
      </c>
      <c r="J76">
        <v>-270</v>
      </c>
      <c r="K76">
        <v>0</v>
      </c>
      <c r="L76">
        <v>1889.4492</v>
      </c>
    </row>
    <row r="77" spans="1:18">
      <c r="A77" t="s">
        <v>798</v>
      </c>
      <c r="B77" t="s">
        <v>804</v>
      </c>
      <c r="C77" t="s">
        <v>1152</v>
      </c>
      <c r="D77" t="s">
        <v>804</v>
      </c>
      <c r="E77" s="10" t="s">
        <v>1221</v>
      </c>
      <c r="F77" s="10" t="s">
        <v>1120</v>
      </c>
      <c r="G77" s="2">
        <f t="shared" ref="G77" si="6">$G$112-ABS($I$112-I77)/1000</f>
        <v>1.9520261168385482</v>
      </c>
      <c r="H77">
        <v>0</v>
      </c>
      <c r="I77" s="2">
        <v>-5290.6150000000007</v>
      </c>
      <c r="J77">
        <v>480</v>
      </c>
      <c r="K77">
        <v>750</v>
      </c>
      <c r="L77">
        <v>1889.4492</v>
      </c>
      <c r="R77" s="2"/>
    </row>
    <row r="78" spans="1:18">
      <c r="A78" t="s">
        <v>801</v>
      </c>
      <c r="B78" t="s">
        <v>804</v>
      </c>
      <c r="C78" t="s">
        <v>1152</v>
      </c>
      <c r="D78" t="s">
        <v>804</v>
      </c>
      <c r="E78" s="10" t="s">
        <v>1402</v>
      </c>
      <c r="F78" s="10" t="s">
        <v>1121</v>
      </c>
      <c r="G78">
        <v>2.6633730999999989</v>
      </c>
      <c r="H78">
        <v>0</v>
      </c>
      <c r="I78">
        <v>-4737.3679000000002</v>
      </c>
      <c r="J78">
        <v>-270</v>
      </c>
      <c r="K78">
        <v>0</v>
      </c>
      <c r="L78">
        <v>1889.4492</v>
      </c>
    </row>
    <row r="79" spans="1:18">
      <c r="A79" t="s">
        <v>801</v>
      </c>
      <c r="B79" t="s">
        <v>1152</v>
      </c>
      <c r="C79" t="s">
        <v>1152</v>
      </c>
      <c r="D79" t="s">
        <v>804</v>
      </c>
      <c r="E79" s="3" t="s">
        <v>1948</v>
      </c>
      <c r="F79" s="3" t="s">
        <v>1948</v>
      </c>
      <c r="G79">
        <f>$G$81-85/1000</f>
        <v>2.7588730999999993</v>
      </c>
      <c r="H79">
        <v>0</v>
      </c>
      <c r="I79">
        <f>$I$81-85</f>
        <v>-4641.8679000000002</v>
      </c>
      <c r="J79">
        <v>-270</v>
      </c>
      <c r="K79">
        <v>0</v>
      </c>
    </row>
    <row r="80" spans="1:18">
      <c r="A80" t="s">
        <v>801</v>
      </c>
      <c r="B80" t="s">
        <v>805</v>
      </c>
      <c r="C80" t="s">
        <v>1152</v>
      </c>
      <c r="E80" s="2" t="s">
        <v>493</v>
      </c>
      <c r="F80" s="2" t="s">
        <v>493</v>
      </c>
      <c r="G80">
        <v>2.8288730999999991</v>
      </c>
      <c r="H80">
        <v>0</v>
      </c>
      <c r="I80">
        <v>-4571.8679000000002</v>
      </c>
      <c r="J80">
        <v>-70</v>
      </c>
      <c r="K80">
        <v>200</v>
      </c>
      <c r="L80">
        <f>_xlfn.XLOOKUP(F80,magnet_list!$A$2:$A$592,magnet_list!$M$2:$M$592,"n/a",0,1)</f>
        <v>50</v>
      </c>
      <c r="M80">
        <f>_xlfn.XLOOKUP(F80,magnet_list!$A$2:$A$592,magnet_list!$L$2:$L$592,"n/a",0,1)</f>
        <v>44</v>
      </c>
    </row>
    <row r="81" spans="1:18">
      <c r="A81" t="s">
        <v>801</v>
      </c>
      <c r="B81" t="s">
        <v>805</v>
      </c>
      <c r="C81" t="s">
        <v>1152</v>
      </c>
      <c r="D81" t="s">
        <v>804</v>
      </c>
      <c r="E81" s="2" t="s">
        <v>1868</v>
      </c>
      <c r="F81" s="2" t="s">
        <v>493</v>
      </c>
      <c r="G81">
        <v>2.8438730999999993</v>
      </c>
      <c r="H81">
        <v>0</v>
      </c>
      <c r="I81">
        <v>-4556.8679000000002</v>
      </c>
      <c r="J81">
        <v>-70</v>
      </c>
      <c r="K81">
        <v>200</v>
      </c>
      <c r="L81">
        <f>_xlfn.XLOOKUP(F81,magnet_list!$A$2:$A$592,magnet_list!$M$2:$M$592,"n/a",0,1)</f>
        <v>50</v>
      </c>
      <c r="M81">
        <f>_xlfn.XLOOKUP(F81,magnet_list!$A$2:$A$592,magnet_list!$L$2:$L$592,"n/a",0,1)</f>
        <v>44</v>
      </c>
    </row>
    <row r="82" spans="1:18">
      <c r="A82" t="s">
        <v>801</v>
      </c>
      <c r="B82" t="s">
        <v>805</v>
      </c>
      <c r="C82" t="s">
        <v>1152</v>
      </c>
      <c r="E82" s="2" t="s">
        <v>494</v>
      </c>
      <c r="F82" s="2" t="s">
        <v>494</v>
      </c>
      <c r="G82">
        <v>2.9641630999999991</v>
      </c>
      <c r="H82">
        <v>0</v>
      </c>
      <c r="I82">
        <v>-4436.5779000000002</v>
      </c>
      <c r="J82">
        <v>-70</v>
      </c>
      <c r="K82">
        <v>200</v>
      </c>
      <c r="L82">
        <f>_xlfn.XLOOKUP(F82,magnet_list!$A$2:$A$592,magnet_list!$M$2:$M$592,"n/a",0,1)</f>
        <v>100</v>
      </c>
      <c r="M82">
        <f>_xlfn.XLOOKUP(F82,magnet_list!$A$2:$A$592,magnet_list!$L$2:$L$592,"n/a",0,1)</f>
        <v>44</v>
      </c>
    </row>
    <row r="83" spans="1:18">
      <c r="A83" t="s">
        <v>801</v>
      </c>
      <c r="B83" t="s">
        <v>805</v>
      </c>
      <c r="C83" t="s">
        <v>1152</v>
      </c>
      <c r="D83" t="s">
        <v>804</v>
      </c>
      <c r="E83" s="2" t="s">
        <v>1869</v>
      </c>
      <c r="F83" s="2" t="s">
        <v>494</v>
      </c>
      <c r="G83">
        <v>2.9941630999999989</v>
      </c>
      <c r="H83">
        <v>0</v>
      </c>
      <c r="I83">
        <v>-4406.5779000000002</v>
      </c>
      <c r="J83">
        <v>-70</v>
      </c>
      <c r="K83">
        <v>200</v>
      </c>
      <c r="L83">
        <f>_xlfn.XLOOKUP(F83,magnet_list!$A$2:$A$592,magnet_list!$M$2:$M$592,"n/a",0,1)</f>
        <v>100</v>
      </c>
      <c r="M83">
        <f>_xlfn.XLOOKUP(F83,magnet_list!$A$2:$A$592,magnet_list!$L$2:$L$592,"n/a",0,1)</f>
        <v>44</v>
      </c>
    </row>
    <row r="84" spans="1:18">
      <c r="A84" t="s">
        <v>801</v>
      </c>
      <c r="B84" t="s">
        <v>803</v>
      </c>
      <c r="C84" t="s">
        <v>806</v>
      </c>
      <c r="E84" t="s">
        <v>495</v>
      </c>
      <c r="F84" t="s">
        <v>495</v>
      </c>
      <c r="G84">
        <v>2.987139</v>
      </c>
      <c r="H84">
        <v>2265.83180386</v>
      </c>
      <c r="I84">
        <v>-4392.0715473299997</v>
      </c>
      <c r="J84">
        <v>180.61777132</v>
      </c>
      <c r="K84">
        <v>450.61777131999997</v>
      </c>
    </row>
    <row r="85" spans="1:18">
      <c r="A85" t="s">
        <v>798</v>
      </c>
      <c r="B85" t="s">
        <v>804</v>
      </c>
      <c r="C85" t="s">
        <v>1152</v>
      </c>
      <c r="D85" t="s">
        <v>804</v>
      </c>
      <c r="E85" s="10" t="s">
        <v>1403</v>
      </c>
      <c r="F85" s="10" t="s">
        <v>1120</v>
      </c>
      <c r="G85" s="2">
        <f t="shared" ref="G85:G86" si="7">$G$112-ABS($I$112-I85)/1000</f>
        <v>2.8967507168385485</v>
      </c>
      <c r="H85">
        <v>0</v>
      </c>
      <c r="I85" s="2">
        <f>$I$77+$L$77/2</f>
        <v>-4345.8904000000002</v>
      </c>
      <c r="J85">
        <v>480</v>
      </c>
      <c r="K85">
        <v>750</v>
      </c>
      <c r="L85">
        <v>1889.4492</v>
      </c>
      <c r="R85" s="2"/>
    </row>
    <row r="86" spans="1:18">
      <c r="A86" t="s">
        <v>798</v>
      </c>
      <c r="B86" t="s">
        <v>1152</v>
      </c>
      <c r="C86" t="s">
        <v>1152</v>
      </c>
      <c r="D86" t="s">
        <v>804</v>
      </c>
      <c r="E86" s="3" t="s">
        <v>1931</v>
      </c>
      <c r="F86" s="3" t="s">
        <v>1931</v>
      </c>
      <c r="G86" s="2">
        <f t="shared" si="7"/>
        <v>2.9888185797585476</v>
      </c>
      <c r="H86">
        <v>0</v>
      </c>
      <c r="I86" s="2">
        <v>-4253.822537080001</v>
      </c>
      <c r="J86">
        <v>480</v>
      </c>
      <c r="K86">
        <v>750</v>
      </c>
      <c r="R86" s="2"/>
    </row>
    <row r="87" spans="1:18">
      <c r="A87" t="s">
        <v>801</v>
      </c>
      <c r="B87" t="s">
        <v>805</v>
      </c>
      <c r="C87" t="s">
        <v>1152</v>
      </c>
      <c r="D87" t="s">
        <v>804</v>
      </c>
      <c r="E87" s="2" t="s">
        <v>1870</v>
      </c>
      <c r="F87" s="2" t="s">
        <v>496</v>
      </c>
      <c r="G87">
        <v>3.2032820999999996</v>
      </c>
      <c r="H87">
        <v>0</v>
      </c>
      <c r="I87">
        <v>-4197.4588999999996</v>
      </c>
      <c r="J87">
        <v>-70</v>
      </c>
      <c r="K87">
        <v>200</v>
      </c>
      <c r="L87">
        <f>_xlfn.XLOOKUP(F87,magnet_list!$A$2:$A$592,magnet_list!$M$2:$M$592,"n/a",0,1)</f>
        <v>50</v>
      </c>
      <c r="M87">
        <f>_xlfn.XLOOKUP(F87,magnet_list!$A$2:$A$592,magnet_list!$L$2:$L$592,"n/a",0,1)</f>
        <v>44</v>
      </c>
    </row>
    <row r="88" spans="1:18">
      <c r="A88" t="s">
        <v>801</v>
      </c>
      <c r="B88" t="s">
        <v>805</v>
      </c>
      <c r="C88" t="s">
        <v>1152</v>
      </c>
      <c r="E88" s="2" t="s">
        <v>496</v>
      </c>
      <c r="F88" s="2" t="s">
        <v>496</v>
      </c>
      <c r="G88">
        <v>3.2182820999999997</v>
      </c>
      <c r="H88">
        <v>0</v>
      </c>
      <c r="I88">
        <v>-4182.4588999999996</v>
      </c>
      <c r="J88">
        <v>-70</v>
      </c>
      <c r="K88">
        <v>200</v>
      </c>
      <c r="L88">
        <f>_xlfn.XLOOKUP(F88,magnet_list!$A$2:$A$592,magnet_list!$M$2:$M$592,"n/a",0,1)</f>
        <v>50</v>
      </c>
      <c r="M88">
        <f>_xlfn.XLOOKUP(F88,magnet_list!$A$2:$A$592,magnet_list!$L$2:$L$592,"n/a",0,1)</f>
        <v>44</v>
      </c>
    </row>
    <row r="89" spans="1:18">
      <c r="A89" t="s">
        <v>801</v>
      </c>
      <c r="B89" t="s">
        <v>1152</v>
      </c>
      <c r="C89" t="s">
        <v>1152</v>
      </c>
      <c r="D89" t="s">
        <v>804</v>
      </c>
      <c r="E89" s="3" t="s">
        <v>1949</v>
      </c>
      <c r="F89" s="3" t="s">
        <v>1949</v>
      </c>
      <c r="G89">
        <f>$G$97-260/1000</f>
        <v>3.4002821000000001</v>
      </c>
      <c r="H89">
        <v>0</v>
      </c>
      <c r="I89">
        <f>$I$97-260</f>
        <v>-4000.4588999999996</v>
      </c>
      <c r="J89">
        <v>-270</v>
      </c>
      <c r="K89">
        <v>0</v>
      </c>
    </row>
    <row r="90" spans="1:18">
      <c r="A90" t="s">
        <v>798</v>
      </c>
      <c r="B90" t="s">
        <v>805</v>
      </c>
      <c r="C90" t="s">
        <v>806</v>
      </c>
      <c r="E90" s="2" t="s">
        <v>497</v>
      </c>
      <c r="F90" s="2" t="s">
        <v>497</v>
      </c>
      <c r="G90" s="2">
        <f t="shared" ref="G90:G95" si="8">$G$112-ABS($I$112-I90)/1000</f>
        <v>3.0913865797585487</v>
      </c>
      <c r="H90">
        <v>0</v>
      </c>
      <c r="I90" s="2">
        <v>-4151.2545370799999</v>
      </c>
      <c r="J90">
        <v>680</v>
      </c>
      <c r="K90">
        <v>950</v>
      </c>
      <c r="L90">
        <f>_xlfn.XLOOKUP(F90,magnet_list!$A$2:$A$592,magnet_list!$M$2:$M$592,"n/a",0,1)</f>
        <v>50</v>
      </c>
      <c r="M90">
        <f>_xlfn.XLOOKUP(F90,magnet_list!$A$2:$A$592,magnet_list!$L$2:$L$592,"n/a",0,1)</f>
        <v>44</v>
      </c>
      <c r="R90" s="2"/>
    </row>
    <row r="91" spans="1:18">
      <c r="A91" t="s">
        <v>798</v>
      </c>
      <c r="B91" t="s">
        <v>805</v>
      </c>
      <c r="C91" t="s">
        <v>1152</v>
      </c>
      <c r="D91" t="s">
        <v>804</v>
      </c>
      <c r="E91" s="2" t="s">
        <v>1138</v>
      </c>
      <c r="F91" s="2" t="s">
        <v>497</v>
      </c>
      <c r="G91" s="2">
        <f t="shared" si="8"/>
        <v>3.0963865797585477</v>
      </c>
      <c r="H91">
        <v>0</v>
      </c>
      <c r="I91" s="2">
        <v>-4146.2545370800008</v>
      </c>
      <c r="J91">
        <v>680</v>
      </c>
      <c r="K91">
        <v>950</v>
      </c>
      <c r="L91">
        <f>_xlfn.XLOOKUP(F91,magnet_list!$A$2:$A$592,magnet_list!$M$2:$M$592,"n/a",0,1)</f>
        <v>50</v>
      </c>
      <c r="M91">
        <f>_xlfn.XLOOKUP(F91,magnet_list!$A$2:$A$592,magnet_list!$L$2:$L$592,"n/a",0,1)</f>
        <v>44</v>
      </c>
      <c r="R91" s="2"/>
    </row>
    <row r="92" spans="1:18">
      <c r="A92" t="s">
        <v>798</v>
      </c>
      <c r="B92" t="s">
        <v>805</v>
      </c>
      <c r="C92" t="s">
        <v>806</v>
      </c>
      <c r="E92" s="2" t="s">
        <v>498</v>
      </c>
      <c r="F92" s="2" t="s">
        <v>498</v>
      </c>
      <c r="G92" s="2">
        <f t="shared" si="8"/>
        <v>3.2410962519585484</v>
      </c>
      <c r="H92">
        <v>0</v>
      </c>
      <c r="I92" s="2">
        <v>-4001.5448648800002</v>
      </c>
      <c r="J92">
        <v>680</v>
      </c>
      <c r="K92">
        <v>950</v>
      </c>
      <c r="L92">
        <f>_xlfn.XLOOKUP(F92,magnet_list!$A$2:$A$592,magnet_list!$M$2:$M$592,"n/a",0,1)</f>
        <v>100</v>
      </c>
      <c r="M92">
        <f>_xlfn.XLOOKUP(F92,magnet_list!$A$2:$A$592,magnet_list!$L$2:$L$592,"n/a",0,1)</f>
        <v>44</v>
      </c>
      <c r="R92" s="2"/>
    </row>
    <row r="93" spans="1:18">
      <c r="A93" t="s">
        <v>798</v>
      </c>
      <c r="B93" t="s">
        <v>805</v>
      </c>
      <c r="C93" t="s">
        <v>1152</v>
      </c>
      <c r="D93" t="s">
        <v>804</v>
      </c>
      <c r="E93" s="2" t="s">
        <v>1139</v>
      </c>
      <c r="F93" s="2" t="s">
        <v>498</v>
      </c>
      <c r="G93" s="2">
        <f t="shared" si="8"/>
        <v>3.2710962519585474</v>
      </c>
      <c r="H93">
        <v>0</v>
      </c>
      <c r="I93" s="2">
        <v>-3971.5448648800011</v>
      </c>
      <c r="J93">
        <v>680</v>
      </c>
      <c r="K93">
        <v>950</v>
      </c>
      <c r="L93">
        <f>_xlfn.XLOOKUP(F93,magnet_list!$A$2:$A$592,magnet_list!$M$2:$M$592,"n/a",0,1)</f>
        <v>100</v>
      </c>
      <c r="M93">
        <f>_xlfn.XLOOKUP(F93,magnet_list!$A$2:$A$592,magnet_list!$L$2:$L$592,"n/a",0,1)</f>
        <v>44</v>
      </c>
      <c r="R93" s="2"/>
    </row>
    <row r="94" spans="1:18">
      <c r="A94" t="s">
        <v>798</v>
      </c>
      <c r="B94" t="s">
        <v>805</v>
      </c>
      <c r="C94" t="s">
        <v>1152</v>
      </c>
      <c r="D94" t="s">
        <v>804</v>
      </c>
      <c r="E94" s="2" t="s">
        <v>1140</v>
      </c>
      <c r="F94" s="2" t="s">
        <v>499</v>
      </c>
      <c r="G94" s="2">
        <f t="shared" si="8"/>
        <v>3.4465222128385475</v>
      </c>
      <c r="H94">
        <v>0</v>
      </c>
      <c r="I94" s="2">
        <v>-3796.1189040000008</v>
      </c>
      <c r="J94">
        <v>680</v>
      </c>
      <c r="K94">
        <v>950</v>
      </c>
      <c r="L94">
        <f>_xlfn.XLOOKUP(F94,magnet_list!$A$2:$A$592,magnet_list!$M$2:$M$592,"n/a",0,1)</f>
        <v>50</v>
      </c>
      <c r="M94">
        <f>_xlfn.XLOOKUP(F94,magnet_list!$A$2:$A$592,magnet_list!$L$2:$L$592,"n/a",0,1)</f>
        <v>44</v>
      </c>
      <c r="R94" s="2"/>
    </row>
    <row r="95" spans="1:18">
      <c r="A95" t="s">
        <v>798</v>
      </c>
      <c r="B95" t="s">
        <v>805</v>
      </c>
      <c r="C95" t="s">
        <v>806</v>
      </c>
      <c r="E95" s="2" t="s">
        <v>499</v>
      </c>
      <c r="F95" s="2" t="s">
        <v>499</v>
      </c>
      <c r="G95" s="2">
        <f t="shared" si="8"/>
        <v>3.4515222128385488</v>
      </c>
      <c r="H95">
        <v>0</v>
      </c>
      <c r="I95" s="2">
        <v>-3791.1189039999999</v>
      </c>
      <c r="J95">
        <v>680</v>
      </c>
      <c r="K95">
        <v>950</v>
      </c>
      <c r="L95">
        <f>_xlfn.XLOOKUP(F95,magnet_list!$A$2:$A$592,magnet_list!$M$2:$M$592,"n/a",0,1)</f>
        <v>50</v>
      </c>
      <c r="M95">
        <f>_xlfn.XLOOKUP(F95,magnet_list!$A$2:$A$592,magnet_list!$L$2:$L$592,"n/a",0,1)</f>
        <v>44</v>
      </c>
      <c r="R95" s="2"/>
    </row>
    <row r="96" spans="1:18">
      <c r="A96" t="s">
        <v>798</v>
      </c>
      <c r="B96" t="s">
        <v>1152</v>
      </c>
      <c r="C96" t="s">
        <v>1152</v>
      </c>
      <c r="D96" t="s">
        <v>804</v>
      </c>
      <c r="E96" s="3" t="s">
        <v>1932</v>
      </c>
      <c r="F96" s="3" t="s">
        <v>1932</v>
      </c>
      <c r="G96" s="2">
        <f>$G$112-ABS($I$112-I96)/1000</f>
        <v>3.6639522128385478</v>
      </c>
      <c r="H96">
        <v>0</v>
      </c>
      <c r="I96" s="2">
        <v>-3578.688904000001</v>
      </c>
      <c r="J96">
        <v>480</v>
      </c>
      <c r="K96">
        <v>750</v>
      </c>
      <c r="R96" s="2"/>
    </row>
    <row r="97" spans="1:18">
      <c r="A97" t="s">
        <v>801</v>
      </c>
      <c r="B97" t="s">
        <v>805</v>
      </c>
      <c r="C97" t="s">
        <v>1152</v>
      </c>
      <c r="D97" t="s">
        <v>804</v>
      </c>
      <c r="E97" s="2" t="s">
        <v>1147</v>
      </c>
      <c r="F97" s="2" t="s">
        <v>2367</v>
      </c>
      <c r="G97">
        <v>3.6602820999999999</v>
      </c>
      <c r="H97">
        <v>0</v>
      </c>
      <c r="I97">
        <v>-3740.4588999999996</v>
      </c>
      <c r="J97">
        <v>-95</v>
      </c>
      <c r="K97">
        <v>175</v>
      </c>
      <c r="L97">
        <f>_xlfn.XLOOKUP(F97,magnet_list!$A$2:$A$592,magnet_list!$M$2:$M$592,"n/a",0,1)</f>
        <v>100</v>
      </c>
      <c r="M97">
        <f>_xlfn.XLOOKUP(F97,magnet_list!$A$2:$A$592,magnet_list!$L$2:$L$592,"n/a",0,1)</f>
        <v>40</v>
      </c>
    </row>
    <row r="98" spans="1:18">
      <c r="A98" t="s">
        <v>797</v>
      </c>
      <c r="B98" t="s">
        <v>803</v>
      </c>
      <c r="C98" t="s">
        <v>806</v>
      </c>
      <c r="E98" t="s">
        <v>500</v>
      </c>
      <c r="F98" t="s">
        <v>500</v>
      </c>
      <c r="G98">
        <v>3.6882570000000001</v>
      </c>
      <c r="H98">
        <v>-3174.68836418</v>
      </c>
      <c r="I98">
        <v>-3702.01971331</v>
      </c>
      <c r="J98">
        <v>180.37723324000001</v>
      </c>
      <c r="K98">
        <v>450.37723324000001</v>
      </c>
    </row>
    <row r="99" spans="1:18">
      <c r="A99" t="s">
        <v>798</v>
      </c>
      <c r="B99" t="s">
        <v>805</v>
      </c>
      <c r="C99" t="s">
        <v>806</v>
      </c>
      <c r="D99" t="s">
        <v>804</v>
      </c>
      <c r="E99" s="2" t="s">
        <v>501</v>
      </c>
      <c r="F99" s="2" t="s">
        <v>501</v>
      </c>
      <c r="G99" s="2">
        <f>$G$112-ABS($I$112-I99)/1000</f>
        <v>3.914969945958549</v>
      </c>
      <c r="H99">
        <v>0</v>
      </c>
      <c r="I99" s="2">
        <v>-3327.6711708799999</v>
      </c>
      <c r="J99">
        <v>680</v>
      </c>
      <c r="K99">
        <v>950</v>
      </c>
      <c r="L99">
        <f>_xlfn.XLOOKUP(F99,magnet_list!$A$2:$A$592,magnet_list!$M$2:$M$592,"n/a",0,1)</f>
        <v>50</v>
      </c>
      <c r="M99">
        <f>_xlfn.XLOOKUP(F99,magnet_list!$A$2:$A$592,magnet_list!$L$2:$L$592,"n/a",0,1)</f>
        <v>39</v>
      </c>
      <c r="R99" s="2"/>
    </row>
    <row r="100" spans="1:18">
      <c r="A100" t="s">
        <v>801</v>
      </c>
      <c r="B100" t="s">
        <v>805</v>
      </c>
      <c r="C100" t="s">
        <v>1152</v>
      </c>
      <c r="D100" t="s">
        <v>804</v>
      </c>
      <c r="E100" s="2" t="s">
        <v>1148</v>
      </c>
      <c r="F100" s="2" t="s">
        <v>2368</v>
      </c>
      <c r="G100">
        <v>4.1602820999999999</v>
      </c>
      <c r="H100">
        <v>0</v>
      </c>
      <c r="I100">
        <v>-3240.4588999999996</v>
      </c>
      <c r="J100">
        <v>-95</v>
      </c>
      <c r="K100">
        <v>175</v>
      </c>
      <c r="L100">
        <f>_xlfn.XLOOKUP(F100,magnet_list!$A$2:$A$592,magnet_list!$M$2:$M$592,"n/a",0,1)</f>
        <v>100</v>
      </c>
      <c r="M100">
        <f>_xlfn.XLOOKUP(F100,magnet_list!$A$2:$A$592,magnet_list!$L$2:$L$592,"n/a",0,1)</f>
        <v>40</v>
      </c>
    </row>
    <row r="101" spans="1:18">
      <c r="A101" t="s">
        <v>801</v>
      </c>
      <c r="B101" t="s">
        <v>1152</v>
      </c>
      <c r="C101" t="s">
        <v>1152</v>
      </c>
      <c r="D101" t="s">
        <v>804</v>
      </c>
      <c r="E101" s="3" t="s">
        <v>1950</v>
      </c>
      <c r="F101" s="3" t="s">
        <v>1950</v>
      </c>
      <c r="G101">
        <f>$G$100+200/1000</f>
        <v>4.3602821</v>
      </c>
      <c r="H101">
        <v>0</v>
      </c>
      <c r="I101">
        <f>$I$100+200</f>
        <v>-3040.4588999999996</v>
      </c>
      <c r="J101">
        <v>-270</v>
      </c>
      <c r="K101">
        <v>0</v>
      </c>
    </row>
    <row r="102" spans="1:18">
      <c r="A102" t="s">
        <v>801</v>
      </c>
      <c r="B102" t="s">
        <v>1152</v>
      </c>
      <c r="C102" t="s">
        <v>1152</v>
      </c>
      <c r="D102" t="s">
        <v>804</v>
      </c>
      <c r="E102" s="3" t="s">
        <v>1951</v>
      </c>
      <c r="F102" s="3" t="s">
        <v>1951</v>
      </c>
      <c r="G102">
        <f>$G$100+200/1000</f>
        <v>4.3602821</v>
      </c>
      <c r="H102">
        <v>0</v>
      </c>
      <c r="I102">
        <f>$I$100+200</f>
        <v>-3040.4588999999996</v>
      </c>
      <c r="J102">
        <v>-270</v>
      </c>
      <c r="K102">
        <v>0</v>
      </c>
    </row>
    <row r="103" spans="1:18">
      <c r="A103" t="s">
        <v>801</v>
      </c>
      <c r="B103" t="s">
        <v>805</v>
      </c>
      <c r="C103" t="s">
        <v>1152</v>
      </c>
      <c r="D103" t="s">
        <v>804</v>
      </c>
      <c r="E103" s="2" t="s">
        <v>1149</v>
      </c>
      <c r="F103" s="2" t="s">
        <v>2369</v>
      </c>
      <c r="G103">
        <v>4.5602821000000002</v>
      </c>
      <c r="H103">
        <v>0</v>
      </c>
      <c r="I103">
        <v>-2840.4588999999996</v>
      </c>
      <c r="J103">
        <v>-95</v>
      </c>
      <c r="K103">
        <v>175</v>
      </c>
      <c r="L103">
        <f>_xlfn.XLOOKUP(F103,magnet_list!$A$2:$A$592,magnet_list!$M$2:$M$592,"n/a",0,1)</f>
        <v>100</v>
      </c>
      <c r="M103">
        <f>_xlfn.XLOOKUP(F103,magnet_list!$A$2:$A$592,magnet_list!$L$2:$L$592,"n/a",0,1)</f>
        <v>40</v>
      </c>
    </row>
    <row r="104" spans="1:18">
      <c r="A104" t="s">
        <v>798</v>
      </c>
      <c r="B104" t="s">
        <v>805</v>
      </c>
      <c r="C104" t="s">
        <v>806</v>
      </c>
      <c r="D104" t="s">
        <v>804</v>
      </c>
      <c r="E104" s="2" t="s">
        <v>502</v>
      </c>
      <c r="F104" s="2" t="s">
        <v>502</v>
      </c>
      <c r="G104" s="2">
        <f>$G$112-ABS($I$112-I104)/1000</f>
        <v>4.0545579202785484</v>
      </c>
      <c r="H104">
        <v>0</v>
      </c>
      <c r="I104" s="2">
        <v>-3188.08319656</v>
      </c>
      <c r="J104">
        <v>680</v>
      </c>
      <c r="K104">
        <v>950</v>
      </c>
      <c r="L104">
        <f>_xlfn.XLOOKUP(F104,magnet_list!$A$2:$A$592,magnet_list!$M$2:$M$592,"n/a",0,1)</f>
        <v>50</v>
      </c>
      <c r="M104">
        <f>_xlfn.XLOOKUP(F104,magnet_list!$A$2:$A$592,magnet_list!$L$2:$L$592,"n/a",0,1)</f>
        <v>39</v>
      </c>
      <c r="R104" s="2"/>
    </row>
    <row r="105" spans="1:18">
      <c r="A105" t="s">
        <v>798</v>
      </c>
      <c r="B105" t="s">
        <v>1152</v>
      </c>
      <c r="C105" t="s">
        <v>1152</v>
      </c>
      <c r="D105" t="s">
        <v>804</v>
      </c>
      <c r="E105" s="3" t="s">
        <v>1933</v>
      </c>
      <c r="F105" s="3" t="s">
        <v>1933</v>
      </c>
      <c r="G105" s="2">
        <f>$G$112-ABS($I$112-I105)/1000</f>
        <v>4.2575549202785474</v>
      </c>
      <c r="H105">
        <v>0</v>
      </c>
      <c r="I105" s="2">
        <v>-2985.0861965600011</v>
      </c>
      <c r="J105">
        <v>480</v>
      </c>
      <c r="K105">
        <v>750</v>
      </c>
      <c r="R105" s="2"/>
    </row>
    <row r="106" spans="1:18">
      <c r="A106" t="s">
        <v>801</v>
      </c>
      <c r="B106" t="s">
        <v>805</v>
      </c>
      <c r="C106" t="s">
        <v>1152</v>
      </c>
      <c r="D106" t="s">
        <v>804</v>
      </c>
      <c r="E106" s="2" t="s">
        <v>1150</v>
      </c>
      <c r="F106" s="2" t="s">
        <v>2370</v>
      </c>
      <c r="G106">
        <v>5.0602821000000002</v>
      </c>
      <c r="H106">
        <v>0</v>
      </c>
      <c r="I106">
        <v>-2340.4588999999996</v>
      </c>
      <c r="J106">
        <v>-95</v>
      </c>
      <c r="K106">
        <v>175</v>
      </c>
      <c r="L106">
        <f>_xlfn.XLOOKUP(F106,magnet_list!$A$2:$A$592,magnet_list!$M$2:$M$592,"n/a",0,1)</f>
        <v>100</v>
      </c>
      <c r="M106">
        <f>_xlfn.XLOOKUP(F106,magnet_list!$A$2:$A$592,magnet_list!$L$2:$L$592,"n/a",0,1)</f>
        <v>40</v>
      </c>
    </row>
    <row r="107" spans="1:18">
      <c r="A107" t="s">
        <v>801</v>
      </c>
      <c r="B107" t="s">
        <v>805</v>
      </c>
      <c r="C107" t="s">
        <v>1152</v>
      </c>
      <c r="D107" t="s">
        <v>804</v>
      </c>
      <c r="E107" s="2" t="s">
        <v>1151</v>
      </c>
      <c r="F107" s="2" t="s">
        <v>2371</v>
      </c>
      <c r="G107">
        <v>5.4277980999999995</v>
      </c>
      <c r="H107">
        <v>0</v>
      </c>
      <c r="I107">
        <v>-1972.9429</v>
      </c>
      <c r="J107">
        <v>-220</v>
      </c>
      <c r="K107">
        <v>50</v>
      </c>
      <c r="L107">
        <f>_xlfn.XLOOKUP(F107,magnet_list!$A$2:$A$592,magnet_list!$M$2:$M$592,"n/a",0,1)</f>
        <v>100</v>
      </c>
      <c r="M107">
        <f>_xlfn.XLOOKUP(F107,magnet_list!$A$2:$A$592,magnet_list!$L$2:$L$592,"n/a",0,1)</f>
        <v>30</v>
      </c>
    </row>
    <row r="108" spans="1:18">
      <c r="A108" t="s">
        <v>798</v>
      </c>
      <c r="B108" t="s">
        <v>805</v>
      </c>
      <c r="C108" t="s">
        <v>1152</v>
      </c>
      <c r="E108" s="2" t="s">
        <v>503</v>
      </c>
      <c r="F108" s="2" t="s">
        <v>2372</v>
      </c>
      <c r="G108" s="2">
        <f>$G$112-ABS($I$112-$I$108)/1000</f>
        <v>4.5630597403585487</v>
      </c>
      <c r="H108" s="1">
        <v>-170</v>
      </c>
      <c r="I108" s="2">
        <v>-2679.58137648</v>
      </c>
      <c r="J108" s="1">
        <v>480</v>
      </c>
      <c r="K108" s="1">
        <v>750</v>
      </c>
      <c r="L108">
        <f>_xlfn.XLOOKUP(F108,magnet_list!$A$2:$A$592,magnet_list!$M$2:$M$592,"n/a",0,1)</f>
        <v>162</v>
      </c>
      <c r="M108">
        <f>_xlfn.XLOOKUP(F108,magnet_list!$A$2:$A$592,magnet_list!$L$2:$L$592,"n/a",0,1)</f>
        <v>25</v>
      </c>
      <c r="R108" s="2"/>
    </row>
    <row r="109" spans="1:18">
      <c r="A109" t="s">
        <v>798</v>
      </c>
      <c r="B109" t="s">
        <v>805</v>
      </c>
      <c r="C109" t="s">
        <v>1152</v>
      </c>
      <c r="E109" s="2" t="s">
        <v>504</v>
      </c>
      <c r="F109" s="2" t="s">
        <v>2372</v>
      </c>
      <c r="G109" s="2">
        <v>4.6130673002685487</v>
      </c>
      <c r="H109" s="1">
        <v>-170</v>
      </c>
      <c r="I109" s="2">
        <v>-2670.2508046500002</v>
      </c>
      <c r="J109" s="1">
        <v>388.65</v>
      </c>
      <c r="K109" s="1">
        <v>658.65</v>
      </c>
      <c r="L109">
        <f>_xlfn.XLOOKUP(F109,magnet_list!$A$2:$A$592,magnet_list!$M$2:$M$592,"n/a",0,1)</f>
        <v>162</v>
      </c>
      <c r="M109">
        <f>_xlfn.XLOOKUP(F109,magnet_list!$A$2:$A$592,magnet_list!$L$2:$L$592,"n/a",0,1)</f>
        <v>25</v>
      </c>
      <c r="R109" s="2"/>
    </row>
    <row r="110" spans="1:18">
      <c r="A110" t="s">
        <v>798</v>
      </c>
      <c r="B110" t="s">
        <v>805</v>
      </c>
      <c r="C110" t="s">
        <v>1152</v>
      </c>
      <c r="E110" s="2" t="s">
        <v>505</v>
      </c>
      <c r="F110" s="2" t="s">
        <v>2372</v>
      </c>
      <c r="G110" s="2">
        <v>4.6130673002685487</v>
      </c>
      <c r="H110" s="1">
        <v>-170</v>
      </c>
      <c r="I110" s="2">
        <v>-2629.5959852999999</v>
      </c>
      <c r="J110" s="1">
        <v>380</v>
      </c>
      <c r="K110" s="1">
        <v>650</v>
      </c>
      <c r="L110">
        <f>_xlfn.XLOOKUP(F110,magnet_list!$A$2:$A$592,magnet_list!$M$2:$M$592,"n/a",0,1)</f>
        <v>162</v>
      </c>
      <c r="M110">
        <f>_xlfn.XLOOKUP(F110,magnet_list!$A$2:$A$592,magnet_list!$L$2:$L$592,"n/a",0,1)</f>
        <v>25</v>
      </c>
      <c r="R110" s="2"/>
    </row>
    <row r="111" spans="1:18">
      <c r="A111" t="s">
        <v>798</v>
      </c>
      <c r="B111" t="s">
        <v>805</v>
      </c>
      <c r="C111" t="s">
        <v>1152</v>
      </c>
      <c r="E111" s="2" t="s">
        <v>506</v>
      </c>
      <c r="F111" s="2" t="s">
        <v>2372</v>
      </c>
      <c r="G111" s="2">
        <v>4.6130673002685487</v>
      </c>
      <c r="H111" s="1">
        <v>-170</v>
      </c>
      <c r="I111" s="2">
        <v>-2629.57381657</v>
      </c>
      <c r="J111" s="1">
        <v>480</v>
      </c>
      <c r="K111" s="1">
        <v>750</v>
      </c>
      <c r="L111">
        <f>_xlfn.XLOOKUP(F111,magnet_list!$A$2:$A$592,magnet_list!$M$2:$M$592,"n/a",0,1)</f>
        <v>162</v>
      </c>
      <c r="M111">
        <f>_xlfn.XLOOKUP(F111,magnet_list!$A$2:$A$592,magnet_list!$L$2:$L$592,"n/a",0,1)</f>
        <v>25</v>
      </c>
      <c r="R111" s="2"/>
    </row>
    <row r="112" spans="1:18">
      <c r="A112" t="s">
        <v>798</v>
      </c>
      <c r="B112" t="s">
        <v>805</v>
      </c>
      <c r="C112" t="s">
        <v>1152</v>
      </c>
      <c r="D112" t="s">
        <v>804</v>
      </c>
      <c r="E112" s="2" t="s">
        <v>1386</v>
      </c>
      <c r="F112" s="2" t="s">
        <v>2372</v>
      </c>
      <c r="G112" s="2">
        <f>$G$132-SQRT(($I$132-I112)^2+($J$132-J112)^2)/1000</f>
        <v>4.6130673002685487</v>
      </c>
      <c r="H112" s="1">
        <v>0</v>
      </c>
      <c r="I112" s="2">
        <v>-2629.57381657</v>
      </c>
      <c r="J112" s="1">
        <v>480</v>
      </c>
      <c r="K112" s="1">
        <v>750</v>
      </c>
      <c r="L112">
        <f>_xlfn.XLOOKUP(F112,magnet_list!$A$2:$A$592,magnet_list!$M$2:$M$592,"n/a",0,1)</f>
        <v>162</v>
      </c>
      <c r="M112">
        <f>_xlfn.XLOOKUP(F112,magnet_list!$A$2:$A$592,magnet_list!$L$2:$L$592,"n/a",0,1)</f>
        <v>25</v>
      </c>
      <c r="R112" s="2"/>
    </row>
    <row r="113" spans="1:18">
      <c r="A113" t="s">
        <v>798</v>
      </c>
      <c r="B113" t="s">
        <v>805</v>
      </c>
      <c r="C113" t="s">
        <v>1152</v>
      </c>
      <c r="E113" s="2" t="s">
        <v>507</v>
      </c>
      <c r="F113" s="2" t="s">
        <v>2372</v>
      </c>
      <c r="G113" s="2">
        <v>4.6130673002685487</v>
      </c>
      <c r="H113" s="1">
        <v>-170</v>
      </c>
      <c r="I113" s="2">
        <v>-2629.5688501599998</v>
      </c>
      <c r="J113" s="1">
        <v>580</v>
      </c>
      <c r="K113" s="1">
        <v>850</v>
      </c>
      <c r="L113">
        <f>_xlfn.XLOOKUP(F113,magnet_list!$A$2:$A$592,magnet_list!$M$2:$M$592,"n/a",0,1)</f>
        <v>162</v>
      </c>
      <c r="M113">
        <f>_xlfn.XLOOKUP(F113,magnet_list!$A$2:$A$592,magnet_list!$L$2:$L$592,"n/a",0,1)</f>
        <v>25</v>
      </c>
      <c r="R113" s="2"/>
    </row>
    <row r="114" spans="1:18">
      <c r="A114" t="s">
        <v>798</v>
      </c>
      <c r="B114" t="s">
        <v>805</v>
      </c>
      <c r="C114" t="s">
        <v>1152</v>
      </c>
      <c r="E114" s="2" t="s">
        <v>508</v>
      </c>
      <c r="F114" s="2" t="s">
        <v>2372</v>
      </c>
      <c r="G114" s="2">
        <v>4.6130673002685487</v>
      </c>
      <c r="H114" s="1">
        <v>-170</v>
      </c>
      <c r="I114" s="2">
        <v>-2588.8946322900001</v>
      </c>
      <c r="J114" s="1">
        <v>571.35</v>
      </c>
      <c r="K114" s="1">
        <v>841.35</v>
      </c>
      <c r="L114">
        <f>_xlfn.XLOOKUP(F114,magnet_list!$A$2:$A$592,magnet_list!$M$2:$M$592,"n/a",0,1)</f>
        <v>162</v>
      </c>
      <c r="M114">
        <f>_xlfn.XLOOKUP(F114,magnet_list!$A$2:$A$592,magnet_list!$L$2:$L$592,"n/a",0,1)</f>
        <v>25</v>
      </c>
      <c r="R114" s="2"/>
    </row>
    <row r="115" spans="1:18">
      <c r="A115" t="s">
        <v>798</v>
      </c>
      <c r="B115" t="s">
        <v>805</v>
      </c>
      <c r="C115" t="s">
        <v>1152</v>
      </c>
      <c r="E115" s="2" t="s">
        <v>509</v>
      </c>
      <c r="F115" s="2" t="s">
        <v>2372</v>
      </c>
      <c r="G115" s="2">
        <f>$G$112+ABS($I$115-$I$112)/1000</f>
        <v>4.6630728226485489</v>
      </c>
      <c r="H115" s="1">
        <v>-170</v>
      </c>
      <c r="I115" s="2">
        <v>-2579.56829419</v>
      </c>
      <c r="J115" s="1">
        <v>480</v>
      </c>
      <c r="K115" s="1">
        <v>750</v>
      </c>
      <c r="L115">
        <f>_xlfn.XLOOKUP(F115,magnet_list!$A$2:$A$592,magnet_list!$M$2:$M$592,"n/a",0,1)</f>
        <v>162</v>
      </c>
      <c r="M115">
        <f>_xlfn.XLOOKUP(F115,magnet_list!$A$2:$A$592,magnet_list!$L$2:$L$592,"n/a",0,1)</f>
        <v>25</v>
      </c>
      <c r="R115" s="2"/>
    </row>
    <row r="116" spans="1:18">
      <c r="A116" t="s">
        <v>798</v>
      </c>
      <c r="B116" t="s">
        <v>1152</v>
      </c>
      <c r="C116" t="s">
        <v>1152</v>
      </c>
      <c r="D116" t="s">
        <v>804</v>
      </c>
      <c r="E116" s="3" t="s">
        <v>1934</v>
      </c>
      <c r="F116" s="3" t="s">
        <v>1934</v>
      </c>
      <c r="G116" s="2">
        <f>$G$132-SQRT(($I$132-I116)^2+($J$132-J116)^2)/1000</f>
        <v>4.940041529350184</v>
      </c>
      <c r="H116" s="1">
        <v>0</v>
      </c>
      <c r="I116" s="2">
        <v>-2330.8678165699998</v>
      </c>
      <c r="J116" s="1">
        <f>K116-270</f>
        <v>347.00800000000004</v>
      </c>
      <c r="K116" s="1">
        <v>617.00800000000004</v>
      </c>
      <c r="R116" s="2"/>
    </row>
    <row r="117" spans="1:18">
      <c r="A117" t="s">
        <v>798</v>
      </c>
      <c r="B117" t="s">
        <v>805</v>
      </c>
      <c r="C117" t="s">
        <v>1152</v>
      </c>
      <c r="D117" t="s">
        <v>804</v>
      </c>
      <c r="E117" s="2" t="s">
        <v>1873</v>
      </c>
      <c r="F117" s="2" t="s">
        <v>2373</v>
      </c>
      <c r="G117" s="2">
        <f>$G$132-SQRT(($I$132-I117)^2+($J$132-J117)^2)/1000</f>
        <v>5.0850728853539255</v>
      </c>
      <c r="H117" s="1">
        <v>0</v>
      </c>
      <c r="I117" s="2">
        <f>($I$119+$I$118)/2-190*SIN(24/180*PI())</f>
        <v>-2198.369039874402</v>
      </c>
      <c r="J117" s="1">
        <f>K117-270</f>
        <v>288.03200000000004</v>
      </c>
      <c r="K117" s="1">
        <v>558.03200000000004</v>
      </c>
      <c r="L117">
        <f>_xlfn.XLOOKUP(F117,magnet_list!$A$2:$A$592,magnet_list!$M$2:$M$592,"n/a",0,1)</f>
        <v>160</v>
      </c>
      <c r="M117">
        <f>_xlfn.XLOOKUP(F117,magnet_list!$A$2:$A$592,magnet_list!$L$2:$L$592,"n/a",0,1)</f>
        <v>44</v>
      </c>
      <c r="R117" s="2"/>
    </row>
    <row r="118" spans="1:18">
      <c r="A118" t="s">
        <v>798</v>
      </c>
      <c r="B118" t="s">
        <v>805</v>
      </c>
      <c r="C118" t="s">
        <v>806</v>
      </c>
      <c r="E118" s="2" t="s">
        <v>510</v>
      </c>
      <c r="F118" s="2" t="s">
        <v>2373</v>
      </c>
      <c r="G118" s="2">
        <f>$G$117+ABS($I$118-$I$117)/1000</f>
        <v>5.1166772209583273</v>
      </c>
      <c r="H118" s="1">
        <v>-50</v>
      </c>
      <c r="I118" s="2">
        <v>-2166.76470427</v>
      </c>
      <c r="J118" s="1">
        <f>K118-270</f>
        <v>481.94299999999998</v>
      </c>
      <c r="K118" s="1">
        <v>751.94299999999998</v>
      </c>
      <c r="L118">
        <f>_xlfn.XLOOKUP(F118,magnet_list!$A$2:$A$592,magnet_list!$M$2:$M$592,"n/a",0,1)</f>
        <v>160</v>
      </c>
      <c r="M118">
        <f>_xlfn.XLOOKUP(F118,magnet_list!$A$2:$A$592,magnet_list!$L$2:$L$592,"n/a",0,1)</f>
        <v>44</v>
      </c>
      <c r="R118" s="2"/>
    </row>
    <row r="119" spans="1:18">
      <c r="A119" t="s">
        <v>798</v>
      </c>
      <c r="B119" t="s">
        <v>805</v>
      </c>
      <c r="C119" t="s">
        <v>806</v>
      </c>
      <c r="E119" s="2" t="s">
        <v>511</v>
      </c>
      <c r="F119" s="2" t="s">
        <v>2373</v>
      </c>
      <c r="G119" s="2">
        <f>$G$117+ABS($I$119-$I$117)/1000</f>
        <v>5.2080284741183274</v>
      </c>
      <c r="H119" s="1">
        <v>50</v>
      </c>
      <c r="I119" s="2">
        <v>-2075.4134511100001</v>
      </c>
      <c r="J119" s="1">
        <f t="shared" ref="J119:J137" si="9">K119-270</f>
        <v>441.27</v>
      </c>
      <c r="K119" s="1">
        <v>711.27</v>
      </c>
      <c r="L119">
        <f>_xlfn.XLOOKUP(F119,magnet_list!$A$2:$A$592,magnet_list!$M$2:$M$592,"n/a",0,1)</f>
        <v>160</v>
      </c>
      <c r="M119">
        <f>_xlfn.XLOOKUP(F119,magnet_list!$A$2:$A$592,magnet_list!$L$2:$L$592,"n/a",0,1)</f>
        <v>44</v>
      </c>
      <c r="R119" s="2"/>
    </row>
    <row r="120" spans="1:18">
      <c r="A120" t="s">
        <v>798</v>
      </c>
      <c r="B120" t="s">
        <v>1152</v>
      </c>
      <c r="C120" t="s">
        <v>1152</v>
      </c>
      <c r="D120" t="s">
        <v>804</v>
      </c>
      <c r="E120" s="3" t="s">
        <v>3714</v>
      </c>
      <c r="F120" s="3" t="s">
        <v>3714</v>
      </c>
      <c r="G120" s="2">
        <f>$G$132-SQRT(($I$132-I120)^2+($J$132-J120)^2)/1000</f>
        <v>5.3900417772060605</v>
      </c>
      <c r="H120" s="1">
        <v>0</v>
      </c>
      <c r="I120" s="2">
        <v>-1919.7723165699999</v>
      </c>
      <c r="J120" s="1">
        <f t="shared" si="9"/>
        <v>163.976</v>
      </c>
      <c r="K120" s="1">
        <v>433.976</v>
      </c>
      <c r="R120" s="2"/>
    </row>
    <row r="121" spans="1:18">
      <c r="A121" t="s">
        <v>798</v>
      </c>
      <c r="B121" t="s">
        <v>805</v>
      </c>
      <c r="C121" t="s">
        <v>1152</v>
      </c>
      <c r="D121" t="s">
        <v>804</v>
      </c>
      <c r="E121" s="2" t="s">
        <v>1874</v>
      </c>
      <c r="F121" s="2" t="s">
        <v>2374</v>
      </c>
      <c r="G121" s="2">
        <f>$G$132-SQRT(($I$132-I121)^2+($J$132-J121)^2)/1000</f>
        <v>5.5350491297012745</v>
      </c>
      <c r="H121" s="1">
        <v>0</v>
      </c>
      <c r="I121" s="2">
        <f>($I$123+$I$122)/2-190*SIN(24/180*PI())</f>
        <v>-1787.2998148844019</v>
      </c>
      <c r="J121" s="1">
        <f>K121-270</f>
        <v>105</v>
      </c>
      <c r="K121" s="1">
        <v>375</v>
      </c>
      <c r="L121">
        <f>_xlfn.XLOOKUP(F121,magnet_list!$A$2:$A$592,magnet_list!$M$2:$M$592,"n/a",0,1)</f>
        <v>160</v>
      </c>
      <c r="M121">
        <f>_xlfn.XLOOKUP(F121,magnet_list!$A$2:$A$592,magnet_list!$L$2:$L$592,"n/a",0,1)</f>
        <v>44</v>
      </c>
      <c r="R121" s="2"/>
    </row>
    <row r="122" spans="1:18">
      <c r="A122" t="s">
        <v>798</v>
      </c>
      <c r="B122" t="s">
        <v>805</v>
      </c>
      <c r="C122" t="s">
        <v>806</v>
      </c>
      <c r="E122" s="2" t="s">
        <v>512</v>
      </c>
      <c r="F122" s="2" t="s">
        <v>2374</v>
      </c>
      <c r="G122" s="2">
        <f>$G$121+ABS($I$122-$I$121)/1000</f>
        <v>5.5666404744256761</v>
      </c>
      <c r="H122" s="1">
        <v>-50</v>
      </c>
      <c r="I122" s="2">
        <v>-1755.7084701599999</v>
      </c>
      <c r="J122" s="1">
        <f t="shared" si="9"/>
        <v>298.91200000000003</v>
      </c>
      <c r="K122" s="1">
        <v>568.91200000000003</v>
      </c>
      <c r="L122">
        <f>_xlfn.XLOOKUP(F122,magnet_list!$A$2:$A$592,magnet_list!$M$2:$M$592,"n/a",0,1)</f>
        <v>160</v>
      </c>
      <c r="M122">
        <f>_xlfn.XLOOKUP(F122,magnet_list!$A$2:$A$592,magnet_list!$L$2:$L$592,"n/a",0,1)</f>
        <v>44</v>
      </c>
      <c r="R122" s="2"/>
    </row>
    <row r="123" spans="1:18">
      <c r="A123" t="s">
        <v>798</v>
      </c>
      <c r="B123" t="s">
        <v>805</v>
      </c>
      <c r="C123" t="s">
        <v>806</v>
      </c>
      <c r="E123" s="2" t="s">
        <v>513</v>
      </c>
      <c r="F123" s="2" t="s">
        <v>2374</v>
      </c>
      <c r="G123" s="2">
        <f>$G$121+ABS($I$123-$I$121)/1000</f>
        <v>5.6580177093456765</v>
      </c>
      <c r="H123" s="1">
        <v>50</v>
      </c>
      <c r="I123" s="2">
        <v>-1664.3312352400001</v>
      </c>
      <c r="J123" s="1">
        <f t="shared" si="9"/>
        <v>258.23800000000006</v>
      </c>
      <c r="K123" s="1">
        <v>528.23800000000006</v>
      </c>
      <c r="L123">
        <f>_xlfn.XLOOKUP(F123,magnet_list!$A$2:$A$592,magnet_list!$M$2:$M$592,"n/a",0,1)</f>
        <v>160</v>
      </c>
      <c r="M123">
        <f>_xlfn.XLOOKUP(F123,magnet_list!$A$2:$A$592,magnet_list!$L$2:$L$592,"n/a",0,1)</f>
        <v>44</v>
      </c>
      <c r="R123" s="2"/>
    </row>
    <row r="124" spans="1:18">
      <c r="A124" t="s">
        <v>798</v>
      </c>
      <c r="B124" t="s">
        <v>1152</v>
      </c>
      <c r="C124" t="s">
        <v>1152</v>
      </c>
      <c r="D124" t="s">
        <v>804</v>
      </c>
      <c r="E124" s="3" t="s">
        <v>3861</v>
      </c>
      <c r="F124" s="3" t="s">
        <v>3861</v>
      </c>
      <c r="G124" s="2">
        <f>$G$132-SQRT(($I$132-$I$124)^2+($J$132-$J$124)^2)/1000</f>
        <v>5.7475382123097889</v>
      </c>
      <c r="H124" s="1">
        <v>0</v>
      </c>
      <c r="I124" s="2">
        <v>-1593.18311657</v>
      </c>
      <c r="J124" s="1">
        <f t="shared" si="9"/>
        <v>18.569000000000017</v>
      </c>
      <c r="K124" s="1">
        <v>288.56900000000002</v>
      </c>
      <c r="R124" s="2"/>
    </row>
    <row r="125" spans="1:18">
      <c r="A125" t="s">
        <v>798</v>
      </c>
      <c r="B125" t="s">
        <v>805</v>
      </c>
      <c r="C125" t="s">
        <v>1152</v>
      </c>
      <c r="D125" t="s">
        <v>804</v>
      </c>
      <c r="E125" s="2" t="s">
        <v>1875</v>
      </c>
      <c r="F125" s="2" t="s">
        <v>2375</v>
      </c>
      <c r="G125" s="2">
        <f>$G$132-SQRT(($I$132-$I$125)^2+($J$132-$J$125)^2)/1000</f>
        <v>5.9850326889146794</v>
      </c>
      <c r="H125" s="1">
        <v>0</v>
      </c>
      <c r="I125" s="2">
        <f>($I$127+$I$126)/2-190*SIN(24/180*PI())</f>
        <v>-1376.2221371794019</v>
      </c>
      <c r="J125" s="1">
        <f>K125-270</f>
        <v>-78.031000000000006</v>
      </c>
      <c r="K125" s="1">
        <v>191.96899999999999</v>
      </c>
      <c r="L125">
        <f>_xlfn.XLOOKUP(F125,magnet_list!$A$2:$A$592,magnet_list!$M$2:$M$592,"n/a",0,1)</f>
        <v>160</v>
      </c>
      <c r="M125">
        <f>_xlfn.XLOOKUP(F125,magnet_list!$A$2:$A$592,magnet_list!$L$2:$L$592,"n/a",0,1)</f>
        <v>44</v>
      </c>
      <c r="R125" s="2"/>
    </row>
    <row r="126" spans="1:18">
      <c r="A126" t="s">
        <v>798</v>
      </c>
      <c r="B126" t="s">
        <v>805</v>
      </c>
      <c r="C126" t="s">
        <v>806</v>
      </c>
      <c r="E126" s="2" t="s">
        <v>514</v>
      </c>
      <c r="F126" s="2" t="s">
        <v>2375</v>
      </c>
      <c r="G126" s="2">
        <f>$G$125+ABS($I$126-$I$125)/1000</f>
        <v>6.0166105658240818</v>
      </c>
      <c r="H126" s="1">
        <v>-50</v>
      </c>
      <c r="I126" s="2">
        <v>-1344.6442602699999</v>
      </c>
      <c r="J126" s="1">
        <f t="shared" si="9"/>
        <v>115.88</v>
      </c>
      <c r="K126" s="1">
        <v>385.88</v>
      </c>
      <c r="L126">
        <f>_xlfn.XLOOKUP(F126,magnet_list!$A$2:$A$592,magnet_list!$M$2:$M$592,"n/a",0,1)</f>
        <v>160</v>
      </c>
      <c r="M126">
        <f>_xlfn.XLOOKUP(F126,magnet_list!$A$2:$A$592,magnet_list!$L$2:$L$592,"n/a",0,1)</f>
        <v>44</v>
      </c>
      <c r="R126" s="2"/>
    </row>
    <row r="127" spans="1:18">
      <c r="A127" t="s">
        <v>798</v>
      </c>
      <c r="B127" t="s">
        <v>805</v>
      </c>
      <c r="C127" t="s">
        <v>806</v>
      </c>
      <c r="E127" s="2" t="s">
        <v>515</v>
      </c>
      <c r="F127" s="2" t="s">
        <v>2375</v>
      </c>
      <c r="G127" s="2">
        <f>$G$125+ABS($I$127-$I$125)/1000</f>
        <v>6.1080147363740815</v>
      </c>
      <c r="H127" s="1">
        <v>50</v>
      </c>
      <c r="I127" s="2">
        <v>-1253.24008972</v>
      </c>
      <c r="J127" s="1">
        <f t="shared" si="9"/>
        <v>75.206999999999994</v>
      </c>
      <c r="K127" s="1">
        <v>345.20699999999999</v>
      </c>
      <c r="L127">
        <f>_xlfn.XLOOKUP(F127,magnet_list!$A$2:$A$592,magnet_list!$M$2:$M$592,"n/a",0,1)</f>
        <v>160</v>
      </c>
      <c r="M127">
        <f>_xlfn.XLOOKUP(F127,magnet_list!$A$2:$A$592,magnet_list!$L$2:$L$592,"n/a",0,1)</f>
        <v>44</v>
      </c>
      <c r="R127" s="2"/>
    </row>
    <row r="128" spans="1:18">
      <c r="A128" t="s">
        <v>798</v>
      </c>
      <c r="B128" t="s">
        <v>805</v>
      </c>
      <c r="C128" t="s">
        <v>1152</v>
      </c>
      <c r="E128" s="2" t="s">
        <v>520</v>
      </c>
      <c r="F128" s="2" t="s">
        <v>2376</v>
      </c>
      <c r="G128" s="2">
        <f>$G$132-ABS($I$132-$I$128)/1000</f>
        <v>6.4070715098899997</v>
      </c>
      <c r="H128" s="1">
        <v>-170</v>
      </c>
      <c r="I128" s="2">
        <v>-994.98209049000002</v>
      </c>
      <c r="J128" s="1">
        <f>K128-270</f>
        <v>-270</v>
      </c>
      <c r="K128" s="1">
        <v>0</v>
      </c>
      <c r="L128">
        <f>_xlfn.XLOOKUP(F128,magnet_list!$A$2:$A$592,magnet_list!$M$2:$M$592,"n/a",0,1)</f>
        <v>162</v>
      </c>
      <c r="M128">
        <f>_xlfn.XLOOKUP(F128,magnet_list!$A$2:$A$592,magnet_list!$L$2:$L$592,"n/a",0,1)</f>
        <v>25</v>
      </c>
      <c r="R128" s="2"/>
    </row>
    <row r="129" spans="1:18">
      <c r="A129" t="s">
        <v>798</v>
      </c>
      <c r="B129" t="s">
        <v>805</v>
      </c>
      <c r="C129" t="s">
        <v>1152</v>
      </c>
      <c r="E129" s="2" t="s">
        <v>517</v>
      </c>
      <c r="F129" s="2" t="s">
        <v>2376</v>
      </c>
      <c r="G129" s="2">
        <v>6.4570644793099996</v>
      </c>
      <c r="H129" s="1">
        <v>-170</v>
      </c>
      <c r="I129" s="2">
        <v>-985.67010755000001</v>
      </c>
      <c r="J129" s="1">
        <f>K129-270</f>
        <v>-361.35399999999998</v>
      </c>
      <c r="K129" s="1">
        <v>-91.353999999999999</v>
      </c>
      <c r="L129">
        <f>_xlfn.XLOOKUP(F129,magnet_list!$A$2:$A$592,magnet_list!$M$2:$M$592,"n/a",0,1)</f>
        <v>162</v>
      </c>
      <c r="M129">
        <f>_xlfn.XLOOKUP(F129,magnet_list!$A$2:$A$592,magnet_list!$L$2:$L$592,"n/a",0,1)</f>
        <v>25</v>
      </c>
      <c r="R129" s="2"/>
    </row>
    <row r="130" spans="1:18">
      <c r="A130" t="s">
        <v>798</v>
      </c>
      <c r="B130" t="s">
        <v>805</v>
      </c>
      <c r="C130" t="s">
        <v>1152</v>
      </c>
      <c r="E130" s="2" t="s">
        <v>516</v>
      </c>
      <c r="F130" s="2" t="s">
        <v>2376</v>
      </c>
      <c r="G130" s="2">
        <v>6.4570644793099996</v>
      </c>
      <c r="H130" s="1">
        <v>-170</v>
      </c>
      <c r="I130" s="2">
        <v>-944.99406352999995</v>
      </c>
      <c r="J130" s="1">
        <f t="shared" si="9"/>
        <v>-370</v>
      </c>
      <c r="K130" s="1">
        <v>-100</v>
      </c>
      <c r="L130">
        <f>_xlfn.XLOOKUP(F130,magnet_list!$A$2:$A$592,magnet_list!$M$2:$M$592,"n/a",0,1)</f>
        <v>162</v>
      </c>
      <c r="M130">
        <f>_xlfn.XLOOKUP(F130,magnet_list!$A$2:$A$592,magnet_list!$L$2:$L$592,"n/a",0,1)</f>
        <v>25</v>
      </c>
      <c r="R130" s="2"/>
    </row>
    <row r="131" spans="1:18">
      <c r="A131" t="s">
        <v>798</v>
      </c>
      <c r="B131" t="s">
        <v>805</v>
      </c>
      <c r="C131" t="s">
        <v>1152</v>
      </c>
      <c r="E131" s="2" t="s">
        <v>519</v>
      </c>
      <c r="F131" s="2" t="s">
        <v>2376</v>
      </c>
      <c r="G131" s="2">
        <v>6.4570644793099996</v>
      </c>
      <c r="H131" s="1">
        <v>-170</v>
      </c>
      <c r="I131" s="2">
        <v>-944.98912107000001</v>
      </c>
      <c r="J131" s="1">
        <f t="shared" si="9"/>
        <v>-270</v>
      </c>
      <c r="K131" s="1">
        <v>0</v>
      </c>
      <c r="L131">
        <f>_xlfn.XLOOKUP(F131,magnet_list!$A$2:$A$592,magnet_list!$M$2:$M$592,"n/a",0,1)</f>
        <v>162</v>
      </c>
      <c r="M131">
        <f>_xlfn.XLOOKUP(F131,magnet_list!$A$2:$A$592,magnet_list!$L$2:$L$592,"n/a",0,1)</f>
        <v>25</v>
      </c>
      <c r="R131" s="2"/>
    </row>
    <row r="132" spans="1:18">
      <c r="A132" t="s">
        <v>798</v>
      </c>
      <c r="B132" t="s">
        <v>805</v>
      </c>
      <c r="C132" t="s">
        <v>1152</v>
      </c>
      <c r="D132" t="s">
        <v>804</v>
      </c>
      <c r="E132" s="2" t="s">
        <v>1387</v>
      </c>
      <c r="F132" s="2" t="s">
        <v>2376</v>
      </c>
      <c r="G132" s="2">
        <v>6.4570644793099996</v>
      </c>
      <c r="H132" s="1">
        <v>0</v>
      </c>
      <c r="I132" s="2">
        <v>-944.98912107000001</v>
      </c>
      <c r="J132" s="1">
        <f t="shared" si="9"/>
        <v>-270</v>
      </c>
      <c r="K132" s="1">
        <v>0</v>
      </c>
      <c r="L132">
        <f>_xlfn.XLOOKUP(F132,magnet_list!$A$2:$A$592,magnet_list!$M$2:$M$592,"n/a",0,1)</f>
        <v>162</v>
      </c>
      <c r="M132">
        <f>_xlfn.XLOOKUP(F132,magnet_list!$A$2:$A$592,magnet_list!$L$2:$L$592,"n/a",0,1)</f>
        <v>25</v>
      </c>
      <c r="R132" s="2"/>
    </row>
    <row r="133" spans="1:18">
      <c r="A133" t="s">
        <v>798</v>
      </c>
      <c r="B133" t="s">
        <v>805</v>
      </c>
      <c r="C133" t="s">
        <v>1152</v>
      </c>
      <c r="E133" s="2" t="s">
        <v>1385</v>
      </c>
      <c r="F133" s="2" t="s">
        <v>2376</v>
      </c>
      <c r="G133" s="2">
        <v>6.4570644793099996</v>
      </c>
      <c r="H133" s="1">
        <v>-170</v>
      </c>
      <c r="I133" s="2">
        <v>-944.98912107000001</v>
      </c>
      <c r="J133" s="1">
        <f t="shared" si="9"/>
        <v>-170</v>
      </c>
      <c r="K133" s="1">
        <v>100</v>
      </c>
      <c r="L133">
        <f>_xlfn.XLOOKUP(F133,magnet_list!$A$2:$A$592,magnet_list!$M$2:$M$592,"n/a",0,1)</f>
        <v>162</v>
      </c>
      <c r="M133">
        <f>_xlfn.XLOOKUP(F133,magnet_list!$A$2:$A$592,magnet_list!$L$2:$L$592,"n/a",0,1)</f>
        <v>25</v>
      </c>
      <c r="R133" s="2"/>
    </row>
    <row r="134" spans="1:18">
      <c r="A134" t="s">
        <v>798</v>
      </c>
      <c r="B134" t="s">
        <v>805</v>
      </c>
      <c r="C134" t="s">
        <v>1152</v>
      </c>
      <c r="E134" s="2" t="s">
        <v>521</v>
      </c>
      <c r="F134" s="2" t="s">
        <v>2376</v>
      </c>
      <c r="G134" s="2">
        <v>6.4570644793099996</v>
      </c>
      <c r="H134" s="1">
        <v>-170</v>
      </c>
      <c r="I134" s="2">
        <v>-904.31562787999997</v>
      </c>
      <c r="J134" s="1">
        <f>K134-270</f>
        <v>-178.64600000000002</v>
      </c>
      <c r="K134" s="1">
        <v>91.353999999999999</v>
      </c>
      <c r="L134">
        <f>_xlfn.XLOOKUP(F134,magnet_list!$A$2:$A$592,magnet_list!$M$2:$M$592,"n/a",0,1)</f>
        <v>162</v>
      </c>
      <c r="M134">
        <f>_xlfn.XLOOKUP(F134,magnet_list!$A$2:$A$592,magnet_list!$L$2:$L$592,"n/a",0,1)</f>
        <v>25</v>
      </c>
      <c r="R134" s="2"/>
    </row>
    <row r="135" spans="1:18">
      <c r="A135" t="s">
        <v>798</v>
      </c>
      <c r="B135" t="s">
        <v>805</v>
      </c>
      <c r="C135" t="s">
        <v>1152</v>
      </c>
      <c r="E135" s="2" t="s">
        <v>518</v>
      </c>
      <c r="F135" s="2" t="s">
        <v>2376</v>
      </c>
      <c r="G135" s="2">
        <f>$G$132+ABS($I$135-$I$132)/1000</f>
        <v>6.5070542447999999</v>
      </c>
      <c r="H135" s="1">
        <v>-170</v>
      </c>
      <c r="I135" s="2">
        <v>-894.99935558000004</v>
      </c>
      <c r="J135" s="1">
        <f t="shared" si="9"/>
        <v>-270</v>
      </c>
      <c r="K135" s="1">
        <v>0</v>
      </c>
      <c r="L135">
        <f>_xlfn.XLOOKUP(F135,magnet_list!$A$2:$A$592,magnet_list!$M$2:$M$592,"n/a",0,1)</f>
        <v>162</v>
      </c>
      <c r="M135">
        <f>_xlfn.XLOOKUP(F135,magnet_list!$A$2:$A$592,magnet_list!$L$2:$L$592,"n/a",0,1)</f>
        <v>25</v>
      </c>
      <c r="R135" s="2"/>
    </row>
    <row r="136" spans="1:18">
      <c r="A136" t="s">
        <v>797</v>
      </c>
      <c r="B136" t="s">
        <v>803</v>
      </c>
      <c r="C136" t="s">
        <v>806</v>
      </c>
      <c r="E136" t="s">
        <v>522</v>
      </c>
      <c r="F136" t="s">
        <v>522</v>
      </c>
      <c r="G136" s="1">
        <f t="shared" ref="G136:G198" si="10">G135+(I136-I135)/1000</f>
        <v>6.6870904424799997</v>
      </c>
      <c r="H136">
        <v>-6609.3104461599996</v>
      </c>
      <c r="I136">
        <v>-714.96315790000006</v>
      </c>
      <c r="J136">
        <v>183.98822490000001</v>
      </c>
      <c r="K136">
        <v>453.98822489999998</v>
      </c>
    </row>
    <row r="137" spans="1:18">
      <c r="A137" t="s">
        <v>797</v>
      </c>
      <c r="B137" t="s">
        <v>1152</v>
      </c>
      <c r="C137" t="s">
        <v>1152</v>
      </c>
      <c r="D137" t="s">
        <v>804</v>
      </c>
      <c r="E137" s="3" t="s">
        <v>1937</v>
      </c>
      <c r="F137" s="3" t="s">
        <v>1937</v>
      </c>
      <c r="G137" s="1">
        <f>$G$132+ABS($I$137-$I$132)/1000</f>
        <v>6.7000624793099997</v>
      </c>
      <c r="H137">
        <v>0</v>
      </c>
      <c r="I137" s="2">
        <f>$I$132+242.998</f>
        <v>-701.99112106999996</v>
      </c>
      <c r="J137">
        <f t="shared" si="9"/>
        <v>-270</v>
      </c>
      <c r="K137" s="2">
        <v>0</v>
      </c>
    </row>
    <row r="138" spans="1:18">
      <c r="A138" t="s">
        <v>797</v>
      </c>
      <c r="B138" t="s">
        <v>805</v>
      </c>
      <c r="C138" t="s">
        <v>806</v>
      </c>
      <c r="E138" s="2" t="s">
        <v>2</v>
      </c>
      <c r="F138" s="2" t="s">
        <v>2377</v>
      </c>
      <c r="G138" s="1">
        <f t="shared" si="10"/>
        <v>6.8818759590399994</v>
      </c>
      <c r="H138">
        <v>0</v>
      </c>
      <c r="I138">
        <v>-520.17764134000004</v>
      </c>
      <c r="J138">
        <v>0</v>
      </c>
      <c r="K138">
        <v>270</v>
      </c>
      <c r="L138">
        <f>_xlfn.XLOOKUP(F138,magnet_list!$A$2:$A$592,magnet_list!$M$2:$M$592,"n/a",0,1)</f>
        <v>100</v>
      </c>
      <c r="M138">
        <f>_xlfn.XLOOKUP(F138,magnet_list!$A$2:$A$592,magnet_list!$L$2:$L$592,"n/a",0,1)</f>
        <v>39</v>
      </c>
    </row>
    <row r="139" spans="1:18">
      <c r="A139" t="s">
        <v>797</v>
      </c>
      <c r="B139" t="s">
        <v>805</v>
      </c>
      <c r="C139" t="s">
        <v>1152</v>
      </c>
      <c r="D139" t="s">
        <v>804</v>
      </c>
      <c r="E139" s="2" t="s">
        <v>523</v>
      </c>
      <c r="F139" s="2" t="s">
        <v>2377</v>
      </c>
      <c r="G139" s="1">
        <f t="shared" si="10"/>
        <v>6.9218652245099994</v>
      </c>
      <c r="H139">
        <v>0</v>
      </c>
      <c r="I139">
        <v>-480.18837586999996</v>
      </c>
      <c r="J139">
        <v>0</v>
      </c>
      <c r="K139">
        <v>270</v>
      </c>
      <c r="L139">
        <f>_xlfn.XLOOKUP(F139,magnet_list!$A$2:$A$592,magnet_list!$M$2:$M$592,"n/a",0,1)</f>
        <v>100</v>
      </c>
      <c r="M139">
        <f>_xlfn.XLOOKUP(F139,magnet_list!$A$2:$A$592,magnet_list!$L$2:$L$592,"n/a",0,1)</f>
        <v>39</v>
      </c>
    </row>
    <row r="140" spans="1:18">
      <c r="A140" t="s">
        <v>797</v>
      </c>
      <c r="B140" t="s">
        <v>805</v>
      </c>
      <c r="C140" t="s">
        <v>806</v>
      </c>
      <c r="E140" s="2" t="s">
        <v>3</v>
      </c>
      <c r="F140" s="2" t="s">
        <v>2377</v>
      </c>
      <c r="G140" s="1">
        <f t="shared" si="10"/>
        <v>6.9618637245099997</v>
      </c>
      <c r="H140">
        <v>0</v>
      </c>
      <c r="I140">
        <v>-440.18987586999998</v>
      </c>
      <c r="J140">
        <v>0</v>
      </c>
      <c r="K140">
        <v>270</v>
      </c>
      <c r="L140">
        <f>_xlfn.XLOOKUP(F140,magnet_list!$A$2:$A$592,magnet_list!$M$2:$M$592,"n/a",0,1)</f>
        <v>100</v>
      </c>
      <c r="M140">
        <f>_xlfn.XLOOKUP(F140,magnet_list!$A$2:$A$592,magnet_list!$L$2:$L$592,"n/a",0,1)</f>
        <v>39</v>
      </c>
    </row>
    <row r="141" spans="1:18">
      <c r="A141" t="s">
        <v>797</v>
      </c>
      <c r="B141" t="s">
        <v>805</v>
      </c>
      <c r="C141" t="s">
        <v>806</v>
      </c>
      <c r="E141" s="2" t="s">
        <v>4</v>
      </c>
      <c r="F141" s="2" t="s">
        <v>2378</v>
      </c>
      <c r="G141" s="1">
        <f t="shared" si="10"/>
        <v>7.1220442875199996</v>
      </c>
      <c r="H141">
        <v>0</v>
      </c>
      <c r="I141">
        <v>-280.00931286000002</v>
      </c>
      <c r="J141">
        <v>0</v>
      </c>
      <c r="K141">
        <v>270</v>
      </c>
      <c r="L141">
        <f>_xlfn.XLOOKUP(F141,magnet_list!$A$2:$A$592,magnet_list!$M$2:$M$592,"n/a",0,1)</f>
        <v>100</v>
      </c>
      <c r="M141">
        <f>_xlfn.XLOOKUP(F141,magnet_list!$A$2:$A$592,magnet_list!$L$2:$L$592,"n/a",0,1)</f>
        <v>39</v>
      </c>
    </row>
    <row r="142" spans="1:18">
      <c r="A142" t="s">
        <v>797</v>
      </c>
      <c r="B142" t="s">
        <v>805</v>
      </c>
      <c r="C142" t="s">
        <v>1152</v>
      </c>
      <c r="D142" t="s">
        <v>804</v>
      </c>
      <c r="E142" s="2" t="s">
        <v>524</v>
      </c>
      <c r="F142" s="2" t="s">
        <v>2378</v>
      </c>
      <c r="G142" s="1">
        <f t="shared" si="10"/>
        <v>7.1620779690799994</v>
      </c>
      <c r="H142">
        <v>0</v>
      </c>
      <c r="I142">
        <v>-239.9756313</v>
      </c>
      <c r="J142">
        <v>0</v>
      </c>
      <c r="K142">
        <v>270</v>
      </c>
      <c r="L142">
        <f>_xlfn.XLOOKUP(F142,magnet_list!$A$2:$A$592,magnet_list!$M$2:$M$592,"n/a",0,1)</f>
        <v>100</v>
      </c>
      <c r="M142">
        <f>_xlfn.XLOOKUP(F142,magnet_list!$A$2:$A$592,magnet_list!$L$2:$L$592,"n/a",0,1)</f>
        <v>39</v>
      </c>
    </row>
    <row r="143" spans="1:18">
      <c r="A143" t="s">
        <v>797</v>
      </c>
      <c r="B143" t="s">
        <v>805</v>
      </c>
      <c r="C143" t="s">
        <v>806</v>
      </c>
      <c r="E143" s="2" t="s">
        <v>5</v>
      </c>
      <c r="F143" s="2" t="s">
        <v>2378</v>
      </c>
      <c r="G143" s="1">
        <f t="shared" si="10"/>
        <v>7.2020804690799993</v>
      </c>
      <c r="H143">
        <v>0</v>
      </c>
      <c r="I143">
        <v>-199.97313130000001</v>
      </c>
      <c r="J143">
        <v>0</v>
      </c>
      <c r="K143">
        <v>270</v>
      </c>
      <c r="L143">
        <f>_xlfn.XLOOKUP(F143,magnet_list!$A$2:$A$592,magnet_list!$M$2:$M$592,"n/a",0,1)</f>
        <v>100</v>
      </c>
      <c r="M143">
        <f>_xlfn.XLOOKUP(F143,magnet_list!$A$2:$A$592,magnet_list!$L$2:$L$592,"n/a",0,1)</f>
        <v>39</v>
      </c>
    </row>
    <row r="144" spans="1:18">
      <c r="A144" t="s">
        <v>797</v>
      </c>
      <c r="B144" t="s">
        <v>805</v>
      </c>
      <c r="C144" t="s">
        <v>806</v>
      </c>
      <c r="D144" t="s">
        <v>804</v>
      </c>
      <c r="E144" s="2" t="s">
        <v>6</v>
      </c>
      <c r="F144" s="2" t="s">
        <v>6</v>
      </c>
      <c r="G144" s="1">
        <f t="shared" si="10"/>
        <v>7.4020536003799995</v>
      </c>
      <c r="H144">
        <v>0</v>
      </c>
      <c r="I144">
        <v>0</v>
      </c>
      <c r="J144">
        <v>-70</v>
      </c>
      <c r="K144">
        <v>200</v>
      </c>
      <c r="L144">
        <f>_xlfn.XLOOKUP(F144,magnet_list!$A$2:$A$592,magnet_list!$M$2:$M$592,"n/a",0,1)</f>
        <v>50</v>
      </c>
      <c r="M144">
        <f>_xlfn.XLOOKUP(F144,magnet_list!$A$2:$A$592,magnet_list!$L$2:$L$592,"n/a",0,1)</f>
        <v>39</v>
      </c>
    </row>
    <row r="145" spans="1:13">
      <c r="A145" t="s">
        <v>797</v>
      </c>
      <c r="B145" t="s">
        <v>805</v>
      </c>
      <c r="C145" t="s">
        <v>806</v>
      </c>
      <c r="D145" t="s">
        <v>804</v>
      </c>
      <c r="E145" s="2" t="s">
        <v>7</v>
      </c>
      <c r="F145" s="2" t="s">
        <v>7</v>
      </c>
      <c r="G145" s="1">
        <f t="shared" si="10"/>
        <v>7.5420424586499992</v>
      </c>
      <c r="H145">
        <v>0</v>
      </c>
      <c r="I145">
        <v>139.98885827000001</v>
      </c>
      <c r="J145">
        <v>-70</v>
      </c>
      <c r="K145">
        <v>200</v>
      </c>
      <c r="L145">
        <f>_xlfn.XLOOKUP(F145,magnet_list!$A$2:$A$592,magnet_list!$M$2:$M$592,"n/a",0,1)</f>
        <v>50</v>
      </c>
      <c r="M145">
        <f>_xlfn.XLOOKUP(F145,magnet_list!$A$2:$A$592,magnet_list!$L$2:$L$592,"n/a",0,1)</f>
        <v>39</v>
      </c>
    </row>
    <row r="146" spans="1:13">
      <c r="A146" t="s">
        <v>797</v>
      </c>
      <c r="B146" t="s">
        <v>1152</v>
      </c>
      <c r="C146" t="s">
        <v>1152</v>
      </c>
      <c r="D146" t="s">
        <v>804</v>
      </c>
      <c r="E146" s="3" t="s">
        <v>1953</v>
      </c>
      <c r="F146" s="3" t="s">
        <v>1953</v>
      </c>
      <c r="G146" s="1">
        <f>$G$137+ABS($I$146-$I$137)/1000</f>
        <v>7.7870624793099994</v>
      </c>
      <c r="H146">
        <v>0</v>
      </c>
      <c r="I146">
        <f>$I$137+1087</f>
        <v>385.00887893000004</v>
      </c>
      <c r="J146">
        <v>0</v>
      </c>
      <c r="K146">
        <v>270</v>
      </c>
    </row>
    <row r="147" spans="1:13">
      <c r="A147" t="s">
        <v>797</v>
      </c>
      <c r="B147" t="s">
        <v>1152</v>
      </c>
      <c r="C147" t="s">
        <v>1152</v>
      </c>
      <c r="D147" t="s">
        <v>804</v>
      </c>
      <c r="E147" s="3" t="s">
        <v>1954</v>
      </c>
      <c r="F147" s="3" t="s">
        <v>1954</v>
      </c>
      <c r="G147" s="1">
        <f>$G$146+ABS($I$147-$I$146)/1000</f>
        <v>8.0160624793099995</v>
      </c>
      <c r="H147">
        <v>0</v>
      </c>
      <c r="I147">
        <f>$I$146+229</f>
        <v>614.00887893000004</v>
      </c>
      <c r="J147">
        <v>0</v>
      </c>
      <c r="K147">
        <v>270</v>
      </c>
    </row>
    <row r="148" spans="1:13">
      <c r="A148" t="s">
        <v>797</v>
      </c>
      <c r="B148" t="s">
        <v>803</v>
      </c>
      <c r="C148" t="s">
        <v>806</v>
      </c>
      <c r="E148" t="s">
        <v>525</v>
      </c>
      <c r="F148" t="s">
        <v>525</v>
      </c>
      <c r="G148" s="1">
        <f t="shared" si="10"/>
        <v>8.0954667456099987</v>
      </c>
      <c r="H148">
        <v>-400</v>
      </c>
      <c r="I148">
        <v>693.41314523000005</v>
      </c>
      <c r="J148">
        <v>-689</v>
      </c>
      <c r="K148">
        <v>-419</v>
      </c>
    </row>
    <row r="149" spans="1:13">
      <c r="A149" t="s">
        <v>797</v>
      </c>
      <c r="B149" t="s">
        <v>1152</v>
      </c>
      <c r="C149" t="s">
        <v>1152</v>
      </c>
      <c r="D149" t="s">
        <v>804</v>
      </c>
      <c r="E149" s="3" t="s">
        <v>1955</v>
      </c>
      <c r="F149" s="3" t="s">
        <v>1955</v>
      </c>
      <c r="G149" s="1">
        <f>$G$147+ABS($I$149-$I$147)/1000</f>
        <v>8.1010624793100003</v>
      </c>
      <c r="H149">
        <v>0</v>
      </c>
      <c r="I149">
        <f>$I$147+85</f>
        <v>699.00887893000004</v>
      </c>
      <c r="J149">
        <v>0</v>
      </c>
      <c r="K149">
        <v>270</v>
      </c>
    </row>
    <row r="150" spans="1:13">
      <c r="A150" t="s">
        <v>797</v>
      </c>
      <c r="B150" t="s">
        <v>2288</v>
      </c>
      <c r="C150" t="s">
        <v>1152</v>
      </c>
      <c r="D150" t="s">
        <v>804</v>
      </c>
      <c r="E150" s="8" t="s">
        <v>2323</v>
      </c>
      <c r="F150" s="8" t="s">
        <v>2323</v>
      </c>
      <c r="G150" s="1">
        <f>$G$149+ABS($I$150-$I$149)/1000</f>
        <v>8.4580624793099997</v>
      </c>
      <c r="H150">
        <v>0</v>
      </c>
      <c r="I150">
        <f>$I$149+357</f>
        <v>1056.00887893</v>
      </c>
      <c r="J150">
        <v>0</v>
      </c>
      <c r="K150">
        <v>270</v>
      </c>
    </row>
    <row r="151" spans="1:13">
      <c r="A151" t="s">
        <v>797</v>
      </c>
      <c r="B151" t="s">
        <v>803</v>
      </c>
      <c r="C151" t="s">
        <v>806</v>
      </c>
      <c r="E151" t="s">
        <v>526</v>
      </c>
      <c r="F151" t="s">
        <v>526</v>
      </c>
      <c r="G151" s="1">
        <f t="shared" si="10"/>
        <v>8.465239798459999</v>
      </c>
      <c r="H151">
        <v>-400</v>
      </c>
      <c r="I151">
        <v>1063.1861980799999</v>
      </c>
      <c r="J151">
        <v>-689</v>
      </c>
      <c r="K151">
        <v>-419</v>
      </c>
    </row>
    <row r="152" spans="1:13">
      <c r="A152" t="s">
        <v>797</v>
      </c>
      <c r="B152" t="s">
        <v>804</v>
      </c>
      <c r="C152" t="s">
        <v>1152</v>
      </c>
      <c r="D152" t="s">
        <v>804</v>
      </c>
      <c r="E152" s="10" t="s">
        <v>1404</v>
      </c>
      <c r="F152" s="10" t="s">
        <v>2379</v>
      </c>
      <c r="G152" s="1">
        <f>$G$157-ABS($I$157-$I$152)/1000</f>
        <v>8.5920643793099991</v>
      </c>
      <c r="H152">
        <v>0</v>
      </c>
      <c r="I152">
        <f>$I$157-$L$152/2</f>
        <v>1190.01077893</v>
      </c>
      <c r="J152">
        <v>-270</v>
      </c>
      <c r="K152">
        <v>0</v>
      </c>
      <c r="L152">
        <v>1889.4492</v>
      </c>
    </row>
    <row r="153" spans="1:13">
      <c r="A153" t="s">
        <v>797</v>
      </c>
      <c r="B153" t="s">
        <v>3855</v>
      </c>
      <c r="C153" t="s">
        <v>1152</v>
      </c>
      <c r="D153" t="s">
        <v>804</v>
      </c>
      <c r="E153" t="s">
        <v>2196</v>
      </c>
      <c r="F153" t="s">
        <v>2196</v>
      </c>
      <c r="G153" s="1">
        <f>$G$150+ABS($I$153-$I$150)/1000</f>
        <v>9.22556447931</v>
      </c>
      <c r="H153">
        <v>0</v>
      </c>
      <c r="I153">
        <f>$I$150+767.502</f>
        <v>1823.51087893</v>
      </c>
      <c r="J153">
        <v>-270</v>
      </c>
      <c r="K153">
        <v>0</v>
      </c>
      <c r="L153">
        <f>_xlfn.XLOOKUP(F153,magnet_list!$A$2:$A$592,magnet_list!$M$2:$M$592,"n/a",0,1)</f>
        <v>1000</v>
      </c>
      <c r="M153">
        <f>_xlfn.XLOOKUP(F153,magnet_list!$A$2:$A$592,magnet_list!$L$2:$L$592,"n/a",0,1)</f>
        <v>120</v>
      </c>
    </row>
    <row r="154" spans="1:13">
      <c r="A154" t="s">
        <v>797</v>
      </c>
      <c r="B154" t="s">
        <v>3855</v>
      </c>
      <c r="C154" t="s">
        <v>1152</v>
      </c>
      <c r="D154" t="s">
        <v>804</v>
      </c>
      <c r="E154" t="s">
        <v>2197</v>
      </c>
      <c r="F154" t="s">
        <v>2197</v>
      </c>
      <c r="G154" s="1">
        <f>$G$150+ABS($I$153-$I$150)/1000</f>
        <v>9.22556447931</v>
      </c>
      <c r="H154">
        <v>0</v>
      </c>
      <c r="I154">
        <f>$I$150+767.502</f>
        <v>1823.51087893</v>
      </c>
      <c r="J154">
        <v>-270</v>
      </c>
      <c r="K154">
        <v>0</v>
      </c>
      <c r="L154">
        <f>_xlfn.XLOOKUP(F154,magnet_list!$A$2:$A$592,magnet_list!$M$2:$M$592,"n/a",0,1)</f>
        <v>1000</v>
      </c>
      <c r="M154">
        <f>_xlfn.XLOOKUP(F154,magnet_list!$A$2:$A$592,magnet_list!$L$2:$L$592,"n/a",0,1)</f>
        <v>120</v>
      </c>
    </row>
    <row r="155" spans="1:13">
      <c r="A155" t="s">
        <v>797</v>
      </c>
      <c r="B155" t="s">
        <v>803</v>
      </c>
      <c r="C155" t="s">
        <v>806</v>
      </c>
      <c r="E155" t="s">
        <v>527</v>
      </c>
      <c r="F155" t="s">
        <v>527</v>
      </c>
      <c r="G155" s="1">
        <f t="shared" si="10"/>
        <v>9.3754350785400007</v>
      </c>
      <c r="H155">
        <v>1772.9579404999999</v>
      </c>
      <c r="I155">
        <v>1973.3814781599999</v>
      </c>
      <c r="J155">
        <v>-17.620048740000001</v>
      </c>
      <c r="K155">
        <v>252.37995125999998</v>
      </c>
    </row>
    <row r="156" spans="1:13">
      <c r="A156" t="s">
        <v>797</v>
      </c>
      <c r="B156" t="s">
        <v>803</v>
      </c>
      <c r="C156" t="s">
        <v>806</v>
      </c>
      <c r="E156" t="s">
        <v>528</v>
      </c>
      <c r="F156" t="s">
        <v>528</v>
      </c>
      <c r="G156" s="1">
        <f t="shared" si="10"/>
        <v>9.4183437431700003</v>
      </c>
      <c r="H156">
        <v>-3172.28951379</v>
      </c>
      <c r="I156">
        <v>2016.2901427899999</v>
      </c>
      <c r="J156">
        <v>-19.532076320000002</v>
      </c>
      <c r="K156">
        <v>250.46792368000001</v>
      </c>
    </row>
    <row r="157" spans="1:13">
      <c r="A157" t="s">
        <v>797</v>
      </c>
      <c r="B157" t="s">
        <v>804</v>
      </c>
      <c r="C157" t="s">
        <v>1152</v>
      </c>
      <c r="D157" t="s">
        <v>804</v>
      </c>
      <c r="E157" s="10" t="s">
        <v>1166</v>
      </c>
      <c r="F157" s="10" t="s">
        <v>2379</v>
      </c>
      <c r="G157" s="1">
        <f>$G$150+ABS($I$157-$I$150)/1000</f>
        <v>9.5367889793099998</v>
      </c>
      <c r="H157">
        <v>0</v>
      </c>
      <c r="I157">
        <f>$I$150+1078.7265</f>
        <v>2134.73537893</v>
      </c>
      <c r="J157">
        <v>-270</v>
      </c>
      <c r="K157">
        <v>0</v>
      </c>
      <c r="L157">
        <v>1889.4492</v>
      </c>
    </row>
    <row r="158" spans="1:13">
      <c r="A158" t="s">
        <v>797</v>
      </c>
      <c r="B158" t="s">
        <v>803</v>
      </c>
      <c r="C158" t="s">
        <v>806</v>
      </c>
      <c r="E158" t="s">
        <v>529</v>
      </c>
      <c r="F158" t="s">
        <v>529</v>
      </c>
      <c r="G158" s="1">
        <f t="shared" si="10"/>
        <v>9.9714314831699991</v>
      </c>
      <c r="H158">
        <v>-4724.3917321500003</v>
      </c>
      <c r="I158">
        <v>2569.3778827900001</v>
      </c>
      <c r="J158">
        <v>-13.32564683</v>
      </c>
      <c r="K158">
        <v>256.67435317000002</v>
      </c>
    </row>
    <row r="159" spans="1:13">
      <c r="A159" t="s">
        <v>797</v>
      </c>
      <c r="B159" t="s">
        <v>803</v>
      </c>
      <c r="C159" t="s">
        <v>806</v>
      </c>
      <c r="E159" t="s">
        <v>530</v>
      </c>
      <c r="F159" t="s">
        <v>530</v>
      </c>
      <c r="G159" s="1">
        <f t="shared" si="10"/>
        <v>10.056557733149999</v>
      </c>
      <c r="H159">
        <v>-3168.6149670099999</v>
      </c>
      <c r="I159">
        <v>2654.5041327700001</v>
      </c>
      <c r="J159">
        <v>-20.33706274</v>
      </c>
      <c r="K159">
        <v>249.66293726000001</v>
      </c>
    </row>
    <row r="160" spans="1:13">
      <c r="A160" t="s">
        <v>797</v>
      </c>
      <c r="B160" t="s">
        <v>804</v>
      </c>
      <c r="C160" t="s">
        <v>1152</v>
      </c>
      <c r="D160" t="s">
        <v>804</v>
      </c>
      <c r="E160" s="10" t="s">
        <v>1405</v>
      </c>
      <c r="F160" s="10" t="s">
        <v>2379</v>
      </c>
      <c r="G160" s="1">
        <f>$G$157+ABS($I$160-$I$157)/1000</f>
        <v>10.48151357931</v>
      </c>
      <c r="H160">
        <v>0</v>
      </c>
      <c r="I160">
        <f>$I$157+$L$160/2</f>
        <v>3079.45997893</v>
      </c>
      <c r="J160">
        <v>-270</v>
      </c>
      <c r="K160">
        <v>0</v>
      </c>
      <c r="L160">
        <v>1889.4492</v>
      </c>
    </row>
    <row r="161" spans="1:13">
      <c r="A161" t="s">
        <v>797</v>
      </c>
      <c r="B161" t="s">
        <v>1152</v>
      </c>
      <c r="C161" t="s">
        <v>1152</v>
      </c>
      <c r="D161" t="s">
        <v>804</v>
      </c>
      <c r="E161" s="3" t="s">
        <v>1956</v>
      </c>
      <c r="F161" s="3" t="s">
        <v>1956</v>
      </c>
      <c r="G161" s="1">
        <f>$G$157+ABS($I$161-$I$157)/1000</f>
        <v>10.61601347931</v>
      </c>
      <c r="H161">
        <v>0</v>
      </c>
      <c r="I161">
        <f>$I$157+1079.2245</f>
        <v>3213.9598789299998</v>
      </c>
      <c r="J161">
        <v>-270</v>
      </c>
      <c r="K161">
        <v>0</v>
      </c>
    </row>
    <row r="162" spans="1:13">
      <c r="A162" t="s">
        <v>797</v>
      </c>
      <c r="B162" t="s">
        <v>805</v>
      </c>
      <c r="C162" t="s">
        <v>806</v>
      </c>
      <c r="E162" s="2" t="s">
        <v>8</v>
      </c>
      <c r="F162" s="2" t="s">
        <v>2380</v>
      </c>
      <c r="G162" s="1">
        <f t="shared" si="10"/>
        <v>10.797681868110001</v>
      </c>
      <c r="H162">
        <v>0</v>
      </c>
      <c r="I162">
        <v>3395.6282677300001</v>
      </c>
      <c r="J162">
        <v>0</v>
      </c>
      <c r="K162">
        <v>270</v>
      </c>
      <c r="L162">
        <f>_xlfn.XLOOKUP(F162,magnet_list!$A$2:$A$592,magnet_list!$M$2:$M$592,"n/a",0,1)</f>
        <v>100</v>
      </c>
      <c r="M162">
        <f>_xlfn.XLOOKUP(F162,magnet_list!$A$2:$A$592,magnet_list!$L$2:$L$592,"n/a",0,1)</f>
        <v>39</v>
      </c>
    </row>
    <row r="163" spans="1:13">
      <c r="A163" t="s">
        <v>797</v>
      </c>
      <c r="B163" t="s">
        <v>805</v>
      </c>
      <c r="C163" t="s">
        <v>1152</v>
      </c>
      <c r="D163" t="s">
        <v>804</v>
      </c>
      <c r="E163" s="2" t="s">
        <v>531</v>
      </c>
      <c r="F163" s="2" t="s">
        <v>2380</v>
      </c>
      <c r="G163" s="1">
        <f t="shared" si="10"/>
        <v>10.837718461220001</v>
      </c>
      <c r="H163">
        <v>0</v>
      </c>
      <c r="I163">
        <v>3435.6648608400001</v>
      </c>
      <c r="J163">
        <v>0</v>
      </c>
      <c r="K163">
        <v>270</v>
      </c>
      <c r="L163">
        <f>_xlfn.XLOOKUP(F163,magnet_list!$A$2:$A$592,magnet_list!$M$2:$M$592,"n/a",0,1)</f>
        <v>100</v>
      </c>
      <c r="M163">
        <f>_xlfn.XLOOKUP(F163,magnet_list!$A$2:$A$592,magnet_list!$L$2:$L$592,"n/a",0,1)</f>
        <v>39</v>
      </c>
    </row>
    <row r="164" spans="1:13">
      <c r="A164" t="s">
        <v>797</v>
      </c>
      <c r="B164" t="s">
        <v>805</v>
      </c>
      <c r="C164" t="s">
        <v>806</v>
      </c>
      <c r="E164" s="2" t="s">
        <v>9</v>
      </c>
      <c r="F164" s="2" t="s">
        <v>2380</v>
      </c>
      <c r="G164" s="1">
        <f t="shared" si="10"/>
        <v>10.877722961220002</v>
      </c>
      <c r="H164">
        <v>0</v>
      </c>
      <c r="I164">
        <v>3475.6693608400001</v>
      </c>
      <c r="J164">
        <v>0</v>
      </c>
      <c r="K164">
        <v>270</v>
      </c>
      <c r="L164">
        <f>_xlfn.XLOOKUP(F164,magnet_list!$A$2:$A$592,magnet_list!$M$2:$M$592,"n/a",0,1)</f>
        <v>100</v>
      </c>
      <c r="M164">
        <f>_xlfn.XLOOKUP(F164,magnet_list!$A$2:$A$592,magnet_list!$L$2:$L$592,"n/a",0,1)</f>
        <v>39</v>
      </c>
    </row>
    <row r="165" spans="1:13">
      <c r="A165" t="s">
        <v>797</v>
      </c>
      <c r="B165" t="s">
        <v>805</v>
      </c>
      <c r="C165" t="s">
        <v>806</v>
      </c>
      <c r="E165" s="2" t="s">
        <v>10</v>
      </c>
      <c r="F165" s="2" t="s">
        <v>2381</v>
      </c>
      <c r="G165" s="1">
        <f t="shared" si="10"/>
        <v>11.037745828700002</v>
      </c>
      <c r="H165">
        <v>0</v>
      </c>
      <c r="I165">
        <v>3635.6922283200001</v>
      </c>
      <c r="J165">
        <v>0</v>
      </c>
      <c r="K165">
        <v>270</v>
      </c>
      <c r="L165">
        <f>_xlfn.XLOOKUP(F165,magnet_list!$A$2:$A$592,magnet_list!$M$2:$M$592,"n/a",0,1)</f>
        <v>100</v>
      </c>
      <c r="M165">
        <f>_xlfn.XLOOKUP(F165,magnet_list!$A$2:$A$592,magnet_list!$L$2:$L$592,"n/a",0,1)</f>
        <v>39</v>
      </c>
    </row>
    <row r="166" spans="1:13">
      <c r="A166" t="s">
        <v>797</v>
      </c>
      <c r="B166" t="s">
        <v>803</v>
      </c>
      <c r="C166" t="s">
        <v>806</v>
      </c>
      <c r="E166" t="s">
        <v>936</v>
      </c>
      <c r="F166" t="s">
        <v>936</v>
      </c>
      <c r="G166" s="1">
        <f t="shared" si="10"/>
        <v>11.041757493180002</v>
      </c>
      <c r="H166">
        <v>-6350.8588098600003</v>
      </c>
      <c r="I166">
        <v>3639.7038928000002</v>
      </c>
      <c r="J166">
        <v>-19.049696300000001</v>
      </c>
      <c r="K166">
        <v>250.95030370000001</v>
      </c>
    </row>
    <row r="167" spans="1:13">
      <c r="A167" t="s">
        <v>797</v>
      </c>
      <c r="B167" t="s">
        <v>805</v>
      </c>
      <c r="C167" t="s">
        <v>1152</v>
      </c>
      <c r="D167" t="s">
        <v>804</v>
      </c>
      <c r="E167" s="2" t="s">
        <v>532</v>
      </c>
      <c r="F167" s="2" t="s">
        <v>2381</v>
      </c>
      <c r="G167" s="1">
        <f t="shared" si="10"/>
        <v>11.077731571100001</v>
      </c>
      <c r="H167">
        <v>0</v>
      </c>
      <c r="I167">
        <v>3675.6779707199998</v>
      </c>
      <c r="J167">
        <v>0</v>
      </c>
      <c r="K167">
        <v>270</v>
      </c>
      <c r="L167">
        <f>_xlfn.XLOOKUP(F167,magnet_list!$A$2:$A$592,magnet_list!$M$2:$M$592,"n/a",0,1)</f>
        <v>100</v>
      </c>
      <c r="M167">
        <f>_xlfn.XLOOKUP(F167,magnet_list!$A$2:$A$592,magnet_list!$L$2:$L$592,"n/a",0,1)</f>
        <v>39</v>
      </c>
    </row>
    <row r="168" spans="1:13">
      <c r="A168" t="s">
        <v>797</v>
      </c>
      <c r="B168" t="s">
        <v>805</v>
      </c>
      <c r="C168" t="s">
        <v>806</v>
      </c>
      <c r="E168" s="2" t="s">
        <v>11</v>
      </c>
      <c r="F168" s="2" t="s">
        <v>2381</v>
      </c>
      <c r="G168" s="1">
        <f t="shared" si="10"/>
        <v>11.117735071100002</v>
      </c>
      <c r="H168">
        <v>0</v>
      </c>
      <c r="I168">
        <v>3715.6814707200001</v>
      </c>
      <c r="J168">
        <v>0</v>
      </c>
      <c r="K168">
        <v>270</v>
      </c>
      <c r="L168">
        <f>_xlfn.XLOOKUP(F168,magnet_list!$A$2:$A$592,magnet_list!$M$2:$M$592,"n/a",0,1)</f>
        <v>100</v>
      </c>
      <c r="M168">
        <f>_xlfn.XLOOKUP(F168,magnet_list!$A$2:$A$592,magnet_list!$L$2:$L$592,"n/a",0,1)</f>
        <v>39</v>
      </c>
    </row>
    <row r="169" spans="1:13">
      <c r="A169" t="s">
        <v>797</v>
      </c>
      <c r="B169" t="s">
        <v>1152</v>
      </c>
      <c r="C169" t="s">
        <v>1152</v>
      </c>
      <c r="D169" t="s">
        <v>804</v>
      </c>
      <c r="E169" s="3" t="s">
        <v>1957</v>
      </c>
      <c r="F169" s="3" t="s">
        <v>1957</v>
      </c>
      <c r="G169" s="1">
        <f>$G$161+ABS($I$169-$I$161)/1000</f>
        <v>11.26599547931</v>
      </c>
      <c r="H169">
        <v>0</v>
      </c>
      <c r="I169">
        <f>$I$161+649.982</f>
        <v>3863.9418789299998</v>
      </c>
      <c r="J169">
        <v>0</v>
      </c>
      <c r="K169">
        <v>270</v>
      </c>
    </row>
    <row r="170" spans="1:13">
      <c r="A170" t="s">
        <v>797</v>
      </c>
      <c r="B170" t="s">
        <v>804</v>
      </c>
      <c r="C170" t="s">
        <v>1152</v>
      </c>
      <c r="D170" t="s">
        <v>804</v>
      </c>
      <c r="E170" s="10" t="s">
        <v>1406</v>
      </c>
      <c r="F170" s="10" t="s">
        <v>2382</v>
      </c>
      <c r="G170" s="1">
        <f>$G$173-ABS($I$173-$I$170)/1000</f>
        <v>11.399995379309999</v>
      </c>
      <c r="H170">
        <v>0</v>
      </c>
      <c r="I170">
        <f>$I$173-$L$170/2</f>
        <v>3997.9417789300001</v>
      </c>
      <c r="J170">
        <v>-270</v>
      </c>
      <c r="K170">
        <v>0</v>
      </c>
      <c r="L170">
        <v>1889.4492</v>
      </c>
    </row>
    <row r="171" spans="1:13">
      <c r="A171" t="s">
        <v>797</v>
      </c>
      <c r="B171" t="s">
        <v>3855</v>
      </c>
      <c r="C171" t="s">
        <v>1152</v>
      </c>
      <c r="D171" t="s">
        <v>804</v>
      </c>
      <c r="E171" t="s">
        <v>2198</v>
      </c>
      <c r="F171" t="s">
        <v>2198</v>
      </c>
      <c r="G171" s="1">
        <f>$G$169+ABS($I$171-$I$169)/1000</f>
        <v>12.03349547931</v>
      </c>
      <c r="H171">
        <v>0</v>
      </c>
      <c r="I171">
        <f>$I$169+767.5</f>
        <v>4631.4418789299998</v>
      </c>
      <c r="J171">
        <v>-270</v>
      </c>
      <c r="K171">
        <v>0</v>
      </c>
      <c r="L171">
        <f>_xlfn.XLOOKUP(F171,magnet_list!$A$2:$A$592,magnet_list!$M$2:$M$592,"n/a",0,1)</f>
        <v>1000</v>
      </c>
      <c r="M171">
        <f>_xlfn.XLOOKUP(F171,magnet_list!$A$2:$A$592,magnet_list!$L$2:$L$592,"n/a",0,1)</f>
        <v>120</v>
      </c>
    </row>
    <row r="172" spans="1:13">
      <c r="A172" t="s">
        <v>797</v>
      </c>
      <c r="B172" t="s">
        <v>3855</v>
      </c>
      <c r="C172" t="s">
        <v>1152</v>
      </c>
      <c r="D172" t="s">
        <v>804</v>
      </c>
      <c r="E172" t="s">
        <v>2199</v>
      </c>
      <c r="F172" t="s">
        <v>2199</v>
      </c>
      <c r="G172" s="1">
        <f>$G$169+ABS($I$171-$I$169)/1000</f>
        <v>12.03349547931</v>
      </c>
      <c r="H172">
        <v>0</v>
      </c>
      <c r="I172">
        <f>$I$169+767.5</f>
        <v>4631.4418789299998</v>
      </c>
      <c r="J172">
        <v>-270</v>
      </c>
      <c r="K172">
        <v>0</v>
      </c>
      <c r="L172">
        <f>_xlfn.XLOOKUP(F172,magnet_list!$A$2:$A$592,magnet_list!$M$2:$M$592,"n/a",0,1)</f>
        <v>1000</v>
      </c>
      <c r="M172">
        <f>_xlfn.XLOOKUP(F172,magnet_list!$A$2:$A$592,magnet_list!$L$2:$L$592,"n/a",0,1)</f>
        <v>120</v>
      </c>
    </row>
    <row r="173" spans="1:13">
      <c r="A173" t="s">
        <v>797</v>
      </c>
      <c r="B173" t="s">
        <v>804</v>
      </c>
      <c r="C173" t="s">
        <v>1152</v>
      </c>
      <c r="D173" t="s">
        <v>804</v>
      </c>
      <c r="E173" s="10" t="s">
        <v>1222</v>
      </c>
      <c r="F173" s="10" t="s">
        <v>2382</v>
      </c>
      <c r="G173" s="1">
        <f>$G$169+ABS($I$173-$I$169)/1000</f>
        <v>12.34471997931</v>
      </c>
      <c r="H173">
        <v>0</v>
      </c>
      <c r="I173">
        <f>$I$169+1078.7245</f>
        <v>4942.6663789300001</v>
      </c>
      <c r="J173">
        <v>-270</v>
      </c>
      <c r="K173">
        <v>0</v>
      </c>
      <c r="L173">
        <v>1889.4492</v>
      </c>
    </row>
    <row r="174" spans="1:13">
      <c r="A174" t="s">
        <v>797</v>
      </c>
      <c r="B174" t="s">
        <v>803</v>
      </c>
      <c r="C174" t="s">
        <v>806</v>
      </c>
      <c r="E174" t="s">
        <v>937</v>
      </c>
      <c r="F174" t="s">
        <v>937</v>
      </c>
      <c r="G174" s="1">
        <f t="shared" si="10"/>
        <v>12.631043368409999</v>
      </c>
      <c r="H174">
        <v>1785.48080476</v>
      </c>
      <c r="I174">
        <v>5228.9897680300001</v>
      </c>
      <c r="J174">
        <v>-19.79870494</v>
      </c>
      <c r="K174">
        <v>250.20129506000001</v>
      </c>
    </row>
    <row r="175" spans="1:13">
      <c r="A175" t="s">
        <v>797</v>
      </c>
      <c r="B175" t="s">
        <v>804</v>
      </c>
      <c r="C175" t="s">
        <v>1152</v>
      </c>
      <c r="D175" t="s">
        <v>804</v>
      </c>
      <c r="E175" s="10" t="s">
        <v>1407</v>
      </c>
      <c r="F175" s="10" t="s">
        <v>2382</v>
      </c>
      <c r="G175" s="1">
        <f>$G$173+ABS($I$175-$I$173)/1000</f>
        <v>13.289444579309999</v>
      </c>
      <c r="H175">
        <v>0</v>
      </c>
      <c r="I175">
        <f>$I$173+$L$175/2</f>
        <v>5887.3909789299996</v>
      </c>
      <c r="J175">
        <v>-270</v>
      </c>
      <c r="K175">
        <v>0</v>
      </c>
      <c r="L175">
        <v>1889.4492</v>
      </c>
    </row>
    <row r="176" spans="1:13">
      <c r="A176" t="s">
        <v>797</v>
      </c>
      <c r="B176" t="s">
        <v>1152</v>
      </c>
      <c r="C176" t="s">
        <v>1152</v>
      </c>
      <c r="D176" t="s">
        <v>804</v>
      </c>
      <c r="E176" s="3" t="s">
        <v>1958</v>
      </c>
      <c r="F176" s="3" t="s">
        <v>1958</v>
      </c>
      <c r="G176" s="1">
        <f>$G$173+ABS($I$176-$I$173)/1000</f>
        <v>14.15265447931</v>
      </c>
      <c r="H176">
        <v>0</v>
      </c>
      <c r="I176">
        <f>$I$173+1807.9345</f>
        <v>6750.6008789300004</v>
      </c>
      <c r="J176">
        <v>-270</v>
      </c>
      <c r="K176">
        <v>0</v>
      </c>
    </row>
    <row r="177" spans="1:13">
      <c r="A177" t="s">
        <v>797</v>
      </c>
      <c r="B177" t="s">
        <v>804</v>
      </c>
      <c r="C177" t="s">
        <v>1152</v>
      </c>
      <c r="D177" t="s">
        <v>804</v>
      </c>
      <c r="E177" s="10" t="s">
        <v>1408</v>
      </c>
      <c r="F177" s="10" t="s">
        <v>2383</v>
      </c>
      <c r="G177" s="1">
        <f>$G$180-ABS($I$180-$I$177)/1000</f>
        <v>14.286654379309999</v>
      </c>
      <c r="H177">
        <v>0</v>
      </c>
      <c r="I177">
        <f>$I$180-$L$177/2</f>
        <v>6884.6007789300002</v>
      </c>
      <c r="J177">
        <v>-270</v>
      </c>
      <c r="K177">
        <v>0</v>
      </c>
      <c r="L177">
        <v>1889.4492</v>
      </c>
    </row>
    <row r="178" spans="1:13">
      <c r="A178" t="s">
        <v>797</v>
      </c>
      <c r="B178" t="s">
        <v>3855</v>
      </c>
      <c r="C178" t="s">
        <v>1152</v>
      </c>
      <c r="D178" t="s">
        <v>804</v>
      </c>
      <c r="E178" t="s">
        <v>2200</v>
      </c>
      <c r="F178" t="s">
        <v>2200</v>
      </c>
      <c r="G178" s="1">
        <f>$G$176+ABS($I$178-$I$176)/1000</f>
        <v>14.92015447931</v>
      </c>
      <c r="H178">
        <v>0</v>
      </c>
      <c r="I178">
        <f>$I$176+767.5</f>
        <v>7518.1008789300004</v>
      </c>
      <c r="J178">
        <v>-270</v>
      </c>
      <c r="K178">
        <v>0</v>
      </c>
      <c r="L178">
        <f>_xlfn.XLOOKUP(F178,magnet_list!$A$2:$A$592,magnet_list!$M$2:$M$592,"n/a",0,1)</f>
        <v>1000</v>
      </c>
      <c r="M178">
        <f>_xlfn.XLOOKUP(F178,magnet_list!$A$2:$A$592,magnet_list!$L$2:$L$592,"n/a",0,1)</f>
        <v>120</v>
      </c>
    </row>
    <row r="179" spans="1:13">
      <c r="A179" t="s">
        <v>797</v>
      </c>
      <c r="B179" t="s">
        <v>3855</v>
      </c>
      <c r="C179" t="s">
        <v>1152</v>
      </c>
      <c r="D179" t="s">
        <v>804</v>
      </c>
      <c r="E179" t="s">
        <v>2201</v>
      </c>
      <c r="F179" t="s">
        <v>2201</v>
      </c>
      <c r="G179" s="1">
        <f>$G$176+ABS($I$178-$I$176)/1000</f>
        <v>14.92015447931</v>
      </c>
      <c r="H179">
        <v>0</v>
      </c>
      <c r="I179">
        <f>$I$176+767.5</f>
        <v>7518.1008789300004</v>
      </c>
      <c r="J179">
        <v>-270</v>
      </c>
      <c r="K179">
        <v>0</v>
      </c>
      <c r="L179">
        <f>_xlfn.XLOOKUP(F179,magnet_list!$A$2:$A$592,magnet_list!$M$2:$M$592,"n/a",0,1)</f>
        <v>1000</v>
      </c>
      <c r="M179">
        <f>_xlfn.XLOOKUP(F179,magnet_list!$A$2:$A$592,magnet_list!$L$2:$L$592,"n/a",0,1)</f>
        <v>120</v>
      </c>
    </row>
    <row r="180" spans="1:13">
      <c r="A180" t="s">
        <v>797</v>
      </c>
      <c r="B180" t="s">
        <v>804</v>
      </c>
      <c r="C180" t="s">
        <v>1152</v>
      </c>
      <c r="D180" t="s">
        <v>804</v>
      </c>
      <c r="E180" s="10" t="s">
        <v>1277</v>
      </c>
      <c r="F180" s="10" t="s">
        <v>2383</v>
      </c>
      <c r="G180" s="1">
        <f>$G$176+ABS($I$180-$I$176)/1000</f>
        <v>15.23137897931</v>
      </c>
      <c r="H180">
        <v>0</v>
      </c>
      <c r="I180">
        <f>$I$176+1078.7245</f>
        <v>7829.3253789300006</v>
      </c>
      <c r="J180">
        <v>-270</v>
      </c>
      <c r="K180">
        <v>0</v>
      </c>
      <c r="L180">
        <v>1889.4492</v>
      </c>
    </row>
    <row r="181" spans="1:13">
      <c r="A181" t="s">
        <v>797</v>
      </c>
      <c r="B181" t="s">
        <v>804</v>
      </c>
      <c r="C181" t="s">
        <v>1152</v>
      </c>
      <c r="D181" t="s">
        <v>804</v>
      </c>
      <c r="E181" s="10" t="s">
        <v>1409</v>
      </c>
      <c r="F181" s="10" t="s">
        <v>2383</v>
      </c>
      <c r="G181" s="1">
        <f>$G$180+ABS($I$181-$I$180)/1000</f>
        <v>16.176103579309999</v>
      </c>
      <c r="H181">
        <v>0</v>
      </c>
      <c r="I181">
        <f>$I$180+$L$181/2</f>
        <v>8774.0499789300011</v>
      </c>
      <c r="J181">
        <v>-270</v>
      </c>
      <c r="K181">
        <v>0</v>
      </c>
      <c r="L181">
        <v>1889.4492</v>
      </c>
    </row>
    <row r="182" spans="1:13">
      <c r="A182" t="s">
        <v>797</v>
      </c>
      <c r="B182" t="s">
        <v>1152</v>
      </c>
      <c r="C182" t="s">
        <v>1152</v>
      </c>
      <c r="D182" t="s">
        <v>804</v>
      </c>
      <c r="E182" s="3" t="s">
        <v>1959</v>
      </c>
      <c r="F182" s="3" t="s">
        <v>1959</v>
      </c>
      <c r="G182" s="1">
        <f>$G$180+ABS($I$182-$I$180)/1000</f>
        <v>16.310104479309999</v>
      </c>
      <c r="H182">
        <v>0</v>
      </c>
      <c r="I182">
        <f>$I$180+1078.7255</f>
        <v>8908.0508789300002</v>
      </c>
      <c r="J182">
        <v>-270</v>
      </c>
      <c r="K182">
        <v>0</v>
      </c>
    </row>
    <row r="183" spans="1:13">
      <c r="A183" t="s">
        <v>797</v>
      </c>
      <c r="B183" t="s">
        <v>803</v>
      </c>
      <c r="C183" t="s">
        <v>806</v>
      </c>
      <c r="E183" t="s">
        <v>938</v>
      </c>
      <c r="F183" t="s">
        <v>938</v>
      </c>
      <c r="G183" s="1">
        <f t="shared" si="10"/>
        <v>16.329153691559998</v>
      </c>
      <c r="H183">
        <v>-3304.7774607599999</v>
      </c>
      <c r="I183">
        <v>8927.1000911800002</v>
      </c>
      <c r="J183">
        <v>-18.642240770000001</v>
      </c>
      <c r="K183">
        <v>251.35775923</v>
      </c>
    </row>
    <row r="184" spans="1:13">
      <c r="A184" t="s">
        <v>797</v>
      </c>
      <c r="B184" t="s">
        <v>805</v>
      </c>
      <c r="C184" t="s">
        <v>806</v>
      </c>
      <c r="E184" s="2" t="s">
        <v>12</v>
      </c>
      <c r="F184" s="2" t="s">
        <v>2384</v>
      </c>
      <c r="G184" s="1">
        <f t="shared" si="10"/>
        <v>16.427989375009997</v>
      </c>
      <c r="H184">
        <v>0</v>
      </c>
      <c r="I184">
        <v>9025.9357746299993</v>
      </c>
      <c r="J184">
        <v>-70</v>
      </c>
      <c r="K184">
        <v>200</v>
      </c>
      <c r="L184">
        <f>_xlfn.XLOOKUP(F184,magnet_list!$A$2:$A$592,magnet_list!$M$2:$M$592,"n/a",0,1)</f>
        <v>50</v>
      </c>
      <c r="M184">
        <f>_xlfn.XLOOKUP(F184,magnet_list!$A$2:$A$592,magnet_list!$L$2:$L$592,"n/a",0,1)</f>
        <v>44</v>
      </c>
    </row>
    <row r="185" spans="1:13">
      <c r="A185" t="s">
        <v>797</v>
      </c>
      <c r="B185" t="s">
        <v>805</v>
      </c>
      <c r="C185" t="s">
        <v>1152</v>
      </c>
      <c r="D185" t="s">
        <v>804</v>
      </c>
      <c r="E185" s="2" t="s">
        <v>533</v>
      </c>
      <c r="F185" s="2" t="s">
        <v>2384</v>
      </c>
      <c r="G185" s="1">
        <f t="shared" si="10"/>
        <v>16.433010998719997</v>
      </c>
      <c r="H185">
        <v>0</v>
      </c>
      <c r="I185">
        <v>9030.9573983399987</v>
      </c>
      <c r="J185">
        <v>-70</v>
      </c>
      <c r="K185">
        <v>200</v>
      </c>
      <c r="L185">
        <f>_xlfn.XLOOKUP(F185,magnet_list!$A$2:$A$592,magnet_list!$M$2:$M$592,"n/a",0,1)</f>
        <v>50</v>
      </c>
      <c r="M185">
        <f>_xlfn.XLOOKUP(F185,magnet_list!$A$2:$A$592,magnet_list!$L$2:$L$592,"n/a",0,1)</f>
        <v>44</v>
      </c>
    </row>
    <row r="186" spans="1:13">
      <c r="A186" t="s">
        <v>797</v>
      </c>
      <c r="B186" t="s">
        <v>805</v>
      </c>
      <c r="C186" t="s">
        <v>806</v>
      </c>
      <c r="E186" s="2" t="s">
        <v>13</v>
      </c>
      <c r="F186" s="2" t="s">
        <v>13</v>
      </c>
      <c r="G186" s="1">
        <f t="shared" si="10"/>
        <v>16.588024998719998</v>
      </c>
      <c r="H186">
        <v>0</v>
      </c>
      <c r="I186">
        <v>9185.9713983399997</v>
      </c>
      <c r="J186">
        <v>-70</v>
      </c>
      <c r="K186">
        <v>200</v>
      </c>
      <c r="L186">
        <f>_xlfn.XLOOKUP(F186,magnet_list!$A$2:$A$592,magnet_list!$M$2:$M$592,"n/a",0,1)</f>
        <v>100</v>
      </c>
      <c r="M186">
        <f>_xlfn.XLOOKUP(F186,magnet_list!$A$2:$A$592,magnet_list!$L$2:$L$592,"n/a",0,1)</f>
        <v>44</v>
      </c>
    </row>
    <row r="187" spans="1:13">
      <c r="A187" t="s">
        <v>797</v>
      </c>
      <c r="B187" t="s">
        <v>805</v>
      </c>
      <c r="C187" t="s">
        <v>1152</v>
      </c>
      <c r="D187" t="s">
        <v>804</v>
      </c>
      <c r="E187" s="2" t="s">
        <v>534</v>
      </c>
      <c r="F187" s="2" t="s">
        <v>13</v>
      </c>
      <c r="G187" s="1">
        <f t="shared" si="10"/>
        <v>16.618046385499998</v>
      </c>
      <c r="H187">
        <v>0</v>
      </c>
      <c r="I187">
        <v>9215.9927851199991</v>
      </c>
      <c r="J187">
        <v>-70</v>
      </c>
      <c r="K187">
        <v>200</v>
      </c>
      <c r="L187">
        <f>_xlfn.XLOOKUP(F187,magnet_list!$A$2:$A$592,magnet_list!$M$2:$M$592,"n/a",0,1)</f>
        <v>100</v>
      </c>
      <c r="M187">
        <f>_xlfn.XLOOKUP(F187,magnet_list!$A$2:$A$592,magnet_list!$L$2:$L$592,"n/a",0,1)</f>
        <v>44</v>
      </c>
    </row>
    <row r="188" spans="1:13">
      <c r="A188" t="s">
        <v>797</v>
      </c>
      <c r="B188" t="s">
        <v>805</v>
      </c>
      <c r="C188" t="s">
        <v>806</v>
      </c>
      <c r="D188" t="s">
        <v>804</v>
      </c>
      <c r="E188" s="2" t="s">
        <v>535</v>
      </c>
      <c r="F188" s="2" t="s">
        <v>2384</v>
      </c>
      <c r="G188" s="1">
        <f t="shared" si="10"/>
        <v>16.803575385499997</v>
      </c>
      <c r="H188">
        <v>0</v>
      </c>
      <c r="I188">
        <v>9401.5217851199995</v>
      </c>
      <c r="J188">
        <v>-70</v>
      </c>
      <c r="K188">
        <v>200</v>
      </c>
      <c r="L188">
        <f>_xlfn.XLOOKUP(F188,magnet_list!$A$2:$A$592,magnet_list!$M$2:$M$592,"n/a",0,1)</f>
        <v>50</v>
      </c>
      <c r="M188">
        <f>_xlfn.XLOOKUP(F188,magnet_list!$A$2:$A$592,magnet_list!$L$2:$L$592,"n/a",0,1)</f>
        <v>44</v>
      </c>
    </row>
    <row r="189" spans="1:13">
      <c r="A189" t="s">
        <v>797</v>
      </c>
      <c r="B189" t="s">
        <v>805</v>
      </c>
      <c r="C189" t="s">
        <v>1152</v>
      </c>
      <c r="E189" s="2" t="s">
        <v>14</v>
      </c>
      <c r="F189" s="2" t="s">
        <v>2384</v>
      </c>
      <c r="G189" s="1">
        <f t="shared" si="10"/>
        <v>16.808575385499996</v>
      </c>
      <c r="H189">
        <v>0</v>
      </c>
      <c r="I189">
        <v>9406.5217851199995</v>
      </c>
      <c r="J189">
        <v>-70</v>
      </c>
      <c r="K189">
        <v>200</v>
      </c>
      <c r="L189">
        <f>_xlfn.XLOOKUP(F189,magnet_list!$A$2:$A$592,magnet_list!$M$2:$M$592,"n/a",0,1)</f>
        <v>50</v>
      </c>
      <c r="M189">
        <f>_xlfn.XLOOKUP(F189,magnet_list!$A$2:$A$592,magnet_list!$L$2:$L$592,"n/a",0,1)</f>
        <v>44</v>
      </c>
    </row>
    <row r="190" spans="1:13">
      <c r="A190" t="s">
        <v>797</v>
      </c>
      <c r="B190" t="s">
        <v>1152</v>
      </c>
      <c r="C190" t="s">
        <v>1152</v>
      </c>
      <c r="D190" t="s">
        <v>804</v>
      </c>
      <c r="E190" s="3" t="s">
        <v>1960</v>
      </c>
      <c r="F190" s="3" t="s">
        <v>1960</v>
      </c>
      <c r="G190" s="1">
        <f>$G$182+ABS($I$190-$I$182)/1000</f>
        <v>16.960586479309999</v>
      </c>
      <c r="H190">
        <v>0</v>
      </c>
      <c r="I190">
        <f>$I$182+650.482</f>
        <v>9558.5328789300002</v>
      </c>
      <c r="J190">
        <v>-270</v>
      </c>
      <c r="K190">
        <v>0</v>
      </c>
    </row>
    <row r="191" spans="1:13">
      <c r="A191" t="s">
        <v>797</v>
      </c>
      <c r="B191" t="s">
        <v>804</v>
      </c>
      <c r="C191" t="s">
        <v>1152</v>
      </c>
      <c r="D191" t="s">
        <v>804</v>
      </c>
      <c r="E191" s="10" t="s">
        <v>1410</v>
      </c>
      <c r="F191" s="10" t="s">
        <v>2385</v>
      </c>
      <c r="G191" s="1">
        <f>$G$194-ABS($I$194-$I$191)/1000</f>
        <v>17.094586379309998</v>
      </c>
      <c r="H191">
        <v>0</v>
      </c>
      <c r="I191">
        <f>$I$194-$L$191/2</f>
        <v>9692.5327789300009</v>
      </c>
      <c r="J191">
        <v>-270</v>
      </c>
      <c r="K191">
        <v>0</v>
      </c>
      <c r="L191">
        <v>1889.4492</v>
      </c>
    </row>
    <row r="192" spans="1:13">
      <c r="A192" t="s">
        <v>797</v>
      </c>
      <c r="B192" t="s">
        <v>3855</v>
      </c>
      <c r="C192" t="s">
        <v>1152</v>
      </c>
      <c r="D192" t="s">
        <v>804</v>
      </c>
      <c r="E192" t="s">
        <v>2202</v>
      </c>
      <c r="F192" t="s">
        <v>2202</v>
      </c>
      <c r="G192" s="1">
        <f>$G$190+ABS($I$192-$I$190)/1000</f>
        <v>17.728086479309997</v>
      </c>
      <c r="H192">
        <v>0</v>
      </c>
      <c r="I192">
        <f>$I$190+767.5</f>
        <v>10326.03287893</v>
      </c>
      <c r="J192">
        <v>-270</v>
      </c>
      <c r="K192">
        <v>0</v>
      </c>
      <c r="L192">
        <f>_xlfn.XLOOKUP(F192,magnet_list!$A$2:$A$592,magnet_list!$M$2:$M$592,"n/a",0,1)</f>
        <v>1000</v>
      </c>
      <c r="M192">
        <f>_xlfn.XLOOKUP(F192,magnet_list!$A$2:$A$592,magnet_list!$L$2:$L$592,"n/a",0,1)</f>
        <v>120</v>
      </c>
    </row>
    <row r="193" spans="1:13">
      <c r="A193" t="s">
        <v>797</v>
      </c>
      <c r="B193" t="s">
        <v>3855</v>
      </c>
      <c r="C193" t="s">
        <v>1152</v>
      </c>
      <c r="D193" t="s">
        <v>804</v>
      </c>
      <c r="E193" t="s">
        <v>2203</v>
      </c>
      <c r="F193" t="s">
        <v>2203</v>
      </c>
      <c r="G193" s="1">
        <f>$G$190+ABS($I$192-$I$190)/1000</f>
        <v>17.728086479309997</v>
      </c>
      <c r="H193">
        <v>0</v>
      </c>
      <c r="I193">
        <f>$I$190+767.5</f>
        <v>10326.03287893</v>
      </c>
      <c r="J193">
        <v>-270</v>
      </c>
      <c r="K193">
        <v>0</v>
      </c>
      <c r="L193">
        <f>_xlfn.XLOOKUP(F193,magnet_list!$A$2:$A$592,magnet_list!$M$2:$M$592,"n/a",0,1)</f>
        <v>1000</v>
      </c>
      <c r="M193">
        <f>_xlfn.XLOOKUP(F193,magnet_list!$A$2:$A$592,magnet_list!$L$2:$L$592,"n/a",0,1)</f>
        <v>120</v>
      </c>
    </row>
    <row r="194" spans="1:13">
      <c r="A194" t="s">
        <v>797</v>
      </c>
      <c r="B194" t="s">
        <v>804</v>
      </c>
      <c r="C194" t="s">
        <v>1152</v>
      </c>
      <c r="D194" t="s">
        <v>804</v>
      </c>
      <c r="E194" s="10" t="s">
        <v>1331</v>
      </c>
      <c r="F194" s="10" t="s">
        <v>2385</v>
      </c>
      <c r="G194" s="1">
        <f>$G$190+ABS($I$194-$I$190)/1000</f>
        <v>18.039310979309999</v>
      </c>
      <c r="H194">
        <v>0</v>
      </c>
      <c r="I194">
        <f>$I$190+1078.7245</f>
        <v>10637.25737893</v>
      </c>
      <c r="J194">
        <v>-270</v>
      </c>
      <c r="K194">
        <v>0</v>
      </c>
      <c r="L194">
        <v>1889.4492</v>
      </c>
    </row>
    <row r="195" spans="1:13">
      <c r="A195" t="s">
        <v>797</v>
      </c>
      <c r="B195" t="s">
        <v>804</v>
      </c>
      <c r="C195" t="s">
        <v>1152</v>
      </c>
      <c r="D195" t="s">
        <v>804</v>
      </c>
      <c r="E195" s="10" t="s">
        <v>1411</v>
      </c>
      <c r="F195" s="10" t="s">
        <v>2385</v>
      </c>
      <c r="G195" s="1">
        <f>$G$194+ABS($I$195-$I$194)/1000</f>
        <v>18.98403557931</v>
      </c>
      <c r="H195">
        <v>0</v>
      </c>
      <c r="I195">
        <f>$I$194+$L$195/2</f>
        <v>11581.98197893</v>
      </c>
      <c r="J195">
        <v>-270</v>
      </c>
      <c r="K195">
        <v>0</v>
      </c>
      <c r="L195">
        <v>1889.4492</v>
      </c>
    </row>
    <row r="196" spans="1:13">
      <c r="A196" t="s">
        <v>797</v>
      </c>
      <c r="B196" t="s">
        <v>803</v>
      </c>
      <c r="C196" t="s">
        <v>806</v>
      </c>
      <c r="E196" t="s">
        <v>1073</v>
      </c>
      <c r="F196" t="s">
        <v>1073</v>
      </c>
      <c r="G196" s="1">
        <f t="shared" si="10"/>
        <v>19.112362620029998</v>
      </c>
      <c r="H196">
        <v>-400</v>
      </c>
      <c r="I196">
        <v>11710.30901965</v>
      </c>
      <c r="J196">
        <v>-689</v>
      </c>
      <c r="K196">
        <v>-419</v>
      </c>
    </row>
    <row r="197" spans="1:13">
      <c r="A197" t="s">
        <v>797</v>
      </c>
      <c r="B197" t="s">
        <v>1152</v>
      </c>
      <c r="C197" t="s">
        <v>1152</v>
      </c>
      <c r="D197" t="s">
        <v>804</v>
      </c>
      <c r="E197" s="3" t="s">
        <v>1961</v>
      </c>
      <c r="F197" s="3" t="s">
        <v>1961</v>
      </c>
      <c r="G197" s="1">
        <f>$G$194+ABS($I$197-$I$194)/1000</f>
        <v>19.11803347931</v>
      </c>
      <c r="H197">
        <v>0</v>
      </c>
      <c r="I197">
        <f>$I$194+1078.7225</f>
        <v>11715.97987893</v>
      </c>
      <c r="J197">
        <v>-270</v>
      </c>
      <c r="K197">
        <v>0</v>
      </c>
    </row>
    <row r="198" spans="1:13">
      <c r="A198" t="s">
        <v>797</v>
      </c>
      <c r="B198" t="s">
        <v>805</v>
      </c>
      <c r="C198" t="s">
        <v>806</v>
      </c>
      <c r="E198" s="2" t="s">
        <v>15</v>
      </c>
      <c r="F198" s="2" t="s">
        <v>2388</v>
      </c>
      <c r="G198" s="1">
        <f t="shared" si="10"/>
        <v>19.236745760000002</v>
      </c>
      <c r="H198">
        <v>0</v>
      </c>
      <c r="I198">
        <v>11834.692159620001</v>
      </c>
      <c r="J198">
        <v>-70</v>
      </c>
      <c r="K198">
        <v>200</v>
      </c>
      <c r="L198">
        <f>_xlfn.XLOOKUP(F198,magnet_list!$A$2:$A$592,magnet_list!$M$2:$M$592,"n/a",0,1)</f>
        <v>100</v>
      </c>
      <c r="M198">
        <f>_xlfn.XLOOKUP(F198,magnet_list!$A$2:$A$592,magnet_list!$L$2:$L$592,"n/a",0,1)</f>
        <v>44</v>
      </c>
    </row>
    <row r="199" spans="1:13">
      <c r="A199" t="s">
        <v>797</v>
      </c>
      <c r="B199" t="s">
        <v>805</v>
      </c>
      <c r="C199" t="s">
        <v>1152</v>
      </c>
      <c r="D199" t="s">
        <v>804</v>
      </c>
      <c r="E199" s="2" t="s">
        <v>536</v>
      </c>
      <c r="F199" s="2" t="s">
        <v>2388</v>
      </c>
      <c r="G199" s="1">
        <f t="shared" ref="G199:G262" si="11">G198+(I199-I198)/1000</f>
        <v>19.266775015509999</v>
      </c>
      <c r="H199">
        <v>0</v>
      </c>
      <c r="I199">
        <v>11864.72141513</v>
      </c>
      <c r="J199">
        <v>-70</v>
      </c>
      <c r="K199">
        <v>200</v>
      </c>
      <c r="L199">
        <f>_xlfn.XLOOKUP(F199,magnet_list!$A$2:$A$592,magnet_list!$M$2:$M$592,"n/a",0,1)</f>
        <v>100</v>
      </c>
      <c r="M199">
        <f>_xlfn.XLOOKUP(F199,magnet_list!$A$2:$A$592,magnet_list!$L$2:$L$592,"n/a",0,1)</f>
        <v>44</v>
      </c>
    </row>
    <row r="200" spans="1:13">
      <c r="A200" t="s">
        <v>797</v>
      </c>
      <c r="B200" t="s">
        <v>805</v>
      </c>
      <c r="C200" t="s">
        <v>806</v>
      </c>
      <c r="E200" s="2" t="s">
        <v>16</v>
      </c>
      <c r="F200" s="2" t="s">
        <v>16</v>
      </c>
      <c r="G200" s="1">
        <f t="shared" si="11"/>
        <v>19.446849015510001</v>
      </c>
      <c r="H200">
        <v>0</v>
      </c>
      <c r="I200">
        <v>12044.79541513</v>
      </c>
      <c r="J200">
        <v>-70</v>
      </c>
      <c r="K200">
        <v>200</v>
      </c>
      <c r="L200">
        <f>_xlfn.XLOOKUP(F200,magnet_list!$A$2:$A$592,magnet_list!$M$2:$M$592,"n/a",0,1)</f>
        <v>200</v>
      </c>
      <c r="M200">
        <f>_xlfn.XLOOKUP(F200,magnet_list!$A$2:$A$592,magnet_list!$L$2:$L$592,"n/a",0,1)</f>
        <v>44</v>
      </c>
    </row>
    <row r="201" spans="1:13">
      <c r="A201" t="s">
        <v>797</v>
      </c>
      <c r="B201" t="s">
        <v>805</v>
      </c>
      <c r="C201" t="s">
        <v>1152</v>
      </c>
      <c r="D201" t="s">
        <v>804</v>
      </c>
      <c r="E201" s="2" t="s">
        <v>537</v>
      </c>
      <c r="F201" s="2" t="s">
        <v>16</v>
      </c>
      <c r="G201" s="1">
        <f t="shared" si="11"/>
        <v>19.526833842769999</v>
      </c>
      <c r="H201">
        <v>0</v>
      </c>
      <c r="I201">
        <v>12124.780242389999</v>
      </c>
      <c r="J201">
        <v>-70</v>
      </c>
      <c r="K201">
        <v>200</v>
      </c>
      <c r="L201">
        <f>_xlfn.XLOOKUP(F201,magnet_list!$A$2:$A$592,magnet_list!$M$2:$M$592,"n/a",0,1)</f>
        <v>200</v>
      </c>
      <c r="M201">
        <f>_xlfn.XLOOKUP(F201,magnet_list!$A$2:$A$592,magnet_list!$L$2:$L$592,"n/a",0,1)</f>
        <v>44</v>
      </c>
    </row>
    <row r="202" spans="1:13">
      <c r="A202" t="s">
        <v>797</v>
      </c>
      <c r="B202" t="s">
        <v>805</v>
      </c>
      <c r="C202" t="s">
        <v>1152</v>
      </c>
      <c r="D202" t="s">
        <v>804</v>
      </c>
      <c r="E202" s="2" t="s">
        <v>538</v>
      </c>
      <c r="F202" s="2" t="s">
        <v>2388</v>
      </c>
      <c r="G202" s="1">
        <f t="shared" si="11"/>
        <v>19.78743784277</v>
      </c>
      <c r="H202">
        <v>0</v>
      </c>
      <c r="I202">
        <v>12385.384242390001</v>
      </c>
      <c r="J202">
        <v>-70</v>
      </c>
      <c r="K202">
        <v>200</v>
      </c>
      <c r="L202">
        <f>_xlfn.XLOOKUP(F202,magnet_list!$A$2:$A$592,magnet_list!$M$2:$M$592,"n/a",0,1)</f>
        <v>100</v>
      </c>
      <c r="M202">
        <f>_xlfn.XLOOKUP(F202,magnet_list!$A$2:$A$592,magnet_list!$L$2:$L$592,"n/a",0,1)</f>
        <v>44</v>
      </c>
    </row>
    <row r="203" spans="1:13">
      <c r="A203" t="s">
        <v>797</v>
      </c>
      <c r="B203" t="s">
        <v>805</v>
      </c>
      <c r="C203" t="s">
        <v>806</v>
      </c>
      <c r="E203" s="2" t="s">
        <v>17</v>
      </c>
      <c r="F203" s="2" t="s">
        <v>2388</v>
      </c>
      <c r="G203" s="1">
        <f t="shared" si="11"/>
        <v>19.817437842770001</v>
      </c>
      <c r="H203">
        <v>0</v>
      </c>
      <c r="I203">
        <v>12415.384242390001</v>
      </c>
      <c r="J203">
        <v>-70</v>
      </c>
      <c r="K203">
        <v>200</v>
      </c>
      <c r="L203">
        <f>_xlfn.XLOOKUP(F203,magnet_list!$A$2:$A$592,magnet_list!$M$2:$M$592,"n/a",0,1)</f>
        <v>100</v>
      </c>
      <c r="M203">
        <f>_xlfn.XLOOKUP(F203,magnet_list!$A$2:$A$592,magnet_list!$L$2:$L$592,"n/a",0,1)</f>
        <v>44</v>
      </c>
    </row>
    <row r="204" spans="1:13">
      <c r="A204" t="s">
        <v>797</v>
      </c>
      <c r="B204" t="s">
        <v>1152</v>
      </c>
      <c r="C204" t="s">
        <v>1152</v>
      </c>
      <c r="D204" t="s">
        <v>804</v>
      </c>
      <c r="E204" s="3" t="s">
        <v>1962</v>
      </c>
      <c r="F204" s="3" t="s">
        <v>1962</v>
      </c>
      <c r="G204" s="1">
        <f>$G$197+ABS($I$204-$I$197)/1000</f>
        <v>20.107183479309999</v>
      </c>
      <c r="H204">
        <v>0</v>
      </c>
      <c r="I204">
        <f>$I$197+989.15</f>
        <v>12705.12987893</v>
      </c>
      <c r="J204">
        <v>-270</v>
      </c>
      <c r="K204">
        <v>0</v>
      </c>
    </row>
    <row r="205" spans="1:13">
      <c r="A205" t="s">
        <v>797</v>
      </c>
      <c r="B205" t="s">
        <v>2288</v>
      </c>
      <c r="C205" t="s">
        <v>1152</v>
      </c>
      <c r="D205" t="s">
        <v>804</v>
      </c>
      <c r="E205" s="8" t="s">
        <v>2324</v>
      </c>
      <c r="F205" s="8" t="s">
        <v>2324</v>
      </c>
      <c r="G205" s="1">
        <f>$G$204+ABS($I$205-$I$204)/1000</f>
        <v>20.318064479309999</v>
      </c>
      <c r="H205">
        <v>0</v>
      </c>
      <c r="I205">
        <f>$I$204+210.881</f>
        <v>12916.010878929999</v>
      </c>
      <c r="J205">
        <v>-270</v>
      </c>
      <c r="K205">
        <v>0</v>
      </c>
    </row>
    <row r="206" spans="1:13">
      <c r="A206" t="s">
        <v>797</v>
      </c>
      <c r="B206" t="s">
        <v>803</v>
      </c>
      <c r="C206" t="s">
        <v>806</v>
      </c>
      <c r="E206" t="s">
        <v>1075</v>
      </c>
      <c r="F206" t="s">
        <v>1075</v>
      </c>
      <c r="G206" s="1">
        <f t="shared" si="11"/>
        <v>20.326067583339999</v>
      </c>
      <c r="H206">
        <v>-400</v>
      </c>
      <c r="I206">
        <v>12924.013982959999</v>
      </c>
      <c r="J206">
        <v>-689</v>
      </c>
      <c r="K206">
        <v>-419</v>
      </c>
    </row>
    <row r="207" spans="1:13">
      <c r="A207" t="s">
        <v>797</v>
      </c>
      <c r="B207" t="s">
        <v>804</v>
      </c>
      <c r="C207" t="s">
        <v>1152</v>
      </c>
      <c r="D207" t="s">
        <v>804</v>
      </c>
      <c r="E207" s="10" t="s">
        <v>1412</v>
      </c>
      <c r="F207" s="10" t="s">
        <v>2386</v>
      </c>
      <c r="G207" s="1">
        <f>$G$210-ABS($I$210-$I$207)/1000</f>
        <v>20.452064379309999</v>
      </c>
      <c r="H207">
        <v>0</v>
      </c>
      <c r="I207">
        <f>$I$210-$L$207/2</f>
        <v>13050.01077893</v>
      </c>
      <c r="J207">
        <v>-270</v>
      </c>
      <c r="K207">
        <v>0</v>
      </c>
      <c r="L207">
        <v>1889.4492</v>
      </c>
    </row>
    <row r="208" spans="1:13">
      <c r="A208" t="s">
        <v>797</v>
      </c>
      <c r="B208" t="s">
        <v>3855</v>
      </c>
      <c r="C208" t="s">
        <v>1152</v>
      </c>
      <c r="D208" t="s">
        <v>804</v>
      </c>
      <c r="E208" t="s">
        <v>2204</v>
      </c>
      <c r="F208" t="s">
        <v>2204</v>
      </c>
      <c r="G208" s="1">
        <f>$G$205+ABS($I$208-$I$205)/1000</f>
        <v>21.085564479309998</v>
      </c>
      <c r="H208">
        <v>0</v>
      </c>
      <c r="I208">
        <f>$I$205+767.5</f>
        <v>13683.510878929999</v>
      </c>
      <c r="J208">
        <v>-270</v>
      </c>
      <c r="K208">
        <v>0</v>
      </c>
      <c r="L208">
        <f>_xlfn.XLOOKUP(F208,magnet_list!$A$2:$A$592,magnet_list!$M$2:$M$592,"n/a",0,1)</f>
        <v>1000</v>
      </c>
      <c r="M208">
        <f>_xlfn.XLOOKUP(F208,magnet_list!$A$2:$A$592,magnet_list!$L$2:$L$592,"n/a",0,1)</f>
        <v>120</v>
      </c>
    </row>
    <row r="209" spans="1:13">
      <c r="A209" t="s">
        <v>797</v>
      </c>
      <c r="B209" t="s">
        <v>3855</v>
      </c>
      <c r="C209" t="s">
        <v>1152</v>
      </c>
      <c r="D209" t="s">
        <v>804</v>
      </c>
      <c r="E209" t="s">
        <v>2205</v>
      </c>
      <c r="F209" t="s">
        <v>2205</v>
      </c>
      <c r="G209" s="1">
        <f>$G$205+ABS($I$208-$I$205)/1000</f>
        <v>21.085564479309998</v>
      </c>
      <c r="H209">
        <v>0</v>
      </c>
      <c r="I209">
        <f>$I$205+767.5</f>
        <v>13683.510878929999</v>
      </c>
      <c r="J209">
        <v>-270</v>
      </c>
      <c r="K209">
        <v>0</v>
      </c>
      <c r="L209">
        <f>_xlfn.XLOOKUP(F209,magnet_list!$A$2:$A$592,magnet_list!$M$2:$M$592,"n/a",0,1)</f>
        <v>1000</v>
      </c>
      <c r="M209">
        <f>_xlfn.XLOOKUP(F209,magnet_list!$A$2:$A$592,magnet_list!$L$2:$L$592,"n/a",0,1)</f>
        <v>120</v>
      </c>
    </row>
    <row r="210" spans="1:13">
      <c r="A210" t="s">
        <v>797</v>
      </c>
      <c r="B210" t="s">
        <v>804</v>
      </c>
      <c r="C210" t="s">
        <v>1152</v>
      </c>
      <c r="D210" t="s">
        <v>804</v>
      </c>
      <c r="E210" s="10" t="s">
        <v>1167</v>
      </c>
      <c r="F210" s="10" t="s">
        <v>2386</v>
      </c>
      <c r="G210" s="1">
        <f>$G$205+ABS($I$210-$I$205)/1000</f>
        <v>21.396788979309999</v>
      </c>
      <c r="H210">
        <v>0</v>
      </c>
      <c r="I210">
        <f>$I$205+1078.7245</f>
        <v>13994.73537893</v>
      </c>
      <c r="J210">
        <v>-270</v>
      </c>
      <c r="K210">
        <v>0</v>
      </c>
      <c r="L210">
        <v>1889.4492</v>
      </c>
    </row>
    <row r="211" spans="1:13">
      <c r="A211" t="s">
        <v>797</v>
      </c>
      <c r="B211" t="s">
        <v>803</v>
      </c>
      <c r="C211" t="s">
        <v>806</v>
      </c>
      <c r="E211" t="s">
        <v>939</v>
      </c>
      <c r="F211" t="s">
        <v>939</v>
      </c>
      <c r="G211" s="1">
        <f t="shared" si="11"/>
        <v>21.588161468439999</v>
      </c>
      <c r="H211">
        <v>1776.1736938900001</v>
      </c>
      <c r="I211">
        <v>14186.10786806</v>
      </c>
      <c r="J211">
        <v>-16.01298087</v>
      </c>
      <c r="K211">
        <v>253.98701912999999</v>
      </c>
    </row>
    <row r="212" spans="1:13">
      <c r="A212" t="s">
        <v>797</v>
      </c>
      <c r="B212" t="s">
        <v>804</v>
      </c>
      <c r="C212" t="s">
        <v>1152</v>
      </c>
      <c r="D212" t="s">
        <v>804</v>
      </c>
      <c r="E212" s="10" t="s">
        <v>1413</v>
      </c>
      <c r="F212" s="10" t="s">
        <v>2386</v>
      </c>
      <c r="G212" s="1">
        <f>$G$210+ABS($I$212-$I$210)/1000</f>
        <v>22.34151357931</v>
      </c>
      <c r="H212">
        <v>0</v>
      </c>
      <c r="I212">
        <f>$I$210+$L$212/2</f>
        <v>14939.459978929999</v>
      </c>
      <c r="J212">
        <v>-270</v>
      </c>
      <c r="K212">
        <v>0</v>
      </c>
      <c r="L212">
        <v>1889.4492</v>
      </c>
    </row>
    <row r="213" spans="1:13">
      <c r="A213" t="s">
        <v>797</v>
      </c>
      <c r="B213" t="s">
        <v>804</v>
      </c>
      <c r="C213" t="s">
        <v>1152</v>
      </c>
      <c r="D213" t="s">
        <v>804</v>
      </c>
      <c r="E213" s="10" t="s">
        <v>1414</v>
      </c>
      <c r="F213" s="10" t="s">
        <v>2387</v>
      </c>
      <c r="G213" s="1">
        <f>$G$216+ABS($I$216-$I$213)/1000</f>
        <v>24.414659579310001</v>
      </c>
      <c r="H213">
        <v>0</v>
      </c>
      <c r="I213">
        <f>$I$216-$L$213/2</f>
        <v>15123.156778930001</v>
      </c>
      <c r="J213">
        <v>-270</v>
      </c>
      <c r="K213">
        <v>0</v>
      </c>
      <c r="L213">
        <v>1889.4492</v>
      </c>
    </row>
    <row r="214" spans="1:13">
      <c r="A214" t="s">
        <v>797</v>
      </c>
      <c r="B214" t="s">
        <v>3855</v>
      </c>
      <c r="C214" t="s">
        <v>1152</v>
      </c>
      <c r="D214" t="s">
        <v>804</v>
      </c>
      <c r="E214" t="s">
        <v>2206</v>
      </c>
      <c r="F214" t="s">
        <v>2206</v>
      </c>
      <c r="G214" s="1">
        <f>$G$210+ABS($I$214-$I$210)/1000</f>
        <v>23.158710479309999</v>
      </c>
      <c r="H214">
        <v>0</v>
      </c>
      <c r="I214">
        <f>$I$210+1761.9215</f>
        <v>15756.65687893</v>
      </c>
      <c r="J214">
        <v>-270</v>
      </c>
      <c r="K214">
        <v>0</v>
      </c>
      <c r="L214">
        <f>_xlfn.XLOOKUP(F214,magnet_list!$A$2:$A$592,magnet_list!$M$2:$M$592,"n/a",0,1)</f>
        <v>1000</v>
      </c>
      <c r="M214">
        <f>_xlfn.XLOOKUP(F214,magnet_list!$A$2:$A$592,magnet_list!$L$2:$L$592,"n/a",0,1)</f>
        <v>120</v>
      </c>
    </row>
    <row r="215" spans="1:13">
      <c r="A215" t="s">
        <v>797</v>
      </c>
      <c r="B215" t="s">
        <v>3855</v>
      </c>
      <c r="C215" t="s">
        <v>1152</v>
      </c>
      <c r="D215" t="s">
        <v>804</v>
      </c>
      <c r="E215" t="s">
        <v>2207</v>
      </c>
      <c r="F215" t="s">
        <v>2207</v>
      </c>
      <c r="G215" s="1">
        <f>$G$210+ABS($I$214-$I$210)/1000</f>
        <v>23.158710479309999</v>
      </c>
      <c r="H215">
        <v>0</v>
      </c>
      <c r="I215">
        <f>$I$210+1761.9215</f>
        <v>15756.65687893</v>
      </c>
      <c r="J215">
        <v>-270</v>
      </c>
      <c r="K215">
        <v>0</v>
      </c>
      <c r="L215">
        <f>_xlfn.XLOOKUP(F215,magnet_list!$A$2:$A$592,magnet_list!$M$2:$M$592,"n/a",0,1)</f>
        <v>1000</v>
      </c>
      <c r="M215">
        <f>_xlfn.XLOOKUP(F215,magnet_list!$A$2:$A$592,magnet_list!$L$2:$L$592,"n/a",0,1)</f>
        <v>120</v>
      </c>
    </row>
    <row r="216" spans="1:13">
      <c r="A216" t="s">
        <v>797</v>
      </c>
      <c r="B216" t="s">
        <v>804</v>
      </c>
      <c r="C216" t="s">
        <v>1152</v>
      </c>
      <c r="D216" t="s">
        <v>804</v>
      </c>
      <c r="E216" s="10" t="s">
        <v>1223</v>
      </c>
      <c r="F216" s="10" t="s">
        <v>2387</v>
      </c>
      <c r="G216" s="1">
        <f>$G$210+ABS($I$216-$I$210)/1000</f>
        <v>23.469934979310001</v>
      </c>
      <c r="H216">
        <v>0</v>
      </c>
      <c r="I216">
        <f>$I$210+2073.146</f>
        <v>16067.88137893</v>
      </c>
      <c r="J216">
        <v>-270</v>
      </c>
      <c r="K216">
        <v>0</v>
      </c>
      <c r="L216">
        <v>1889.4492</v>
      </c>
    </row>
    <row r="217" spans="1:13">
      <c r="A217" t="s">
        <v>797</v>
      </c>
      <c r="B217" t="s">
        <v>804</v>
      </c>
      <c r="C217" t="s">
        <v>1152</v>
      </c>
      <c r="D217" t="s">
        <v>804</v>
      </c>
      <c r="E217" s="10" t="s">
        <v>1415</v>
      </c>
      <c r="F217" s="10" t="s">
        <v>2387</v>
      </c>
      <c r="G217" s="1">
        <f>$G$216+ABS($I$217-$I$216)/1000</f>
        <v>24.414659579310001</v>
      </c>
      <c r="H217">
        <v>0</v>
      </c>
      <c r="I217">
        <f>$I$216+$L$217/2</f>
        <v>17012.605978930002</v>
      </c>
      <c r="J217">
        <v>-270</v>
      </c>
      <c r="K217">
        <v>0</v>
      </c>
      <c r="L217">
        <v>1889.4492</v>
      </c>
    </row>
    <row r="218" spans="1:13">
      <c r="A218" t="s">
        <v>797</v>
      </c>
      <c r="B218" t="s">
        <v>1152</v>
      </c>
      <c r="C218" t="s">
        <v>1152</v>
      </c>
      <c r="D218" t="s">
        <v>804</v>
      </c>
      <c r="E218" s="3" t="s">
        <v>1963</v>
      </c>
      <c r="F218" s="3" t="s">
        <v>1963</v>
      </c>
      <c r="G218" s="1">
        <f>$G$216+ABS($I$218-$I$216)/1000</f>
        <v>24.548661479310002</v>
      </c>
      <c r="H218">
        <v>0</v>
      </c>
      <c r="I218">
        <f>$I$216+1078.7265</f>
        <v>17146.607878930001</v>
      </c>
      <c r="J218">
        <v>-270</v>
      </c>
      <c r="K218">
        <v>0</v>
      </c>
    </row>
    <row r="219" spans="1:13">
      <c r="A219" t="s">
        <v>797</v>
      </c>
      <c r="B219" t="s">
        <v>805</v>
      </c>
      <c r="C219" t="s">
        <v>806</v>
      </c>
      <c r="E219" s="2" t="s">
        <v>18</v>
      </c>
      <c r="F219" s="2" t="s">
        <v>2389</v>
      </c>
      <c r="G219" s="1">
        <f t="shared" si="11"/>
        <v>24.669020637919999</v>
      </c>
      <c r="H219">
        <v>0</v>
      </c>
      <c r="I219">
        <v>17266.967037539998</v>
      </c>
      <c r="J219">
        <v>-70</v>
      </c>
      <c r="K219">
        <v>200</v>
      </c>
      <c r="L219">
        <f>_xlfn.XLOOKUP(F219,magnet_list!$A$2:$A$592,magnet_list!$M$2:$M$592,"n/a",0,1)</f>
        <v>100</v>
      </c>
      <c r="M219">
        <f>_xlfn.XLOOKUP(F219,magnet_list!$A$2:$A$592,magnet_list!$L$2:$L$592,"n/a",0,1)</f>
        <v>44</v>
      </c>
    </row>
    <row r="220" spans="1:13">
      <c r="A220" t="s">
        <v>797</v>
      </c>
      <c r="B220" t="s">
        <v>805</v>
      </c>
      <c r="C220" t="s">
        <v>1152</v>
      </c>
      <c r="D220" t="s">
        <v>804</v>
      </c>
      <c r="E220" s="2" t="s">
        <v>539</v>
      </c>
      <c r="F220" s="2" t="s">
        <v>2389</v>
      </c>
      <c r="G220" s="1">
        <f t="shared" si="11"/>
        <v>24.699023572599998</v>
      </c>
      <c r="H220">
        <v>0</v>
      </c>
      <c r="I220">
        <v>17296.969972219998</v>
      </c>
      <c r="J220">
        <v>-70</v>
      </c>
      <c r="K220">
        <v>200</v>
      </c>
      <c r="L220">
        <f>_xlfn.XLOOKUP(F220,magnet_list!$A$2:$A$592,magnet_list!$M$2:$M$592,"n/a",0,1)</f>
        <v>100</v>
      </c>
      <c r="M220">
        <f>_xlfn.XLOOKUP(F220,magnet_list!$A$2:$A$592,magnet_list!$L$2:$L$592,"n/a",0,1)</f>
        <v>44</v>
      </c>
    </row>
    <row r="221" spans="1:13">
      <c r="A221" t="s">
        <v>797</v>
      </c>
      <c r="B221" t="s">
        <v>805</v>
      </c>
      <c r="C221" t="s">
        <v>806</v>
      </c>
      <c r="E221" s="2" t="s">
        <v>19</v>
      </c>
      <c r="F221" s="2" t="s">
        <v>19</v>
      </c>
      <c r="G221" s="1">
        <f t="shared" si="11"/>
        <v>24.879437572599997</v>
      </c>
      <c r="H221">
        <v>0</v>
      </c>
      <c r="I221">
        <v>17477.383972219999</v>
      </c>
      <c r="J221">
        <v>-70</v>
      </c>
      <c r="K221">
        <v>200</v>
      </c>
      <c r="L221">
        <f>_xlfn.XLOOKUP(F221,magnet_list!$A$2:$A$592,magnet_list!$M$2:$M$592,"n/a",0,1)</f>
        <v>200</v>
      </c>
      <c r="M221">
        <f>_xlfn.XLOOKUP(F221,magnet_list!$A$2:$A$592,magnet_list!$L$2:$L$592,"n/a",0,1)</f>
        <v>44</v>
      </c>
    </row>
    <row r="222" spans="1:13">
      <c r="A222" t="s">
        <v>797</v>
      </c>
      <c r="B222" t="s">
        <v>805</v>
      </c>
      <c r="C222" t="s">
        <v>1152</v>
      </c>
      <c r="D222" t="s">
        <v>804</v>
      </c>
      <c r="E222" s="2" t="s">
        <v>540</v>
      </c>
      <c r="F222" s="2" t="s">
        <v>19</v>
      </c>
      <c r="G222" s="1">
        <f t="shared" si="11"/>
        <v>24.959435600380001</v>
      </c>
      <c r="H222">
        <v>0</v>
      </c>
      <c r="I222">
        <v>17557.382000000001</v>
      </c>
      <c r="J222">
        <v>-70</v>
      </c>
      <c r="K222">
        <v>200</v>
      </c>
      <c r="L222">
        <f>_xlfn.XLOOKUP(F222,magnet_list!$A$2:$A$592,magnet_list!$M$2:$M$592,"n/a",0,1)</f>
        <v>200</v>
      </c>
      <c r="M222">
        <f>_xlfn.XLOOKUP(F222,magnet_list!$A$2:$A$592,magnet_list!$L$2:$L$592,"n/a",0,1)</f>
        <v>44</v>
      </c>
    </row>
    <row r="223" spans="1:13">
      <c r="A223" t="s">
        <v>797</v>
      </c>
      <c r="B223" t="s">
        <v>803</v>
      </c>
      <c r="C223" t="s">
        <v>806</v>
      </c>
      <c r="E223" t="s">
        <v>940</v>
      </c>
      <c r="F223" t="s">
        <v>940</v>
      </c>
      <c r="G223" s="1">
        <f t="shared" si="11"/>
        <v>25.009131709510001</v>
      </c>
      <c r="H223">
        <v>1776.14204283</v>
      </c>
      <c r="I223">
        <v>17607.078109130001</v>
      </c>
      <c r="J223">
        <v>-19.405109759999998</v>
      </c>
      <c r="K223">
        <v>250.59489024000001</v>
      </c>
    </row>
    <row r="224" spans="1:13">
      <c r="A224" t="s">
        <v>797</v>
      </c>
      <c r="B224" t="s">
        <v>805</v>
      </c>
      <c r="C224" t="s">
        <v>1152</v>
      </c>
      <c r="D224" t="s">
        <v>804</v>
      </c>
      <c r="E224" s="2" t="s">
        <v>541</v>
      </c>
      <c r="F224" s="2" t="s">
        <v>2389</v>
      </c>
      <c r="G224" s="1">
        <f t="shared" si="11"/>
        <v>25.21944986674</v>
      </c>
      <c r="H224">
        <v>0</v>
      </c>
      <c r="I224">
        <v>17817.39626636</v>
      </c>
      <c r="J224">
        <v>-70</v>
      </c>
      <c r="K224">
        <v>200</v>
      </c>
      <c r="L224">
        <f>_xlfn.XLOOKUP(F224,magnet_list!$A$2:$A$592,magnet_list!$M$2:$M$592,"n/a",0,1)</f>
        <v>100</v>
      </c>
      <c r="M224">
        <f>_xlfn.XLOOKUP(F224,magnet_list!$A$2:$A$592,magnet_list!$L$2:$L$592,"n/a",0,1)</f>
        <v>44</v>
      </c>
    </row>
    <row r="225" spans="1:13">
      <c r="A225" t="s">
        <v>797</v>
      </c>
      <c r="B225" t="s">
        <v>805</v>
      </c>
      <c r="C225" t="s">
        <v>806</v>
      </c>
      <c r="E225" s="2" t="s">
        <v>20</v>
      </c>
      <c r="F225" s="2" t="s">
        <v>2389</v>
      </c>
      <c r="G225" s="1">
        <f t="shared" si="11"/>
        <v>25.249449866740001</v>
      </c>
      <c r="H225">
        <v>0</v>
      </c>
      <c r="I225">
        <v>17847.39626636</v>
      </c>
      <c r="J225">
        <v>-70</v>
      </c>
      <c r="K225">
        <v>200</v>
      </c>
      <c r="L225">
        <f>_xlfn.XLOOKUP(F225,magnet_list!$A$2:$A$592,magnet_list!$M$2:$M$592,"n/a",0,1)</f>
        <v>100</v>
      </c>
      <c r="M225">
        <f>_xlfn.XLOOKUP(F225,magnet_list!$A$2:$A$592,magnet_list!$L$2:$L$592,"n/a",0,1)</f>
        <v>44</v>
      </c>
    </row>
    <row r="226" spans="1:13">
      <c r="A226" t="s">
        <v>797</v>
      </c>
      <c r="B226" t="s">
        <v>1152</v>
      </c>
      <c r="C226" t="s">
        <v>1152</v>
      </c>
      <c r="D226" t="s">
        <v>804</v>
      </c>
      <c r="E226" s="3" t="s">
        <v>1964</v>
      </c>
      <c r="F226" s="3" t="s">
        <v>1964</v>
      </c>
      <c r="G226" s="1">
        <f>$G$218+ABS($I$226-$I$218)/1000</f>
        <v>25.487807479310003</v>
      </c>
      <c r="H226">
        <v>0</v>
      </c>
      <c r="I226">
        <f>$I$218+939.146</f>
        <v>18085.753878930002</v>
      </c>
      <c r="J226">
        <v>-270</v>
      </c>
      <c r="K226">
        <v>0</v>
      </c>
    </row>
    <row r="227" spans="1:13">
      <c r="A227" t="s">
        <v>797</v>
      </c>
      <c r="B227" t="s">
        <v>804</v>
      </c>
      <c r="C227" t="s">
        <v>1152</v>
      </c>
      <c r="D227" t="s">
        <v>804</v>
      </c>
      <c r="E227" s="10" t="s">
        <v>1416</v>
      </c>
      <c r="F227" s="10" t="s">
        <v>2390</v>
      </c>
      <c r="G227" s="1">
        <f>$G$231-ABS($I$231-$I$227)/1000</f>
        <v>25.621807379310003</v>
      </c>
      <c r="H227">
        <v>0</v>
      </c>
      <c r="I227">
        <f>$I$231-$L$227/2</f>
        <v>18219.75377893</v>
      </c>
      <c r="J227">
        <v>-270</v>
      </c>
      <c r="K227">
        <v>0</v>
      </c>
      <c r="L227">
        <v>1889.4492</v>
      </c>
    </row>
    <row r="228" spans="1:13">
      <c r="A228" t="s">
        <v>797</v>
      </c>
      <c r="B228" t="s">
        <v>803</v>
      </c>
      <c r="C228" t="s">
        <v>806</v>
      </c>
      <c r="E228" t="s">
        <v>941</v>
      </c>
      <c r="F228" t="s">
        <v>941</v>
      </c>
      <c r="G228" s="1">
        <f t="shared" si="11"/>
        <v>26.2318009928</v>
      </c>
      <c r="H228">
        <v>-3163.9622065799999</v>
      </c>
      <c r="I228">
        <v>18829.747392419999</v>
      </c>
      <c r="J228">
        <v>-18.280145260000001</v>
      </c>
      <c r="K228">
        <v>251.71985473999999</v>
      </c>
    </row>
    <row r="229" spans="1:13">
      <c r="A229" t="s">
        <v>797</v>
      </c>
      <c r="B229" t="s">
        <v>3855</v>
      </c>
      <c r="C229" t="s">
        <v>1152</v>
      </c>
      <c r="D229" t="s">
        <v>804</v>
      </c>
      <c r="E229" t="s">
        <v>2208</v>
      </c>
      <c r="F229" t="s">
        <v>2208</v>
      </c>
      <c r="G229" s="1">
        <f>$G$226+ABS($I$229-$I$226)/1000</f>
        <v>26.255307479310002</v>
      </c>
      <c r="H229">
        <v>0</v>
      </c>
      <c r="I229">
        <f>$I$226+767.5</f>
        <v>18853.253878930002</v>
      </c>
      <c r="J229">
        <v>-270</v>
      </c>
      <c r="K229">
        <v>0</v>
      </c>
      <c r="L229">
        <f>_xlfn.XLOOKUP(F229,magnet_list!$A$2:$A$592,magnet_list!$M$2:$M$592,"n/a",0,1)</f>
        <v>1000</v>
      </c>
      <c r="M229">
        <f>_xlfn.XLOOKUP(F229,magnet_list!$A$2:$A$592,magnet_list!$L$2:$L$592,"n/a",0,1)</f>
        <v>120</v>
      </c>
    </row>
    <row r="230" spans="1:13">
      <c r="A230" t="s">
        <v>797</v>
      </c>
      <c r="B230" t="s">
        <v>3855</v>
      </c>
      <c r="C230" t="s">
        <v>1152</v>
      </c>
      <c r="D230" t="s">
        <v>804</v>
      </c>
      <c r="E230" t="s">
        <v>2209</v>
      </c>
      <c r="F230" t="s">
        <v>2209</v>
      </c>
      <c r="G230" s="1">
        <f>$G$226+ABS($I$229-$I$226)/1000</f>
        <v>26.255307479310002</v>
      </c>
      <c r="H230">
        <v>0</v>
      </c>
      <c r="I230">
        <f>$I$226+767.5</f>
        <v>18853.253878930002</v>
      </c>
      <c r="J230">
        <v>-270</v>
      </c>
      <c r="K230">
        <v>0</v>
      </c>
      <c r="L230">
        <f>_xlfn.XLOOKUP(F230,magnet_list!$A$2:$A$592,magnet_list!$M$2:$M$592,"n/a",0,1)</f>
        <v>1000</v>
      </c>
      <c r="M230">
        <f>_xlfn.XLOOKUP(F230,magnet_list!$A$2:$A$592,magnet_list!$L$2:$L$592,"n/a",0,1)</f>
        <v>120</v>
      </c>
    </row>
    <row r="231" spans="1:13">
      <c r="A231" t="s">
        <v>797</v>
      </c>
      <c r="B231" t="s">
        <v>804</v>
      </c>
      <c r="C231" t="s">
        <v>1152</v>
      </c>
      <c r="D231" t="s">
        <v>804</v>
      </c>
      <c r="E231" s="10" t="s">
        <v>1278</v>
      </c>
      <c r="F231" s="10" t="s">
        <v>2390</v>
      </c>
      <c r="G231" s="1">
        <f>$G$226+ABS($I$231-$I$226)/1000</f>
        <v>26.566531979310003</v>
      </c>
      <c r="H231">
        <v>0</v>
      </c>
      <c r="I231">
        <f>$I$226+1078.7245</f>
        <v>19164.478378930002</v>
      </c>
      <c r="J231">
        <v>-270</v>
      </c>
      <c r="K231">
        <v>0</v>
      </c>
      <c r="L231">
        <v>1889.4492</v>
      </c>
    </row>
    <row r="232" spans="1:13">
      <c r="A232" t="s">
        <v>797</v>
      </c>
      <c r="B232" t="s">
        <v>804</v>
      </c>
      <c r="C232" t="s">
        <v>1152</v>
      </c>
      <c r="D232" t="s">
        <v>804</v>
      </c>
      <c r="E232" s="10" t="s">
        <v>1417</v>
      </c>
      <c r="F232" s="10" t="s">
        <v>2390</v>
      </c>
      <c r="G232" s="1">
        <f>$G$231+ABS($I$232-$I$231)/1000</f>
        <v>27.511256579310004</v>
      </c>
      <c r="H232">
        <v>0</v>
      </c>
      <c r="I232">
        <f>$I$231+$L$232/2</f>
        <v>20109.202978930003</v>
      </c>
      <c r="J232">
        <v>-270</v>
      </c>
      <c r="K232">
        <v>0</v>
      </c>
      <c r="L232">
        <v>1889.4492</v>
      </c>
    </row>
    <row r="233" spans="1:13">
      <c r="A233" t="s">
        <v>797</v>
      </c>
      <c r="B233" t="s">
        <v>804</v>
      </c>
      <c r="C233" t="s">
        <v>1152</v>
      </c>
      <c r="D233" t="s">
        <v>804</v>
      </c>
      <c r="E233" s="10" t="s">
        <v>1418</v>
      </c>
      <c r="F233" s="10" t="s">
        <v>2391</v>
      </c>
      <c r="G233" s="1">
        <f>$G$236-ABS($I$236-$I$233)/1000</f>
        <v>27.694953379310004</v>
      </c>
      <c r="H233">
        <v>0</v>
      </c>
      <c r="I233">
        <f>$I$236-$L$233/2</f>
        <v>20292.899778930001</v>
      </c>
      <c r="J233">
        <v>-270</v>
      </c>
      <c r="K233">
        <v>0</v>
      </c>
      <c r="L233">
        <v>1889.4492</v>
      </c>
    </row>
    <row r="234" spans="1:13">
      <c r="A234" t="s">
        <v>797</v>
      </c>
      <c r="B234" t="s">
        <v>3855</v>
      </c>
      <c r="C234" t="s">
        <v>1152</v>
      </c>
      <c r="D234" t="s">
        <v>804</v>
      </c>
      <c r="E234" t="s">
        <v>2210</v>
      </c>
      <c r="F234" t="s">
        <v>2210</v>
      </c>
      <c r="G234" s="1">
        <f>$G$231+ABS($I$234-$I$231)/1000</f>
        <v>28.328453479310003</v>
      </c>
      <c r="H234">
        <v>0</v>
      </c>
      <c r="I234">
        <f>$I$231+1761.9215</f>
        <v>20926.399878930002</v>
      </c>
      <c r="J234">
        <v>-270</v>
      </c>
      <c r="K234">
        <v>0</v>
      </c>
      <c r="L234">
        <f>_xlfn.XLOOKUP(F234,magnet_list!$A$2:$A$592,magnet_list!$M$2:$M$592,"n/a",0,1)</f>
        <v>1000</v>
      </c>
      <c r="M234">
        <f>_xlfn.XLOOKUP(F234,magnet_list!$A$2:$A$592,magnet_list!$L$2:$L$592,"n/a",0,1)</f>
        <v>120</v>
      </c>
    </row>
    <row r="235" spans="1:13">
      <c r="A235" t="s">
        <v>797</v>
      </c>
      <c r="B235" t="s">
        <v>3855</v>
      </c>
      <c r="C235" t="s">
        <v>1152</v>
      </c>
      <c r="D235" t="s">
        <v>804</v>
      </c>
      <c r="E235" t="s">
        <v>2211</v>
      </c>
      <c r="F235" t="s">
        <v>2211</v>
      </c>
      <c r="G235" s="1">
        <f>$G$231+ABS($I$234-$I$231)/1000</f>
        <v>28.328453479310003</v>
      </c>
      <c r="H235">
        <v>0</v>
      </c>
      <c r="I235">
        <f>$I$231+1761.9215</f>
        <v>20926.399878930002</v>
      </c>
      <c r="J235">
        <v>-270</v>
      </c>
      <c r="K235">
        <v>0</v>
      </c>
      <c r="L235">
        <f>_xlfn.XLOOKUP(F235,magnet_list!$A$2:$A$592,magnet_list!$M$2:$M$592,"n/a",0,1)</f>
        <v>1000</v>
      </c>
      <c r="M235">
        <f>_xlfn.XLOOKUP(F235,magnet_list!$A$2:$A$592,magnet_list!$L$2:$L$592,"n/a",0,1)</f>
        <v>120</v>
      </c>
    </row>
    <row r="236" spans="1:13">
      <c r="A236" t="s">
        <v>797</v>
      </c>
      <c r="B236" t="s">
        <v>804</v>
      </c>
      <c r="C236" t="s">
        <v>1152</v>
      </c>
      <c r="D236" t="s">
        <v>804</v>
      </c>
      <c r="E236" s="10" t="s">
        <v>1332</v>
      </c>
      <c r="F236" s="10" t="s">
        <v>2391</v>
      </c>
      <c r="G236" s="1">
        <f>$G$231+ABS($I$236-$I$231)/1000</f>
        <v>28.639677979310004</v>
      </c>
      <c r="H236">
        <v>0</v>
      </c>
      <c r="I236">
        <f>$I$231+2073.146</f>
        <v>21237.624378930002</v>
      </c>
      <c r="J236">
        <v>-270</v>
      </c>
      <c r="K236">
        <v>0</v>
      </c>
      <c r="L236">
        <v>1889.4492</v>
      </c>
    </row>
    <row r="237" spans="1:13">
      <c r="A237" t="s">
        <v>797</v>
      </c>
      <c r="B237" t="s">
        <v>804</v>
      </c>
      <c r="C237" t="s">
        <v>1152</v>
      </c>
      <c r="D237" t="s">
        <v>804</v>
      </c>
      <c r="E237" s="10" t="s">
        <v>1419</v>
      </c>
      <c r="F237" s="10" t="s">
        <v>2391</v>
      </c>
      <c r="G237" s="1">
        <f>$G$236+ABS($I$237-$I$236)/1000</f>
        <v>29.584402579310005</v>
      </c>
      <c r="H237">
        <v>0</v>
      </c>
      <c r="I237">
        <f>$I$236+$L$237/2</f>
        <v>22182.348978930004</v>
      </c>
      <c r="J237">
        <v>-270</v>
      </c>
      <c r="K237">
        <v>0</v>
      </c>
      <c r="L237">
        <v>1889.4492</v>
      </c>
    </row>
    <row r="238" spans="1:13">
      <c r="A238" t="s">
        <v>797</v>
      </c>
      <c r="B238" t="s">
        <v>803</v>
      </c>
      <c r="C238" t="s">
        <v>806</v>
      </c>
      <c r="E238" t="s">
        <v>1074</v>
      </c>
      <c r="F238" t="s">
        <v>1074</v>
      </c>
      <c r="G238" s="1">
        <f t="shared" si="11"/>
        <v>29.713230123330003</v>
      </c>
      <c r="H238">
        <v>-400</v>
      </c>
      <c r="I238">
        <v>22311.176522950002</v>
      </c>
      <c r="J238">
        <v>-689</v>
      </c>
      <c r="K238">
        <v>-419</v>
      </c>
    </row>
    <row r="239" spans="1:13">
      <c r="A239" t="s">
        <v>797</v>
      </c>
      <c r="B239" t="s">
        <v>1152</v>
      </c>
      <c r="C239" t="s">
        <v>1152</v>
      </c>
      <c r="D239" t="s">
        <v>804</v>
      </c>
      <c r="E239" s="3" t="s">
        <v>1965</v>
      </c>
      <c r="F239" s="3" t="s">
        <v>1965</v>
      </c>
      <c r="G239" s="1">
        <f>$G$236+ABS($I$239-$I$236)/1000</f>
        <v>29.718404479310006</v>
      </c>
      <c r="H239">
        <v>0</v>
      </c>
      <c r="I239">
        <f>$I$236+1078.7265</f>
        <v>22316.350878930003</v>
      </c>
      <c r="J239">
        <v>-270</v>
      </c>
      <c r="K239">
        <v>0</v>
      </c>
    </row>
    <row r="240" spans="1:13">
      <c r="A240" t="s">
        <v>797</v>
      </c>
      <c r="B240" t="s">
        <v>805</v>
      </c>
      <c r="C240" t="s">
        <v>806</v>
      </c>
      <c r="E240" s="2" t="s">
        <v>21</v>
      </c>
      <c r="F240" s="2" t="s">
        <v>3695</v>
      </c>
      <c r="G240" s="1">
        <f t="shared" si="11"/>
        <v>29.836860006840002</v>
      </c>
      <c r="H240">
        <v>0</v>
      </c>
      <c r="I240">
        <v>22434.80640646</v>
      </c>
      <c r="J240">
        <v>-70</v>
      </c>
      <c r="K240">
        <v>200</v>
      </c>
      <c r="L240">
        <f>_xlfn.XLOOKUP(F240,magnet_list!$A$2:$A$592,magnet_list!$M$2:$M$592,"n/a",0,1)</f>
        <v>100</v>
      </c>
      <c r="M240">
        <f>_xlfn.XLOOKUP(F240,magnet_list!$A$2:$A$592,magnet_list!$L$2:$L$592,"n/a",0,1)</f>
        <v>44</v>
      </c>
    </row>
    <row r="241" spans="1:13">
      <c r="A241" t="s">
        <v>797</v>
      </c>
      <c r="B241" t="s">
        <v>805</v>
      </c>
      <c r="C241" t="s">
        <v>1152</v>
      </c>
      <c r="D241" t="s">
        <v>804</v>
      </c>
      <c r="E241" s="2" t="s">
        <v>542</v>
      </c>
      <c r="F241" s="2" t="s">
        <v>3695</v>
      </c>
      <c r="G241" s="1">
        <f t="shared" si="11"/>
        <v>29.866881361350003</v>
      </c>
      <c r="H241">
        <v>0</v>
      </c>
      <c r="I241">
        <v>22464.827760970002</v>
      </c>
      <c r="J241">
        <v>-70</v>
      </c>
      <c r="K241">
        <v>200</v>
      </c>
      <c r="L241">
        <f>_xlfn.XLOOKUP(F241,magnet_list!$A$2:$A$592,magnet_list!$M$2:$M$592,"n/a",0,1)</f>
        <v>100</v>
      </c>
      <c r="M241">
        <f>_xlfn.XLOOKUP(F241,magnet_list!$A$2:$A$592,magnet_list!$L$2:$L$592,"n/a",0,1)</f>
        <v>44</v>
      </c>
    </row>
    <row r="242" spans="1:13">
      <c r="A242" t="s">
        <v>797</v>
      </c>
      <c r="B242" t="s">
        <v>805</v>
      </c>
      <c r="C242" t="s">
        <v>806</v>
      </c>
      <c r="E242" s="2" t="s">
        <v>22</v>
      </c>
      <c r="F242" s="2" t="s">
        <v>22</v>
      </c>
      <c r="G242" s="1">
        <f t="shared" si="11"/>
        <v>30.046875361350001</v>
      </c>
      <c r="H242">
        <v>0</v>
      </c>
      <c r="I242">
        <v>22644.82176097</v>
      </c>
      <c r="J242">
        <v>-70</v>
      </c>
      <c r="K242">
        <v>200</v>
      </c>
      <c r="L242">
        <f>_xlfn.XLOOKUP(F242,magnet_list!$A$2:$A$592,magnet_list!$M$2:$M$592,"n/a",0,1)</f>
        <v>200</v>
      </c>
      <c r="M242">
        <f>_xlfn.XLOOKUP(F242,magnet_list!$A$2:$A$592,magnet_list!$L$2:$L$592,"n/a",0,1)</f>
        <v>44</v>
      </c>
    </row>
    <row r="243" spans="1:13">
      <c r="A243" t="s">
        <v>797</v>
      </c>
      <c r="B243" t="s">
        <v>805</v>
      </c>
      <c r="C243" t="s">
        <v>1152</v>
      </c>
      <c r="D243" t="s">
        <v>804</v>
      </c>
      <c r="E243" s="2" t="s">
        <v>543</v>
      </c>
      <c r="F243" s="2" t="s">
        <v>22</v>
      </c>
      <c r="G243" s="1">
        <f t="shared" si="11"/>
        <v>30.12688113055</v>
      </c>
      <c r="H243">
        <v>0</v>
      </c>
      <c r="I243">
        <v>22724.827530170001</v>
      </c>
      <c r="J243">
        <v>-70</v>
      </c>
      <c r="K243">
        <v>200</v>
      </c>
      <c r="L243">
        <f>_xlfn.XLOOKUP(F243,magnet_list!$A$2:$A$592,magnet_list!$M$2:$M$592,"n/a",0,1)</f>
        <v>200</v>
      </c>
      <c r="M243">
        <f>_xlfn.XLOOKUP(F243,magnet_list!$A$2:$A$592,magnet_list!$L$2:$L$592,"n/a",0,1)</f>
        <v>44</v>
      </c>
    </row>
    <row r="244" spans="1:13">
      <c r="A244" t="s">
        <v>797</v>
      </c>
      <c r="B244" t="s">
        <v>805</v>
      </c>
      <c r="C244" t="s">
        <v>1152</v>
      </c>
      <c r="D244" t="s">
        <v>804</v>
      </c>
      <c r="E244" s="2" t="s">
        <v>544</v>
      </c>
      <c r="F244" s="2" t="s">
        <v>3695</v>
      </c>
      <c r="G244" s="1">
        <f t="shared" si="11"/>
        <v>30.387229130549997</v>
      </c>
      <c r="H244">
        <v>0</v>
      </c>
      <c r="I244">
        <v>22985.17553017</v>
      </c>
      <c r="J244">
        <v>-70</v>
      </c>
      <c r="K244">
        <v>200</v>
      </c>
      <c r="L244">
        <f>_xlfn.XLOOKUP(F244,magnet_list!$A$2:$A$592,magnet_list!$M$2:$M$592,"n/a",0,1)</f>
        <v>100</v>
      </c>
      <c r="M244">
        <f>_xlfn.XLOOKUP(F244,magnet_list!$A$2:$A$592,magnet_list!$L$2:$L$592,"n/a",0,1)</f>
        <v>44</v>
      </c>
    </row>
    <row r="245" spans="1:13">
      <c r="A245" t="s">
        <v>797</v>
      </c>
      <c r="B245" t="s">
        <v>805</v>
      </c>
      <c r="C245" t="s">
        <v>806</v>
      </c>
      <c r="E245" s="2" t="s">
        <v>23</v>
      </c>
      <c r="F245" s="2" t="s">
        <v>3695</v>
      </c>
      <c r="G245" s="1">
        <f t="shared" si="11"/>
        <v>30.417229130549998</v>
      </c>
      <c r="H245">
        <v>0</v>
      </c>
      <c r="I245">
        <v>23015.17553017</v>
      </c>
      <c r="J245">
        <v>-70</v>
      </c>
      <c r="K245">
        <v>200</v>
      </c>
      <c r="L245">
        <f>_xlfn.XLOOKUP(F245,magnet_list!$A$2:$A$592,magnet_list!$M$2:$M$592,"n/a",0,1)</f>
        <v>100</v>
      </c>
      <c r="M245">
        <f>_xlfn.XLOOKUP(F245,magnet_list!$A$2:$A$592,magnet_list!$L$2:$L$592,"n/a",0,1)</f>
        <v>44</v>
      </c>
    </row>
    <row r="246" spans="1:13">
      <c r="A246" t="s">
        <v>797</v>
      </c>
      <c r="B246" t="s">
        <v>1152</v>
      </c>
      <c r="C246" t="s">
        <v>1152</v>
      </c>
      <c r="D246" t="s">
        <v>804</v>
      </c>
      <c r="E246" s="3" t="s">
        <v>1966</v>
      </c>
      <c r="F246" s="3" t="s">
        <v>1966</v>
      </c>
      <c r="G246" s="1">
        <f>$G$239+ABS($I$246-$I$239)/1000</f>
        <v>30.733064579310007</v>
      </c>
      <c r="H246">
        <v>0</v>
      </c>
      <c r="I246">
        <f>$I$239+1014.6601</f>
        <v>23331.010978930004</v>
      </c>
      <c r="J246">
        <v>-270</v>
      </c>
      <c r="K246">
        <v>0</v>
      </c>
    </row>
    <row r="247" spans="1:13">
      <c r="A247" t="s">
        <v>797</v>
      </c>
      <c r="B247" t="s">
        <v>2288</v>
      </c>
      <c r="C247" t="s">
        <v>1152</v>
      </c>
      <c r="D247" t="s">
        <v>804</v>
      </c>
      <c r="E247" s="8" t="s">
        <v>2325</v>
      </c>
      <c r="F247" s="8" t="s">
        <v>2325</v>
      </c>
      <c r="G247" s="1">
        <f>$G$246+ABS($I$247-$I$246)/1000</f>
        <v>30.818064479310006</v>
      </c>
      <c r="H247">
        <v>0</v>
      </c>
      <c r="I247">
        <f>$I$246+84.9999</f>
        <v>23416.010878930003</v>
      </c>
      <c r="J247">
        <v>-270</v>
      </c>
      <c r="K247">
        <v>0</v>
      </c>
    </row>
    <row r="248" spans="1:13">
      <c r="A248" t="s">
        <v>797</v>
      </c>
      <c r="B248" t="s">
        <v>803</v>
      </c>
      <c r="C248" t="s">
        <v>806</v>
      </c>
      <c r="E248" t="s">
        <v>1077</v>
      </c>
      <c r="F248" t="s">
        <v>1077</v>
      </c>
      <c r="G248" s="1">
        <f t="shared" si="11"/>
        <v>30.827439507790004</v>
      </c>
      <c r="H248">
        <v>-400</v>
      </c>
      <c r="I248">
        <v>23425.38590741</v>
      </c>
      <c r="J248">
        <v>-689</v>
      </c>
      <c r="K248">
        <v>-419</v>
      </c>
    </row>
    <row r="249" spans="1:13">
      <c r="A249" t="s">
        <v>797</v>
      </c>
      <c r="B249" t="s">
        <v>804</v>
      </c>
      <c r="C249" t="s">
        <v>1152</v>
      </c>
      <c r="D249" t="s">
        <v>804</v>
      </c>
      <c r="E249" s="10" t="s">
        <v>1420</v>
      </c>
      <c r="F249" s="10" t="s">
        <v>2392</v>
      </c>
      <c r="G249" s="1">
        <f>$G$252-ABS($I$252-$I$249)/1000</f>
        <v>30.952064379310006</v>
      </c>
      <c r="H249">
        <v>0</v>
      </c>
      <c r="I249">
        <f>$I$252-$L$249/2</f>
        <v>23550.010778930002</v>
      </c>
      <c r="J249">
        <v>-270</v>
      </c>
      <c r="K249">
        <v>0</v>
      </c>
      <c r="L249">
        <v>1889.4492</v>
      </c>
    </row>
    <row r="250" spans="1:13">
      <c r="A250" t="s">
        <v>797</v>
      </c>
      <c r="B250" t="s">
        <v>3855</v>
      </c>
      <c r="C250" t="s">
        <v>1152</v>
      </c>
      <c r="D250" t="s">
        <v>804</v>
      </c>
      <c r="E250" t="s">
        <v>2212</v>
      </c>
      <c r="F250" t="s">
        <v>2212</v>
      </c>
      <c r="G250" s="1">
        <f>$G$247+ABS($I$250-$I$247)/1000</f>
        <v>31.585564479310005</v>
      </c>
      <c r="H250">
        <v>0</v>
      </c>
      <c r="I250">
        <f>$I$247+767.5</f>
        <v>24183.510878930003</v>
      </c>
      <c r="J250">
        <v>-270</v>
      </c>
      <c r="K250">
        <v>0</v>
      </c>
      <c r="L250">
        <f>_xlfn.XLOOKUP(F250,magnet_list!$A$2:$A$592,magnet_list!$M$2:$M$592,"n/a",0,1)</f>
        <v>1000</v>
      </c>
      <c r="M250">
        <f>_xlfn.XLOOKUP(F250,magnet_list!$A$2:$A$592,magnet_list!$L$2:$L$592,"n/a",0,1)</f>
        <v>120</v>
      </c>
    </row>
    <row r="251" spans="1:13">
      <c r="A251" t="s">
        <v>797</v>
      </c>
      <c r="B251" t="s">
        <v>3855</v>
      </c>
      <c r="C251" t="s">
        <v>1152</v>
      </c>
      <c r="D251" t="s">
        <v>804</v>
      </c>
      <c r="E251" t="s">
        <v>2213</v>
      </c>
      <c r="F251" t="s">
        <v>2213</v>
      </c>
      <c r="G251" s="1">
        <f>$G$247+ABS($I$250-$I$247)/1000</f>
        <v>31.585564479310005</v>
      </c>
      <c r="H251">
        <v>0</v>
      </c>
      <c r="I251">
        <f>$I$247+767.5</f>
        <v>24183.510878930003</v>
      </c>
      <c r="J251">
        <v>-270</v>
      </c>
      <c r="K251">
        <v>0</v>
      </c>
      <c r="L251">
        <f>_xlfn.XLOOKUP(F251,magnet_list!$A$2:$A$592,magnet_list!$M$2:$M$592,"n/a",0,1)</f>
        <v>1000</v>
      </c>
      <c r="M251">
        <f>_xlfn.XLOOKUP(F251,magnet_list!$A$2:$A$592,magnet_list!$L$2:$L$592,"n/a",0,1)</f>
        <v>120</v>
      </c>
    </row>
    <row r="252" spans="1:13">
      <c r="A252" t="s">
        <v>797</v>
      </c>
      <c r="B252" t="s">
        <v>804</v>
      </c>
      <c r="C252" t="s">
        <v>1152</v>
      </c>
      <c r="D252" t="s">
        <v>804</v>
      </c>
      <c r="E252" s="10" t="s">
        <v>1168</v>
      </c>
      <c r="F252" s="10" t="s">
        <v>2392</v>
      </c>
      <c r="G252" s="1">
        <f>$G$247+ABS($I$252-$I$247)/1000</f>
        <v>31.896788979310006</v>
      </c>
      <c r="H252">
        <v>0</v>
      </c>
      <c r="I252">
        <f>$I$247+1078.7245</f>
        <v>24494.735378930003</v>
      </c>
      <c r="J252">
        <v>-270</v>
      </c>
      <c r="K252">
        <v>0</v>
      </c>
      <c r="L252">
        <v>1889.4492</v>
      </c>
    </row>
    <row r="253" spans="1:13">
      <c r="A253" t="s">
        <v>797</v>
      </c>
      <c r="B253" t="s">
        <v>804</v>
      </c>
      <c r="C253" t="s">
        <v>1152</v>
      </c>
      <c r="D253" t="s">
        <v>804</v>
      </c>
      <c r="E253" s="10" t="s">
        <v>1421</v>
      </c>
      <c r="F253" s="10" t="s">
        <v>2392</v>
      </c>
      <c r="G253" s="1">
        <f>$G$252+ABS($I$253-$I$252)/1000</f>
        <v>32.841513579310011</v>
      </c>
      <c r="H253">
        <v>0</v>
      </c>
      <c r="I253">
        <f>$I$252+$L$253/2</f>
        <v>25439.459978930005</v>
      </c>
      <c r="J253">
        <v>-270</v>
      </c>
      <c r="K253">
        <v>0</v>
      </c>
      <c r="L253">
        <v>1889.4492</v>
      </c>
    </row>
    <row r="254" spans="1:13">
      <c r="A254" t="s">
        <v>797</v>
      </c>
      <c r="B254" t="s">
        <v>804</v>
      </c>
      <c r="C254" t="s">
        <v>1152</v>
      </c>
      <c r="D254" t="s">
        <v>804</v>
      </c>
      <c r="E254" s="10" t="s">
        <v>1422</v>
      </c>
      <c r="F254" s="10" t="s">
        <v>2393</v>
      </c>
      <c r="G254" s="1">
        <f>$G$257-ABS($I$257-$I$254)/1000</f>
        <v>33.025210379310003</v>
      </c>
      <c r="H254">
        <v>0</v>
      </c>
      <c r="I254">
        <f>$I$257-$L$254/2</f>
        <v>25623.156778930002</v>
      </c>
      <c r="J254">
        <v>-270</v>
      </c>
      <c r="K254">
        <v>0</v>
      </c>
      <c r="L254">
        <v>1889.4492</v>
      </c>
    </row>
    <row r="255" spans="1:13">
      <c r="A255" t="s">
        <v>797</v>
      </c>
      <c r="B255" t="s">
        <v>3855</v>
      </c>
      <c r="C255" t="s">
        <v>1152</v>
      </c>
      <c r="D255" t="s">
        <v>804</v>
      </c>
      <c r="E255" t="s">
        <v>2214</v>
      </c>
      <c r="F255" t="s">
        <v>2214</v>
      </c>
      <c r="G255" s="1">
        <f>$G$252+ABS($I$255-$I$252)/1000</f>
        <v>33.65871047931001</v>
      </c>
      <c r="H255">
        <v>0</v>
      </c>
      <c r="I255">
        <f>$I$252+1761.9215</f>
        <v>26256.656878930004</v>
      </c>
      <c r="J255">
        <v>-270</v>
      </c>
      <c r="K255">
        <v>0</v>
      </c>
      <c r="L255">
        <f>_xlfn.XLOOKUP(F255,magnet_list!$A$2:$A$592,magnet_list!$M$2:$M$592,"n/a",0,1)</f>
        <v>1000</v>
      </c>
      <c r="M255">
        <f>_xlfn.XLOOKUP(F255,magnet_list!$A$2:$A$592,magnet_list!$L$2:$L$592,"n/a",0,1)</f>
        <v>120</v>
      </c>
    </row>
    <row r="256" spans="1:13">
      <c r="A256" t="s">
        <v>797</v>
      </c>
      <c r="B256" t="s">
        <v>3855</v>
      </c>
      <c r="C256" t="s">
        <v>1152</v>
      </c>
      <c r="D256" t="s">
        <v>804</v>
      </c>
      <c r="E256" t="s">
        <v>2215</v>
      </c>
      <c r="F256" t="s">
        <v>2215</v>
      </c>
      <c r="G256" s="1">
        <f>$G$252+ABS($I$255-$I$252)/1000</f>
        <v>33.65871047931001</v>
      </c>
      <c r="H256">
        <v>0</v>
      </c>
      <c r="I256">
        <f>$I$252+1761.9215</f>
        <v>26256.656878930004</v>
      </c>
      <c r="J256">
        <v>-270</v>
      </c>
      <c r="K256">
        <v>0</v>
      </c>
      <c r="L256">
        <f>_xlfn.XLOOKUP(F256,magnet_list!$A$2:$A$592,magnet_list!$M$2:$M$592,"n/a",0,1)</f>
        <v>1000</v>
      </c>
      <c r="M256">
        <f>_xlfn.XLOOKUP(F256,magnet_list!$A$2:$A$592,magnet_list!$L$2:$L$592,"n/a",0,1)</f>
        <v>120</v>
      </c>
    </row>
    <row r="257" spans="1:13">
      <c r="A257" t="s">
        <v>797</v>
      </c>
      <c r="B257" t="s">
        <v>804</v>
      </c>
      <c r="C257" t="s">
        <v>1152</v>
      </c>
      <c r="D257" t="s">
        <v>804</v>
      </c>
      <c r="E257" s="10" t="s">
        <v>1224</v>
      </c>
      <c r="F257" s="10" t="s">
        <v>2393</v>
      </c>
      <c r="G257" s="1">
        <f>$G$252+ABS($I$257-$I$252)/1000</f>
        <v>33.969934979310004</v>
      </c>
      <c r="H257">
        <v>0</v>
      </c>
      <c r="I257">
        <f>$I$252+2073.146</f>
        <v>26567.881378930004</v>
      </c>
      <c r="J257">
        <v>-270</v>
      </c>
      <c r="K257">
        <v>0</v>
      </c>
      <c r="L257">
        <v>1889.4492</v>
      </c>
    </row>
    <row r="258" spans="1:13">
      <c r="A258" t="s">
        <v>797</v>
      </c>
      <c r="B258" t="s">
        <v>803</v>
      </c>
      <c r="C258" t="s">
        <v>806</v>
      </c>
      <c r="E258" t="s">
        <v>942</v>
      </c>
      <c r="F258" t="s">
        <v>942</v>
      </c>
      <c r="G258" s="1">
        <f t="shared" si="11"/>
        <v>34.537397824290004</v>
      </c>
      <c r="H258">
        <v>1776.2951606900001</v>
      </c>
      <c r="I258">
        <v>27135.34422391</v>
      </c>
      <c r="J258">
        <v>-17.8047279</v>
      </c>
      <c r="K258">
        <v>252.19527210000001</v>
      </c>
    </row>
    <row r="259" spans="1:13">
      <c r="A259" t="s">
        <v>797</v>
      </c>
      <c r="B259" t="s">
        <v>804</v>
      </c>
      <c r="C259" t="s">
        <v>1152</v>
      </c>
      <c r="D259" t="s">
        <v>804</v>
      </c>
      <c r="E259" s="10" t="s">
        <v>1423</v>
      </c>
      <c r="F259" s="10" t="s">
        <v>2393</v>
      </c>
      <c r="G259" s="1">
        <f>$G$257+ABS($I$259-$I$257)/1000</f>
        <v>34.914659579310005</v>
      </c>
      <c r="H259">
        <v>0</v>
      </c>
      <c r="I259">
        <f>$I$257+$L$259/2</f>
        <v>27512.605978930005</v>
      </c>
      <c r="J259">
        <v>-270</v>
      </c>
      <c r="K259">
        <v>0</v>
      </c>
      <c r="L259">
        <v>1889.4492</v>
      </c>
    </row>
    <row r="260" spans="1:13">
      <c r="A260" t="s">
        <v>797</v>
      </c>
      <c r="B260" t="s">
        <v>1152</v>
      </c>
      <c r="C260" t="s">
        <v>1152</v>
      </c>
      <c r="D260" t="s">
        <v>804</v>
      </c>
      <c r="E260" s="3" t="s">
        <v>1967</v>
      </c>
      <c r="F260" s="3" t="s">
        <v>1967</v>
      </c>
      <c r="G260" s="1">
        <f>$G$257+ABS($I$260-$I$257)/1000</f>
        <v>35.048659479310004</v>
      </c>
      <c r="H260">
        <v>0</v>
      </c>
      <c r="I260">
        <f>$I$257+1078.7245</f>
        <v>27646.605878930004</v>
      </c>
      <c r="J260">
        <v>-270</v>
      </c>
      <c r="K260">
        <v>0</v>
      </c>
    </row>
    <row r="261" spans="1:13">
      <c r="A261" t="s">
        <v>797</v>
      </c>
      <c r="B261" t="s">
        <v>805</v>
      </c>
      <c r="C261" t="s">
        <v>806</v>
      </c>
      <c r="E261" s="2" t="s">
        <v>24</v>
      </c>
      <c r="F261" s="2" t="s">
        <v>2394</v>
      </c>
      <c r="G261" s="1">
        <f t="shared" si="11"/>
        <v>35.169218301379999</v>
      </c>
      <c r="H261">
        <v>0</v>
      </c>
      <c r="I261">
        <v>27767.164701000002</v>
      </c>
      <c r="J261">
        <v>-70</v>
      </c>
      <c r="K261">
        <v>200</v>
      </c>
      <c r="L261">
        <f>_xlfn.XLOOKUP(F261,magnet_list!$A$2:$A$592,magnet_list!$M$2:$M$592,"n/a",0,1)</f>
        <v>100</v>
      </c>
      <c r="M261">
        <f>_xlfn.XLOOKUP(F261,magnet_list!$A$2:$A$592,magnet_list!$L$2:$L$592,"n/a",0,1)</f>
        <v>44</v>
      </c>
    </row>
    <row r="262" spans="1:13">
      <c r="A262" t="s">
        <v>797</v>
      </c>
      <c r="B262" t="s">
        <v>805</v>
      </c>
      <c r="C262" t="s">
        <v>1152</v>
      </c>
      <c r="D262" t="s">
        <v>804</v>
      </c>
      <c r="E262" s="2" t="s">
        <v>545</v>
      </c>
      <c r="F262" s="2" t="s">
        <v>2394</v>
      </c>
      <c r="G262" s="1">
        <f t="shared" si="11"/>
        <v>35.199232222429998</v>
      </c>
      <c r="H262">
        <v>0</v>
      </c>
      <c r="I262">
        <v>27797.17862205</v>
      </c>
      <c r="J262">
        <v>-70</v>
      </c>
      <c r="K262">
        <v>200</v>
      </c>
      <c r="L262">
        <f>_xlfn.XLOOKUP(F262,magnet_list!$A$2:$A$592,magnet_list!$M$2:$M$592,"n/a",0,1)</f>
        <v>100</v>
      </c>
      <c r="M262">
        <f>_xlfn.XLOOKUP(F262,magnet_list!$A$2:$A$592,magnet_list!$L$2:$L$592,"n/a",0,1)</f>
        <v>44</v>
      </c>
    </row>
    <row r="263" spans="1:13">
      <c r="A263" t="s">
        <v>797</v>
      </c>
      <c r="B263" t="s">
        <v>805</v>
      </c>
      <c r="C263" t="s">
        <v>806</v>
      </c>
      <c r="E263" s="2" t="s">
        <v>25</v>
      </c>
      <c r="F263" s="2" t="s">
        <v>25</v>
      </c>
      <c r="G263" s="1">
        <f t="shared" ref="G263:G325" si="12">G262+(I263-I262)/1000</f>
        <v>35.379347222429999</v>
      </c>
      <c r="H263">
        <v>0</v>
      </c>
      <c r="I263">
        <v>27977.293622050001</v>
      </c>
      <c r="J263">
        <v>-70</v>
      </c>
      <c r="K263">
        <v>200</v>
      </c>
      <c r="L263">
        <f>_xlfn.XLOOKUP(F263,magnet_list!$A$2:$A$592,magnet_list!$M$2:$M$592,"n/a",0,1)</f>
        <v>200</v>
      </c>
      <c r="M263">
        <f>_xlfn.XLOOKUP(F263,magnet_list!$A$2:$A$592,magnet_list!$L$2:$L$592,"n/a",0,1)</f>
        <v>44</v>
      </c>
    </row>
    <row r="264" spans="1:13">
      <c r="A264" t="s">
        <v>797</v>
      </c>
      <c r="B264" t="s">
        <v>805</v>
      </c>
      <c r="C264" t="s">
        <v>1152</v>
      </c>
      <c r="D264" t="s">
        <v>804</v>
      </c>
      <c r="E264" s="2" t="s">
        <v>546</v>
      </c>
      <c r="F264" s="2" t="s">
        <v>25</v>
      </c>
      <c r="G264" s="1">
        <f t="shared" si="12"/>
        <v>35.459342739439997</v>
      </c>
      <c r="H264">
        <v>0</v>
      </c>
      <c r="I264">
        <v>28057.289139060002</v>
      </c>
      <c r="J264">
        <v>-70</v>
      </c>
      <c r="K264">
        <v>200</v>
      </c>
      <c r="L264">
        <f>_xlfn.XLOOKUP(F264,magnet_list!$A$2:$A$592,magnet_list!$M$2:$M$592,"n/a",0,1)</f>
        <v>200</v>
      </c>
      <c r="M264">
        <f>_xlfn.XLOOKUP(F264,magnet_list!$A$2:$A$592,magnet_list!$L$2:$L$592,"n/a",0,1)</f>
        <v>44</v>
      </c>
    </row>
    <row r="265" spans="1:13">
      <c r="A265" t="s">
        <v>797</v>
      </c>
      <c r="B265" t="s">
        <v>805</v>
      </c>
      <c r="C265" t="s">
        <v>1152</v>
      </c>
      <c r="D265" t="s">
        <v>804</v>
      </c>
      <c r="E265" s="2" t="s">
        <v>547</v>
      </c>
      <c r="F265" s="2" t="s">
        <v>2394</v>
      </c>
      <c r="G265" s="1">
        <f t="shared" si="12"/>
        <v>35.719608739439998</v>
      </c>
      <c r="H265">
        <v>0</v>
      </c>
      <c r="I265">
        <v>28317.555139060001</v>
      </c>
      <c r="J265">
        <v>-70</v>
      </c>
      <c r="K265">
        <v>200</v>
      </c>
      <c r="L265">
        <f>_xlfn.XLOOKUP(F265,magnet_list!$A$2:$A$592,magnet_list!$M$2:$M$592,"n/a",0,1)</f>
        <v>100</v>
      </c>
      <c r="M265">
        <f>_xlfn.XLOOKUP(F265,magnet_list!$A$2:$A$592,magnet_list!$L$2:$L$592,"n/a",0,1)</f>
        <v>44</v>
      </c>
    </row>
    <row r="266" spans="1:13">
      <c r="A266" t="s">
        <v>797</v>
      </c>
      <c r="B266" t="s">
        <v>805</v>
      </c>
      <c r="C266" t="s">
        <v>806</v>
      </c>
      <c r="E266" s="2" t="s">
        <v>26</v>
      </c>
      <c r="F266" s="2" t="s">
        <v>2394</v>
      </c>
      <c r="G266" s="1">
        <f t="shared" si="12"/>
        <v>35.749608739439999</v>
      </c>
      <c r="H266">
        <v>0</v>
      </c>
      <c r="I266">
        <v>28347.555139060001</v>
      </c>
      <c r="J266">
        <v>-70</v>
      </c>
      <c r="K266">
        <v>200</v>
      </c>
      <c r="L266">
        <f>_xlfn.XLOOKUP(F266,magnet_list!$A$2:$A$592,magnet_list!$M$2:$M$592,"n/a",0,1)</f>
        <v>100</v>
      </c>
      <c r="M266">
        <f>_xlfn.XLOOKUP(F266,magnet_list!$A$2:$A$592,magnet_list!$L$2:$L$592,"n/a",0,1)</f>
        <v>44</v>
      </c>
    </row>
    <row r="267" spans="1:13">
      <c r="A267" t="s">
        <v>797</v>
      </c>
      <c r="B267" t="s">
        <v>1152</v>
      </c>
      <c r="C267" t="s">
        <v>1152</v>
      </c>
      <c r="D267" t="s">
        <v>804</v>
      </c>
      <c r="E267" s="3" t="s">
        <v>1968</v>
      </c>
      <c r="F267" s="3" t="s">
        <v>1968</v>
      </c>
      <c r="G267" s="1">
        <f>$G$260+ABS($I$267-$I$260)/1000</f>
        <v>35.987807479310007</v>
      </c>
      <c r="H267">
        <v>0</v>
      </c>
      <c r="I267">
        <f>$I$260+939.148</f>
        <v>28585.753878930005</v>
      </c>
      <c r="J267">
        <v>-270</v>
      </c>
      <c r="K267">
        <v>0</v>
      </c>
    </row>
    <row r="268" spans="1:13">
      <c r="A268" t="s">
        <v>797</v>
      </c>
      <c r="B268" t="s">
        <v>804</v>
      </c>
      <c r="C268" t="s">
        <v>1152</v>
      </c>
      <c r="D268" t="s">
        <v>804</v>
      </c>
      <c r="E268" s="10" t="s">
        <v>1424</v>
      </c>
      <c r="F268" s="10" t="s">
        <v>2395</v>
      </c>
      <c r="G268" s="1">
        <f>$G$271-ABS($I$271-$I$268)/1000</f>
        <v>36.121807379310006</v>
      </c>
      <c r="H268">
        <v>0</v>
      </c>
      <c r="I268">
        <f>$I$271-$L$268/2</f>
        <v>28719.753778930004</v>
      </c>
      <c r="J268">
        <v>-270</v>
      </c>
      <c r="K268">
        <v>0</v>
      </c>
      <c r="L268">
        <v>1889.4492</v>
      </c>
    </row>
    <row r="269" spans="1:13">
      <c r="A269" t="s">
        <v>797</v>
      </c>
      <c r="B269" t="s">
        <v>3855</v>
      </c>
      <c r="C269" t="s">
        <v>1152</v>
      </c>
      <c r="D269" t="s">
        <v>804</v>
      </c>
      <c r="E269" t="s">
        <v>2216</v>
      </c>
      <c r="F269" t="s">
        <v>2216</v>
      </c>
      <c r="G269" s="1">
        <f>$G$267+ABS($I$269-$I$267)/1000</f>
        <v>36.755307479310005</v>
      </c>
      <c r="H269">
        <v>0</v>
      </c>
      <c r="I269">
        <f>$I$267+767.5</f>
        <v>29353.253878930005</v>
      </c>
      <c r="J269">
        <v>-270</v>
      </c>
      <c r="K269">
        <v>0</v>
      </c>
      <c r="L269">
        <f>_xlfn.XLOOKUP(F269,magnet_list!$A$2:$A$592,magnet_list!$M$2:$M$592,"n/a",0,1)</f>
        <v>1000</v>
      </c>
      <c r="M269">
        <f>_xlfn.XLOOKUP(F269,magnet_list!$A$2:$A$592,magnet_list!$L$2:$L$592,"n/a",0,1)</f>
        <v>120</v>
      </c>
    </row>
    <row r="270" spans="1:13">
      <c r="A270" t="s">
        <v>797</v>
      </c>
      <c r="B270" t="s">
        <v>3855</v>
      </c>
      <c r="C270" t="s">
        <v>1152</v>
      </c>
      <c r="D270" t="s">
        <v>804</v>
      </c>
      <c r="E270" t="s">
        <v>2217</v>
      </c>
      <c r="F270" t="s">
        <v>2217</v>
      </c>
      <c r="G270" s="1">
        <f>$G$267+ABS($I$269-$I$267)/1000</f>
        <v>36.755307479310005</v>
      </c>
      <c r="H270">
        <v>0</v>
      </c>
      <c r="I270">
        <f>$I$267+767.5</f>
        <v>29353.253878930005</v>
      </c>
      <c r="J270">
        <v>-270</v>
      </c>
      <c r="K270">
        <v>0</v>
      </c>
      <c r="L270">
        <f>_xlfn.XLOOKUP(F270,magnet_list!$A$2:$A$592,magnet_list!$M$2:$M$592,"n/a",0,1)</f>
        <v>1000</v>
      </c>
      <c r="M270">
        <f>_xlfn.XLOOKUP(F270,magnet_list!$A$2:$A$592,magnet_list!$L$2:$L$592,"n/a",0,1)</f>
        <v>120</v>
      </c>
    </row>
    <row r="271" spans="1:13">
      <c r="A271" t="s">
        <v>797</v>
      </c>
      <c r="B271" t="s">
        <v>804</v>
      </c>
      <c r="C271" t="s">
        <v>1152</v>
      </c>
      <c r="D271" t="s">
        <v>804</v>
      </c>
      <c r="E271" s="10" t="s">
        <v>1279</v>
      </c>
      <c r="F271" s="10" t="s">
        <v>2395</v>
      </c>
      <c r="G271" s="1">
        <f>$G$267+ABS($I$271-$I$267)/1000</f>
        <v>37.066531979310007</v>
      </c>
      <c r="H271">
        <v>0</v>
      </c>
      <c r="I271">
        <f>$I$267+1078.7245</f>
        <v>29664.478378930005</v>
      </c>
      <c r="J271">
        <v>-270</v>
      </c>
      <c r="K271">
        <v>0</v>
      </c>
      <c r="L271">
        <v>1889.4492</v>
      </c>
    </row>
    <row r="272" spans="1:13">
      <c r="A272" t="s">
        <v>797</v>
      </c>
      <c r="B272" t="s">
        <v>803</v>
      </c>
      <c r="C272" t="s">
        <v>806</v>
      </c>
      <c r="E272" t="s">
        <v>943</v>
      </c>
      <c r="F272" t="s">
        <v>943</v>
      </c>
      <c r="G272" s="1">
        <f t="shared" si="12"/>
        <v>37.665798561390005</v>
      </c>
      <c r="H272">
        <v>-3164.1803427700002</v>
      </c>
      <c r="I272">
        <v>30263.744961010001</v>
      </c>
      <c r="J272">
        <v>-17.305055880000001</v>
      </c>
      <c r="K272">
        <v>252.69494412</v>
      </c>
    </row>
    <row r="273" spans="1:13">
      <c r="A273" t="s">
        <v>797</v>
      </c>
      <c r="B273" t="s">
        <v>804</v>
      </c>
      <c r="C273" t="s">
        <v>1152</v>
      </c>
      <c r="D273" t="s">
        <v>804</v>
      </c>
      <c r="E273" s="10" t="s">
        <v>1425</v>
      </c>
      <c r="F273" s="10" t="s">
        <v>2395</v>
      </c>
      <c r="G273" s="1">
        <f>$G$271+ABS($I$273-$I$271)/1000</f>
        <v>38.011256579310007</v>
      </c>
      <c r="H273">
        <v>0</v>
      </c>
      <c r="I273">
        <f>$I$271+$L$273/2</f>
        <v>30609.202978930007</v>
      </c>
      <c r="J273">
        <v>-270</v>
      </c>
      <c r="K273">
        <v>0</v>
      </c>
      <c r="L273">
        <v>1889.4492</v>
      </c>
    </row>
    <row r="274" spans="1:13">
      <c r="A274" t="s">
        <v>797</v>
      </c>
      <c r="B274" t="s">
        <v>804</v>
      </c>
      <c r="C274" t="s">
        <v>1152</v>
      </c>
      <c r="D274" t="s">
        <v>804</v>
      </c>
      <c r="E274" s="10" t="s">
        <v>1830</v>
      </c>
      <c r="F274" s="10" t="s">
        <v>2396</v>
      </c>
      <c r="G274" s="1">
        <f>$G$277-ABS($I$277-$I$274)/1000</f>
        <v>38.194953379310007</v>
      </c>
      <c r="H274">
        <v>0</v>
      </c>
      <c r="I274">
        <f>$I$277-$L$274/2</f>
        <v>30792.899778930005</v>
      </c>
      <c r="J274">
        <v>-270</v>
      </c>
      <c r="K274">
        <v>0</v>
      </c>
      <c r="L274">
        <v>1889.4492</v>
      </c>
    </row>
    <row r="275" spans="1:13">
      <c r="A275" t="s">
        <v>797</v>
      </c>
      <c r="B275" t="s">
        <v>3855</v>
      </c>
      <c r="C275" t="s">
        <v>1152</v>
      </c>
      <c r="D275" t="s">
        <v>804</v>
      </c>
      <c r="E275" t="s">
        <v>2218</v>
      </c>
      <c r="F275" t="s">
        <v>2218</v>
      </c>
      <c r="G275" s="1">
        <f>$G$271+ABS($I$275-$I$271)/1000</f>
        <v>38.828453479310006</v>
      </c>
      <c r="H275">
        <v>0</v>
      </c>
      <c r="I275">
        <f>$I$271+1761.9215</f>
        <v>31426.399878930006</v>
      </c>
      <c r="J275">
        <v>-270</v>
      </c>
      <c r="K275">
        <v>0</v>
      </c>
      <c r="L275">
        <f>_xlfn.XLOOKUP(F275,magnet_list!$A$2:$A$592,magnet_list!$M$2:$M$592,"n/a",0,1)</f>
        <v>1000</v>
      </c>
      <c r="M275">
        <f>_xlfn.XLOOKUP(F275,magnet_list!$A$2:$A$592,magnet_list!$L$2:$L$592,"n/a",0,1)</f>
        <v>120</v>
      </c>
    </row>
    <row r="276" spans="1:13">
      <c r="A276" t="s">
        <v>797</v>
      </c>
      <c r="B276" t="s">
        <v>3855</v>
      </c>
      <c r="C276" t="s">
        <v>1152</v>
      </c>
      <c r="D276" t="s">
        <v>804</v>
      </c>
      <c r="E276" t="s">
        <v>2219</v>
      </c>
      <c r="F276" t="s">
        <v>2219</v>
      </c>
      <c r="G276" s="1">
        <f>$G$271+ABS($I$275-$I$271)/1000</f>
        <v>38.828453479310006</v>
      </c>
      <c r="H276">
        <v>0</v>
      </c>
      <c r="I276">
        <f>$I$271+1761.9215</f>
        <v>31426.399878930006</v>
      </c>
      <c r="J276">
        <v>-270</v>
      </c>
      <c r="K276">
        <v>0</v>
      </c>
      <c r="L276">
        <f>_xlfn.XLOOKUP(F276,magnet_list!$A$2:$A$592,magnet_list!$M$2:$M$592,"n/a",0,1)</f>
        <v>1000</v>
      </c>
      <c r="M276">
        <f>_xlfn.XLOOKUP(F276,magnet_list!$A$2:$A$592,magnet_list!$L$2:$L$592,"n/a",0,1)</f>
        <v>120</v>
      </c>
    </row>
    <row r="277" spans="1:13">
      <c r="A277" t="s">
        <v>797</v>
      </c>
      <c r="B277" t="s">
        <v>804</v>
      </c>
      <c r="C277" t="s">
        <v>1152</v>
      </c>
      <c r="D277" t="s">
        <v>804</v>
      </c>
      <c r="E277" s="10" t="s">
        <v>1333</v>
      </c>
      <c r="F277" s="10" t="s">
        <v>2396</v>
      </c>
      <c r="G277" s="1">
        <f>$G$271+ABS($I$277-$I$271)/1000</f>
        <v>39.139677979310008</v>
      </c>
      <c r="H277">
        <v>0</v>
      </c>
      <c r="I277">
        <f>$I$271+2073.146</f>
        <v>31737.624378930006</v>
      </c>
      <c r="J277">
        <v>-270</v>
      </c>
      <c r="K277">
        <v>0</v>
      </c>
      <c r="L277">
        <v>1889.4492</v>
      </c>
    </row>
    <row r="278" spans="1:13">
      <c r="A278" t="s">
        <v>797</v>
      </c>
      <c r="B278" t="s">
        <v>804</v>
      </c>
      <c r="C278" t="s">
        <v>1152</v>
      </c>
      <c r="D278" t="s">
        <v>804</v>
      </c>
      <c r="E278" s="10" t="s">
        <v>1831</v>
      </c>
      <c r="F278" s="10" t="s">
        <v>2396</v>
      </c>
      <c r="G278" s="1">
        <f>$G$277+ABS($I$278-$I$277)/1000</f>
        <v>40.084402579310009</v>
      </c>
      <c r="H278">
        <v>0</v>
      </c>
      <c r="I278">
        <f>$I$277+$L$278/2</f>
        <v>32682.348978930007</v>
      </c>
      <c r="J278">
        <v>-270</v>
      </c>
      <c r="K278">
        <v>0</v>
      </c>
      <c r="L278">
        <v>1889.4492</v>
      </c>
    </row>
    <row r="279" spans="1:13">
      <c r="A279" t="s">
        <v>797</v>
      </c>
      <c r="B279" t="s">
        <v>803</v>
      </c>
      <c r="C279" t="s">
        <v>806</v>
      </c>
      <c r="E279" t="s">
        <v>1076</v>
      </c>
      <c r="F279" t="s">
        <v>1076</v>
      </c>
      <c r="G279" s="1">
        <f t="shared" si="12"/>
        <v>40.215214367630004</v>
      </c>
      <c r="H279">
        <v>-400</v>
      </c>
      <c r="I279">
        <v>32813.160767250003</v>
      </c>
      <c r="J279">
        <v>-689</v>
      </c>
      <c r="K279">
        <v>-419</v>
      </c>
    </row>
    <row r="280" spans="1:13">
      <c r="A280" t="s">
        <v>797</v>
      </c>
      <c r="B280" t="s">
        <v>2288</v>
      </c>
      <c r="C280" t="s">
        <v>1152</v>
      </c>
      <c r="D280" t="s">
        <v>804</v>
      </c>
      <c r="E280" s="8" t="s">
        <v>2326</v>
      </c>
      <c r="F280" s="8" t="s">
        <v>2326</v>
      </c>
      <c r="G280" s="1">
        <f>$G$277+ABS($I$280-$I$277)/1000</f>
        <v>40.218402479310008</v>
      </c>
      <c r="H280">
        <v>0</v>
      </c>
      <c r="I280">
        <f>$I$277+1078.7245</f>
        <v>32816.348878930003</v>
      </c>
      <c r="J280">
        <v>-270</v>
      </c>
      <c r="K280">
        <v>0</v>
      </c>
    </row>
    <row r="281" spans="1:13">
      <c r="A281" t="s">
        <v>797</v>
      </c>
      <c r="B281" t="s">
        <v>1152</v>
      </c>
      <c r="C281" t="s">
        <v>1152</v>
      </c>
      <c r="D281" t="s">
        <v>804</v>
      </c>
      <c r="E281" s="3" t="s">
        <v>1969</v>
      </c>
      <c r="F281" s="3" t="s">
        <v>1969</v>
      </c>
      <c r="G281" s="1">
        <f>$G$280+ABS($I$281-$I$280)/1000</f>
        <v>40.443402479310009</v>
      </c>
      <c r="H281">
        <v>0</v>
      </c>
      <c r="I281">
        <f>$I$280+225</f>
        <v>33041.348878930003</v>
      </c>
      <c r="J281">
        <v>-270</v>
      </c>
      <c r="K281">
        <v>0</v>
      </c>
    </row>
    <row r="282" spans="1:13">
      <c r="A282" t="s">
        <v>797</v>
      </c>
      <c r="B282" t="s">
        <v>805</v>
      </c>
      <c r="C282" t="s">
        <v>806</v>
      </c>
      <c r="E282" s="2" t="s">
        <v>27</v>
      </c>
      <c r="F282" s="2" t="s">
        <v>2397</v>
      </c>
      <c r="G282" s="1">
        <f t="shared" si="12"/>
        <v>40.568483318330003</v>
      </c>
      <c r="H282">
        <v>0</v>
      </c>
      <c r="I282">
        <v>33166.429717949999</v>
      </c>
      <c r="J282">
        <v>-70</v>
      </c>
      <c r="K282">
        <v>200</v>
      </c>
      <c r="L282">
        <f>_xlfn.XLOOKUP(F282,magnet_list!$A$2:$A$592,magnet_list!$M$2:$M$592,"n/a",0,1)</f>
        <v>100</v>
      </c>
      <c r="M282">
        <f>_xlfn.XLOOKUP(F282,magnet_list!$A$2:$A$592,magnet_list!$L$2:$L$592,"n/a",0,1)</f>
        <v>44</v>
      </c>
    </row>
    <row r="283" spans="1:13">
      <c r="A283" t="s">
        <v>797</v>
      </c>
      <c r="B283" t="s">
        <v>805</v>
      </c>
      <c r="C283" t="s">
        <v>1152</v>
      </c>
      <c r="D283" t="s">
        <v>804</v>
      </c>
      <c r="E283" s="2" t="s">
        <v>548</v>
      </c>
      <c r="F283" s="2" t="s">
        <v>2397</v>
      </c>
      <c r="G283" s="1">
        <f t="shared" si="12"/>
        <v>40.598498283470001</v>
      </c>
      <c r="H283">
        <v>0</v>
      </c>
      <c r="I283">
        <v>33196.444683089998</v>
      </c>
      <c r="J283">
        <v>-70</v>
      </c>
      <c r="K283">
        <v>200</v>
      </c>
      <c r="L283">
        <f>_xlfn.XLOOKUP(F283,magnet_list!$A$2:$A$592,magnet_list!$M$2:$M$592,"n/a",0,1)</f>
        <v>100</v>
      </c>
      <c r="M283">
        <f>_xlfn.XLOOKUP(F283,magnet_list!$A$2:$A$592,magnet_list!$L$2:$L$592,"n/a",0,1)</f>
        <v>44</v>
      </c>
    </row>
    <row r="284" spans="1:13">
      <c r="A284" t="s">
        <v>797</v>
      </c>
      <c r="B284" t="s">
        <v>805</v>
      </c>
      <c r="C284" t="s">
        <v>806</v>
      </c>
      <c r="E284" s="2" t="s">
        <v>28</v>
      </c>
      <c r="F284" s="2" t="s">
        <v>28</v>
      </c>
      <c r="G284" s="1">
        <f t="shared" si="12"/>
        <v>40.778710283469998</v>
      </c>
      <c r="H284">
        <v>0</v>
      </c>
      <c r="I284">
        <v>33376.656683089997</v>
      </c>
      <c r="J284">
        <v>-70</v>
      </c>
      <c r="K284">
        <v>200</v>
      </c>
      <c r="L284">
        <f>_xlfn.XLOOKUP(F284,magnet_list!$A$2:$A$592,magnet_list!$M$2:$M$592,"n/a",0,1)</f>
        <v>200</v>
      </c>
      <c r="M284">
        <f>_xlfn.XLOOKUP(F284,magnet_list!$A$2:$A$592,magnet_list!$L$2:$L$592,"n/a",0,1)</f>
        <v>44</v>
      </c>
    </row>
    <row r="285" spans="1:13">
      <c r="A285" t="s">
        <v>797</v>
      </c>
      <c r="B285" t="s">
        <v>805</v>
      </c>
      <c r="C285" t="s">
        <v>1152</v>
      </c>
      <c r="D285" t="s">
        <v>804</v>
      </c>
      <c r="E285" s="2" t="s">
        <v>549</v>
      </c>
      <c r="F285" s="2" t="s">
        <v>28</v>
      </c>
      <c r="G285" s="1">
        <f t="shared" si="12"/>
        <v>40.858725304030003</v>
      </c>
      <c r="H285">
        <v>0</v>
      </c>
      <c r="I285">
        <v>33456.671703650005</v>
      </c>
      <c r="J285">
        <v>-70</v>
      </c>
      <c r="K285">
        <v>200</v>
      </c>
      <c r="L285">
        <f>_xlfn.XLOOKUP(F285,magnet_list!$A$2:$A$592,magnet_list!$M$2:$M$592,"n/a",0,1)</f>
        <v>200</v>
      </c>
      <c r="M285">
        <f>_xlfn.XLOOKUP(F285,magnet_list!$A$2:$A$592,magnet_list!$L$2:$L$592,"n/a",0,1)</f>
        <v>44</v>
      </c>
    </row>
    <row r="286" spans="1:13">
      <c r="A286" t="s">
        <v>797</v>
      </c>
      <c r="B286" t="s">
        <v>805</v>
      </c>
      <c r="C286" t="s">
        <v>1152</v>
      </c>
      <c r="D286" t="s">
        <v>804</v>
      </c>
      <c r="E286" s="2" t="s">
        <v>550</v>
      </c>
      <c r="F286" s="2" t="s">
        <v>2397</v>
      </c>
      <c r="G286" s="1">
        <f t="shared" si="12"/>
        <v>41.119211304030003</v>
      </c>
      <c r="H286">
        <v>0</v>
      </c>
      <c r="I286">
        <v>33717.157703650002</v>
      </c>
      <c r="J286">
        <v>-70</v>
      </c>
      <c r="K286">
        <v>200</v>
      </c>
      <c r="L286">
        <f>_xlfn.XLOOKUP(F286,magnet_list!$A$2:$A$592,magnet_list!$M$2:$M$592,"n/a",0,1)</f>
        <v>100</v>
      </c>
      <c r="M286">
        <f>_xlfn.XLOOKUP(F286,magnet_list!$A$2:$A$592,magnet_list!$L$2:$L$592,"n/a",0,1)</f>
        <v>44</v>
      </c>
    </row>
    <row r="287" spans="1:13">
      <c r="A287" t="s">
        <v>797</v>
      </c>
      <c r="B287" t="s">
        <v>805</v>
      </c>
      <c r="C287" t="s">
        <v>806</v>
      </c>
      <c r="E287" s="2" t="s">
        <v>29</v>
      </c>
      <c r="F287" s="2" t="s">
        <v>2397</v>
      </c>
      <c r="G287" s="1">
        <f t="shared" si="12"/>
        <v>41.149211304030004</v>
      </c>
      <c r="H287">
        <v>0</v>
      </c>
      <c r="I287">
        <v>33747.157703650002</v>
      </c>
      <c r="J287">
        <v>-70</v>
      </c>
      <c r="K287">
        <v>200</v>
      </c>
      <c r="L287">
        <f>_xlfn.XLOOKUP(F287,magnet_list!$A$2:$A$592,magnet_list!$M$2:$M$592,"n/a",0,1)</f>
        <v>100</v>
      </c>
      <c r="M287">
        <f>_xlfn.XLOOKUP(F287,magnet_list!$A$2:$A$592,magnet_list!$L$2:$L$592,"n/a",0,1)</f>
        <v>44</v>
      </c>
    </row>
    <row r="288" spans="1:13">
      <c r="A288" t="s">
        <v>797</v>
      </c>
      <c r="B288" t="s">
        <v>1152</v>
      </c>
      <c r="C288" t="s">
        <v>1152</v>
      </c>
      <c r="D288" t="s">
        <v>804</v>
      </c>
      <c r="E288" s="3" t="s">
        <v>1970</v>
      </c>
      <c r="F288" s="3" t="s">
        <v>1970</v>
      </c>
      <c r="G288" s="1">
        <f>$G$281+ABS($I$288-$I$281)/1000</f>
        <v>41.297550479310011</v>
      </c>
      <c r="H288">
        <v>0</v>
      </c>
      <c r="I288">
        <f>$I$281+854.148</f>
        <v>33895.496878930004</v>
      </c>
      <c r="J288">
        <v>-270</v>
      </c>
      <c r="K288">
        <v>0</v>
      </c>
    </row>
    <row r="289" spans="1:13">
      <c r="A289" t="s">
        <v>797</v>
      </c>
      <c r="B289" t="s">
        <v>805</v>
      </c>
      <c r="C289" t="s">
        <v>806</v>
      </c>
      <c r="E289" s="2" t="s">
        <v>30</v>
      </c>
      <c r="F289" s="2" t="s">
        <v>2398</v>
      </c>
      <c r="G289" s="1">
        <f t="shared" si="12"/>
        <v>41.454165075660008</v>
      </c>
      <c r="H289">
        <v>0</v>
      </c>
      <c r="I289">
        <v>34052.111475279999</v>
      </c>
      <c r="J289">
        <v>-70</v>
      </c>
      <c r="K289">
        <v>200</v>
      </c>
      <c r="L289">
        <f>_xlfn.XLOOKUP(F289,magnet_list!$A$2:$A$592,magnet_list!$M$2:$M$592,"n/a",0,1)</f>
        <v>100</v>
      </c>
      <c r="M289">
        <f>_xlfn.XLOOKUP(F289,magnet_list!$A$2:$A$592,magnet_list!$L$2:$L$592,"n/a",0,1)</f>
        <v>44</v>
      </c>
    </row>
    <row r="290" spans="1:13">
      <c r="A290" t="s">
        <v>797</v>
      </c>
      <c r="B290" t="s">
        <v>805</v>
      </c>
      <c r="C290" t="s">
        <v>1152</v>
      </c>
      <c r="D290" t="s">
        <v>804</v>
      </c>
      <c r="E290" s="2" t="s">
        <v>551</v>
      </c>
      <c r="F290" s="2" t="s">
        <v>2398</v>
      </c>
      <c r="G290" s="1">
        <f t="shared" si="12"/>
        <v>41.494174903760012</v>
      </c>
      <c r="H290">
        <v>0</v>
      </c>
      <c r="I290">
        <v>34092.121303380001</v>
      </c>
      <c r="J290">
        <v>-70</v>
      </c>
      <c r="K290">
        <v>200</v>
      </c>
      <c r="L290">
        <f>_xlfn.XLOOKUP(F290,magnet_list!$A$2:$A$592,magnet_list!$M$2:$M$592,"n/a",0,1)</f>
        <v>100</v>
      </c>
      <c r="M290">
        <f>_xlfn.XLOOKUP(F290,magnet_list!$A$2:$A$592,magnet_list!$L$2:$L$592,"n/a",0,1)</f>
        <v>44</v>
      </c>
    </row>
    <row r="291" spans="1:13">
      <c r="A291" t="s">
        <v>797</v>
      </c>
      <c r="B291" t="s">
        <v>805</v>
      </c>
      <c r="C291" t="s">
        <v>806</v>
      </c>
      <c r="E291" s="2" t="s">
        <v>31</v>
      </c>
      <c r="F291" s="2" t="s">
        <v>2398</v>
      </c>
      <c r="G291" s="1">
        <f t="shared" si="12"/>
        <v>41.534184903760014</v>
      </c>
      <c r="H291">
        <v>0</v>
      </c>
      <c r="I291">
        <v>34132.131303380003</v>
      </c>
      <c r="J291">
        <v>-70</v>
      </c>
      <c r="K291">
        <v>200</v>
      </c>
      <c r="L291">
        <f>_xlfn.XLOOKUP(F291,magnet_list!$A$2:$A$592,magnet_list!$M$2:$M$592,"n/a",0,1)</f>
        <v>100</v>
      </c>
      <c r="M291">
        <f>_xlfn.XLOOKUP(F291,magnet_list!$A$2:$A$592,magnet_list!$L$2:$L$592,"n/a",0,1)</f>
        <v>44</v>
      </c>
    </row>
    <row r="292" spans="1:13">
      <c r="A292" t="s">
        <v>797</v>
      </c>
      <c r="B292" t="s">
        <v>805</v>
      </c>
      <c r="C292" t="s">
        <v>1152</v>
      </c>
      <c r="E292" s="2" t="s">
        <v>32</v>
      </c>
      <c r="F292" s="2" t="s">
        <v>2399</v>
      </c>
      <c r="G292" s="1">
        <f t="shared" si="12"/>
        <v>41.719264923970016</v>
      </c>
      <c r="H292">
        <v>0</v>
      </c>
      <c r="I292">
        <v>34317.211323590003</v>
      </c>
      <c r="J292">
        <v>-70</v>
      </c>
      <c r="K292">
        <v>200</v>
      </c>
      <c r="L292">
        <f>_xlfn.XLOOKUP(F292,magnet_list!$A$2:$A$592,magnet_list!$M$2:$M$592,"n/a",0,1)</f>
        <v>100</v>
      </c>
      <c r="M292">
        <f>_xlfn.XLOOKUP(F292,magnet_list!$A$2:$A$592,magnet_list!$L$2:$L$592,"n/a",0,1)</f>
        <v>44</v>
      </c>
    </row>
    <row r="293" spans="1:13">
      <c r="A293" t="s">
        <v>797</v>
      </c>
      <c r="B293" t="s">
        <v>805</v>
      </c>
      <c r="C293" t="s">
        <v>806</v>
      </c>
      <c r="D293" t="s">
        <v>804</v>
      </c>
      <c r="E293" s="2" t="s">
        <v>552</v>
      </c>
      <c r="F293" s="2" t="s">
        <v>2399</v>
      </c>
      <c r="G293" s="1">
        <f t="shared" si="12"/>
        <v>41.759260206140013</v>
      </c>
      <c r="H293">
        <v>0</v>
      </c>
      <c r="I293">
        <v>34357.206605760002</v>
      </c>
      <c r="J293">
        <v>-70</v>
      </c>
      <c r="K293">
        <v>200</v>
      </c>
      <c r="L293">
        <f>_xlfn.XLOOKUP(F293,magnet_list!$A$2:$A$592,magnet_list!$M$2:$M$592,"n/a",0,1)</f>
        <v>100</v>
      </c>
      <c r="M293">
        <f>_xlfn.XLOOKUP(F293,magnet_list!$A$2:$A$592,magnet_list!$L$2:$L$592,"n/a",0,1)</f>
        <v>44</v>
      </c>
    </row>
    <row r="294" spans="1:13">
      <c r="A294" t="s">
        <v>797</v>
      </c>
      <c r="B294" t="s">
        <v>805</v>
      </c>
      <c r="C294" t="s">
        <v>1152</v>
      </c>
      <c r="E294" s="2" t="s">
        <v>33</v>
      </c>
      <c r="F294" s="2" t="s">
        <v>2399</v>
      </c>
      <c r="G294" s="1">
        <f t="shared" si="12"/>
        <v>41.799276206140007</v>
      </c>
      <c r="H294">
        <v>0</v>
      </c>
      <c r="I294">
        <v>34397.222605759998</v>
      </c>
      <c r="J294">
        <v>-70</v>
      </c>
      <c r="K294">
        <v>200</v>
      </c>
      <c r="L294">
        <f>_xlfn.XLOOKUP(F294,magnet_list!$A$2:$A$592,magnet_list!$M$2:$M$592,"n/a",0,1)</f>
        <v>100</v>
      </c>
      <c r="M294">
        <f>_xlfn.XLOOKUP(F294,magnet_list!$A$2:$A$592,magnet_list!$L$2:$L$592,"n/a",0,1)</f>
        <v>44</v>
      </c>
    </row>
    <row r="295" spans="1:13">
      <c r="A295" t="s">
        <v>797</v>
      </c>
      <c r="B295" t="s">
        <v>1152</v>
      </c>
      <c r="C295" t="s">
        <v>1152</v>
      </c>
      <c r="D295" t="s">
        <v>804</v>
      </c>
      <c r="E295" s="3" t="s">
        <v>1971</v>
      </c>
      <c r="F295" s="3" t="s">
        <v>1971</v>
      </c>
      <c r="G295" s="1">
        <f>$G$288+ABS($I$295-$I$288)/1000</f>
        <v>41.881548379310011</v>
      </c>
      <c r="H295">
        <v>0</v>
      </c>
      <c r="I295">
        <f>$I$288+583.9979</f>
        <v>34479.494778930006</v>
      </c>
      <c r="J295">
        <v>-270</v>
      </c>
      <c r="K295">
        <v>0</v>
      </c>
    </row>
    <row r="296" spans="1:13">
      <c r="A296" t="s">
        <v>797</v>
      </c>
      <c r="B296" t="s">
        <v>1152</v>
      </c>
      <c r="C296" t="s">
        <v>1152</v>
      </c>
      <c r="D296" t="s">
        <v>804</v>
      </c>
      <c r="E296" s="3" t="s">
        <v>1972</v>
      </c>
      <c r="F296" s="3" t="s">
        <v>1972</v>
      </c>
      <c r="G296" s="1">
        <f>$G$295+ABS($I$296-$I$295)/1000</f>
        <v>43.87306447931001</v>
      </c>
      <c r="H296">
        <v>0</v>
      </c>
      <c r="I296">
        <f>$I$295+1991.5161</f>
        <v>36471.010878930007</v>
      </c>
      <c r="J296">
        <v>-270</v>
      </c>
      <c r="K296">
        <v>0</v>
      </c>
    </row>
    <row r="297" spans="1:13">
      <c r="A297" t="s">
        <v>797</v>
      </c>
      <c r="B297" t="s">
        <v>2288</v>
      </c>
      <c r="C297" t="s">
        <v>1152</v>
      </c>
      <c r="D297" t="s">
        <v>804</v>
      </c>
      <c r="E297" s="8" t="s">
        <v>2327</v>
      </c>
      <c r="F297" s="8" t="s">
        <v>2327</v>
      </c>
      <c r="G297" s="1">
        <f>$G$296+ABS($I$297-$I$296)/1000</f>
        <v>43.958064479310011</v>
      </c>
      <c r="H297">
        <v>0</v>
      </c>
      <c r="I297">
        <f>$I$296+85</f>
        <v>36556.010878930007</v>
      </c>
      <c r="J297">
        <v>-270</v>
      </c>
      <c r="K297">
        <v>0</v>
      </c>
    </row>
    <row r="298" spans="1:13">
      <c r="A298" t="s">
        <v>797</v>
      </c>
      <c r="B298" t="s">
        <v>803</v>
      </c>
      <c r="C298" t="s">
        <v>806</v>
      </c>
      <c r="E298" t="s">
        <v>1079</v>
      </c>
      <c r="F298" t="s">
        <v>1079</v>
      </c>
      <c r="G298" s="1">
        <f t="shared" si="12"/>
        <v>43.966323753360008</v>
      </c>
      <c r="H298">
        <v>-400</v>
      </c>
      <c r="I298">
        <v>36564.270152980003</v>
      </c>
      <c r="J298">
        <v>-689</v>
      </c>
      <c r="K298">
        <v>-419</v>
      </c>
    </row>
    <row r="299" spans="1:13">
      <c r="A299" t="s">
        <v>797</v>
      </c>
      <c r="B299" t="s">
        <v>804</v>
      </c>
      <c r="C299" t="s">
        <v>1152</v>
      </c>
      <c r="D299" t="s">
        <v>804</v>
      </c>
      <c r="E299" s="10" t="s">
        <v>1426</v>
      </c>
      <c r="F299" s="10" t="s">
        <v>2400</v>
      </c>
      <c r="G299" s="1">
        <f>$G$302-ABS($I$302-$I$299)/1000</f>
        <v>44.09206437931001</v>
      </c>
      <c r="H299">
        <v>0</v>
      </c>
      <c r="I299">
        <f>$I$302-$L$299/2</f>
        <v>36690.010778930002</v>
      </c>
      <c r="J299">
        <v>-270</v>
      </c>
      <c r="K299">
        <v>0</v>
      </c>
      <c r="L299">
        <v>1889.4492</v>
      </c>
    </row>
    <row r="300" spans="1:13">
      <c r="A300" t="s">
        <v>797</v>
      </c>
      <c r="B300" t="s">
        <v>3855</v>
      </c>
      <c r="C300" t="s">
        <v>1152</v>
      </c>
      <c r="D300" t="s">
        <v>804</v>
      </c>
      <c r="E300" t="s">
        <v>2220</v>
      </c>
      <c r="F300" t="s">
        <v>2220</v>
      </c>
      <c r="G300" s="1">
        <f>$G$297+ABS($I$300-$I$297)/1000</f>
        <v>44.725564479310009</v>
      </c>
      <c r="H300">
        <v>0</v>
      </c>
      <c r="I300">
        <f>$I$297+767.5</f>
        <v>37323.510878930007</v>
      </c>
      <c r="J300">
        <v>-270</v>
      </c>
      <c r="K300">
        <v>0</v>
      </c>
      <c r="L300">
        <f>_xlfn.XLOOKUP(F300,magnet_list!$A$2:$A$592,magnet_list!$M$2:$M$592,"n/a",0,1)</f>
        <v>1000</v>
      </c>
      <c r="M300">
        <f>_xlfn.XLOOKUP(F300,magnet_list!$A$2:$A$592,magnet_list!$L$2:$L$592,"n/a",0,1)</f>
        <v>120</v>
      </c>
    </row>
    <row r="301" spans="1:13">
      <c r="A301" t="s">
        <v>797</v>
      </c>
      <c r="B301" t="s">
        <v>3855</v>
      </c>
      <c r="C301" t="s">
        <v>1152</v>
      </c>
      <c r="D301" t="s">
        <v>804</v>
      </c>
      <c r="E301" t="s">
        <v>2221</v>
      </c>
      <c r="F301" t="s">
        <v>2221</v>
      </c>
      <c r="G301" s="1">
        <f>$G$297+ABS($I$300-$I$297)/1000</f>
        <v>44.725564479310009</v>
      </c>
      <c r="H301">
        <v>0</v>
      </c>
      <c r="I301">
        <f>$I$297+767.5</f>
        <v>37323.510878930007</v>
      </c>
      <c r="J301">
        <v>-270</v>
      </c>
      <c r="K301">
        <v>0</v>
      </c>
      <c r="L301">
        <f>_xlfn.XLOOKUP(F301,magnet_list!$A$2:$A$592,magnet_list!$M$2:$M$592,"n/a",0,1)</f>
        <v>1000</v>
      </c>
      <c r="M301">
        <f>_xlfn.XLOOKUP(F301,magnet_list!$A$2:$A$592,magnet_list!$L$2:$L$592,"n/a",0,1)</f>
        <v>120</v>
      </c>
    </row>
    <row r="302" spans="1:13">
      <c r="A302" t="s">
        <v>797</v>
      </c>
      <c r="B302" t="s">
        <v>804</v>
      </c>
      <c r="C302" t="s">
        <v>1152</v>
      </c>
      <c r="D302" t="s">
        <v>804</v>
      </c>
      <c r="E302" s="10" t="s">
        <v>1169</v>
      </c>
      <c r="F302" s="10" t="s">
        <v>2400</v>
      </c>
      <c r="G302" s="1">
        <f>$G$297+ABS($I$302-$I$297)/1000</f>
        <v>45.03678897931001</v>
      </c>
      <c r="H302">
        <v>0</v>
      </c>
      <c r="I302">
        <f>$I$297+1078.7245</f>
        <v>37634.735378930003</v>
      </c>
      <c r="J302">
        <v>-270</v>
      </c>
      <c r="K302">
        <v>0</v>
      </c>
      <c r="L302">
        <v>1889.4492</v>
      </c>
    </row>
    <row r="303" spans="1:13">
      <c r="A303" t="s">
        <v>797</v>
      </c>
      <c r="B303" t="s">
        <v>804</v>
      </c>
      <c r="C303" t="s">
        <v>1152</v>
      </c>
      <c r="D303" t="s">
        <v>804</v>
      </c>
      <c r="E303" s="10" t="s">
        <v>1427</v>
      </c>
      <c r="F303" s="10" t="s">
        <v>2400</v>
      </c>
      <c r="G303" s="1">
        <f>$G$302+ABS($I$303-$I$302)/1000</f>
        <v>45.981513579310011</v>
      </c>
      <c r="H303">
        <v>0</v>
      </c>
      <c r="I303">
        <f>$I$302+$L$303/2</f>
        <v>38579.459978930005</v>
      </c>
      <c r="J303">
        <v>-270</v>
      </c>
      <c r="K303">
        <v>0</v>
      </c>
      <c r="L303">
        <v>1889.4492</v>
      </c>
    </row>
    <row r="304" spans="1:13">
      <c r="A304" t="s">
        <v>797</v>
      </c>
      <c r="B304" t="s">
        <v>804</v>
      </c>
      <c r="C304" t="s">
        <v>1152</v>
      </c>
      <c r="D304" t="s">
        <v>804</v>
      </c>
      <c r="E304" s="10" t="s">
        <v>1428</v>
      </c>
      <c r="F304" s="10" t="s">
        <v>2401</v>
      </c>
      <c r="G304" s="1">
        <f>$G$306-ABS($I$306-$I$304)/1000</f>
        <v>46.165210379310011</v>
      </c>
      <c r="H304">
        <v>0</v>
      </c>
      <c r="I304">
        <f>$I$306-$L$304/2</f>
        <v>38763.156778930002</v>
      </c>
      <c r="J304">
        <v>-270</v>
      </c>
      <c r="K304">
        <v>0</v>
      </c>
      <c r="L304">
        <v>1889.4492</v>
      </c>
    </row>
    <row r="305" spans="1:13">
      <c r="A305" t="s">
        <v>797</v>
      </c>
      <c r="B305" t="s">
        <v>803</v>
      </c>
      <c r="C305" t="s">
        <v>806</v>
      </c>
      <c r="E305" t="s">
        <v>944</v>
      </c>
      <c r="F305" t="s">
        <v>944</v>
      </c>
      <c r="G305" s="1">
        <f t="shared" si="12"/>
        <v>47.05129244126001</v>
      </c>
      <c r="H305">
        <v>-3166.3898449100002</v>
      </c>
      <c r="I305">
        <v>39649.238840880003</v>
      </c>
      <c r="J305">
        <v>-17.919035269999998</v>
      </c>
      <c r="K305">
        <v>252.08096473000001</v>
      </c>
    </row>
    <row r="306" spans="1:13">
      <c r="A306" t="s">
        <v>797</v>
      </c>
      <c r="B306" t="s">
        <v>804</v>
      </c>
      <c r="C306" t="s">
        <v>1152</v>
      </c>
      <c r="D306" t="s">
        <v>804</v>
      </c>
      <c r="E306" s="10" t="s">
        <v>1225</v>
      </c>
      <c r="F306" s="10" t="s">
        <v>2401</v>
      </c>
      <c r="G306" s="1">
        <f>$G$302+ABS($I$306-$I$302)/1000</f>
        <v>47.109934979310012</v>
      </c>
      <c r="H306">
        <v>0</v>
      </c>
      <c r="I306">
        <f>$I$302+2073.146</f>
        <v>39707.881378930004</v>
      </c>
      <c r="J306">
        <v>-270</v>
      </c>
      <c r="K306">
        <v>0</v>
      </c>
      <c r="L306">
        <v>1889.4492</v>
      </c>
    </row>
    <row r="307" spans="1:13">
      <c r="A307" t="s">
        <v>797</v>
      </c>
      <c r="B307" t="s">
        <v>803</v>
      </c>
      <c r="C307" t="s">
        <v>806</v>
      </c>
      <c r="E307" t="s">
        <v>945</v>
      </c>
      <c r="F307" t="s">
        <v>945</v>
      </c>
      <c r="G307" s="1">
        <f t="shared" si="12"/>
        <v>47.169525148420007</v>
      </c>
      <c r="H307">
        <v>1768.4771597500001</v>
      </c>
      <c r="I307">
        <v>39767.471548039997</v>
      </c>
      <c r="J307">
        <v>-22.946771930000001</v>
      </c>
      <c r="K307">
        <v>247.05322806999999</v>
      </c>
    </row>
    <row r="308" spans="1:13">
      <c r="A308" t="s">
        <v>797</v>
      </c>
      <c r="B308" t="s">
        <v>804</v>
      </c>
      <c r="C308" t="s">
        <v>1152</v>
      </c>
      <c r="D308" t="s">
        <v>804</v>
      </c>
      <c r="E308" s="10" t="s">
        <v>1429</v>
      </c>
      <c r="F308" s="10" t="s">
        <v>2401</v>
      </c>
      <c r="G308" s="1">
        <f>$G$306+ABS($I$308-$I$306)/1000</f>
        <v>48.054659579310012</v>
      </c>
      <c r="H308">
        <v>0</v>
      </c>
      <c r="I308">
        <f>$I$306+$L$308/2</f>
        <v>40652.605978930005</v>
      </c>
      <c r="J308">
        <v>-270</v>
      </c>
      <c r="K308">
        <v>0</v>
      </c>
      <c r="L308">
        <v>1889.4492</v>
      </c>
    </row>
    <row r="309" spans="1:13">
      <c r="A309" t="s">
        <v>797</v>
      </c>
      <c r="B309" t="s">
        <v>1152</v>
      </c>
      <c r="C309" t="s">
        <v>1152</v>
      </c>
      <c r="D309" t="s">
        <v>804</v>
      </c>
      <c r="E309" s="3" t="s">
        <v>1973</v>
      </c>
      <c r="F309" s="3" t="s">
        <v>1973</v>
      </c>
      <c r="G309" s="1">
        <f>$G$306+ABS($I$309-$I$306)/1000</f>
        <v>48.288052479310011</v>
      </c>
      <c r="H309">
        <v>0</v>
      </c>
      <c r="I309">
        <f>$I$306+1178.1175</f>
        <v>40885.998878930004</v>
      </c>
      <c r="J309">
        <v>-270</v>
      </c>
      <c r="K309">
        <v>0</v>
      </c>
    </row>
    <row r="310" spans="1:13">
      <c r="A310" t="s">
        <v>797</v>
      </c>
      <c r="B310" t="s">
        <v>804</v>
      </c>
      <c r="C310" t="s">
        <v>1152</v>
      </c>
      <c r="D310" t="s">
        <v>804</v>
      </c>
      <c r="E310" s="10" t="s">
        <v>1430</v>
      </c>
      <c r="F310" s="10" t="s">
        <v>2402</v>
      </c>
      <c r="G310" s="1">
        <f>$G$313-ABS($I$313-$I$310)/1000</f>
        <v>48.42205237931001</v>
      </c>
      <c r="H310">
        <v>0</v>
      </c>
      <c r="I310">
        <f>$I$313-$L$310/2</f>
        <v>41019.998778929999</v>
      </c>
      <c r="J310">
        <v>-270</v>
      </c>
      <c r="K310">
        <v>0</v>
      </c>
      <c r="L310">
        <v>1889.4492</v>
      </c>
    </row>
    <row r="311" spans="1:13">
      <c r="A311" t="s">
        <v>797</v>
      </c>
      <c r="B311" t="s">
        <v>3855</v>
      </c>
      <c r="C311" t="s">
        <v>1152</v>
      </c>
      <c r="D311" t="s">
        <v>804</v>
      </c>
      <c r="E311" t="s">
        <v>2222</v>
      </c>
      <c r="F311" t="s">
        <v>2222</v>
      </c>
      <c r="G311" s="1">
        <f>$G$309+ABS($I$311-$I$309)/1000</f>
        <v>49.055552479310009</v>
      </c>
      <c r="H311">
        <v>0</v>
      </c>
      <c r="I311">
        <f>$I$309+767.5</f>
        <v>41653.498878930004</v>
      </c>
      <c r="J311">
        <v>-270</v>
      </c>
      <c r="K311">
        <v>0</v>
      </c>
      <c r="L311">
        <f>_xlfn.XLOOKUP(F311,magnet_list!$A$2:$A$592,magnet_list!$M$2:$M$592,"n/a",0,1)</f>
        <v>1000</v>
      </c>
      <c r="M311">
        <f>_xlfn.XLOOKUP(F311,magnet_list!$A$2:$A$592,magnet_list!$L$2:$L$592,"n/a",0,1)</f>
        <v>120</v>
      </c>
    </row>
    <row r="312" spans="1:13">
      <c r="A312" t="s">
        <v>797</v>
      </c>
      <c r="B312" t="s">
        <v>3855</v>
      </c>
      <c r="C312" t="s">
        <v>1152</v>
      </c>
      <c r="D312" t="s">
        <v>804</v>
      </c>
      <c r="E312" t="s">
        <v>2223</v>
      </c>
      <c r="F312" t="s">
        <v>2223</v>
      </c>
      <c r="G312" s="1">
        <f>$G$309+ABS($I$311-$I$309)/1000</f>
        <v>49.055552479310009</v>
      </c>
      <c r="H312">
        <v>0</v>
      </c>
      <c r="I312">
        <f>$I$309+767.5</f>
        <v>41653.498878930004</v>
      </c>
      <c r="J312">
        <v>-270</v>
      </c>
      <c r="K312">
        <v>0</v>
      </c>
      <c r="L312">
        <f>_xlfn.XLOOKUP(F312,magnet_list!$A$2:$A$592,magnet_list!$M$2:$M$592,"n/a",0,1)</f>
        <v>1000</v>
      </c>
      <c r="M312">
        <f>_xlfn.XLOOKUP(F312,magnet_list!$A$2:$A$592,magnet_list!$L$2:$L$592,"n/a",0,1)</f>
        <v>120</v>
      </c>
    </row>
    <row r="313" spans="1:13">
      <c r="A313" t="s">
        <v>797</v>
      </c>
      <c r="B313" t="s">
        <v>804</v>
      </c>
      <c r="C313" t="s">
        <v>1152</v>
      </c>
      <c r="D313" t="s">
        <v>804</v>
      </c>
      <c r="E313" s="10" t="s">
        <v>1280</v>
      </c>
      <c r="F313" s="10" t="s">
        <v>2402</v>
      </c>
      <c r="G313" s="1">
        <f>$G$309+ABS($I$313-$I$309)/1000</f>
        <v>49.366776979310011</v>
      </c>
      <c r="H313">
        <v>0</v>
      </c>
      <c r="I313">
        <f>$I$309+1078.7245</f>
        <v>41964.723378930001</v>
      </c>
      <c r="J313">
        <v>-270</v>
      </c>
      <c r="K313">
        <v>0</v>
      </c>
      <c r="L313">
        <v>1889.4492</v>
      </c>
    </row>
    <row r="314" spans="1:13">
      <c r="A314" t="s">
        <v>797</v>
      </c>
      <c r="B314" t="s">
        <v>804</v>
      </c>
      <c r="C314" t="s">
        <v>1152</v>
      </c>
      <c r="D314" t="s">
        <v>804</v>
      </c>
      <c r="E314" s="10" t="s">
        <v>1431</v>
      </c>
      <c r="F314" s="10" t="s">
        <v>2402</v>
      </c>
      <c r="G314" s="1">
        <f>$G$313+ABS($I$314-$I$313)/1000</f>
        <v>50.311501579310011</v>
      </c>
      <c r="H314">
        <v>0</v>
      </c>
      <c r="I314">
        <f>$I$313+$L$314/2</f>
        <v>42909.447978930002</v>
      </c>
      <c r="J314">
        <v>-270</v>
      </c>
      <c r="K314">
        <v>0</v>
      </c>
      <c r="L314">
        <v>1889.4492</v>
      </c>
    </row>
    <row r="315" spans="1:13">
      <c r="A315" t="s">
        <v>797</v>
      </c>
      <c r="B315" t="s">
        <v>804</v>
      </c>
      <c r="C315" t="s">
        <v>1152</v>
      </c>
      <c r="D315" t="s">
        <v>804</v>
      </c>
      <c r="E315" s="10" t="s">
        <v>1432</v>
      </c>
      <c r="F315" s="10" t="s">
        <v>2403</v>
      </c>
      <c r="G315" s="1">
        <f>$G$316-ABS($I$316-$I$315)/1000</f>
        <v>50.495198379310011</v>
      </c>
      <c r="H315">
        <v>0</v>
      </c>
      <c r="I315">
        <f>$I$316-$L$315/2</f>
        <v>43093.14477893</v>
      </c>
      <c r="J315">
        <v>-270</v>
      </c>
      <c r="K315">
        <v>0</v>
      </c>
      <c r="L315">
        <v>1889.4492</v>
      </c>
    </row>
    <row r="316" spans="1:13">
      <c r="A316" t="s">
        <v>797</v>
      </c>
      <c r="B316" t="s">
        <v>804</v>
      </c>
      <c r="C316" t="s">
        <v>1152</v>
      </c>
      <c r="D316" t="s">
        <v>804</v>
      </c>
      <c r="E316" s="10" t="s">
        <v>1334</v>
      </c>
      <c r="F316" s="10" t="s">
        <v>2403</v>
      </c>
      <c r="G316" s="1">
        <f>$G$313+ABS($I$316-$I$313)/1000</f>
        <v>51.439922979310012</v>
      </c>
      <c r="H316">
        <v>0</v>
      </c>
      <c r="I316">
        <f>$I$313+2073.146</f>
        <v>44037.869378930001</v>
      </c>
      <c r="J316">
        <v>-270</v>
      </c>
      <c r="K316">
        <v>0</v>
      </c>
      <c r="L316">
        <v>1889.4492</v>
      </c>
    </row>
    <row r="317" spans="1:13">
      <c r="A317" t="s">
        <v>797</v>
      </c>
      <c r="B317" t="s">
        <v>804</v>
      </c>
      <c r="C317" t="s">
        <v>1152</v>
      </c>
      <c r="D317" t="s">
        <v>804</v>
      </c>
      <c r="E317" s="10" t="s">
        <v>1433</v>
      </c>
      <c r="F317" s="10" t="s">
        <v>2403</v>
      </c>
      <c r="G317" s="1">
        <f>$G$316+ABS($I$317-$I$316)/1000</f>
        <v>52.384647579310013</v>
      </c>
      <c r="H317">
        <v>0</v>
      </c>
      <c r="I317">
        <f>$I$316+$L$317/2</f>
        <v>44982.593978930003</v>
      </c>
      <c r="J317">
        <v>-270</v>
      </c>
      <c r="K317">
        <v>0</v>
      </c>
      <c r="L317">
        <v>1889.4492</v>
      </c>
    </row>
    <row r="318" spans="1:13">
      <c r="A318" t="s">
        <v>797</v>
      </c>
      <c r="B318" t="s">
        <v>803</v>
      </c>
      <c r="C318" t="s">
        <v>806</v>
      </c>
      <c r="E318" t="s">
        <v>1078</v>
      </c>
      <c r="F318" t="s">
        <v>1078</v>
      </c>
      <c r="G318" s="1">
        <f t="shared" si="12"/>
        <v>51.99845808668001</v>
      </c>
      <c r="H318">
        <v>-400</v>
      </c>
      <c r="I318">
        <v>44596.404486300002</v>
      </c>
      <c r="J318">
        <v>-689</v>
      </c>
      <c r="K318">
        <v>-419</v>
      </c>
    </row>
    <row r="319" spans="1:13">
      <c r="A319" t="s">
        <v>797</v>
      </c>
      <c r="B319" t="s">
        <v>1152</v>
      </c>
      <c r="C319" t="s">
        <v>1152</v>
      </c>
      <c r="D319" t="s">
        <v>804</v>
      </c>
      <c r="E319" s="3" t="s">
        <v>1974</v>
      </c>
      <c r="F319" s="3" t="s">
        <v>1974</v>
      </c>
      <c r="G319" s="1">
        <f>$G$316+ABS($I$319-$I$316)/1000</f>
        <v>52.518647479310012</v>
      </c>
      <c r="H319">
        <v>0</v>
      </c>
      <c r="I319">
        <f>$I$316+1078.7245</f>
        <v>45116.593878929998</v>
      </c>
      <c r="J319">
        <v>-270</v>
      </c>
      <c r="K319">
        <v>0</v>
      </c>
    </row>
    <row r="320" spans="1:13">
      <c r="A320" t="s">
        <v>797</v>
      </c>
      <c r="B320" t="s">
        <v>805</v>
      </c>
      <c r="C320" t="s">
        <v>806</v>
      </c>
      <c r="E320" s="2" t="s">
        <v>34</v>
      </c>
      <c r="F320" s="2" t="s">
        <v>2404</v>
      </c>
      <c r="G320" s="1">
        <f t="shared" si="12"/>
        <v>52.697261229000013</v>
      </c>
      <c r="H320">
        <v>0</v>
      </c>
      <c r="I320">
        <v>45295.207628620003</v>
      </c>
      <c r="J320">
        <v>-60</v>
      </c>
      <c r="K320">
        <v>210</v>
      </c>
      <c r="L320">
        <f>_xlfn.XLOOKUP(F320,magnet_list!$A$2:$A$592,magnet_list!$M$2:$M$592,"n/a",0,1)</f>
        <v>120</v>
      </c>
      <c r="M320">
        <f>_xlfn.XLOOKUP(F320,magnet_list!$A$2:$A$592,magnet_list!$L$2:$L$592,"n/a",0,1)</f>
        <v>23</v>
      </c>
    </row>
    <row r="321" spans="1:13">
      <c r="A321" t="s">
        <v>797</v>
      </c>
      <c r="B321" t="s">
        <v>805</v>
      </c>
      <c r="C321" t="s">
        <v>1152</v>
      </c>
      <c r="D321" t="s">
        <v>804</v>
      </c>
      <c r="E321" s="2" t="s">
        <v>553</v>
      </c>
      <c r="F321" s="2" t="s">
        <v>2404</v>
      </c>
      <c r="G321" s="1">
        <f t="shared" si="12"/>
        <v>52.737261229000012</v>
      </c>
      <c r="H321">
        <v>0</v>
      </c>
      <c r="I321">
        <v>45335.207628620003</v>
      </c>
      <c r="J321">
        <v>-60</v>
      </c>
      <c r="K321">
        <v>210</v>
      </c>
      <c r="L321">
        <f>_xlfn.XLOOKUP(F321,magnet_list!$A$2:$A$592,magnet_list!$M$2:$M$592,"n/a",0,1)</f>
        <v>120</v>
      </c>
      <c r="M321">
        <f>_xlfn.XLOOKUP(F321,magnet_list!$A$2:$A$592,magnet_list!$L$2:$L$592,"n/a",0,1)</f>
        <v>23</v>
      </c>
    </row>
    <row r="322" spans="1:13">
      <c r="A322" t="s">
        <v>797</v>
      </c>
      <c r="B322" t="s">
        <v>805</v>
      </c>
      <c r="C322" t="s">
        <v>806</v>
      </c>
      <c r="E322" s="2" t="s">
        <v>35</v>
      </c>
      <c r="F322" s="2" t="s">
        <v>35</v>
      </c>
      <c r="G322" s="1">
        <f t="shared" si="12"/>
        <v>52.917615605180011</v>
      </c>
      <c r="H322">
        <v>0</v>
      </c>
      <c r="I322">
        <v>45515.562004799998</v>
      </c>
      <c r="J322">
        <v>-60</v>
      </c>
      <c r="K322">
        <v>210</v>
      </c>
      <c r="L322">
        <f>_xlfn.XLOOKUP(F322,magnet_list!$A$2:$A$592,magnet_list!$M$2:$M$592,"n/a",0,1)</f>
        <v>240</v>
      </c>
      <c r="M322">
        <f>_xlfn.XLOOKUP(F322,magnet_list!$A$2:$A$592,magnet_list!$L$2:$L$592,"n/a",0,1)</f>
        <v>23</v>
      </c>
    </row>
    <row r="323" spans="1:13">
      <c r="A323" t="s">
        <v>797</v>
      </c>
      <c r="B323" t="s">
        <v>805</v>
      </c>
      <c r="C323" t="s">
        <v>1152</v>
      </c>
      <c r="D323" t="s">
        <v>804</v>
      </c>
      <c r="E323" s="2" t="s">
        <v>554</v>
      </c>
      <c r="F323" s="2" t="s">
        <v>35</v>
      </c>
      <c r="G323" s="1">
        <f t="shared" si="12"/>
        <v>53.017615605180012</v>
      </c>
      <c r="H323">
        <v>0</v>
      </c>
      <c r="I323">
        <v>45615.562004799998</v>
      </c>
      <c r="J323">
        <v>-60</v>
      </c>
      <c r="K323">
        <v>210</v>
      </c>
      <c r="L323">
        <f>_xlfn.XLOOKUP(F323,magnet_list!$A$2:$A$592,magnet_list!$M$2:$M$592,"n/a",0,1)</f>
        <v>240</v>
      </c>
      <c r="M323">
        <f>_xlfn.XLOOKUP(F323,magnet_list!$A$2:$A$592,magnet_list!$L$2:$L$592,"n/a",0,1)</f>
        <v>23</v>
      </c>
    </row>
    <row r="324" spans="1:13">
      <c r="A324" t="s">
        <v>797</v>
      </c>
      <c r="B324" t="s">
        <v>805</v>
      </c>
      <c r="C324" t="s">
        <v>1152</v>
      </c>
      <c r="D324" t="s">
        <v>804</v>
      </c>
      <c r="E324" s="2" t="s">
        <v>555</v>
      </c>
      <c r="F324" s="2" t="s">
        <v>2404</v>
      </c>
      <c r="G324" s="1">
        <f t="shared" si="12"/>
        <v>53.29784536614001</v>
      </c>
      <c r="H324">
        <v>0</v>
      </c>
      <c r="I324">
        <v>45895.791765759997</v>
      </c>
      <c r="J324">
        <v>-60</v>
      </c>
      <c r="K324">
        <v>210</v>
      </c>
      <c r="L324">
        <f>_xlfn.XLOOKUP(F324,magnet_list!$A$2:$A$592,magnet_list!$M$2:$M$592,"n/a",0,1)</f>
        <v>120</v>
      </c>
      <c r="M324">
        <f>_xlfn.XLOOKUP(F324,magnet_list!$A$2:$A$592,magnet_list!$L$2:$L$592,"n/a",0,1)</f>
        <v>23</v>
      </c>
    </row>
    <row r="325" spans="1:13">
      <c r="A325" t="s">
        <v>797</v>
      </c>
      <c r="B325" t="s">
        <v>805</v>
      </c>
      <c r="C325" t="s">
        <v>806</v>
      </c>
      <c r="E325" s="2" t="s">
        <v>36</v>
      </c>
      <c r="F325" s="2" t="s">
        <v>2404</v>
      </c>
      <c r="G325" s="1">
        <f t="shared" si="12"/>
        <v>53.337845366140009</v>
      </c>
      <c r="H325">
        <v>0</v>
      </c>
      <c r="I325">
        <v>45935.791765759997</v>
      </c>
      <c r="J325">
        <v>-60</v>
      </c>
      <c r="K325">
        <v>210</v>
      </c>
      <c r="L325">
        <f>_xlfn.XLOOKUP(F325,magnet_list!$A$2:$A$592,magnet_list!$M$2:$M$592,"n/a",0,1)</f>
        <v>120</v>
      </c>
      <c r="M325">
        <f>_xlfn.XLOOKUP(F325,magnet_list!$A$2:$A$592,magnet_list!$L$2:$L$592,"n/a",0,1)</f>
        <v>23</v>
      </c>
    </row>
    <row r="326" spans="1:13">
      <c r="A326" t="s">
        <v>797</v>
      </c>
      <c r="B326" t="s">
        <v>2288</v>
      </c>
      <c r="C326" t="s">
        <v>1152</v>
      </c>
      <c r="D326" t="s">
        <v>804</v>
      </c>
      <c r="E326" s="8" t="s">
        <v>2328</v>
      </c>
      <c r="F326" s="8" t="s">
        <v>2328</v>
      </c>
      <c r="G326" s="1">
        <f>$G$319+ABS($I$326-$I$319)/1000</f>
        <v>53.468064479310016</v>
      </c>
      <c r="H326">
        <v>0</v>
      </c>
      <c r="I326">
        <f>$I$319+949.417</f>
        <v>46066.010878929999</v>
      </c>
      <c r="J326">
        <v>-270</v>
      </c>
      <c r="K326">
        <v>0</v>
      </c>
    </row>
    <row r="327" spans="1:13">
      <c r="A327" t="s">
        <v>797</v>
      </c>
      <c r="B327" t="s">
        <v>803</v>
      </c>
      <c r="C327" t="s">
        <v>806</v>
      </c>
      <c r="E327" t="s">
        <v>1081</v>
      </c>
      <c r="F327" t="s">
        <v>1081</v>
      </c>
      <c r="G327" s="1">
        <f t="shared" ref="G327:G385" si="13">G326+(I327-I326)/1000</f>
        <v>53.474402847810019</v>
      </c>
      <c r="H327">
        <v>-400</v>
      </c>
      <c r="I327">
        <v>46072.34924743</v>
      </c>
      <c r="J327">
        <v>-689</v>
      </c>
      <c r="K327">
        <v>-419</v>
      </c>
    </row>
    <row r="328" spans="1:13">
      <c r="A328" t="s">
        <v>797</v>
      </c>
      <c r="B328" t="s">
        <v>804</v>
      </c>
      <c r="C328" t="s">
        <v>1152</v>
      </c>
      <c r="D328" t="s">
        <v>804</v>
      </c>
      <c r="E328" s="10" t="s">
        <v>1434</v>
      </c>
      <c r="F328" s="10" t="s">
        <v>2405</v>
      </c>
      <c r="G328" s="1">
        <f>$G$331-ABS($I$331-$I$328)/1000</f>
        <v>53.602064379310015</v>
      </c>
      <c r="H328">
        <v>0</v>
      </c>
      <c r="I328">
        <f>$I$331-$L$328/2</f>
        <v>46200.010778929995</v>
      </c>
      <c r="J328">
        <v>-270</v>
      </c>
      <c r="K328">
        <v>0</v>
      </c>
      <c r="L328">
        <v>1889.4492</v>
      </c>
    </row>
    <row r="329" spans="1:13">
      <c r="A329" t="s">
        <v>797</v>
      </c>
      <c r="B329" t="s">
        <v>3855</v>
      </c>
      <c r="C329" t="s">
        <v>1152</v>
      </c>
      <c r="D329" t="s">
        <v>804</v>
      </c>
      <c r="E329" t="s">
        <v>2224</v>
      </c>
      <c r="F329" t="s">
        <v>2224</v>
      </c>
      <c r="G329" s="1">
        <f>$G$326+ABS($I$329-$I$326)/1000</f>
        <v>54.235564479310014</v>
      </c>
      <c r="H329">
        <v>0</v>
      </c>
      <c r="I329">
        <f>$I$326+767.5</f>
        <v>46833.510878929999</v>
      </c>
      <c r="J329">
        <v>-270</v>
      </c>
      <c r="K329">
        <v>0</v>
      </c>
      <c r="L329">
        <f>_xlfn.XLOOKUP(F329,magnet_list!$A$2:$A$592,magnet_list!$M$2:$M$592,"n/a",0,1)</f>
        <v>1000</v>
      </c>
      <c r="M329">
        <f>_xlfn.XLOOKUP(F329,magnet_list!$A$2:$A$592,magnet_list!$L$2:$L$592,"n/a",0,1)</f>
        <v>120</v>
      </c>
    </row>
    <row r="330" spans="1:13">
      <c r="A330" t="s">
        <v>797</v>
      </c>
      <c r="B330" t="s">
        <v>3855</v>
      </c>
      <c r="C330" t="s">
        <v>1152</v>
      </c>
      <c r="D330" t="s">
        <v>804</v>
      </c>
      <c r="E330" t="s">
        <v>2225</v>
      </c>
      <c r="F330" t="s">
        <v>2225</v>
      </c>
      <c r="G330" s="1">
        <f>$G$326+ABS($I$329-$I$326)/1000</f>
        <v>54.235564479310014</v>
      </c>
      <c r="H330">
        <v>0</v>
      </c>
      <c r="I330">
        <f>$I$326+767.5</f>
        <v>46833.510878929999</v>
      </c>
      <c r="J330">
        <v>-270</v>
      </c>
      <c r="K330">
        <v>0</v>
      </c>
      <c r="L330">
        <f>_xlfn.XLOOKUP(F330,magnet_list!$A$2:$A$592,magnet_list!$M$2:$M$592,"n/a",0,1)</f>
        <v>1000</v>
      </c>
      <c r="M330">
        <f>_xlfn.XLOOKUP(F330,magnet_list!$A$2:$A$592,magnet_list!$L$2:$L$592,"n/a",0,1)</f>
        <v>120</v>
      </c>
    </row>
    <row r="331" spans="1:13">
      <c r="A331" t="s">
        <v>797</v>
      </c>
      <c r="B331" t="s">
        <v>804</v>
      </c>
      <c r="C331" t="s">
        <v>1152</v>
      </c>
      <c r="D331" t="s">
        <v>804</v>
      </c>
      <c r="E331" s="10" t="s">
        <v>1170</v>
      </c>
      <c r="F331" s="10" t="s">
        <v>2405</v>
      </c>
      <c r="G331" s="1">
        <f>$G$326+ABS($I$331-$I$326)/1000</f>
        <v>54.546788979310016</v>
      </c>
      <c r="H331">
        <v>0</v>
      </c>
      <c r="I331">
        <f>$I$326+1078.7245</f>
        <v>47144.735378929996</v>
      </c>
      <c r="J331">
        <v>-270</v>
      </c>
      <c r="K331">
        <v>0</v>
      </c>
      <c r="L331">
        <v>1889.4492</v>
      </c>
    </row>
    <row r="332" spans="1:13">
      <c r="A332" t="s">
        <v>797</v>
      </c>
      <c r="B332" t="s">
        <v>804</v>
      </c>
      <c r="C332" t="s">
        <v>1152</v>
      </c>
      <c r="D332" t="s">
        <v>804</v>
      </c>
      <c r="E332" s="10" t="s">
        <v>1435</v>
      </c>
      <c r="F332" s="10" t="s">
        <v>2405</v>
      </c>
      <c r="G332" s="1">
        <f>$G$331+ABS($I$332-$I$331)/1000</f>
        <v>55.491513579310016</v>
      </c>
      <c r="H332">
        <v>0</v>
      </c>
      <c r="I332">
        <f>$I$331+$L$332/2</f>
        <v>48089.459978929997</v>
      </c>
      <c r="J332">
        <v>-270</v>
      </c>
      <c r="K332">
        <v>0</v>
      </c>
      <c r="L332">
        <v>1889.4492</v>
      </c>
    </row>
    <row r="333" spans="1:13">
      <c r="A333" t="s">
        <v>797</v>
      </c>
      <c r="B333" t="s">
        <v>804</v>
      </c>
      <c r="C333" t="s">
        <v>1152</v>
      </c>
      <c r="D333" t="s">
        <v>804</v>
      </c>
      <c r="E333" s="10" t="s">
        <v>1436</v>
      </c>
      <c r="F333" s="10" t="s">
        <v>2406</v>
      </c>
      <c r="G333" s="1">
        <f>$G$334-ABS($I$334-$I$333)/1000</f>
        <v>55.675210379310016</v>
      </c>
      <c r="H333">
        <v>0</v>
      </c>
      <c r="I333">
        <f>$I$334-$L$333/2</f>
        <v>48273.156778929995</v>
      </c>
      <c r="J333">
        <v>-270</v>
      </c>
      <c r="K333">
        <v>0</v>
      </c>
      <c r="L333">
        <v>1889.4492</v>
      </c>
    </row>
    <row r="334" spans="1:13">
      <c r="A334" t="s">
        <v>797</v>
      </c>
      <c r="B334" t="s">
        <v>804</v>
      </c>
      <c r="C334" t="s">
        <v>1152</v>
      </c>
      <c r="D334" t="s">
        <v>804</v>
      </c>
      <c r="E334" s="10" t="s">
        <v>1226</v>
      </c>
      <c r="F334" s="10" t="s">
        <v>2406</v>
      </c>
      <c r="G334" s="1">
        <f>$G$331+ABS($I$334-$I$331)/1000</f>
        <v>56.619934979310017</v>
      </c>
      <c r="H334">
        <v>0</v>
      </c>
      <c r="I334">
        <f>$I$331+2073.146</f>
        <v>49217.881378929997</v>
      </c>
      <c r="J334">
        <v>-270</v>
      </c>
      <c r="K334">
        <v>0</v>
      </c>
      <c r="L334">
        <v>1889.4492</v>
      </c>
    </row>
    <row r="335" spans="1:13">
      <c r="A335" t="s">
        <v>797</v>
      </c>
      <c r="B335" t="s">
        <v>804</v>
      </c>
      <c r="C335" t="s">
        <v>1152</v>
      </c>
      <c r="D335" t="s">
        <v>804</v>
      </c>
      <c r="E335" s="10" t="s">
        <v>1437</v>
      </c>
      <c r="F335" s="10" t="s">
        <v>2406</v>
      </c>
      <c r="G335" s="1">
        <f>$G$334+ABS($I$335-$I$334)/1000</f>
        <v>57.564659579310018</v>
      </c>
      <c r="H335">
        <v>0</v>
      </c>
      <c r="I335">
        <f>$I$334+$L$335/2</f>
        <v>50162.605978929998</v>
      </c>
      <c r="J335">
        <v>-270</v>
      </c>
      <c r="K335">
        <v>0</v>
      </c>
      <c r="L335">
        <v>1889.4492</v>
      </c>
    </row>
    <row r="336" spans="1:13">
      <c r="A336" t="s">
        <v>797</v>
      </c>
      <c r="B336" t="s">
        <v>1152</v>
      </c>
      <c r="C336" t="s">
        <v>1152</v>
      </c>
      <c r="D336" t="s">
        <v>804</v>
      </c>
      <c r="E336" s="3" t="s">
        <v>1975</v>
      </c>
      <c r="F336" s="3" t="s">
        <v>1975</v>
      </c>
      <c r="G336" s="1">
        <f>$G$334+ABS($I$336-$I$334)/1000</f>
        <v>57.798052479310016</v>
      </c>
      <c r="H336">
        <v>0</v>
      </c>
      <c r="I336">
        <f>$I$334+1178.1175</f>
        <v>50395.998878929997</v>
      </c>
      <c r="J336">
        <v>-270</v>
      </c>
      <c r="K336">
        <v>0</v>
      </c>
    </row>
    <row r="337" spans="1:13">
      <c r="A337" t="s">
        <v>797</v>
      </c>
      <c r="B337" t="s">
        <v>804</v>
      </c>
      <c r="C337" t="s">
        <v>1152</v>
      </c>
      <c r="D337" t="s">
        <v>804</v>
      </c>
      <c r="E337" s="10" t="s">
        <v>1438</v>
      </c>
      <c r="F337" s="10" t="s">
        <v>2407</v>
      </c>
      <c r="G337" s="1">
        <f>$G$342-ABS($I$342-$I$337)/1000</f>
        <v>57.932052379310015</v>
      </c>
      <c r="H337">
        <v>0</v>
      </c>
      <c r="I337">
        <f>$I$342-$L$337/2</f>
        <v>50529.998778929992</v>
      </c>
      <c r="J337">
        <v>-270</v>
      </c>
      <c r="K337">
        <v>0</v>
      </c>
      <c r="L337">
        <v>1889.4492</v>
      </c>
    </row>
    <row r="338" spans="1:13">
      <c r="A338" t="s">
        <v>797</v>
      </c>
      <c r="B338" t="s">
        <v>803</v>
      </c>
      <c r="C338" t="s">
        <v>806</v>
      </c>
      <c r="E338" t="s">
        <v>946</v>
      </c>
      <c r="F338" t="s">
        <v>946</v>
      </c>
      <c r="G338" s="1">
        <f t="shared" si="13"/>
        <v>57.990505236730023</v>
      </c>
      <c r="H338">
        <v>-3166.2144640299998</v>
      </c>
      <c r="I338">
        <v>50588.451636350001</v>
      </c>
      <c r="J338">
        <v>-17.444929649999999</v>
      </c>
      <c r="K338">
        <v>252.55507034999999</v>
      </c>
    </row>
    <row r="339" spans="1:13">
      <c r="A339" t="s">
        <v>797</v>
      </c>
      <c r="B339" t="s">
        <v>3855</v>
      </c>
      <c r="C339" t="s">
        <v>1152</v>
      </c>
      <c r="D339" t="s">
        <v>804</v>
      </c>
      <c r="E339" t="s">
        <v>2226</v>
      </c>
      <c r="F339" t="s">
        <v>2226</v>
      </c>
      <c r="G339" s="1">
        <f>$G$336+ABS($I$339-$I$336)/1000</f>
        <v>58.565552479310014</v>
      </c>
      <c r="H339">
        <v>0</v>
      </c>
      <c r="I339">
        <f>$I$336+767.5</f>
        <v>51163.498878929997</v>
      </c>
      <c r="J339">
        <v>-270</v>
      </c>
      <c r="K339">
        <v>0</v>
      </c>
      <c r="L339">
        <f>_xlfn.XLOOKUP(F339,magnet_list!$A$2:$A$592,magnet_list!$M$2:$M$592,"n/a",0,1)</f>
        <v>1000</v>
      </c>
      <c r="M339">
        <f>_xlfn.XLOOKUP(F339,magnet_list!$A$2:$A$592,magnet_list!$L$2:$L$592,"n/a",0,1)</f>
        <v>120</v>
      </c>
    </row>
    <row r="340" spans="1:13">
      <c r="A340" t="s">
        <v>797</v>
      </c>
      <c r="B340" t="s">
        <v>3855</v>
      </c>
      <c r="C340" t="s">
        <v>1152</v>
      </c>
      <c r="D340" t="s">
        <v>804</v>
      </c>
      <c r="E340" t="s">
        <v>2227</v>
      </c>
      <c r="F340" t="s">
        <v>2227</v>
      </c>
      <c r="G340" s="1">
        <f>$G$336+ABS($I$339-$I$336)/1000</f>
        <v>58.565552479310014</v>
      </c>
      <c r="H340">
        <v>0</v>
      </c>
      <c r="I340">
        <f>$I$336+767.5</f>
        <v>51163.498878929997</v>
      </c>
      <c r="J340">
        <v>-270</v>
      </c>
      <c r="K340">
        <v>0</v>
      </c>
      <c r="L340">
        <f>_xlfn.XLOOKUP(F340,magnet_list!$A$2:$A$592,magnet_list!$M$2:$M$592,"n/a",0,1)</f>
        <v>1000</v>
      </c>
      <c r="M340">
        <f>_xlfn.XLOOKUP(F340,magnet_list!$A$2:$A$592,magnet_list!$L$2:$L$592,"n/a",0,1)</f>
        <v>120</v>
      </c>
    </row>
    <row r="341" spans="1:13">
      <c r="A341" t="s">
        <v>797</v>
      </c>
      <c r="B341" t="s">
        <v>803</v>
      </c>
      <c r="C341" t="s">
        <v>806</v>
      </c>
      <c r="E341" t="s">
        <v>947</v>
      </c>
      <c r="F341" t="s">
        <v>947</v>
      </c>
      <c r="G341" s="1">
        <f t="shared" si="13"/>
        <v>58.599594184760022</v>
      </c>
      <c r="H341">
        <v>2273.3324739</v>
      </c>
      <c r="I341">
        <v>51197.540584380004</v>
      </c>
      <c r="J341">
        <v>-18.16637515</v>
      </c>
      <c r="K341">
        <v>251.83362485000001</v>
      </c>
    </row>
    <row r="342" spans="1:13">
      <c r="A342" t="s">
        <v>797</v>
      </c>
      <c r="B342" t="s">
        <v>804</v>
      </c>
      <c r="C342" t="s">
        <v>1152</v>
      </c>
      <c r="D342" t="s">
        <v>804</v>
      </c>
      <c r="E342" s="10" t="s">
        <v>1281</v>
      </c>
      <c r="F342" s="10" t="s">
        <v>2407</v>
      </c>
      <c r="G342" s="1">
        <f>$G$336+ABS($I$342-$I$336)/1000</f>
        <v>58.876776979310016</v>
      </c>
      <c r="H342">
        <v>0</v>
      </c>
      <c r="I342">
        <f>$I$336+1078.7245</f>
        <v>51474.723378929993</v>
      </c>
      <c r="J342">
        <v>-270</v>
      </c>
      <c r="K342">
        <v>0</v>
      </c>
      <c r="L342">
        <v>1889.4492</v>
      </c>
    </row>
    <row r="343" spans="1:13">
      <c r="A343" t="s">
        <v>797</v>
      </c>
      <c r="B343" t="s">
        <v>804</v>
      </c>
      <c r="C343" t="s">
        <v>1152</v>
      </c>
      <c r="D343" t="s">
        <v>804</v>
      </c>
      <c r="E343" s="10" t="s">
        <v>1439</v>
      </c>
      <c r="F343" s="10" t="s">
        <v>2407</v>
      </c>
      <c r="G343" s="1">
        <f>$G$342+ABS($I$343-$I$342)/1000</f>
        <v>59.821501579310016</v>
      </c>
      <c r="H343">
        <v>0</v>
      </c>
      <c r="I343">
        <f>$I$342+$L$343/2</f>
        <v>52419.447978929995</v>
      </c>
      <c r="J343">
        <v>-270</v>
      </c>
      <c r="K343">
        <v>0</v>
      </c>
      <c r="L343">
        <v>1889.4492</v>
      </c>
    </row>
    <row r="344" spans="1:13">
      <c r="A344" t="s">
        <v>797</v>
      </c>
      <c r="B344" t="s">
        <v>804</v>
      </c>
      <c r="C344" t="s">
        <v>1152</v>
      </c>
      <c r="D344" t="s">
        <v>804</v>
      </c>
      <c r="E344" s="10" t="s">
        <v>1440</v>
      </c>
      <c r="F344" s="10" t="s">
        <v>2408</v>
      </c>
      <c r="G344" s="1">
        <f>$G$345-ABS($I$345-$I$344)/1000</f>
        <v>60.005198379310016</v>
      </c>
      <c r="H344">
        <v>0</v>
      </c>
      <c r="I344">
        <f>$I$345-$L$344/2</f>
        <v>52603.144778929993</v>
      </c>
      <c r="J344">
        <v>-270</v>
      </c>
      <c r="K344">
        <v>0</v>
      </c>
      <c r="L344">
        <v>1889.4492</v>
      </c>
    </row>
    <row r="345" spans="1:13">
      <c r="A345" t="s">
        <v>797</v>
      </c>
      <c r="B345" t="s">
        <v>804</v>
      </c>
      <c r="C345" t="s">
        <v>1152</v>
      </c>
      <c r="D345" t="s">
        <v>804</v>
      </c>
      <c r="E345" s="10" t="s">
        <v>1335</v>
      </c>
      <c r="F345" s="10" t="s">
        <v>2408</v>
      </c>
      <c r="G345" s="1">
        <f>$G$342+ABS($I$345-$I$342)/1000</f>
        <v>60.949922979310017</v>
      </c>
      <c r="H345">
        <v>0</v>
      </c>
      <c r="I345">
        <f>$I$342+2073.146</f>
        <v>53547.869378929994</v>
      </c>
      <c r="J345">
        <v>-270</v>
      </c>
      <c r="K345">
        <v>0</v>
      </c>
      <c r="L345">
        <v>1889.4492</v>
      </c>
    </row>
    <row r="346" spans="1:13">
      <c r="A346" t="s">
        <v>797</v>
      </c>
      <c r="B346" t="s">
        <v>804</v>
      </c>
      <c r="C346" t="s">
        <v>1152</v>
      </c>
      <c r="D346" t="s">
        <v>804</v>
      </c>
      <c r="E346" s="10" t="s">
        <v>1441</v>
      </c>
      <c r="F346" s="10" t="s">
        <v>2408</v>
      </c>
      <c r="G346" s="1">
        <f>$G$345+ABS($I$346-$I$345)/1000</f>
        <v>61.894647579310018</v>
      </c>
      <c r="H346">
        <v>0</v>
      </c>
      <c r="I346">
        <f>$I$345+$L$346/2</f>
        <v>54492.593978929996</v>
      </c>
      <c r="J346">
        <v>-270</v>
      </c>
      <c r="K346">
        <v>0</v>
      </c>
      <c r="L346">
        <v>1889.4492</v>
      </c>
    </row>
    <row r="347" spans="1:13">
      <c r="A347" t="s">
        <v>797</v>
      </c>
      <c r="B347" t="s">
        <v>803</v>
      </c>
      <c r="C347" t="s">
        <v>806</v>
      </c>
      <c r="E347" t="s">
        <v>1080</v>
      </c>
      <c r="F347" t="s">
        <v>1080</v>
      </c>
      <c r="G347" s="1">
        <f t="shared" si="13"/>
        <v>62.022913982890024</v>
      </c>
      <c r="H347">
        <v>-400</v>
      </c>
      <c r="I347">
        <v>54620.86038251</v>
      </c>
      <c r="J347">
        <v>-689</v>
      </c>
      <c r="K347">
        <v>-419</v>
      </c>
    </row>
    <row r="348" spans="1:13">
      <c r="A348" t="s">
        <v>797</v>
      </c>
      <c r="B348" t="s">
        <v>1152</v>
      </c>
      <c r="C348" t="s">
        <v>1152</v>
      </c>
      <c r="D348" t="s">
        <v>804</v>
      </c>
      <c r="E348" s="3" t="s">
        <v>1976</v>
      </c>
      <c r="F348" s="3" t="s">
        <v>1976</v>
      </c>
      <c r="G348" s="1">
        <f>$G$345+ABS($I$348-$I$345)/1000</f>
        <v>62.028647479310017</v>
      </c>
      <c r="H348">
        <v>0</v>
      </c>
      <c r="I348">
        <f>$I$345+1078.7245</f>
        <v>54626.593878929991</v>
      </c>
      <c r="J348">
        <v>-270</v>
      </c>
      <c r="K348">
        <v>0</v>
      </c>
    </row>
    <row r="349" spans="1:13">
      <c r="A349" t="s">
        <v>797</v>
      </c>
      <c r="B349" t="s">
        <v>805</v>
      </c>
      <c r="C349" t="s">
        <v>806</v>
      </c>
      <c r="E349" s="2" t="s">
        <v>37</v>
      </c>
      <c r="F349" s="2" t="s">
        <v>2409</v>
      </c>
      <c r="G349" s="1">
        <f t="shared" si="13"/>
        <v>62.204787496630026</v>
      </c>
      <c r="H349">
        <v>0</v>
      </c>
      <c r="I349">
        <v>54802.73389625</v>
      </c>
      <c r="J349">
        <v>-60</v>
      </c>
      <c r="K349">
        <v>210</v>
      </c>
      <c r="L349">
        <f>_xlfn.XLOOKUP(F349,magnet_list!$A$2:$A$592,magnet_list!$M$2:$M$592,"n/a",0,1)</f>
        <v>120</v>
      </c>
      <c r="M349">
        <f>_xlfn.XLOOKUP(F349,magnet_list!$A$2:$A$592,magnet_list!$L$2:$L$592,"n/a",0,1)</f>
        <v>23</v>
      </c>
    </row>
    <row r="350" spans="1:13">
      <c r="A350" t="s">
        <v>797</v>
      </c>
      <c r="B350" t="s">
        <v>805</v>
      </c>
      <c r="C350" t="s">
        <v>1152</v>
      </c>
      <c r="D350" t="s">
        <v>804</v>
      </c>
      <c r="E350" s="2" t="s">
        <v>556</v>
      </c>
      <c r="F350" s="2" t="s">
        <v>2409</v>
      </c>
      <c r="G350" s="1">
        <f t="shared" si="13"/>
        <v>62.244787496630025</v>
      </c>
      <c r="H350">
        <v>0</v>
      </c>
      <c r="I350">
        <v>54842.73389625</v>
      </c>
      <c r="J350">
        <v>-60</v>
      </c>
      <c r="K350">
        <v>210</v>
      </c>
      <c r="L350">
        <f>_xlfn.XLOOKUP(F350,magnet_list!$A$2:$A$592,magnet_list!$M$2:$M$592,"n/a",0,1)</f>
        <v>120</v>
      </c>
      <c r="M350">
        <f>_xlfn.XLOOKUP(F350,magnet_list!$A$2:$A$592,magnet_list!$L$2:$L$592,"n/a",0,1)</f>
        <v>23</v>
      </c>
    </row>
    <row r="351" spans="1:13">
      <c r="A351" t="s">
        <v>797</v>
      </c>
      <c r="B351" t="s">
        <v>805</v>
      </c>
      <c r="C351" t="s">
        <v>806</v>
      </c>
      <c r="E351" s="2" t="s">
        <v>38</v>
      </c>
      <c r="F351" s="2" t="s">
        <v>38</v>
      </c>
      <c r="G351" s="1">
        <f t="shared" si="13"/>
        <v>62.424094370700026</v>
      </c>
      <c r="H351">
        <v>0</v>
      </c>
      <c r="I351">
        <v>55022.040770320004</v>
      </c>
      <c r="J351">
        <v>-60</v>
      </c>
      <c r="K351">
        <v>210</v>
      </c>
      <c r="L351">
        <f>_xlfn.XLOOKUP(F351,magnet_list!$A$2:$A$592,magnet_list!$M$2:$M$592,"n/a",0,1)</f>
        <v>240</v>
      </c>
      <c r="M351">
        <f>_xlfn.XLOOKUP(F351,magnet_list!$A$2:$A$592,magnet_list!$L$2:$L$592,"n/a",0,1)</f>
        <v>23</v>
      </c>
    </row>
    <row r="352" spans="1:13">
      <c r="A352" t="s">
        <v>797</v>
      </c>
      <c r="B352" t="s">
        <v>805</v>
      </c>
      <c r="C352" t="s">
        <v>1152</v>
      </c>
      <c r="D352" t="s">
        <v>804</v>
      </c>
      <c r="E352" s="2" t="s">
        <v>557</v>
      </c>
      <c r="F352" s="2" t="s">
        <v>38</v>
      </c>
      <c r="G352" s="1">
        <f t="shared" si="13"/>
        <v>62.524094370700027</v>
      </c>
      <c r="H352">
        <v>0</v>
      </c>
      <c r="I352">
        <v>55122.040770320004</v>
      </c>
      <c r="J352">
        <v>-60</v>
      </c>
      <c r="K352">
        <v>210</v>
      </c>
      <c r="L352">
        <f>_xlfn.XLOOKUP(F352,magnet_list!$A$2:$A$592,magnet_list!$M$2:$M$592,"n/a",0,1)</f>
        <v>240</v>
      </c>
      <c r="M352">
        <f>_xlfn.XLOOKUP(F352,magnet_list!$A$2:$A$592,magnet_list!$L$2:$L$592,"n/a",0,1)</f>
        <v>23</v>
      </c>
    </row>
    <row r="353" spans="1:13">
      <c r="A353" t="s">
        <v>797</v>
      </c>
      <c r="B353" t="s">
        <v>805</v>
      </c>
      <c r="C353" t="s">
        <v>1152</v>
      </c>
      <c r="D353" t="s">
        <v>804</v>
      </c>
      <c r="E353" s="2" t="s">
        <v>558</v>
      </c>
      <c r="F353" s="2" t="s">
        <v>2409</v>
      </c>
      <c r="G353" s="1">
        <f t="shared" si="13"/>
        <v>62.805251954620019</v>
      </c>
      <c r="H353">
        <v>0</v>
      </c>
      <c r="I353">
        <v>55403.198354239998</v>
      </c>
      <c r="J353">
        <v>-60</v>
      </c>
      <c r="K353">
        <v>210</v>
      </c>
      <c r="L353">
        <f>_xlfn.XLOOKUP(F353,magnet_list!$A$2:$A$592,magnet_list!$M$2:$M$592,"n/a",0,1)</f>
        <v>120</v>
      </c>
      <c r="M353">
        <f>_xlfn.XLOOKUP(F353,magnet_list!$A$2:$A$592,magnet_list!$L$2:$L$592,"n/a",0,1)</f>
        <v>23</v>
      </c>
    </row>
    <row r="354" spans="1:13">
      <c r="A354" t="s">
        <v>797</v>
      </c>
      <c r="B354" t="s">
        <v>805</v>
      </c>
      <c r="C354" t="s">
        <v>806</v>
      </c>
      <c r="E354" s="2" t="s">
        <v>39</v>
      </c>
      <c r="F354" s="2" t="s">
        <v>2409</v>
      </c>
      <c r="G354" s="1">
        <f t="shared" si="13"/>
        <v>62.845251954620018</v>
      </c>
      <c r="H354">
        <v>0</v>
      </c>
      <c r="I354">
        <v>55443.198354239998</v>
      </c>
      <c r="J354">
        <v>-60</v>
      </c>
      <c r="K354">
        <v>210</v>
      </c>
      <c r="L354">
        <f>_xlfn.XLOOKUP(F354,magnet_list!$A$2:$A$592,magnet_list!$M$2:$M$592,"n/a",0,1)</f>
        <v>120</v>
      </c>
      <c r="M354">
        <f>_xlfn.XLOOKUP(F354,magnet_list!$A$2:$A$592,magnet_list!$L$2:$L$592,"n/a",0,1)</f>
        <v>23</v>
      </c>
    </row>
    <row r="355" spans="1:13">
      <c r="A355" t="s">
        <v>797</v>
      </c>
      <c r="B355" t="s">
        <v>2288</v>
      </c>
      <c r="C355" t="s">
        <v>1152</v>
      </c>
      <c r="D355" t="s">
        <v>804</v>
      </c>
      <c r="E355" s="8" t="s">
        <v>2329</v>
      </c>
      <c r="F355" s="8" t="s">
        <v>2329</v>
      </c>
      <c r="G355" s="1">
        <f>$G$348+ABS($I$355-$I$348)/1000</f>
        <v>63.158064479310021</v>
      </c>
      <c r="H355">
        <v>0</v>
      </c>
      <c r="I355">
        <f>$I$348+1129.417</f>
        <v>55756.010878929992</v>
      </c>
      <c r="J355">
        <v>-270</v>
      </c>
      <c r="K355">
        <v>0</v>
      </c>
    </row>
    <row r="356" spans="1:13">
      <c r="A356" t="s">
        <v>797</v>
      </c>
      <c r="B356" t="s">
        <v>803</v>
      </c>
      <c r="C356" t="s">
        <v>806</v>
      </c>
      <c r="E356" t="s">
        <v>1083</v>
      </c>
      <c r="F356" t="s">
        <v>1083</v>
      </c>
      <c r="G356" s="1">
        <f t="shared" si="13"/>
        <v>63.162926817610028</v>
      </c>
      <c r="H356">
        <v>-400</v>
      </c>
      <c r="I356">
        <v>55760.873217230001</v>
      </c>
      <c r="J356">
        <v>-689</v>
      </c>
      <c r="K356">
        <v>-419</v>
      </c>
    </row>
    <row r="357" spans="1:13">
      <c r="A357" t="s">
        <v>797</v>
      </c>
      <c r="B357" t="s">
        <v>804</v>
      </c>
      <c r="C357" t="s">
        <v>1152</v>
      </c>
      <c r="D357" t="s">
        <v>804</v>
      </c>
      <c r="E357" s="10" t="s">
        <v>1442</v>
      </c>
      <c r="F357" s="10" t="s">
        <v>2410</v>
      </c>
      <c r="G357" s="1">
        <f>$G$360-ABS($I$360-$I$357)/1000</f>
        <v>63.29206437931002</v>
      </c>
      <c r="H357">
        <v>0</v>
      </c>
      <c r="I357">
        <f>$I$360-$L$357/2</f>
        <v>55890.010778929987</v>
      </c>
      <c r="J357">
        <v>-270</v>
      </c>
      <c r="K357">
        <v>0</v>
      </c>
      <c r="L357">
        <v>1889.4492</v>
      </c>
    </row>
    <row r="358" spans="1:13">
      <c r="A358" t="s">
        <v>797</v>
      </c>
      <c r="B358" t="s">
        <v>3855</v>
      </c>
      <c r="C358" t="s">
        <v>1152</v>
      </c>
      <c r="D358" t="s">
        <v>804</v>
      </c>
      <c r="E358" t="s">
        <v>2228</v>
      </c>
      <c r="F358" t="s">
        <v>2228</v>
      </c>
      <c r="G358" s="1">
        <f>$G$355+ABS($I$358-$I$355)/1000</f>
        <v>63.925564479310019</v>
      </c>
      <c r="H358">
        <v>0</v>
      </c>
      <c r="I358">
        <f>$I$355+767.5</f>
        <v>56523.510878929992</v>
      </c>
      <c r="J358">
        <v>-270</v>
      </c>
      <c r="K358">
        <v>0</v>
      </c>
      <c r="L358">
        <f>_xlfn.XLOOKUP(F358,magnet_list!$A$2:$A$592,magnet_list!$M$2:$M$592,"n/a",0,1)</f>
        <v>1000</v>
      </c>
      <c r="M358">
        <f>_xlfn.XLOOKUP(F358,magnet_list!$A$2:$A$592,magnet_list!$L$2:$L$592,"n/a",0,1)</f>
        <v>120</v>
      </c>
    </row>
    <row r="359" spans="1:13">
      <c r="A359" t="s">
        <v>797</v>
      </c>
      <c r="B359" t="s">
        <v>3855</v>
      </c>
      <c r="C359" t="s">
        <v>1152</v>
      </c>
      <c r="D359" t="s">
        <v>804</v>
      </c>
      <c r="E359" t="s">
        <v>2229</v>
      </c>
      <c r="F359" t="s">
        <v>2229</v>
      </c>
      <c r="G359" s="1">
        <f>$G$355+ABS($I$358-$I$355)/1000</f>
        <v>63.925564479310019</v>
      </c>
      <c r="H359">
        <v>0</v>
      </c>
      <c r="I359">
        <f>$I$355+767.5</f>
        <v>56523.510878929992</v>
      </c>
      <c r="J359">
        <v>-270</v>
      </c>
      <c r="K359">
        <v>0</v>
      </c>
      <c r="L359">
        <f>_xlfn.XLOOKUP(F359,magnet_list!$A$2:$A$592,magnet_list!$M$2:$M$592,"n/a",0,1)</f>
        <v>1000</v>
      </c>
      <c r="M359">
        <f>_xlfn.XLOOKUP(F359,magnet_list!$A$2:$A$592,magnet_list!$L$2:$L$592,"n/a",0,1)</f>
        <v>120</v>
      </c>
    </row>
    <row r="360" spans="1:13">
      <c r="A360" t="s">
        <v>797</v>
      </c>
      <c r="B360" t="s">
        <v>804</v>
      </c>
      <c r="C360" t="s">
        <v>1152</v>
      </c>
      <c r="D360" t="s">
        <v>804</v>
      </c>
      <c r="E360" s="10" t="s">
        <v>1171</v>
      </c>
      <c r="F360" s="10" t="s">
        <v>2410</v>
      </c>
      <c r="G360" s="1">
        <f>$G$355+ABS($I$360-$I$355)/1000</f>
        <v>64.23678897931002</v>
      </c>
      <c r="H360">
        <v>0</v>
      </c>
      <c r="I360">
        <f>$I$355+1078.7245</f>
        <v>56834.735378929989</v>
      </c>
      <c r="J360">
        <v>-270</v>
      </c>
      <c r="K360">
        <v>0</v>
      </c>
      <c r="L360">
        <v>1889.4492</v>
      </c>
    </row>
    <row r="361" spans="1:13">
      <c r="A361" t="s">
        <v>797</v>
      </c>
      <c r="B361" t="s">
        <v>804</v>
      </c>
      <c r="C361" t="s">
        <v>1152</v>
      </c>
      <c r="D361" t="s">
        <v>804</v>
      </c>
      <c r="E361" s="10" t="s">
        <v>1443</v>
      </c>
      <c r="F361" s="10" t="s">
        <v>2410</v>
      </c>
      <c r="G361" s="1">
        <f>$G$360+ABS($I$361-$I$360)/1000</f>
        <v>65.181513579310021</v>
      </c>
      <c r="H361">
        <v>0</v>
      </c>
      <c r="I361">
        <f>$I$360+$L$361/2</f>
        <v>57779.45997892999</v>
      </c>
      <c r="J361">
        <v>-270</v>
      </c>
      <c r="K361">
        <v>0</v>
      </c>
      <c r="L361">
        <v>1889.4492</v>
      </c>
    </row>
    <row r="362" spans="1:13">
      <c r="A362" t="s">
        <v>797</v>
      </c>
      <c r="B362" t="s">
        <v>804</v>
      </c>
      <c r="C362" t="s">
        <v>1152</v>
      </c>
      <c r="D362" t="s">
        <v>804</v>
      </c>
      <c r="E362" s="10" t="s">
        <v>1444</v>
      </c>
      <c r="F362" s="10" t="s">
        <v>2411</v>
      </c>
      <c r="G362" s="1">
        <f>$G$364-ABS($I$364-$I$362)/1000</f>
        <v>65.365210379310014</v>
      </c>
      <c r="H362">
        <v>0</v>
      </c>
      <c r="I362">
        <f>$I$364-$L$362/2</f>
        <v>57963.156778929988</v>
      </c>
      <c r="J362">
        <v>-270</v>
      </c>
      <c r="K362">
        <v>0</v>
      </c>
      <c r="L362">
        <v>1889.4492</v>
      </c>
    </row>
    <row r="363" spans="1:13">
      <c r="A363" t="s">
        <v>797</v>
      </c>
      <c r="B363" t="s">
        <v>803</v>
      </c>
      <c r="C363" t="s">
        <v>806</v>
      </c>
      <c r="E363" t="s">
        <v>948</v>
      </c>
      <c r="F363" t="s">
        <v>948</v>
      </c>
      <c r="G363" s="1">
        <f t="shared" si="13"/>
        <v>65.366527700910027</v>
      </c>
      <c r="H363">
        <v>-3175.6001376899999</v>
      </c>
      <c r="I363">
        <v>57964.474100530002</v>
      </c>
      <c r="J363">
        <v>-16.307873690000001</v>
      </c>
      <c r="K363">
        <v>253.69212630999999</v>
      </c>
    </row>
    <row r="364" spans="1:13">
      <c r="A364" t="s">
        <v>797</v>
      </c>
      <c r="B364" t="s">
        <v>804</v>
      </c>
      <c r="C364" t="s">
        <v>1152</v>
      </c>
      <c r="D364" t="s">
        <v>804</v>
      </c>
      <c r="E364" s="10" t="s">
        <v>1227</v>
      </c>
      <c r="F364" s="10" t="s">
        <v>2411</v>
      </c>
      <c r="G364" s="1">
        <f>$G$360+ABS($I$364-$I$360)/1000</f>
        <v>66.309934979310015</v>
      </c>
      <c r="H364">
        <v>0</v>
      </c>
      <c r="I364">
        <f>$I$360+2073.146</f>
        <v>58907.881378929989</v>
      </c>
      <c r="J364">
        <v>-270</v>
      </c>
      <c r="K364">
        <v>0</v>
      </c>
      <c r="L364">
        <v>1889.4492</v>
      </c>
    </row>
    <row r="365" spans="1:13">
      <c r="A365" t="s">
        <v>797</v>
      </c>
      <c r="B365" t="s">
        <v>804</v>
      </c>
      <c r="C365" t="s">
        <v>1152</v>
      </c>
      <c r="D365" t="s">
        <v>804</v>
      </c>
      <c r="E365" s="10" t="s">
        <v>1445</v>
      </c>
      <c r="F365" s="10" t="s">
        <v>2411</v>
      </c>
      <c r="G365" s="1">
        <f>$G$364+ABS($I$365-$I$364)/1000</f>
        <v>67.254659579310015</v>
      </c>
      <c r="H365">
        <v>0</v>
      </c>
      <c r="I365">
        <f>$I$364+$L$365/2</f>
        <v>59852.605978929991</v>
      </c>
      <c r="J365">
        <v>-270</v>
      </c>
      <c r="K365">
        <v>0</v>
      </c>
      <c r="L365">
        <v>1889.4492</v>
      </c>
    </row>
    <row r="366" spans="1:13">
      <c r="A366" t="s">
        <v>797</v>
      </c>
      <c r="B366" t="s">
        <v>1152</v>
      </c>
      <c r="C366" t="s">
        <v>1152</v>
      </c>
      <c r="D366" t="s">
        <v>804</v>
      </c>
      <c r="E366" s="3" t="s">
        <v>1977</v>
      </c>
      <c r="F366" s="3" t="s">
        <v>1977</v>
      </c>
      <c r="G366" s="1">
        <f>$G$364+ABS($I$366-$I$364)/1000</f>
        <v>67.488052479310014</v>
      </c>
      <c r="H366">
        <v>0</v>
      </c>
      <c r="I366">
        <f>$I$364+1178.1175</f>
        <v>60085.99887892999</v>
      </c>
      <c r="J366">
        <v>-270</v>
      </c>
      <c r="K366">
        <v>0</v>
      </c>
    </row>
    <row r="367" spans="1:13">
      <c r="A367" t="s">
        <v>797</v>
      </c>
      <c r="B367" t="s">
        <v>804</v>
      </c>
      <c r="C367" t="s">
        <v>1152</v>
      </c>
      <c r="D367" t="s">
        <v>804</v>
      </c>
      <c r="E367" s="10" t="s">
        <v>1446</v>
      </c>
      <c r="F367" s="10" t="s">
        <v>2412</v>
      </c>
      <c r="G367" s="1">
        <f>$G$370-ABS($I$370-$I$367)/1000</f>
        <v>67.622052379310006</v>
      </c>
      <c r="H367">
        <v>0</v>
      </c>
      <c r="I367">
        <f>$I$370-$L$367/2</f>
        <v>60219.998778929985</v>
      </c>
      <c r="J367">
        <v>-270</v>
      </c>
      <c r="K367">
        <v>0</v>
      </c>
      <c r="L367">
        <v>1889.4492</v>
      </c>
    </row>
    <row r="368" spans="1:13">
      <c r="A368" t="s">
        <v>797</v>
      </c>
      <c r="B368" t="s">
        <v>3855</v>
      </c>
      <c r="C368" t="s">
        <v>1152</v>
      </c>
      <c r="D368" t="s">
        <v>804</v>
      </c>
      <c r="E368" t="s">
        <v>2230</v>
      </c>
      <c r="F368" t="s">
        <v>2230</v>
      </c>
      <c r="G368" s="1">
        <f>$G$366+ABS($I$368-$I$366)/1000</f>
        <v>68.255552479310012</v>
      </c>
      <c r="H368">
        <v>0</v>
      </c>
      <c r="I368">
        <f>$I$366+767.5</f>
        <v>60853.49887892999</v>
      </c>
      <c r="J368">
        <v>-270</v>
      </c>
      <c r="K368">
        <v>0</v>
      </c>
      <c r="L368">
        <f>_xlfn.XLOOKUP(F368,magnet_list!$A$2:$A$592,magnet_list!$M$2:$M$592,"n/a",0,1)</f>
        <v>1000</v>
      </c>
      <c r="M368">
        <f>_xlfn.XLOOKUP(F368,magnet_list!$A$2:$A$592,magnet_list!$L$2:$L$592,"n/a",0,1)</f>
        <v>120</v>
      </c>
    </row>
    <row r="369" spans="1:13">
      <c r="A369" t="s">
        <v>797</v>
      </c>
      <c r="B369" t="s">
        <v>3855</v>
      </c>
      <c r="C369" t="s">
        <v>1152</v>
      </c>
      <c r="D369" t="s">
        <v>804</v>
      </c>
      <c r="E369" t="s">
        <v>2231</v>
      </c>
      <c r="F369" t="s">
        <v>2231</v>
      </c>
      <c r="G369" s="1">
        <f>$G$366+ABS($I$368-$I$366)/1000</f>
        <v>68.255552479310012</v>
      </c>
      <c r="H369">
        <v>0</v>
      </c>
      <c r="I369">
        <f>$I$366+767.5</f>
        <v>60853.49887892999</v>
      </c>
      <c r="J369">
        <v>-270</v>
      </c>
      <c r="K369">
        <v>0</v>
      </c>
      <c r="L369">
        <f>_xlfn.XLOOKUP(F369,magnet_list!$A$2:$A$592,magnet_list!$M$2:$M$592,"n/a",0,1)</f>
        <v>1000</v>
      </c>
      <c r="M369">
        <f>_xlfn.XLOOKUP(F369,magnet_list!$A$2:$A$592,magnet_list!$L$2:$L$592,"n/a",0,1)</f>
        <v>120</v>
      </c>
    </row>
    <row r="370" spans="1:13">
      <c r="A370" t="s">
        <v>797</v>
      </c>
      <c r="B370" t="s">
        <v>804</v>
      </c>
      <c r="C370" t="s">
        <v>1152</v>
      </c>
      <c r="D370" t="s">
        <v>804</v>
      </c>
      <c r="E370" s="10" t="s">
        <v>1282</v>
      </c>
      <c r="F370" s="10" t="s">
        <v>2412</v>
      </c>
      <c r="G370" s="1">
        <f>$G$366+ABS($I$370-$I$366)/1000</f>
        <v>68.566776979310006</v>
      </c>
      <c r="H370">
        <v>0</v>
      </c>
      <c r="I370">
        <f>$I$366+1078.7245</f>
        <v>61164.723378929986</v>
      </c>
      <c r="J370">
        <v>-270</v>
      </c>
      <c r="K370">
        <v>0</v>
      </c>
      <c r="L370">
        <v>1889.4492</v>
      </c>
    </row>
    <row r="371" spans="1:13">
      <c r="A371" t="s">
        <v>797</v>
      </c>
      <c r="B371" t="s">
        <v>803</v>
      </c>
      <c r="C371" t="s">
        <v>806</v>
      </c>
      <c r="E371" t="s">
        <v>949</v>
      </c>
      <c r="F371" t="s">
        <v>949</v>
      </c>
      <c r="G371" s="1">
        <f t="shared" si="13"/>
        <v>68.597570099350023</v>
      </c>
      <c r="H371">
        <v>2261.5209443499998</v>
      </c>
      <c r="I371">
        <v>61195.516498969999</v>
      </c>
      <c r="J371">
        <v>-17.41257049</v>
      </c>
      <c r="K371">
        <v>252.58742950999999</v>
      </c>
    </row>
    <row r="372" spans="1:13">
      <c r="A372" t="s">
        <v>797</v>
      </c>
      <c r="B372" t="s">
        <v>804</v>
      </c>
      <c r="C372" t="s">
        <v>1152</v>
      </c>
      <c r="D372" t="s">
        <v>804</v>
      </c>
      <c r="E372" s="10" t="s">
        <v>1447</v>
      </c>
      <c r="F372" s="10" t="s">
        <v>2412</v>
      </c>
      <c r="G372" s="1">
        <f>$G$370+ABS($I$372-$I$370)/1000</f>
        <v>69.511501579310007</v>
      </c>
      <c r="H372">
        <v>0</v>
      </c>
      <c r="I372">
        <f>$I$370+$L$372/2</f>
        <v>62109.447978929988</v>
      </c>
      <c r="J372">
        <v>-270</v>
      </c>
      <c r="K372">
        <v>0</v>
      </c>
      <c r="L372">
        <v>1889.4492</v>
      </c>
    </row>
    <row r="373" spans="1:13">
      <c r="A373" t="s">
        <v>797</v>
      </c>
      <c r="B373" t="s">
        <v>804</v>
      </c>
      <c r="C373" t="s">
        <v>1152</v>
      </c>
      <c r="D373" t="s">
        <v>804</v>
      </c>
      <c r="E373" s="10" t="s">
        <v>1448</v>
      </c>
      <c r="F373" s="10" t="s">
        <v>2413</v>
      </c>
      <c r="G373" s="1">
        <f>$G$374-ABS($I$374-$I$373)/1000</f>
        <v>69.69519837931</v>
      </c>
      <c r="H373">
        <v>0</v>
      </c>
      <c r="I373">
        <f>$I$374-$L$373/2</f>
        <v>62293.144778929985</v>
      </c>
      <c r="J373">
        <v>-270</v>
      </c>
      <c r="K373">
        <v>0</v>
      </c>
      <c r="L373">
        <v>1889.4492</v>
      </c>
    </row>
    <row r="374" spans="1:13">
      <c r="A374" t="s">
        <v>797</v>
      </c>
      <c r="B374" t="s">
        <v>804</v>
      </c>
      <c r="C374" t="s">
        <v>1152</v>
      </c>
      <c r="D374" t="s">
        <v>804</v>
      </c>
      <c r="E374" s="10" t="s">
        <v>1336</v>
      </c>
      <c r="F374" s="10" t="s">
        <v>2413</v>
      </c>
      <c r="G374" s="1">
        <f>$G$370+ABS($I$374-$I$370)/1000</f>
        <v>70.639922979310001</v>
      </c>
      <c r="H374">
        <v>0</v>
      </c>
      <c r="I374">
        <f>$I$370+2073.146</f>
        <v>63237.869378929987</v>
      </c>
      <c r="J374">
        <v>-270</v>
      </c>
      <c r="K374">
        <v>0</v>
      </c>
      <c r="L374">
        <v>1889.4492</v>
      </c>
    </row>
    <row r="375" spans="1:13">
      <c r="A375" t="s">
        <v>797</v>
      </c>
      <c r="B375" t="s">
        <v>804</v>
      </c>
      <c r="C375" t="s">
        <v>1152</v>
      </c>
      <c r="D375" t="s">
        <v>804</v>
      </c>
      <c r="E375" s="10" t="s">
        <v>1449</v>
      </c>
      <c r="F375" s="10" t="s">
        <v>2413</v>
      </c>
      <c r="G375" s="1">
        <f>$G$374+ABS($I$375-$I$374)/1000</f>
        <v>71.584647579310001</v>
      </c>
      <c r="H375">
        <v>0</v>
      </c>
      <c r="I375">
        <f>$I$374+$L$375/2</f>
        <v>64182.593978929988</v>
      </c>
      <c r="J375">
        <v>-270</v>
      </c>
      <c r="K375">
        <v>0</v>
      </c>
      <c r="L375">
        <v>1889.4492</v>
      </c>
    </row>
    <row r="376" spans="1:13">
      <c r="A376" t="s">
        <v>797</v>
      </c>
      <c r="B376" t="s">
        <v>803</v>
      </c>
      <c r="C376" t="s">
        <v>806</v>
      </c>
      <c r="E376" t="s">
        <v>1082</v>
      </c>
      <c r="F376" t="s">
        <v>1082</v>
      </c>
      <c r="G376" s="1">
        <f t="shared" si="13"/>
        <v>71.710896115150021</v>
      </c>
      <c r="H376">
        <v>-400</v>
      </c>
      <c r="I376">
        <v>64308.842514770004</v>
      </c>
      <c r="J376">
        <v>-689</v>
      </c>
      <c r="K376">
        <v>-419</v>
      </c>
    </row>
    <row r="377" spans="1:13">
      <c r="A377" t="s">
        <v>797</v>
      </c>
      <c r="B377" t="s">
        <v>1152</v>
      </c>
      <c r="C377" t="s">
        <v>1152</v>
      </c>
      <c r="D377" t="s">
        <v>804</v>
      </c>
      <c r="E377" s="3" t="s">
        <v>1978</v>
      </c>
      <c r="F377" s="3" t="s">
        <v>1978</v>
      </c>
      <c r="G377" s="1">
        <f>$G$374+ABS($I$377-$I$374)/1000</f>
        <v>71.718647479309993</v>
      </c>
      <c r="H377">
        <v>0</v>
      </c>
      <c r="I377">
        <f>$I$374+1078.7245</f>
        <v>64316.593878929983</v>
      </c>
      <c r="J377">
        <v>-270</v>
      </c>
      <c r="K377">
        <v>0</v>
      </c>
    </row>
    <row r="378" spans="1:13">
      <c r="A378" t="s">
        <v>797</v>
      </c>
      <c r="B378" t="s">
        <v>805</v>
      </c>
      <c r="C378" t="s">
        <v>806</v>
      </c>
      <c r="E378" s="2" t="s">
        <v>40</v>
      </c>
      <c r="F378" s="2" t="s">
        <v>2414</v>
      </c>
      <c r="G378" s="1">
        <f t="shared" si="13"/>
        <v>71.894327850170015</v>
      </c>
      <c r="H378">
        <v>0</v>
      </c>
      <c r="I378">
        <v>64492.274249790004</v>
      </c>
      <c r="J378">
        <v>-60</v>
      </c>
      <c r="K378">
        <v>210</v>
      </c>
      <c r="L378">
        <f>_xlfn.XLOOKUP(F378,magnet_list!$A$2:$A$592,magnet_list!$M$2:$M$592,"n/a",0,1)</f>
        <v>120</v>
      </c>
      <c r="M378">
        <f>_xlfn.XLOOKUP(F378,magnet_list!$A$2:$A$592,magnet_list!$L$2:$L$592,"n/a",0,1)</f>
        <v>23</v>
      </c>
    </row>
    <row r="379" spans="1:13">
      <c r="A379" t="s">
        <v>797</v>
      </c>
      <c r="B379" t="s">
        <v>805</v>
      </c>
      <c r="C379" t="s">
        <v>1152</v>
      </c>
      <c r="D379" t="s">
        <v>804</v>
      </c>
      <c r="E379" s="2" t="s">
        <v>559</v>
      </c>
      <c r="F379" s="2" t="s">
        <v>2414</v>
      </c>
      <c r="G379" s="1">
        <f t="shared" si="13"/>
        <v>71.934327850170021</v>
      </c>
      <c r="H379">
        <v>0</v>
      </c>
      <c r="I379">
        <v>64532.274249790004</v>
      </c>
      <c r="J379">
        <v>-60</v>
      </c>
      <c r="K379">
        <v>210</v>
      </c>
      <c r="L379">
        <f>_xlfn.XLOOKUP(F379,magnet_list!$A$2:$A$592,magnet_list!$M$2:$M$592,"n/a",0,1)</f>
        <v>120</v>
      </c>
      <c r="M379">
        <f>_xlfn.XLOOKUP(F379,magnet_list!$A$2:$A$592,magnet_list!$L$2:$L$592,"n/a",0,1)</f>
        <v>23</v>
      </c>
    </row>
    <row r="380" spans="1:13">
      <c r="A380" t="s">
        <v>797</v>
      </c>
      <c r="B380" t="s">
        <v>805</v>
      </c>
      <c r="C380" t="s">
        <v>806</v>
      </c>
      <c r="E380" s="2" t="s">
        <v>41</v>
      </c>
      <c r="F380" s="2" t="s">
        <v>41</v>
      </c>
      <c r="G380" s="1">
        <f t="shared" si="13"/>
        <v>72.114477503820012</v>
      </c>
      <c r="H380">
        <v>0</v>
      </c>
      <c r="I380">
        <v>64712.423903440002</v>
      </c>
      <c r="J380">
        <v>-60</v>
      </c>
      <c r="K380">
        <v>210</v>
      </c>
      <c r="L380">
        <f>_xlfn.XLOOKUP(F380,magnet_list!$A$2:$A$592,magnet_list!$M$2:$M$592,"n/a",0,1)</f>
        <v>240</v>
      </c>
      <c r="M380">
        <f>_xlfn.XLOOKUP(F380,magnet_list!$A$2:$A$592,magnet_list!$L$2:$L$592,"n/a",0,1)</f>
        <v>23</v>
      </c>
    </row>
    <row r="381" spans="1:13">
      <c r="A381" t="s">
        <v>797</v>
      </c>
      <c r="B381" t="s">
        <v>805</v>
      </c>
      <c r="C381" t="s">
        <v>1152</v>
      </c>
      <c r="D381" t="s">
        <v>804</v>
      </c>
      <c r="E381" s="2" t="s">
        <v>560</v>
      </c>
      <c r="F381" s="2" t="s">
        <v>41</v>
      </c>
      <c r="G381" s="1">
        <f t="shared" si="13"/>
        <v>72.214477503820007</v>
      </c>
      <c r="H381">
        <v>0</v>
      </c>
      <c r="I381">
        <v>64812.423903440002</v>
      </c>
      <c r="J381">
        <v>-60</v>
      </c>
      <c r="K381">
        <v>210</v>
      </c>
      <c r="L381">
        <f>_xlfn.XLOOKUP(F381,magnet_list!$A$2:$A$592,magnet_list!$M$2:$M$592,"n/a",0,1)</f>
        <v>240</v>
      </c>
      <c r="M381">
        <f>_xlfn.XLOOKUP(F381,magnet_list!$A$2:$A$592,magnet_list!$L$2:$L$592,"n/a",0,1)</f>
        <v>23</v>
      </c>
    </row>
    <row r="382" spans="1:13">
      <c r="A382" t="s">
        <v>797</v>
      </c>
      <c r="B382" t="s">
        <v>805</v>
      </c>
      <c r="C382" t="s">
        <v>1152</v>
      </c>
      <c r="D382" t="s">
        <v>804</v>
      </c>
      <c r="E382" s="2" t="s">
        <v>561</v>
      </c>
      <c r="F382" s="2" t="s">
        <v>2414</v>
      </c>
      <c r="G382" s="1">
        <f t="shared" si="13"/>
        <v>72.494788076969996</v>
      </c>
      <c r="H382">
        <v>0</v>
      </c>
      <c r="I382">
        <v>65092.734476589998</v>
      </c>
      <c r="J382">
        <v>-60</v>
      </c>
      <c r="K382">
        <v>210</v>
      </c>
      <c r="L382">
        <f>_xlfn.XLOOKUP(F382,magnet_list!$A$2:$A$592,magnet_list!$M$2:$M$592,"n/a",0,1)</f>
        <v>120</v>
      </c>
      <c r="M382">
        <f>_xlfn.XLOOKUP(F382,magnet_list!$A$2:$A$592,magnet_list!$L$2:$L$592,"n/a",0,1)</f>
        <v>23</v>
      </c>
    </row>
    <row r="383" spans="1:13">
      <c r="A383" t="s">
        <v>797</v>
      </c>
      <c r="B383" t="s">
        <v>805</v>
      </c>
      <c r="C383" t="s">
        <v>806</v>
      </c>
      <c r="E383" s="2" t="s">
        <v>42</v>
      </c>
      <c r="F383" s="2" t="s">
        <v>2414</v>
      </c>
      <c r="G383" s="1">
        <f t="shared" si="13"/>
        <v>72.534788076970003</v>
      </c>
      <c r="H383">
        <v>0</v>
      </c>
      <c r="I383">
        <v>65132.734476589998</v>
      </c>
      <c r="J383">
        <v>-60</v>
      </c>
      <c r="K383">
        <v>210</v>
      </c>
      <c r="L383">
        <f>_xlfn.XLOOKUP(F383,magnet_list!$A$2:$A$592,magnet_list!$M$2:$M$592,"n/a",0,1)</f>
        <v>120</v>
      </c>
      <c r="M383">
        <f>_xlfn.XLOOKUP(F383,magnet_list!$A$2:$A$592,magnet_list!$L$2:$L$592,"n/a",0,1)</f>
        <v>23</v>
      </c>
    </row>
    <row r="384" spans="1:13">
      <c r="A384" t="s">
        <v>797</v>
      </c>
      <c r="B384" t="s">
        <v>2288</v>
      </c>
      <c r="C384" t="s">
        <v>1152</v>
      </c>
      <c r="D384" t="s">
        <v>804</v>
      </c>
      <c r="E384" s="8" t="s">
        <v>2330</v>
      </c>
      <c r="F384" s="8" t="s">
        <v>2330</v>
      </c>
      <c r="G384" s="1">
        <f>$G$377+ABS($I$384-$I$377)/1000</f>
        <v>72.758064479309994</v>
      </c>
      <c r="H384">
        <v>0</v>
      </c>
      <c r="I384">
        <f>$I$377+1039.417</f>
        <v>65356.010878929985</v>
      </c>
      <c r="J384">
        <v>-270</v>
      </c>
      <c r="K384">
        <v>0</v>
      </c>
    </row>
    <row r="385" spans="1:13">
      <c r="A385" t="s">
        <v>797</v>
      </c>
      <c r="B385" t="s">
        <v>803</v>
      </c>
      <c r="C385" t="s">
        <v>806</v>
      </c>
      <c r="E385" t="s">
        <v>1085</v>
      </c>
      <c r="F385" t="s">
        <v>1085</v>
      </c>
      <c r="G385" s="1">
        <f t="shared" si="13"/>
        <v>72.762543692230011</v>
      </c>
      <c r="H385">
        <v>-400</v>
      </c>
      <c r="I385">
        <v>65360.490091849999</v>
      </c>
      <c r="J385">
        <v>-689</v>
      </c>
      <c r="K385">
        <v>-419</v>
      </c>
    </row>
    <row r="386" spans="1:13">
      <c r="A386" t="s">
        <v>797</v>
      </c>
      <c r="B386" t="s">
        <v>804</v>
      </c>
      <c r="C386" t="s">
        <v>1152</v>
      </c>
      <c r="D386" t="s">
        <v>804</v>
      </c>
      <c r="E386" s="10" t="s">
        <v>1450</v>
      </c>
      <c r="F386" s="10" t="s">
        <v>2415</v>
      </c>
      <c r="G386" s="1">
        <f>$G$389-ABS($I$389-$I$386)/1000</f>
        <v>72.892064379309986</v>
      </c>
      <c r="H386">
        <v>0</v>
      </c>
      <c r="I386">
        <f>$I$389-$L$386/2</f>
        <v>65490.01077892998</v>
      </c>
      <c r="J386">
        <v>-270</v>
      </c>
      <c r="K386">
        <v>0</v>
      </c>
      <c r="L386">
        <v>1889.4492</v>
      </c>
    </row>
    <row r="387" spans="1:13">
      <c r="A387" t="s">
        <v>797</v>
      </c>
      <c r="B387" t="s">
        <v>3855</v>
      </c>
      <c r="C387" t="s">
        <v>1152</v>
      </c>
      <c r="D387" t="s">
        <v>804</v>
      </c>
      <c r="E387" t="s">
        <v>2232</v>
      </c>
      <c r="F387" t="s">
        <v>2232</v>
      </c>
      <c r="G387" s="1">
        <f>$G$384+ABS($I$387-$I$384)/1000</f>
        <v>73.525564479309992</v>
      </c>
      <c r="H387">
        <v>0</v>
      </c>
      <c r="I387">
        <f>$I$384+767.5</f>
        <v>66123.510878929985</v>
      </c>
      <c r="J387">
        <v>-270</v>
      </c>
      <c r="K387">
        <v>0</v>
      </c>
      <c r="L387">
        <f>_xlfn.XLOOKUP(F387,magnet_list!$A$2:$A$592,magnet_list!$M$2:$M$592,"n/a",0,1)</f>
        <v>1000</v>
      </c>
      <c r="M387">
        <f>_xlfn.XLOOKUP(F387,magnet_list!$A$2:$A$592,magnet_list!$L$2:$L$592,"n/a",0,1)</f>
        <v>120</v>
      </c>
    </row>
    <row r="388" spans="1:13">
      <c r="A388" t="s">
        <v>797</v>
      </c>
      <c r="B388" t="s">
        <v>3855</v>
      </c>
      <c r="C388" t="s">
        <v>1152</v>
      </c>
      <c r="D388" t="s">
        <v>804</v>
      </c>
      <c r="E388" t="s">
        <v>2233</v>
      </c>
      <c r="F388" t="s">
        <v>2233</v>
      </c>
      <c r="G388" s="1">
        <f>$G$384+ABS($I$387-$I$384)/1000</f>
        <v>73.525564479309992</v>
      </c>
      <c r="H388">
        <v>0</v>
      </c>
      <c r="I388">
        <f>$I$384+767.5</f>
        <v>66123.510878929985</v>
      </c>
      <c r="J388">
        <v>-270</v>
      </c>
      <c r="K388">
        <v>0</v>
      </c>
      <c r="L388">
        <f>_xlfn.XLOOKUP(F388,magnet_list!$A$2:$A$592,magnet_list!$M$2:$M$592,"n/a",0,1)</f>
        <v>1000</v>
      </c>
      <c r="M388">
        <f>_xlfn.XLOOKUP(F388,magnet_list!$A$2:$A$592,magnet_list!$L$2:$L$592,"n/a",0,1)</f>
        <v>120</v>
      </c>
    </row>
    <row r="389" spans="1:13">
      <c r="A389" t="s">
        <v>797</v>
      </c>
      <c r="B389" t="s">
        <v>804</v>
      </c>
      <c r="C389" t="s">
        <v>1152</v>
      </c>
      <c r="D389" t="s">
        <v>804</v>
      </c>
      <c r="E389" s="10" t="s">
        <v>1172</v>
      </c>
      <c r="F389" s="10" t="s">
        <v>2415</v>
      </c>
      <c r="G389" s="1">
        <f>$G$384+ABS($I$389-$I$384)/1000</f>
        <v>73.836788979309986</v>
      </c>
      <c r="H389">
        <v>0</v>
      </c>
      <c r="I389">
        <f>$I$384+1078.7245</f>
        <v>66434.735378929981</v>
      </c>
      <c r="J389">
        <v>-270</v>
      </c>
      <c r="K389">
        <v>0</v>
      </c>
      <c r="L389">
        <v>1889.4492</v>
      </c>
    </row>
    <row r="390" spans="1:13">
      <c r="A390" t="s">
        <v>797</v>
      </c>
      <c r="B390" t="s">
        <v>804</v>
      </c>
      <c r="C390" t="s">
        <v>1152</v>
      </c>
      <c r="D390" t="s">
        <v>804</v>
      </c>
      <c r="E390" s="10" t="s">
        <v>1451</v>
      </c>
      <c r="F390" s="10" t="s">
        <v>2415</v>
      </c>
      <c r="G390" s="1">
        <f>$G$389+ABS($I$390-$I$389)/1000</f>
        <v>74.781513579309987</v>
      </c>
      <c r="H390">
        <v>0</v>
      </c>
      <c r="I390">
        <f>$I$389+$L$390/2</f>
        <v>67379.459978929983</v>
      </c>
      <c r="J390">
        <v>-270</v>
      </c>
      <c r="K390">
        <v>0</v>
      </c>
      <c r="L390">
        <v>1889.4492</v>
      </c>
    </row>
    <row r="391" spans="1:13">
      <c r="A391" t="s">
        <v>797</v>
      </c>
      <c r="B391" t="s">
        <v>804</v>
      </c>
      <c r="C391" t="s">
        <v>1152</v>
      </c>
      <c r="D391" t="s">
        <v>804</v>
      </c>
      <c r="E391" s="10" t="s">
        <v>1452</v>
      </c>
      <c r="F391" s="10" t="s">
        <v>2416</v>
      </c>
      <c r="G391" s="1">
        <f>$G$392-ABS($I$392-$I$391)/1000</f>
        <v>74.96521037930998</v>
      </c>
      <c r="H391">
        <v>0</v>
      </c>
      <c r="I391">
        <f>$I$392-$L$391/2</f>
        <v>67563.156778929973</v>
      </c>
      <c r="J391">
        <v>-270</v>
      </c>
      <c r="K391">
        <v>0</v>
      </c>
      <c r="L391">
        <v>1889.4492</v>
      </c>
    </row>
    <row r="392" spans="1:13">
      <c r="A392" t="s">
        <v>797</v>
      </c>
      <c r="B392" t="s">
        <v>804</v>
      </c>
      <c r="C392" t="s">
        <v>1152</v>
      </c>
      <c r="D392" t="s">
        <v>804</v>
      </c>
      <c r="E392" s="10" t="s">
        <v>1228</v>
      </c>
      <c r="F392" s="10" t="s">
        <v>2416</v>
      </c>
      <c r="G392" s="1">
        <f>$G$389+ABS($I$392-$I$389)/1000</f>
        <v>75.90993497930998</v>
      </c>
      <c r="H392">
        <v>0</v>
      </c>
      <c r="I392">
        <f>$I$389+2073.146</f>
        <v>68507.881378929975</v>
      </c>
      <c r="J392">
        <v>-270</v>
      </c>
      <c r="K392">
        <v>0</v>
      </c>
      <c r="L392">
        <v>1889.4492</v>
      </c>
    </row>
    <row r="393" spans="1:13">
      <c r="A393" t="s">
        <v>797</v>
      </c>
      <c r="B393" t="s">
        <v>804</v>
      </c>
      <c r="C393" t="s">
        <v>1152</v>
      </c>
      <c r="D393" t="s">
        <v>804</v>
      </c>
      <c r="E393" s="10" t="s">
        <v>1453</v>
      </c>
      <c r="F393" s="10" t="s">
        <v>2416</v>
      </c>
      <c r="G393" s="1">
        <f>$G$392+ABS($I$393-$I$392)/1000</f>
        <v>76.854659579309981</v>
      </c>
      <c r="H393">
        <v>0</v>
      </c>
      <c r="I393">
        <f>$I$392+$L$393/2</f>
        <v>69452.605978929976</v>
      </c>
      <c r="J393">
        <v>-270</v>
      </c>
      <c r="K393">
        <v>0</v>
      </c>
      <c r="L393">
        <v>1889.4492</v>
      </c>
    </row>
    <row r="394" spans="1:13">
      <c r="A394" t="s">
        <v>797</v>
      </c>
      <c r="B394" t="s">
        <v>1152</v>
      </c>
      <c r="C394" t="s">
        <v>1152</v>
      </c>
      <c r="D394" t="s">
        <v>804</v>
      </c>
      <c r="E394" s="3" t="s">
        <v>1979</v>
      </c>
      <c r="F394" s="3" t="s">
        <v>1979</v>
      </c>
      <c r="G394" s="1">
        <f>$G$392+ABS($I$394-$I$392)/1000</f>
        <v>77.08805247930998</v>
      </c>
      <c r="H394">
        <v>0</v>
      </c>
      <c r="I394">
        <f>$I$392+1178.1175</f>
        <v>69685.998878929968</v>
      </c>
      <c r="J394">
        <v>-270</v>
      </c>
      <c r="K394">
        <v>0</v>
      </c>
    </row>
    <row r="395" spans="1:13">
      <c r="A395" t="s">
        <v>797</v>
      </c>
      <c r="B395" t="s">
        <v>804</v>
      </c>
      <c r="C395" t="s">
        <v>1152</v>
      </c>
      <c r="D395" t="s">
        <v>804</v>
      </c>
      <c r="E395" s="10" t="s">
        <v>1454</v>
      </c>
      <c r="F395" s="10" t="s">
        <v>2417</v>
      </c>
      <c r="G395" s="1">
        <f>$G$398-ABS($I$398-$I$395)/1000</f>
        <v>77.222052379309972</v>
      </c>
      <c r="H395">
        <v>0</v>
      </c>
      <c r="I395">
        <f>$I$398-$L$395/2</f>
        <v>69819.998778929963</v>
      </c>
      <c r="J395">
        <v>-270</v>
      </c>
      <c r="K395">
        <v>0</v>
      </c>
      <c r="L395">
        <v>1889.4492</v>
      </c>
    </row>
    <row r="396" spans="1:13">
      <c r="A396" t="s">
        <v>797</v>
      </c>
      <c r="B396" t="s">
        <v>3855</v>
      </c>
      <c r="C396" t="s">
        <v>1152</v>
      </c>
      <c r="D396" t="s">
        <v>804</v>
      </c>
      <c r="E396" t="s">
        <v>2234</v>
      </c>
      <c r="F396" t="s">
        <v>2234</v>
      </c>
      <c r="G396" s="1">
        <f>$G$394+ABS($I$396-$I$394)/1000</f>
        <v>77.855552479309978</v>
      </c>
      <c r="H396">
        <v>0</v>
      </c>
      <c r="I396">
        <f>$I$394+767.5</f>
        <v>70453.498878929968</v>
      </c>
      <c r="J396">
        <v>-270</v>
      </c>
      <c r="K396">
        <v>0</v>
      </c>
      <c r="L396">
        <f>_xlfn.XLOOKUP(F396,magnet_list!$A$2:$A$592,magnet_list!$M$2:$M$592,"n/a",0,1)</f>
        <v>1000</v>
      </c>
      <c r="M396">
        <f>_xlfn.XLOOKUP(F396,magnet_list!$A$2:$A$592,magnet_list!$L$2:$L$592,"n/a",0,1)</f>
        <v>120</v>
      </c>
    </row>
    <row r="397" spans="1:13">
      <c r="A397" t="s">
        <v>797</v>
      </c>
      <c r="B397" t="s">
        <v>3855</v>
      </c>
      <c r="C397" t="s">
        <v>1152</v>
      </c>
      <c r="D397" t="s">
        <v>804</v>
      </c>
      <c r="E397" t="s">
        <v>2235</v>
      </c>
      <c r="F397" t="s">
        <v>2235</v>
      </c>
      <c r="G397" s="1">
        <f>$G$394+ABS($I$396-$I$394)/1000</f>
        <v>77.855552479309978</v>
      </c>
      <c r="H397">
        <v>0</v>
      </c>
      <c r="I397">
        <f>$I$394+767.5</f>
        <v>70453.498878929968</v>
      </c>
      <c r="J397">
        <v>-270</v>
      </c>
      <c r="K397">
        <v>0</v>
      </c>
      <c r="L397">
        <f>_xlfn.XLOOKUP(F397,magnet_list!$A$2:$A$592,magnet_list!$M$2:$M$592,"n/a",0,1)</f>
        <v>1000</v>
      </c>
      <c r="M397">
        <f>_xlfn.XLOOKUP(F397,magnet_list!$A$2:$A$592,magnet_list!$L$2:$L$592,"n/a",0,1)</f>
        <v>120</v>
      </c>
    </row>
    <row r="398" spans="1:13">
      <c r="A398" t="s">
        <v>797</v>
      </c>
      <c r="B398" t="s">
        <v>804</v>
      </c>
      <c r="C398" t="s">
        <v>1152</v>
      </c>
      <c r="D398" t="s">
        <v>804</v>
      </c>
      <c r="E398" s="10" t="s">
        <v>1283</v>
      </c>
      <c r="F398" s="10" t="s">
        <v>2417</v>
      </c>
      <c r="G398" s="1">
        <f>$G$394+ABS($I$398-$I$394)/1000</f>
        <v>78.166776979309972</v>
      </c>
      <c r="H398">
        <v>0</v>
      </c>
      <c r="I398">
        <f>$I$394+1078.7245</f>
        <v>70764.723378929964</v>
      </c>
      <c r="J398">
        <v>-270</v>
      </c>
      <c r="K398">
        <v>0</v>
      </c>
      <c r="L398">
        <v>1889.4492</v>
      </c>
    </row>
    <row r="399" spans="1:13">
      <c r="A399" t="s">
        <v>797</v>
      </c>
      <c r="B399" t="s">
        <v>803</v>
      </c>
      <c r="C399" t="s">
        <v>806</v>
      </c>
      <c r="E399" t="s">
        <v>950</v>
      </c>
      <c r="F399" t="s">
        <v>950</v>
      </c>
      <c r="G399" s="1">
        <f t="shared" ref="G399:G454" si="14">G398+(I399-I398)/1000</f>
        <v>78.187304693590008</v>
      </c>
      <c r="H399">
        <v>2274.60431217</v>
      </c>
      <c r="I399">
        <v>70785.251093209998</v>
      </c>
      <c r="J399">
        <v>-17.588552249999999</v>
      </c>
      <c r="K399">
        <v>252.41144775000001</v>
      </c>
    </row>
    <row r="400" spans="1:13">
      <c r="A400" t="s">
        <v>797</v>
      </c>
      <c r="B400" t="s">
        <v>804</v>
      </c>
      <c r="C400" t="s">
        <v>1152</v>
      </c>
      <c r="D400" t="s">
        <v>804</v>
      </c>
      <c r="E400" s="10" t="s">
        <v>1455</v>
      </c>
      <c r="F400" s="10" t="s">
        <v>2417</v>
      </c>
      <c r="G400" s="1">
        <f>$G$398+ABS($I$400-$I$398)/1000</f>
        <v>79.111501579309973</v>
      </c>
      <c r="H400">
        <v>0</v>
      </c>
      <c r="I400">
        <f>$I$398+$L$400/2</f>
        <v>71709.447978929966</v>
      </c>
      <c r="J400">
        <v>-270</v>
      </c>
      <c r="K400">
        <v>0</v>
      </c>
      <c r="L400">
        <v>1889.4492</v>
      </c>
    </row>
    <row r="401" spans="1:13">
      <c r="A401" t="s">
        <v>797</v>
      </c>
      <c r="B401" t="s">
        <v>803</v>
      </c>
      <c r="C401" t="s">
        <v>806</v>
      </c>
      <c r="E401" t="s">
        <v>951</v>
      </c>
      <c r="F401" t="s">
        <v>951</v>
      </c>
      <c r="G401" s="1">
        <f t="shared" si="14"/>
        <v>79.292592481320014</v>
      </c>
      <c r="H401">
        <v>-3182.1620105900001</v>
      </c>
      <c r="I401">
        <v>71890.538880940003</v>
      </c>
      <c r="J401">
        <v>-17.135719699999999</v>
      </c>
      <c r="K401">
        <v>252.86428029999999</v>
      </c>
    </row>
    <row r="402" spans="1:13">
      <c r="A402" t="s">
        <v>797</v>
      </c>
      <c r="B402" t="s">
        <v>804</v>
      </c>
      <c r="C402" t="s">
        <v>1152</v>
      </c>
      <c r="D402" t="s">
        <v>804</v>
      </c>
      <c r="E402" s="10" t="s">
        <v>1456</v>
      </c>
      <c r="F402" s="10" t="s">
        <v>2418</v>
      </c>
      <c r="G402" s="1">
        <f>$G$403-ABS($I$403-$I$402)/1000</f>
        <v>79.295198379309966</v>
      </c>
      <c r="H402">
        <v>0</v>
      </c>
      <c r="I402">
        <f>$I$403-$L$402/2</f>
        <v>71893.144778929956</v>
      </c>
      <c r="J402">
        <v>-270</v>
      </c>
      <c r="K402">
        <v>0</v>
      </c>
      <c r="L402">
        <v>1889.4492</v>
      </c>
    </row>
    <row r="403" spans="1:13">
      <c r="A403" t="s">
        <v>797</v>
      </c>
      <c r="B403" t="s">
        <v>804</v>
      </c>
      <c r="C403" t="s">
        <v>1152</v>
      </c>
      <c r="D403" t="s">
        <v>804</v>
      </c>
      <c r="E403" s="10" t="s">
        <v>1337</v>
      </c>
      <c r="F403" s="10" t="s">
        <v>2418</v>
      </c>
      <c r="G403" s="1">
        <f>$G$398+ABS($I$403-$I$398)/1000</f>
        <v>80.239922979309966</v>
      </c>
      <c r="H403">
        <v>0</v>
      </c>
      <c r="I403">
        <f>$I$398+2073.146</f>
        <v>72837.869378929958</v>
      </c>
      <c r="J403">
        <v>-270</v>
      </c>
      <c r="K403">
        <v>0</v>
      </c>
      <c r="L403">
        <v>1889.4492</v>
      </c>
    </row>
    <row r="404" spans="1:13">
      <c r="A404" t="s">
        <v>797</v>
      </c>
      <c r="B404" t="s">
        <v>804</v>
      </c>
      <c r="C404" t="s">
        <v>1152</v>
      </c>
      <c r="D404" t="s">
        <v>804</v>
      </c>
      <c r="E404" s="10" t="s">
        <v>1457</v>
      </c>
      <c r="F404" s="10" t="s">
        <v>2418</v>
      </c>
      <c r="G404" s="1">
        <f>$G$403+ABS($I$404-$I$403)/1000</f>
        <v>81.184647579309967</v>
      </c>
      <c r="H404">
        <v>0</v>
      </c>
      <c r="I404">
        <f>$I$403+$L$404/2</f>
        <v>73782.593978929959</v>
      </c>
      <c r="J404">
        <v>-270</v>
      </c>
      <c r="K404">
        <v>0</v>
      </c>
      <c r="L404">
        <v>1889.4492</v>
      </c>
    </row>
    <row r="405" spans="1:13">
      <c r="A405" t="s">
        <v>797</v>
      </c>
      <c r="B405" t="s">
        <v>803</v>
      </c>
      <c r="C405" t="s">
        <v>806</v>
      </c>
      <c r="E405" t="s">
        <v>1084</v>
      </c>
      <c r="F405" t="s">
        <v>1084</v>
      </c>
      <c r="G405" s="1">
        <f t="shared" si="14"/>
        <v>81.310424366970011</v>
      </c>
      <c r="H405">
        <v>-400</v>
      </c>
      <c r="I405">
        <v>73908.37076659</v>
      </c>
      <c r="J405">
        <v>-689</v>
      </c>
      <c r="K405">
        <v>-419</v>
      </c>
    </row>
    <row r="406" spans="1:13">
      <c r="A406" t="s">
        <v>797</v>
      </c>
      <c r="B406" t="s">
        <v>1152</v>
      </c>
      <c r="C406" t="s">
        <v>1152</v>
      </c>
      <c r="D406" t="s">
        <v>804</v>
      </c>
      <c r="E406" s="3" t="s">
        <v>1980</v>
      </c>
      <c r="F406" s="3" t="s">
        <v>1980</v>
      </c>
      <c r="G406" s="1">
        <f>$G$403+ABS($I$406-$I$403)/1000</f>
        <v>81.318647479309959</v>
      </c>
      <c r="H406">
        <v>0</v>
      </c>
      <c r="I406">
        <f>$I$403+1078.7245</f>
        <v>73916.593878929954</v>
      </c>
      <c r="J406">
        <v>-270</v>
      </c>
      <c r="K406">
        <v>0</v>
      </c>
    </row>
    <row r="407" spans="1:13">
      <c r="A407" t="s">
        <v>797</v>
      </c>
      <c r="B407" t="s">
        <v>805</v>
      </c>
      <c r="C407" t="s">
        <v>806</v>
      </c>
      <c r="E407" s="2" t="s">
        <v>43</v>
      </c>
      <c r="F407" s="2" t="s">
        <v>2419</v>
      </c>
      <c r="G407" s="1">
        <f t="shared" si="14"/>
        <v>81.491342047079996</v>
      </c>
      <c r="H407">
        <v>0</v>
      </c>
      <c r="I407">
        <v>74089.288446699997</v>
      </c>
      <c r="J407">
        <v>-60</v>
      </c>
      <c r="K407">
        <v>210</v>
      </c>
      <c r="L407">
        <f>_xlfn.XLOOKUP(F407,magnet_list!$A$2:$A$592,magnet_list!$M$2:$M$592,"n/a",0,1)</f>
        <v>120</v>
      </c>
      <c r="M407">
        <f>_xlfn.XLOOKUP(F407,magnet_list!$A$2:$A$592,magnet_list!$L$2:$L$592,"n/a",0,1)</f>
        <v>23</v>
      </c>
    </row>
    <row r="408" spans="1:13">
      <c r="A408" t="s">
        <v>797</v>
      </c>
      <c r="B408" t="s">
        <v>805</v>
      </c>
      <c r="C408" t="s">
        <v>1152</v>
      </c>
      <c r="D408" t="s">
        <v>804</v>
      </c>
      <c r="E408" s="2" t="s">
        <v>562</v>
      </c>
      <c r="F408" s="2" t="s">
        <v>2419</v>
      </c>
      <c r="G408" s="1">
        <f t="shared" si="14"/>
        <v>81.531342047080003</v>
      </c>
      <c r="H408">
        <v>0</v>
      </c>
      <c r="I408">
        <v>74129.288446699997</v>
      </c>
      <c r="J408">
        <v>-60</v>
      </c>
      <c r="K408">
        <v>210</v>
      </c>
      <c r="L408">
        <f>_xlfn.XLOOKUP(F408,magnet_list!$A$2:$A$592,magnet_list!$M$2:$M$592,"n/a",0,1)</f>
        <v>120</v>
      </c>
      <c r="M408">
        <f>_xlfn.XLOOKUP(F408,magnet_list!$A$2:$A$592,magnet_list!$L$2:$L$592,"n/a",0,1)</f>
        <v>23</v>
      </c>
    </row>
    <row r="409" spans="1:13">
      <c r="A409" t="s">
        <v>797</v>
      </c>
      <c r="B409" t="s">
        <v>805</v>
      </c>
      <c r="C409" t="s">
        <v>806</v>
      </c>
      <c r="E409" s="2" t="s">
        <v>44</v>
      </c>
      <c r="F409" s="2" t="s">
        <v>44</v>
      </c>
      <c r="G409" s="1">
        <f t="shared" si="14"/>
        <v>81.71154997311001</v>
      </c>
      <c r="H409">
        <v>0</v>
      </c>
      <c r="I409">
        <v>74309.496372730006</v>
      </c>
      <c r="J409">
        <v>-60</v>
      </c>
      <c r="K409">
        <v>210</v>
      </c>
      <c r="L409">
        <f>_xlfn.XLOOKUP(F409,magnet_list!$A$2:$A$592,magnet_list!$M$2:$M$592,"n/a",0,1)</f>
        <v>240</v>
      </c>
      <c r="M409">
        <f>_xlfn.XLOOKUP(F409,magnet_list!$A$2:$A$592,magnet_list!$L$2:$L$592,"n/a",0,1)</f>
        <v>23</v>
      </c>
    </row>
    <row r="410" spans="1:13">
      <c r="A410" t="s">
        <v>797</v>
      </c>
      <c r="B410" t="s">
        <v>805</v>
      </c>
      <c r="C410" t="s">
        <v>1152</v>
      </c>
      <c r="D410" t="s">
        <v>804</v>
      </c>
      <c r="E410" s="2" t="s">
        <v>563</v>
      </c>
      <c r="F410" s="2" t="s">
        <v>44</v>
      </c>
      <c r="G410" s="1">
        <f t="shared" si="14"/>
        <v>81.811549973110004</v>
      </c>
      <c r="H410">
        <v>0</v>
      </c>
      <c r="I410">
        <v>74409.496372730006</v>
      </c>
      <c r="J410">
        <v>-60</v>
      </c>
      <c r="K410">
        <v>210</v>
      </c>
      <c r="L410">
        <f>_xlfn.XLOOKUP(F410,magnet_list!$A$2:$A$592,magnet_list!$M$2:$M$592,"n/a",0,1)</f>
        <v>240</v>
      </c>
      <c r="M410">
        <f>_xlfn.XLOOKUP(F410,magnet_list!$A$2:$A$592,magnet_list!$L$2:$L$592,"n/a",0,1)</f>
        <v>23</v>
      </c>
    </row>
    <row r="411" spans="1:13">
      <c r="A411" t="s">
        <v>797</v>
      </c>
      <c r="B411" t="s">
        <v>805</v>
      </c>
      <c r="C411" t="s">
        <v>1152</v>
      </c>
      <c r="D411" t="s">
        <v>804</v>
      </c>
      <c r="E411" s="2" t="s">
        <v>564</v>
      </c>
      <c r="F411" s="2" t="s">
        <v>2419</v>
      </c>
      <c r="G411" s="1">
        <f t="shared" si="14"/>
        <v>82.09186907742</v>
      </c>
      <c r="H411">
        <v>0</v>
      </c>
      <c r="I411">
        <v>74689.81547704</v>
      </c>
      <c r="J411">
        <v>-60</v>
      </c>
      <c r="K411">
        <v>210</v>
      </c>
      <c r="L411">
        <f>_xlfn.XLOOKUP(F411,magnet_list!$A$2:$A$592,magnet_list!$M$2:$M$592,"n/a",0,1)</f>
        <v>120</v>
      </c>
      <c r="M411">
        <f>_xlfn.XLOOKUP(F411,magnet_list!$A$2:$A$592,magnet_list!$L$2:$L$592,"n/a",0,1)</f>
        <v>23</v>
      </c>
    </row>
    <row r="412" spans="1:13">
      <c r="A412" t="s">
        <v>797</v>
      </c>
      <c r="B412" t="s">
        <v>805</v>
      </c>
      <c r="C412" t="s">
        <v>806</v>
      </c>
      <c r="E412" s="2" t="s">
        <v>45</v>
      </c>
      <c r="F412" s="2" t="s">
        <v>2419</v>
      </c>
      <c r="G412" s="1">
        <f t="shared" si="14"/>
        <v>82.131869077420006</v>
      </c>
      <c r="H412">
        <v>0</v>
      </c>
      <c r="I412">
        <v>74729.81547704</v>
      </c>
      <c r="J412">
        <v>-60</v>
      </c>
      <c r="K412">
        <v>210</v>
      </c>
      <c r="L412">
        <f>_xlfn.XLOOKUP(F412,magnet_list!$A$2:$A$592,magnet_list!$M$2:$M$592,"n/a",0,1)</f>
        <v>120</v>
      </c>
      <c r="M412">
        <f>_xlfn.XLOOKUP(F412,magnet_list!$A$2:$A$592,magnet_list!$L$2:$L$592,"n/a",0,1)</f>
        <v>23</v>
      </c>
    </row>
    <row r="413" spans="1:13">
      <c r="A413" t="s">
        <v>797</v>
      </c>
      <c r="B413" t="s">
        <v>2288</v>
      </c>
      <c r="C413" t="s">
        <v>1152</v>
      </c>
      <c r="D413" t="s">
        <v>804</v>
      </c>
      <c r="E413" s="8" t="s">
        <v>2331</v>
      </c>
      <c r="F413" s="8" t="s">
        <v>2331</v>
      </c>
      <c r="G413" s="1">
        <f>$G$406+ABS($I$413-$I$406)/1000</f>
        <v>82.358064479309959</v>
      </c>
      <c r="H413">
        <v>0</v>
      </c>
      <c r="I413">
        <f>$I$406+1039.417</f>
        <v>74956.010878929956</v>
      </c>
      <c r="J413">
        <v>-270</v>
      </c>
      <c r="K413">
        <v>0</v>
      </c>
    </row>
    <row r="414" spans="1:13">
      <c r="A414" t="s">
        <v>797</v>
      </c>
      <c r="B414" t="s">
        <v>803</v>
      </c>
      <c r="C414" t="s">
        <v>806</v>
      </c>
      <c r="E414" t="s">
        <v>1087</v>
      </c>
      <c r="F414" t="s">
        <v>1087</v>
      </c>
      <c r="G414" s="1">
        <f t="shared" si="14"/>
        <v>82.365274610140006</v>
      </c>
      <c r="H414">
        <v>-400</v>
      </c>
      <c r="I414">
        <v>74963.221009760004</v>
      </c>
      <c r="J414">
        <v>-689</v>
      </c>
      <c r="K414">
        <v>-419</v>
      </c>
    </row>
    <row r="415" spans="1:13">
      <c r="A415" t="s">
        <v>797</v>
      </c>
      <c r="B415" t="s">
        <v>804</v>
      </c>
      <c r="C415" t="s">
        <v>1152</v>
      </c>
      <c r="D415" t="s">
        <v>804</v>
      </c>
      <c r="E415" s="10" t="s">
        <v>1458</v>
      </c>
      <c r="F415" s="10" t="s">
        <v>2420</v>
      </c>
      <c r="G415" s="1">
        <f>$G$418-ABS($I$418-$I$415)/1000</f>
        <v>82.492064379309952</v>
      </c>
      <c r="H415">
        <v>0</v>
      </c>
      <c r="I415">
        <f>$I$418-$L$415/2</f>
        <v>75090.010778929951</v>
      </c>
      <c r="J415">
        <v>-270</v>
      </c>
      <c r="K415">
        <v>0</v>
      </c>
      <c r="L415">
        <v>1889.4492</v>
      </c>
    </row>
    <row r="416" spans="1:13">
      <c r="A416" t="s">
        <v>797</v>
      </c>
      <c r="B416" t="s">
        <v>3855</v>
      </c>
      <c r="C416" t="s">
        <v>1152</v>
      </c>
      <c r="D416" t="s">
        <v>804</v>
      </c>
      <c r="E416" t="s">
        <v>2236</v>
      </c>
      <c r="F416" t="s">
        <v>2236</v>
      </c>
      <c r="G416" s="1">
        <f>$G$413+ABS($I$416-$I$413)/1000</f>
        <v>83.125564479309958</v>
      </c>
      <c r="H416">
        <v>0</v>
      </c>
      <c r="I416">
        <f>$I$413+767.5</f>
        <v>75723.510878929956</v>
      </c>
      <c r="J416">
        <v>-270</v>
      </c>
      <c r="K416">
        <v>0</v>
      </c>
      <c r="L416">
        <f>_xlfn.XLOOKUP(F416,magnet_list!$A$2:$A$592,magnet_list!$M$2:$M$592,"n/a",0,1)</f>
        <v>1000</v>
      </c>
      <c r="M416">
        <f>_xlfn.XLOOKUP(F416,magnet_list!$A$2:$A$592,magnet_list!$L$2:$L$592,"n/a",0,1)</f>
        <v>120</v>
      </c>
    </row>
    <row r="417" spans="1:13">
      <c r="A417" t="s">
        <v>797</v>
      </c>
      <c r="B417" t="s">
        <v>3855</v>
      </c>
      <c r="C417" t="s">
        <v>1152</v>
      </c>
      <c r="D417" t="s">
        <v>804</v>
      </c>
      <c r="E417" t="s">
        <v>2237</v>
      </c>
      <c r="F417" t="s">
        <v>2237</v>
      </c>
      <c r="G417" s="1">
        <f>$G$413+ABS($I$416-$I$413)/1000</f>
        <v>83.125564479309958</v>
      </c>
      <c r="H417">
        <v>0</v>
      </c>
      <c r="I417">
        <f>$I$413+767.5</f>
        <v>75723.510878929956</v>
      </c>
      <c r="J417">
        <v>-270</v>
      </c>
      <c r="K417">
        <v>0</v>
      </c>
      <c r="L417">
        <f>_xlfn.XLOOKUP(F417,magnet_list!$A$2:$A$592,magnet_list!$M$2:$M$592,"n/a",0,1)</f>
        <v>1000</v>
      </c>
      <c r="M417">
        <f>_xlfn.XLOOKUP(F417,magnet_list!$A$2:$A$592,magnet_list!$L$2:$L$592,"n/a",0,1)</f>
        <v>120</v>
      </c>
    </row>
    <row r="418" spans="1:13">
      <c r="A418" t="s">
        <v>797</v>
      </c>
      <c r="B418" t="s">
        <v>804</v>
      </c>
      <c r="C418" t="s">
        <v>1152</v>
      </c>
      <c r="D418" t="s">
        <v>804</v>
      </c>
      <c r="E418" s="10" t="s">
        <v>1173</v>
      </c>
      <c r="F418" s="10" t="s">
        <v>2420</v>
      </c>
      <c r="G418" s="1">
        <f>$G$413+ABS($I$418-$I$413)/1000</f>
        <v>83.436788979309952</v>
      </c>
      <c r="H418">
        <v>0</v>
      </c>
      <c r="I418">
        <f>$I$413+1078.7245</f>
        <v>76034.735378929952</v>
      </c>
      <c r="J418">
        <v>-270</v>
      </c>
      <c r="K418">
        <v>0</v>
      </c>
      <c r="L418">
        <v>1889.4492</v>
      </c>
    </row>
    <row r="419" spans="1:13">
      <c r="A419" t="s">
        <v>797</v>
      </c>
      <c r="B419" t="s">
        <v>804</v>
      </c>
      <c r="C419" t="s">
        <v>1152</v>
      </c>
      <c r="D419" t="s">
        <v>804</v>
      </c>
      <c r="E419" s="10" t="s">
        <v>1459</v>
      </c>
      <c r="F419" s="10" t="s">
        <v>2420</v>
      </c>
      <c r="G419" s="1">
        <f>$G$418+ABS($I$419-$I$418)/1000</f>
        <v>84.381513579309953</v>
      </c>
      <c r="H419">
        <v>0</v>
      </c>
      <c r="I419">
        <f>$I$418+$L$419/2</f>
        <v>76979.459978929954</v>
      </c>
      <c r="J419">
        <v>-270</v>
      </c>
      <c r="K419">
        <v>0</v>
      </c>
      <c r="L419">
        <v>1889.4492</v>
      </c>
    </row>
    <row r="420" spans="1:13">
      <c r="A420" t="s">
        <v>797</v>
      </c>
      <c r="B420" t="s">
        <v>804</v>
      </c>
      <c r="C420" t="s">
        <v>1152</v>
      </c>
      <c r="D420" t="s">
        <v>804</v>
      </c>
      <c r="E420" s="10" t="s">
        <v>1460</v>
      </c>
      <c r="F420" s="10" t="s">
        <v>2421</v>
      </c>
      <c r="G420" s="1">
        <f>$G$422-ABS($I$422-$I$420)/1000</f>
        <v>84.565210379309946</v>
      </c>
      <c r="H420">
        <v>0</v>
      </c>
      <c r="I420">
        <f>$I$422-$L$420/2</f>
        <v>77163.156778929944</v>
      </c>
      <c r="J420">
        <v>-270</v>
      </c>
      <c r="K420">
        <v>0</v>
      </c>
      <c r="L420">
        <v>1889.4492</v>
      </c>
    </row>
    <row r="421" spans="1:13">
      <c r="A421" t="s">
        <v>797</v>
      </c>
      <c r="B421" t="s">
        <v>803</v>
      </c>
      <c r="C421" t="s">
        <v>806</v>
      </c>
      <c r="E421" t="s">
        <v>952</v>
      </c>
      <c r="F421" t="s">
        <v>952</v>
      </c>
      <c r="G421" s="1">
        <f t="shared" si="14"/>
        <v>85.169740086139996</v>
      </c>
      <c r="H421">
        <v>-3171.2277033199998</v>
      </c>
      <c r="I421">
        <v>77767.686485760001</v>
      </c>
      <c r="J421">
        <v>-18.158810639999999</v>
      </c>
      <c r="K421">
        <v>251.84118935999999</v>
      </c>
    </row>
    <row r="422" spans="1:13">
      <c r="A422" t="s">
        <v>797</v>
      </c>
      <c r="B422" t="s">
        <v>804</v>
      </c>
      <c r="C422" t="s">
        <v>1152</v>
      </c>
      <c r="D422" t="s">
        <v>804</v>
      </c>
      <c r="E422" s="10" t="s">
        <v>1229</v>
      </c>
      <c r="F422" s="10" t="s">
        <v>2421</v>
      </c>
      <c r="G422" s="1">
        <f>$G$418+ABS($I$422-$I$418)/1000</f>
        <v>85.509934979309946</v>
      </c>
      <c r="H422">
        <v>0</v>
      </c>
      <c r="I422">
        <f>$I$418+2073.146</f>
        <v>78107.881378929946</v>
      </c>
      <c r="J422">
        <v>-270</v>
      </c>
      <c r="K422">
        <v>0</v>
      </c>
      <c r="L422">
        <v>1889.4492</v>
      </c>
    </row>
    <row r="423" spans="1:13">
      <c r="A423" t="s">
        <v>797</v>
      </c>
      <c r="B423" t="s">
        <v>803</v>
      </c>
      <c r="C423" t="s">
        <v>806</v>
      </c>
      <c r="E423" t="s">
        <v>953</v>
      </c>
      <c r="F423" t="s">
        <v>953</v>
      </c>
      <c r="G423" s="1">
        <f t="shared" si="14"/>
        <v>85.67740538356999</v>
      </c>
      <c r="H423">
        <v>2264.5199856600002</v>
      </c>
      <c r="I423">
        <v>78275.351783189995</v>
      </c>
      <c r="J423">
        <v>-18.787579579999999</v>
      </c>
      <c r="K423">
        <v>251.21242042</v>
      </c>
    </row>
    <row r="424" spans="1:13">
      <c r="A424" t="s">
        <v>797</v>
      </c>
      <c r="B424" t="s">
        <v>804</v>
      </c>
      <c r="C424" t="s">
        <v>1152</v>
      </c>
      <c r="D424" t="s">
        <v>804</v>
      </c>
      <c r="E424" s="10" t="s">
        <v>1461</v>
      </c>
      <c r="F424" s="10" t="s">
        <v>2421</v>
      </c>
      <c r="G424" s="1">
        <f>$G$422+ABS($I$424-$I$422)/1000</f>
        <v>86.454659579309947</v>
      </c>
      <c r="H424">
        <v>0</v>
      </c>
      <c r="I424">
        <f>$I$422+$L$424/2</f>
        <v>79052.605978929947</v>
      </c>
      <c r="J424">
        <v>-270</v>
      </c>
      <c r="K424">
        <v>0</v>
      </c>
      <c r="L424">
        <v>1889.4492</v>
      </c>
    </row>
    <row r="425" spans="1:13">
      <c r="A425" t="s">
        <v>797</v>
      </c>
      <c r="B425" t="s">
        <v>1152</v>
      </c>
      <c r="C425" t="s">
        <v>1152</v>
      </c>
      <c r="D425" t="s">
        <v>804</v>
      </c>
      <c r="E425" s="3" t="s">
        <v>1981</v>
      </c>
      <c r="F425" s="3" t="s">
        <v>1981</v>
      </c>
      <c r="G425" s="1">
        <f>$G$422+ABS($I$425-$I$422)/1000</f>
        <v>86.688052479309945</v>
      </c>
      <c r="H425">
        <v>0</v>
      </c>
      <c r="I425">
        <f>$I$422+1178.1175</f>
        <v>79285.998878929939</v>
      </c>
      <c r="J425">
        <v>-270</v>
      </c>
      <c r="K425">
        <v>0</v>
      </c>
    </row>
    <row r="426" spans="1:13">
      <c r="A426" t="s">
        <v>797</v>
      </c>
      <c r="B426" t="s">
        <v>804</v>
      </c>
      <c r="C426" t="s">
        <v>1152</v>
      </c>
      <c r="D426" t="s">
        <v>804</v>
      </c>
      <c r="E426" s="10" t="s">
        <v>1462</v>
      </c>
      <c r="F426" s="10" t="s">
        <v>2422</v>
      </c>
      <c r="G426" s="1">
        <f>$G$431-ABS($I$431-$I$426)/1000</f>
        <v>86.822052379309937</v>
      </c>
      <c r="H426">
        <v>0</v>
      </c>
      <c r="I426">
        <f>$I$431-$L$426/2</f>
        <v>79419.998778929934</v>
      </c>
      <c r="J426">
        <v>-270</v>
      </c>
      <c r="K426">
        <v>0</v>
      </c>
      <c r="L426">
        <v>1889.4492</v>
      </c>
    </row>
    <row r="427" spans="1:13">
      <c r="A427" t="s">
        <v>797</v>
      </c>
      <c r="B427" t="s">
        <v>803</v>
      </c>
      <c r="C427" t="s">
        <v>806</v>
      </c>
      <c r="E427" t="s">
        <v>955</v>
      </c>
      <c r="F427" t="s">
        <v>955</v>
      </c>
      <c r="G427" s="1">
        <f t="shared" si="14"/>
        <v>87.327110894580002</v>
      </c>
      <c r="H427">
        <v>2267.8110887299999</v>
      </c>
      <c r="I427">
        <v>79925.0572942</v>
      </c>
      <c r="J427">
        <v>-17.443225380000001</v>
      </c>
      <c r="K427">
        <v>252.55677462</v>
      </c>
    </row>
    <row r="428" spans="1:13">
      <c r="A428" t="s">
        <v>797</v>
      </c>
      <c r="B428" t="s">
        <v>3855</v>
      </c>
      <c r="C428" t="s">
        <v>1152</v>
      </c>
      <c r="D428" t="s">
        <v>804</v>
      </c>
      <c r="E428" t="s">
        <v>2238</v>
      </c>
      <c r="F428" t="s">
        <v>2238</v>
      </c>
      <c r="G428" s="1">
        <f>$G$425+ABS($I$428-$I$425)/1000</f>
        <v>87.455552479309944</v>
      </c>
      <c r="H428">
        <v>0</v>
      </c>
      <c r="I428">
        <f>$I$425+767.5</f>
        <v>80053.498878929939</v>
      </c>
      <c r="J428">
        <v>-270</v>
      </c>
      <c r="K428">
        <v>0</v>
      </c>
      <c r="L428">
        <f>_xlfn.XLOOKUP(F428,magnet_list!$A$2:$A$592,magnet_list!$M$2:$M$592,"n/a",0,1)</f>
        <v>1000</v>
      </c>
      <c r="M428">
        <f>_xlfn.XLOOKUP(F428,magnet_list!$A$2:$A$592,magnet_list!$L$2:$L$592,"n/a",0,1)</f>
        <v>120</v>
      </c>
    </row>
    <row r="429" spans="1:13">
      <c r="A429" t="s">
        <v>797</v>
      </c>
      <c r="B429" t="s">
        <v>3855</v>
      </c>
      <c r="C429" t="s">
        <v>1152</v>
      </c>
      <c r="D429" t="s">
        <v>804</v>
      </c>
      <c r="E429" t="s">
        <v>2239</v>
      </c>
      <c r="F429" t="s">
        <v>2239</v>
      </c>
      <c r="G429" s="1">
        <f>$G$425+ABS($I$428-$I$425)/1000</f>
        <v>87.455552479309944</v>
      </c>
      <c r="H429">
        <v>0</v>
      </c>
      <c r="I429">
        <f>$I$425+767.5</f>
        <v>80053.498878929939</v>
      </c>
      <c r="J429">
        <v>-270</v>
      </c>
      <c r="K429">
        <v>0</v>
      </c>
      <c r="L429">
        <f>_xlfn.XLOOKUP(F429,magnet_list!$A$2:$A$592,magnet_list!$M$2:$M$592,"n/a",0,1)</f>
        <v>1000</v>
      </c>
      <c r="M429">
        <f>_xlfn.XLOOKUP(F429,magnet_list!$A$2:$A$592,magnet_list!$L$2:$L$592,"n/a",0,1)</f>
        <v>120</v>
      </c>
    </row>
    <row r="430" spans="1:13">
      <c r="A430" t="s">
        <v>797</v>
      </c>
      <c r="B430" t="s">
        <v>803</v>
      </c>
      <c r="C430" t="s">
        <v>806</v>
      </c>
      <c r="E430" t="s">
        <v>954</v>
      </c>
      <c r="F430" t="s">
        <v>954</v>
      </c>
      <c r="G430" s="1">
        <f t="shared" si="14"/>
        <v>87.630788647939994</v>
      </c>
      <c r="H430">
        <v>-3173.9490303100001</v>
      </c>
      <c r="I430">
        <v>80228.735047559996</v>
      </c>
      <c r="J430">
        <v>-16.524793880000001</v>
      </c>
      <c r="K430">
        <v>253.47520612</v>
      </c>
    </row>
    <row r="431" spans="1:13">
      <c r="A431" t="s">
        <v>797</v>
      </c>
      <c r="B431" t="s">
        <v>804</v>
      </c>
      <c r="C431" t="s">
        <v>1152</v>
      </c>
      <c r="D431" t="s">
        <v>804</v>
      </c>
      <c r="E431" s="10" t="s">
        <v>1284</v>
      </c>
      <c r="F431" s="10" t="s">
        <v>2422</v>
      </c>
      <c r="G431" s="1">
        <f>$G$425+ABS($I$431-$I$425)/1000</f>
        <v>87.766776979309938</v>
      </c>
      <c r="H431">
        <v>0</v>
      </c>
      <c r="I431">
        <f>$I$425+1078.7245</f>
        <v>80364.723378929935</v>
      </c>
      <c r="J431">
        <v>-270</v>
      </c>
      <c r="K431">
        <v>0</v>
      </c>
      <c r="L431">
        <v>1889.4492</v>
      </c>
    </row>
    <row r="432" spans="1:13">
      <c r="A432" t="s">
        <v>797</v>
      </c>
      <c r="B432" t="s">
        <v>804</v>
      </c>
      <c r="C432" t="s">
        <v>1152</v>
      </c>
      <c r="D432" t="s">
        <v>804</v>
      </c>
      <c r="E432" s="10" t="s">
        <v>1463</v>
      </c>
      <c r="F432" s="10" t="s">
        <v>2422</v>
      </c>
      <c r="G432" s="1">
        <f>$G$431+ABS($I$432-$I$431)/1000</f>
        <v>88.711501579309939</v>
      </c>
      <c r="H432">
        <v>0</v>
      </c>
      <c r="I432">
        <f>$I$431+$L$432/2</f>
        <v>81309.447978929937</v>
      </c>
      <c r="J432">
        <v>-270</v>
      </c>
      <c r="K432">
        <v>0</v>
      </c>
      <c r="L432">
        <v>1889.4492</v>
      </c>
    </row>
    <row r="433" spans="1:13">
      <c r="A433" t="s">
        <v>797</v>
      </c>
      <c r="B433" t="s">
        <v>804</v>
      </c>
      <c r="C433" t="s">
        <v>1152</v>
      </c>
      <c r="D433" t="s">
        <v>804</v>
      </c>
      <c r="E433" s="10" t="s">
        <v>1464</v>
      </c>
      <c r="F433" s="10" t="s">
        <v>2423</v>
      </c>
      <c r="G433" s="1">
        <f>$G$434-ABS($I$434-$I$433)/1000</f>
        <v>88.895198379309932</v>
      </c>
      <c r="H433">
        <v>0</v>
      </c>
      <c r="I433">
        <f>$I$434-$L$433/2</f>
        <v>81493.144778929927</v>
      </c>
      <c r="J433">
        <v>-270</v>
      </c>
      <c r="K433">
        <v>0</v>
      </c>
      <c r="L433">
        <v>1889.4492</v>
      </c>
    </row>
    <row r="434" spans="1:13">
      <c r="A434" t="s">
        <v>797</v>
      </c>
      <c r="B434" t="s">
        <v>804</v>
      </c>
      <c r="C434" t="s">
        <v>1152</v>
      </c>
      <c r="D434" t="s">
        <v>804</v>
      </c>
      <c r="E434" s="10" t="s">
        <v>1338</v>
      </c>
      <c r="F434" s="10" t="s">
        <v>2423</v>
      </c>
      <c r="G434" s="1">
        <f>$G$431+ABS($I$434-$I$431)/1000</f>
        <v>89.839922979309932</v>
      </c>
      <c r="H434">
        <v>0</v>
      </c>
      <c r="I434">
        <f>$I$431+2073.146</f>
        <v>82437.869378929929</v>
      </c>
      <c r="J434">
        <v>-270</v>
      </c>
      <c r="K434">
        <v>0</v>
      </c>
      <c r="L434">
        <v>1889.4492</v>
      </c>
    </row>
    <row r="435" spans="1:13">
      <c r="A435" t="s">
        <v>797</v>
      </c>
      <c r="B435" t="s">
        <v>803</v>
      </c>
      <c r="C435" t="s">
        <v>806</v>
      </c>
      <c r="E435" t="s">
        <v>956</v>
      </c>
      <c r="F435" t="s">
        <v>956</v>
      </c>
      <c r="G435" s="1">
        <f t="shared" si="14"/>
        <v>90.186833017200016</v>
      </c>
      <c r="H435">
        <v>-3170.04331976</v>
      </c>
      <c r="I435">
        <v>82784.779416820005</v>
      </c>
      <c r="J435">
        <v>-17.494547619999999</v>
      </c>
      <c r="K435">
        <v>252.50545238000001</v>
      </c>
    </row>
    <row r="436" spans="1:13">
      <c r="A436" t="s">
        <v>797</v>
      </c>
      <c r="B436" t="s">
        <v>804</v>
      </c>
      <c r="C436" t="s">
        <v>1152</v>
      </c>
      <c r="D436" t="s">
        <v>804</v>
      </c>
      <c r="E436" s="10" t="s">
        <v>1465</v>
      </c>
      <c r="F436" s="10" t="s">
        <v>2423</v>
      </c>
      <c r="G436" s="1">
        <f>$G$434+ABS($I$436-$I$434)/1000</f>
        <v>90.784647579309933</v>
      </c>
      <c r="H436">
        <v>0</v>
      </c>
      <c r="I436">
        <f>$I$434+$L$436/2</f>
        <v>83382.59397892993</v>
      </c>
      <c r="J436">
        <v>-270</v>
      </c>
      <c r="K436">
        <v>0</v>
      </c>
      <c r="L436">
        <v>1889.4492</v>
      </c>
    </row>
    <row r="437" spans="1:13">
      <c r="A437" t="s">
        <v>797</v>
      </c>
      <c r="B437" t="s">
        <v>803</v>
      </c>
      <c r="C437" t="s">
        <v>806</v>
      </c>
      <c r="E437" t="s">
        <v>1086</v>
      </c>
      <c r="F437" t="s">
        <v>1086</v>
      </c>
      <c r="G437" s="1">
        <f t="shared" si="14"/>
        <v>90.913445918289995</v>
      </c>
      <c r="H437">
        <v>-400</v>
      </c>
      <c r="I437">
        <v>83511.392317909995</v>
      </c>
      <c r="J437">
        <v>-689</v>
      </c>
      <c r="K437">
        <v>-419</v>
      </c>
    </row>
    <row r="438" spans="1:13">
      <c r="A438" t="s">
        <v>797</v>
      </c>
      <c r="B438" t="s">
        <v>1152</v>
      </c>
      <c r="C438" t="s">
        <v>1152</v>
      </c>
      <c r="D438" t="s">
        <v>804</v>
      </c>
      <c r="E438" s="3" t="s">
        <v>1982</v>
      </c>
      <c r="F438" s="3" t="s">
        <v>1982</v>
      </c>
      <c r="G438" s="1">
        <f>$G$434+ABS($I$438-$I$434)/1000</f>
        <v>90.918647479309925</v>
      </c>
      <c r="H438">
        <v>0</v>
      </c>
      <c r="I438">
        <f>$I$434+1078.7245</f>
        <v>83516.593878929925</v>
      </c>
      <c r="J438">
        <v>-270</v>
      </c>
      <c r="K438">
        <v>0</v>
      </c>
    </row>
    <row r="439" spans="1:13">
      <c r="A439" t="s">
        <v>797</v>
      </c>
      <c r="B439" t="s">
        <v>805</v>
      </c>
      <c r="C439" t="s">
        <v>806</v>
      </c>
      <c r="E439" s="2" t="s">
        <v>46</v>
      </c>
      <c r="F439" s="2" t="s">
        <v>2424</v>
      </c>
      <c r="G439" s="1">
        <f t="shared" si="14"/>
        <v>91.093226542650001</v>
      </c>
      <c r="H439">
        <v>0</v>
      </c>
      <c r="I439">
        <v>83691.172942270001</v>
      </c>
      <c r="J439">
        <v>-60</v>
      </c>
      <c r="K439">
        <v>210</v>
      </c>
      <c r="L439">
        <f>_xlfn.XLOOKUP(F439,magnet_list!$A$2:$A$592,magnet_list!$M$2:$M$592,"n/a",0,1)</f>
        <v>120</v>
      </c>
      <c r="M439">
        <f>_xlfn.XLOOKUP(F439,magnet_list!$A$2:$A$592,magnet_list!$L$2:$L$592,"n/a",0,1)</f>
        <v>23</v>
      </c>
    </row>
    <row r="440" spans="1:13">
      <c r="A440" t="s">
        <v>797</v>
      </c>
      <c r="B440" t="s">
        <v>805</v>
      </c>
      <c r="C440" t="s">
        <v>1152</v>
      </c>
      <c r="D440" t="s">
        <v>804</v>
      </c>
      <c r="E440" s="2" t="s">
        <v>565</v>
      </c>
      <c r="F440" s="2" t="s">
        <v>2424</v>
      </c>
      <c r="G440" s="1">
        <f t="shared" si="14"/>
        <v>91.133226542650007</v>
      </c>
      <c r="H440">
        <v>0</v>
      </c>
      <c r="I440">
        <v>83731.172942270001</v>
      </c>
      <c r="J440">
        <v>-60</v>
      </c>
      <c r="K440">
        <v>210</v>
      </c>
      <c r="L440">
        <f>_xlfn.XLOOKUP(F440,magnet_list!$A$2:$A$592,magnet_list!$M$2:$M$592,"n/a",0,1)</f>
        <v>120</v>
      </c>
      <c r="M440">
        <f>_xlfn.XLOOKUP(F440,magnet_list!$A$2:$A$592,magnet_list!$L$2:$L$592,"n/a",0,1)</f>
        <v>23</v>
      </c>
    </row>
    <row r="441" spans="1:13">
      <c r="A441" t="s">
        <v>797</v>
      </c>
      <c r="B441" t="s">
        <v>805</v>
      </c>
      <c r="C441" t="s">
        <v>806</v>
      </c>
      <c r="E441" s="2" t="s">
        <v>47</v>
      </c>
      <c r="F441" s="2" t="s">
        <v>47</v>
      </c>
      <c r="G441" s="1">
        <f t="shared" si="14"/>
        <v>91.312293218560001</v>
      </c>
      <c r="H441">
        <v>0</v>
      </c>
      <c r="I441">
        <v>83910.23961818</v>
      </c>
      <c r="J441">
        <v>-60</v>
      </c>
      <c r="K441">
        <v>210</v>
      </c>
      <c r="L441">
        <f>_xlfn.XLOOKUP(F441,magnet_list!$A$2:$A$592,magnet_list!$M$2:$M$592,"n/a",0,1)</f>
        <v>240</v>
      </c>
      <c r="M441">
        <f>_xlfn.XLOOKUP(F441,magnet_list!$A$2:$A$592,magnet_list!$L$2:$L$592,"n/a",0,1)</f>
        <v>23</v>
      </c>
    </row>
    <row r="442" spans="1:13">
      <c r="A442" t="s">
        <v>797</v>
      </c>
      <c r="B442" t="s">
        <v>805</v>
      </c>
      <c r="C442" t="s">
        <v>1152</v>
      </c>
      <c r="D442" t="s">
        <v>804</v>
      </c>
      <c r="E442" s="2" t="s">
        <v>566</v>
      </c>
      <c r="F442" s="2" t="s">
        <v>47</v>
      </c>
      <c r="G442" s="1">
        <f t="shared" si="14"/>
        <v>91.412293218559995</v>
      </c>
      <c r="H442">
        <v>0</v>
      </c>
      <c r="I442">
        <v>84010.23961818</v>
      </c>
      <c r="J442">
        <v>-60</v>
      </c>
      <c r="K442">
        <v>210</v>
      </c>
      <c r="L442">
        <f>_xlfn.XLOOKUP(F442,magnet_list!$A$2:$A$592,magnet_list!$M$2:$M$592,"n/a",0,1)</f>
        <v>240</v>
      </c>
      <c r="M442">
        <f>_xlfn.XLOOKUP(F442,magnet_list!$A$2:$A$592,magnet_list!$L$2:$L$592,"n/a",0,1)</f>
        <v>23</v>
      </c>
    </row>
    <row r="443" spans="1:13">
      <c r="A443" t="s">
        <v>797</v>
      </c>
      <c r="B443" t="s">
        <v>805</v>
      </c>
      <c r="C443" t="s">
        <v>1152</v>
      </c>
      <c r="D443" t="s">
        <v>804</v>
      </c>
      <c r="E443" s="2" t="s">
        <v>567</v>
      </c>
      <c r="F443" s="2" t="s">
        <v>2424</v>
      </c>
      <c r="G443" s="1">
        <f t="shared" si="14"/>
        <v>91.692303108139996</v>
      </c>
      <c r="H443">
        <v>0</v>
      </c>
      <c r="I443">
        <v>84290.249507760003</v>
      </c>
      <c r="J443">
        <v>-60</v>
      </c>
      <c r="K443">
        <v>210</v>
      </c>
      <c r="L443">
        <f>_xlfn.XLOOKUP(F443,magnet_list!$A$2:$A$592,magnet_list!$M$2:$M$592,"n/a",0,1)</f>
        <v>120</v>
      </c>
      <c r="M443">
        <f>_xlfn.XLOOKUP(F443,magnet_list!$A$2:$A$592,magnet_list!$L$2:$L$592,"n/a",0,1)</f>
        <v>23</v>
      </c>
    </row>
    <row r="444" spans="1:13">
      <c r="A444" t="s">
        <v>797</v>
      </c>
      <c r="B444" t="s">
        <v>805</v>
      </c>
      <c r="C444" t="s">
        <v>806</v>
      </c>
      <c r="E444" s="2" t="s">
        <v>48</v>
      </c>
      <c r="F444" s="2" t="s">
        <v>2424</v>
      </c>
      <c r="G444" s="1">
        <f t="shared" si="14"/>
        <v>91.732303108140002</v>
      </c>
      <c r="H444">
        <v>0</v>
      </c>
      <c r="I444">
        <v>84330.249507760003</v>
      </c>
      <c r="J444">
        <v>-60</v>
      </c>
      <c r="K444">
        <v>210</v>
      </c>
      <c r="L444">
        <f>_xlfn.XLOOKUP(F444,magnet_list!$A$2:$A$592,magnet_list!$M$2:$M$592,"n/a",0,1)</f>
        <v>120</v>
      </c>
      <c r="M444">
        <f>_xlfn.XLOOKUP(F444,magnet_list!$A$2:$A$592,magnet_list!$L$2:$L$592,"n/a",0,1)</f>
        <v>23</v>
      </c>
    </row>
    <row r="445" spans="1:13">
      <c r="A445" t="s">
        <v>797</v>
      </c>
      <c r="B445" t="s">
        <v>2288</v>
      </c>
      <c r="C445" t="s">
        <v>1152</v>
      </c>
      <c r="D445" t="s">
        <v>804</v>
      </c>
      <c r="E445" s="8" t="s">
        <v>2332</v>
      </c>
      <c r="F445" s="8" t="s">
        <v>2332</v>
      </c>
      <c r="G445" s="1">
        <f>$G$438+ABS($I$445-$I$438)/1000</f>
        <v>91.958064479309925</v>
      </c>
      <c r="H445">
        <v>0</v>
      </c>
      <c r="I445">
        <f>$I$438+1039.417</f>
        <v>84556.010878929927</v>
      </c>
      <c r="J445">
        <v>-270</v>
      </c>
      <c r="K445">
        <v>0</v>
      </c>
    </row>
    <row r="446" spans="1:13">
      <c r="A446" t="s">
        <v>797</v>
      </c>
      <c r="B446" t="s">
        <v>803</v>
      </c>
      <c r="C446" t="s">
        <v>806</v>
      </c>
      <c r="E446" t="s">
        <v>1089</v>
      </c>
      <c r="F446" t="s">
        <v>1089</v>
      </c>
      <c r="G446" s="1">
        <f t="shared" si="14"/>
        <v>91.962470436420006</v>
      </c>
      <c r="H446">
        <v>-400</v>
      </c>
      <c r="I446">
        <v>84560.416836040007</v>
      </c>
      <c r="J446">
        <v>-689</v>
      </c>
      <c r="K446">
        <v>-419</v>
      </c>
    </row>
    <row r="447" spans="1:13">
      <c r="A447" t="s">
        <v>797</v>
      </c>
      <c r="B447" t="s">
        <v>804</v>
      </c>
      <c r="C447" t="s">
        <v>1152</v>
      </c>
      <c r="D447" t="s">
        <v>804</v>
      </c>
      <c r="E447" s="10" t="s">
        <v>1466</v>
      </c>
      <c r="F447" s="10" t="s">
        <v>2425</v>
      </c>
      <c r="G447" s="1">
        <f>$G$450-ABS($I$450-$I$447)/1000</f>
        <v>92.092064379309917</v>
      </c>
      <c r="H447">
        <v>0</v>
      </c>
      <c r="I447">
        <f>$I$450-$L$447/2</f>
        <v>84690.010778929922</v>
      </c>
      <c r="J447">
        <v>-270</v>
      </c>
      <c r="K447">
        <v>0</v>
      </c>
      <c r="L447">
        <v>1889.4492</v>
      </c>
    </row>
    <row r="448" spans="1:13">
      <c r="A448" t="s">
        <v>797</v>
      </c>
      <c r="B448" t="s">
        <v>3855</v>
      </c>
      <c r="C448" t="s">
        <v>1152</v>
      </c>
      <c r="D448" t="s">
        <v>804</v>
      </c>
      <c r="E448" t="s">
        <v>2240</v>
      </c>
      <c r="F448" t="s">
        <v>2240</v>
      </c>
      <c r="G448" s="1">
        <f>$G$445+ABS($I$448-$I$445)/1000</f>
        <v>92.725564479309924</v>
      </c>
      <c r="H448">
        <v>0</v>
      </c>
      <c r="I448">
        <f>$I$445+767.5</f>
        <v>85323.510878929927</v>
      </c>
      <c r="J448">
        <v>-270</v>
      </c>
      <c r="K448">
        <v>0</v>
      </c>
      <c r="L448">
        <f>_xlfn.XLOOKUP(F448,magnet_list!$A$2:$A$592,magnet_list!$M$2:$M$592,"n/a",0,1)</f>
        <v>1000</v>
      </c>
      <c r="M448">
        <f>_xlfn.XLOOKUP(F448,magnet_list!$A$2:$A$592,magnet_list!$L$2:$L$592,"n/a",0,1)</f>
        <v>120</v>
      </c>
    </row>
    <row r="449" spans="1:13">
      <c r="A449" t="s">
        <v>797</v>
      </c>
      <c r="B449" t="s">
        <v>3855</v>
      </c>
      <c r="C449" t="s">
        <v>1152</v>
      </c>
      <c r="D449" t="s">
        <v>804</v>
      </c>
      <c r="E449" t="s">
        <v>2241</v>
      </c>
      <c r="F449" t="s">
        <v>2241</v>
      </c>
      <c r="G449" s="1">
        <f>$G$445+ABS($I$448-$I$445)/1000</f>
        <v>92.725564479309924</v>
      </c>
      <c r="H449">
        <v>0</v>
      </c>
      <c r="I449">
        <f>$I$445+767.5</f>
        <v>85323.510878929927</v>
      </c>
      <c r="J449">
        <v>-270</v>
      </c>
      <c r="K449">
        <v>0</v>
      </c>
      <c r="L449">
        <f>_xlfn.XLOOKUP(F449,magnet_list!$A$2:$A$592,magnet_list!$M$2:$M$592,"n/a",0,1)</f>
        <v>1000</v>
      </c>
      <c r="M449">
        <f>_xlfn.XLOOKUP(F449,magnet_list!$A$2:$A$592,magnet_list!$L$2:$L$592,"n/a",0,1)</f>
        <v>120</v>
      </c>
    </row>
    <row r="450" spans="1:13">
      <c r="A450" t="s">
        <v>797</v>
      </c>
      <c r="B450" t="s">
        <v>804</v>
      </c>
      <c r="C450" t="s">
        <v>1152</v>
      </c>
      <c r="D450" t="s">
        <v>804</v>
      </c>
      <c r="E450" s="10" t="s">
        <v>1174</v>
      </c>
      <c r="F450" s="10" t="s">
        <v>2425</v>
      </c>
      <c r="G450" s="1">
        <f>$G$445+ABS($I$450-$I$445)/1000</f>
        <v>93.036788979309918</v>
      </c>
      <c r="H450">
        <v>0</v>
      </c>
      <c r="I450">
        <f>$I$445+1078.7245</f>
        <v>85634.735378929923</v>
      </c>
      <c r="J450">
        <v>-270</v>
      </c>
      <c r="K450">
        <v>0</v>
      </c>
      <c r="L450">
        <v>1889.4492</v>
      </c>
    </row>
    <row r="451" spans="1:13">
      <c r="A451" t="s">
        <v>797</v>
      </c>
      <c r="B451" t="s">
        <v>804</v>
      </c>
      <c r="C451" t="s">
        <v>1152</v>
      </c>
      <c r="D451" t="s">
        <v>804</v>
      </c>
      <c r="E451" s="10" t="s">
        <v>1467</v>
      </c>
      <c r="F451" s="10" t="s">
        <v>2425</v>
      </c>
      <c r="G451" s="1">
        <f>$G$450+ABS($I$451-$I$450)/1000</f>
        <v>93.981513579309919</v>
      </c>
      <c r="H451">
        <v>0</v>
      </c>
      <c r="I451">
        <f>$I$450+$L$451/2</f>
        <v>86579.459978929925</v>
      </c>
      <c r="J451">
        <v>-270</v>
      </c>
      <c r="K451">
        <v>0</v>
      </c>
      <c r="L451">
        <v>1889.4492</v>
      </c>
    </row>
    <row r="452" spans="1:13">
      <c r="A452" t="s">
        <v>797</v>
      </c>
      <c r="B452" t="s">
        <v>804</v>
      </c>
      <c r="C452" t="s">
        <v>1152</v>
      </c>
      <c r="D452" t="s">
        <v>804</v>
      </c>
      <c r="E452" s="10" t="s">
        <v>1468</v>
      </c>
      <c r="F452" s="10" t="s">
        <v>2426</v>
      </c>
      <c r="G452" s="1">
        <f>$G$453-ABS($I$453-$I$452)/1000</f>
        <v>94.165210379309912</v>
      </c>
      <c r="H452">
        <v>0</v>
      </c>
      <c r="I452">
        <f>$I$453-$L$452/2</f>
        <v>86763.156778929915</v>
      </c>
      <c r="J452">
        <v>-270</v>
      </c>
      <c r="K452">
        <v>0</v>
      </c>
      <c r="L452">
        <v>1889.4492</v>
      </c>
    </row>
    <row r="453" spans="1:13">
      <c r="A453" t="s">
        <v>797</v>
      </c>
      <c r="B453" t="s">
        <v>804</v>
      </c>
      <c r="C453" t="s">
        <v>1152</v>
      </c>
      <c r="D453" t="s">
        <v>804</v>
      </c>
      <c r="E453" s="10" t="s">
        <v>1230</v>
      </c>
      <c r="F453" s="10" t="s">
        <v>2426</v>
      </c>
      <c r="G453" s="1">
        <f>$G$450+ABS($I$453-$I$450)/1000</f>
        <v>95.109934979309912</v>
      </c>
      <c r="H453">
        <v>0</v>
      </c>
      <c r="I453">
        <f>$I$450+2073.146</f>
        <v>87707.881378929917</v>
      </c>
      <c r="J453">
        <v>-270</v>
      </c>
      <c r="K453">
        <v>0</v>
      </c>
      <c r="L453">
        <v>1889.4492</v>
      </c>
    </row>
    <row r="454" spans="1:13">
      <c r="A454" t="s">
        <v>797</v>
      </c>
      <c r="B454" t="s">
        <v>803</v>
      </c>
      <c r="C454" t="s">
        <v>806</v>
      </c>
      <c r="E454" t="s">
        <v>957</v>
      </c>
      <c r="F454" t="s">
        <v>957</v>
      </c>
      <c r="G454" s="1">
        <f t="shared" si="14"/>
        <v>95.246343223519986</v>
      </c>
      <c r="H454">
        <v>-3171.6640355700001</v>
      </c>
      <c r="I454">
        <v>87844.289623139994</v>
      </c>
      <c r="J454">
        <v>-15.80444941</v>
      </c>
      <c r="K454">
        <v>254.19555059000001</v>
      </c>
    </row>
    <row r="455" spans="1:13">
      <c r="A455" t="s">
        <v>797</v>
      </c>
      <c r="B455" t="s">
        <v>804</v>
      </c>
      <c r="C455" t="s">
        <v>1152</v>
      </c>
      <c r="D455" t="s">
        <v>804</v>
      </c>
      <c r="E455" s="10" t="s">
        <v>1469</v>
      </c>
      <c r="F455" s="10" t="s">
        <v>2426</v>
      </c>
      <c r="G455" s="1">
        <f>$G$453+ABS($I$455-$I$453)/1000</f>
        <v>96.054659579309913</v>
      </c>
      <c r="H455">
        <v>0</v>
      </c>
      <c r="I455">
        <f>$I$453+$L$455/2</f>
        <v>88652.605978929918</v>
      </c>
      <c r="J455">
        <v>-270</v>
      </c>
      <c r="K455">
        <v>0</v>
      </c>
      <c r="L455">
        <v>1889.4492</v>
      </c>
    </row>
    <row r="456" spans="1:13">
      <c r="A456" t="s">
        <v>797</v>
      </c>
      <c r="B456" t="s">
        <v>1152</v>
      </c>
      <c r="C456" t="s">
        <v>1152</v>
      </c>
      <c r="D456" t="s">
        <v>804</v>
      </c>
      <c r="E456" s="3" t="s">
        <v>3844</v>
      </c>
      <c r="F456" s="3" t="s">
        <v>3844</v>
      </c>
      <c r="G456" s="1">
        <f>$G$453+ABS($I$456-$I$453)/1000</f>
        <v>96.288052479309911</v>
      </c>
      <c r="H456">
        <v>0</v>
      </c>
      <c r="I456">
        <f>$I$453+1178.1175</f>
        <v>88885.99887892991</v>
      </c>
      <c r="J456">
        <v>-270</v>
      </c>
      <c r="K456">
        <v>0</v>
      </c>
    </row>
    <row r="457" spans="1:13">
      <c r="A457" t="s">
        <v>797</v>
      </c>
      <c r="B457" t="s">
        <v>804</v>
      </c>
      <c r="C457" t="s">
        <v>1152</v>
      </c>
      <c r="D457" t="s">
        <v>804</v>
      </c>
      <c r="E457" s="10" t="s">
        <v>1470</v>
      </c>
      <c r="F457" s="10" t="s">
        <v>2427</v>
      </c>
      <c r="G457" s="1">
        <f>$G$461-ABS($I$461-$I$457)/1000</f>
        <v>96.422052379309903</v>
      </c>
      <c r="H457">
        <v>0</v>
      </c>
      <c r="I457">
        <f>$I$461-$L$457/2</f>
        <v>89019.998778929905</v>
      </c>
      <c r="J457">
        <v>-270</v>
      </c>
      <c r="K457">
        <v>0</v>
      </c>
      <c r="L457">
        <v>1889.4492</v>
      </c>
    </row>
    <row r="458" spans="1:13">
      <c r="A458" t="s">
        <v>797</v>
      </c>
      <c r="B458" t="s">
        <v>803</v>
      </c>
      <c r="C458" t="s">
        <v>806</v>
      </c>
      <c r="E458" t="s">
        <v>958</v>
      </c>
      <c r="F458" t="s">
        <v>958</v>
      </c>
      <c r="G458" s="1">
        <f t="shared" ref="G458:G510" si="15">G457+(I458-I457)/1000</f>
        <v>96.765296312640004</v>
      </c>
      <c r="H458">
        <v>2269.3231572999998</v>
      </c>
      <c r="I458">
        <v>89363.242712260006</v>
      </c>
      <c r="J458">
        <v>-16.411547550000002</v>
      </c>
      <c r="K458">
        <v>253.58845245000001</v>
      </c>
    </row>
    <row r="459" spans="1:13">
      <c r="A459" t="s">
        <v>797</v>
      </c>
      <c r="B459" t="s">
        <v>3855</v>
      </c>
      <c r="C459" t="s">
        <v>1152</v>
      </c>
      <c r="D459" t="s">
        <v>804</v>
      </c>
      <c r="E459" t="s">
        <v>2242</v>
      </c>
      <c r="F459" t="s">
        <v>2242</v>
      </c>
      <c r="G459" s="1">
        <f>$G$456+ABS($I$459-$I$456)/1000</f>
        <v>97.05555247930991</v>
      </c>
      <c r="H459">
        <v>0</v>
      </c>
      <c r="I459">
        <f>$I$456+767.5</f>
        <v>89653.49887892991</v>
      </c>
      <c r="J459">
        <v>-270</v>
      </c>
      <c r="K459">
        <v>0</v>
      </c>
      <c r="L459">
        <f>_xlfn.XLOOKUP(F459,magnet_list!$A$2:$A$592,magnet_list!$M$2:$M$592,"n/a",0,1)</f>
        <v>1000</v>
      </c>
      <c r="M459">
        <f>_xlfn.XLOOKUP(F459,magnet_list!$A$2:$A$592,magnet_list!$L$2:$L$592,"n/a",0,1)</f>
        <v>120</v>
      </c>
    </row>
    <row r="460" spans="1:13">
      <c r="A460" t="s">
        <v>797</v>
      </c>
      <c r="B460" t="s">
        <v>3855</v>
      </c>
      <c r="C460" t="s">
        <v>1152</v>
      </c>
      <c r="D460" t="s">
        <v>804</v>
      </c>
      <c r="E460" t="s">
        <v>2243</v>
      </c>
      <c r="F460" t="s">
        <v>2243</v>
      </c>
      <c r="G460" s="1">
        <f>$G$456+ABS($I$459-$I$456)/1000</f>
        <v>97.05555247930991</v>
      </c>
      <c r="H460">
        <v>0</v>
      </c>
      <c r="I460">
        <f>$I$456+767.5</f>
        <v>89653.49887892991</v>
      </c>
      <c r="J460">
        <v>-270</v>
      </c>
      <c r="K460">
        <v>0</v>
      </c>
      <c r="L460">
        <f>_xlfn.XLOOKUP(F460,magnet_list!$A$2:$A$592,magnet_list!$M$2:$M$592,"n/a",0,1)</f>
        <v>1000</v>
      </c>
      <c r="M460">
        <f>_xlfn.XLOOKUP(F460,magnet_list!$A$2:$A$592,magnet_list!$L$2:$L$592,"n/a",0,1)</f>
        <v>120</v>
      </c>
    </row>
    <row r="461" spans="1:13">
      <c r="A461" t="s">
        <v>797</v>
      </c>
      <c r="B461" t="s">
        <v>804</v>
      </c>
      <c r="C461" t="s">
        <v>1152</v>
      </c>
      <c r="D461" t="s">
        <v>804</v>
      </c>
      <c r="E461" s="10" t="s">
        <v>1285</v>
      </c>
      <c r="F461" s="10" t="s">
        <v>2427</v>
      </c>
      <c r="G461" s="1">
        <f>$G$456+ABS($I$461-$I$456)/1000</f>
        <v>97.366776979309904</v>
      </c>
      <c r="H461">
        <v>0</v>
      </c>
      <c r="I461">
        <f>$I$456+1078.7245</f>
        <v>89964.723378929906</v>
      </c>
      <c r="J461">
        <v>-270</v>
      </c>
      <c r="K461">
        <v>0</v>
      </c>
      <c r="L461">
        <v>1889.4492</v>
      </c>
    </row>
    <row r="462" spans="1:13">
      <c r="A462" t="s">
        <v>797</v>
      </c>
      <c r="B462" t="s">
        <v>804</v>
      </c>
      <c r="C462" t="s">
        <v>1152</v>
      </c>
      <c r="D462" t="s">
        <v>804</v>
      </c>
      <c r="E462" s="10" t="s">
        <v>1471</v>
      </c>
      <c r="F462" s="10" t="s">
        <v>2427</v>
      </c>
      <c r="G462" s="1">
        <f>$G$461+ABS($I$462-$I$461)/1000</f>
        <v>98.311501579309905</v>
      </c>
      <c r="H462">
        <v>0</v>
      </c>
      <c r="I462">
        <f>$I$461+$L$462/2</f>
        <v>90909.447978929908</v>
      </c>
      <c r="J462">
        <v>-270</v>
      </c>
      <c r="K462">
        <v>0</v>
      </c>
      <c r="L462">
        <v>1889.4492</v>
      </c>
    </row>
    <row r="463" spans="1:13">
      <c r="A463" t="s">
        <v>797</v>
      </c>
      <c r="B463" t="s">
        <v>804</v>
      </c>
      <c r="C463" t="s">
        <v>1152</v>
      </c>
      <c r="D463" t="s">
        <v>804</v>
      </c>
      <c r="E463" s="10" t="s">
        <v>1472</v>
      </c>
      <c r="F463" s="10" t="s">
        <v>2428</v>
      </c>
      <c r="G463" s="1">
        <f>$G$464-ABS($I$464-$I$463)/1000</f>
        <v>98.495198379309898</v>
      </c>
      <c r="H463">
        <v>0</v>
      </c>
      <c r="I463">
        <f>$I$464-$L$463/2</f>
        <v>91093.144778929898</v>
      </c>
      <c r="J463">
        <v>-270</v>
      </c>
      <c r="K463">
        <v>0</v>
      </c>
      <c r="L463">
        <v>1889.4492</v>
      </c>
    </row>
    <row r="464" spans="1:13">
      <c r="A464" t="s">
        <v>797</v>
      </c>
      <c r="B464" t="s">
        <v>804</v>
      </c>
      <c r="C464" t="s">
        <v>1152</v>
      </c>
      <c r="D464" t="s">
        <v>804</v>
      </c>
      <c r="E464" s="10" t="s">
        <v>1339</v>
      </c>
      <c r="F464" s="10" t="s">
        <v>2428</v>
      </c>
      <c r="G464" s="1">
        <f>$G$461+ABS($I$464-$I$461)/1000</f>
        <v>99.439922979309898</v>
      </c>
      <c r="H464">
        <v>0</v>
      </c>
      <c r="I464">
        <f>$I$461+2073.146</f>
        <v>92037.8693789299</v>
      </c>
      <c r="J464">
        <v>-270</v>
      </c>
      <c r="K464">
        <v>0</v>
      </c>
      <c r="L464">
        <v>1889.4492</v>
      </c>
    </row>
    <row r="465" spans="1:13">
      <c r="A465" t="s">
        <v>797</v>
      </c>
      <c r="B465" t="s">
        <v>804</v>
      </c>
      <c r="C465" t="s">
        <v>1152</v>
      </c>
      <c r="D465" t="s">
        <v>804</v>
      </c>
      <c r="E465" s="10" t="s">
        <v>1473</v>
      </c>
      <c r="F465" s="10" t="s">
        <v>2428</v>
      </c>
      <c r="G465" s="1">
        <f>$G$464+ABS($I$465-$I$464)/1000</f>
        <v>100.3846475793099</v>
      </c>
      <c r="H465">
        <v>0</v>
      </c>
      <c r="I465">
        <f>$I$464+$L$465/2</f>
        <v>92982.593978929901</v>
      </c>
      <c r="J465">
        <v>-270</v>
      </c>
      <c r="K465">
        <v>0</v>
      </c>
      <c r="L465">
        <v>1889.4492</v>
      </c>
    </row>
    <row r="466" spans="1:13">
      <c r="A466" t="s">
        <v>797</v>
      </c>
      <c r="B466" t="s">
        <v>803</v>
      </c>
      <c r="C466" t="s">
        <v>806</v>
      </c>
      <c r="E466" t="s">
        <v>1088</v>
      </c>
      <c r="F466" t="s">
        <v>1088</v>
      </c>
      <c r="G466" s="1">
        <f t="shared" si="15"/>
        <v>100.5102392508</v>
      </c>
      <c r="H466">
        <v>-400</v>
      </c>
      <c r="I466">
        <v>93108.185650419997</v>
      </c>
      <c r="J466">
        <v>-689</v>
      </c>
      <c r="K466">
        <v>-419</v>
      </c>
    </row>
    <row r="467" spans="1:13">
      <c r="A467" t="s">
        <v>797</v>
      </c>
      <c r="B467" t="s">
        <v>1152</v>
      </c>
      <c r="C467" t="s">
        <v>1152</v>
      </c>
      <c r="D467" t="s">
        <v>804</v>
      </c>
      <c r="E467" s="3" t="s">
        <v>1983</v>
      </c>
      <c r="F467" s="3" t="s">
        <v>1983</v>
      </c>
      <c r="G467" s="1">
        <f>$G$464+ABS($I$467-$I$464)/1000</f>
        <v>100.51864747930989</v>
      </c>
      <c r="H467">
        <v>0</v>
      </c>
      <c r="I467">
        <f>$I$464+1078.7245</f>
        <v>93116.593878929896</v>
      </c>
      <c r="J467">
        <v>-270</v>
      </c>
      <c r="K467">
        <v>0</v>
      </c>
    </row>
    <row r="468" spans="1:13">
      <c r="A468" t="s">
        <v>797</v>
      </c>
      <c r="B468" t="s">
        <v>805</v>
      </c>
      <c r="C468" t="s">
        <v>806</v>
      </c>
      <c r="E468" s="2" t="s">
        <v>49</v>
      </c>
      <c r="F468" s="2" t="s">
        <v>2429</v>
      </c>
      <c r="G468" s="1">
        <f t="shared" si="15"/>
        <v>100.68619889698</v>
      </c>
      <c r="H468">
        <v>0</v>
      </c>
      <c r="I468">
        <v>93284.145296600007</v>
      </c>
      <c r="J468">
        <v>-60</v>
      </c>
      <c r="K468">
        <v>210</v>
      </c>
      <c r="L468">
        <f>_xlfn.XLOOKUP(F468,magnet_list!$A$2:$A$592,magnet_list!$M$2:$M$592,"n/a",0,1)</f>
        <v>120</v>
      </c>
      <c r="M468">
        <f>_xlfn.XLOOKUP(F468,magnet_list!$A$2:$A$592,magnet_list!$L$2:$L$592,"n/a",0,1)</f>
        <v>23</v>
      </c>
    </row>
    <row r="469" spans="1:13">
      <c r="A469" t="s">
        <v>797</v>
      </c>
      <c r="B469" t="s">
        <v>805</v>
      </c>
      <c r="C469" t="s">
        <v>1152</v>
      </c>
      <c r="D469" t="s">
        <v>804</v>
      </c>
      <c r="E469" s="2" t="s">
        <v>568</v>
      </c>
      <c r="F469" s="2" t="s">
        <v>2429</v>
      </c>
      <c r="G469" s="1">
        <f t="shared" si="15"/>
        <v>100.72619889698001</v>
      </c>
      <c r="H469">
        <v>0</v>
      </c>
      <c r="I469">
        <v>93324.145296600007</v>
      </c>
      <c r="J469">
        <v>-60</v>
      </c>
      <c r="K469">
        <v>210</v>
      </c>
      <c r="L469">
        <f>_xlfn.XLOOKUP(F469,magnet_list!$A$2:$A$592,magnet_list!$M$2:$M$592,"n/a",0,1)</f>
        <v>120</v>
      </c>
      <c r="M469">
        <f>_xlfn.XLOOKUP(F469,magnet_list!$A$2:$A$592,magnet_list!$L$2:$L$592,"n/a",0,1)</f>
        <v>23</v>
      </c>
    </row>
    <row r="470" spans="1:13">
      <c r="A470" t="s">
        <v>797</v>
      </c>
      <c r="B470" t="s">
        <v>805</v>
      </c>
      <c r="C470" t="s">
        <v>806</v>
      </c>
      <c r="E470" s="2" t="s">
        <v>50</v>
      </c>
      <c r="F470" s="2" t="s">
        <v>50</v>
      </c>
      <c r="G470" s="1">
        <f t="shared" si="15"/>
        <v>100.90591479120999</v>
      </c>
      <c r="H470">
        <v>0</v>
      </c>
      <c r="I470">
        <v>93503.861190829994</v>
      </c>
      <c r="J470">
        <v>-60</v>
      </c>
      <c r="K470">
        <v>210</v>
      </c>
      <c r="L470">
        <f>_xlfn.XLOOKUP(F470,magnet_list!$A$2:$A$592,magnet_list!$M$2:$M$592,"n/a",0,1)</f>
        <v>240</v>
      </c>
      <c r="M470">
        <f>_xlfn.XLOOKUP(F470,magnet_list!$A$2:$A$592,magnet_list!$L$2:$L$592,"n/a",0,1)</f>
        <v>23</v>
      </c>
    </row>
    <row r="471" spans="1:13">
      <c r="A471" t="s">
        <v>797</v>
      </c>
      <c r="B471" t="s">
        <v>805</v>
      </c>
      <c r="C471" t="s">
        <v>1152</v>
      </c>
      <c r="D471" t="s">
        <v>804</v>
      </c>
      <c r="E471" s="2" t="s">
        <v>569</v>
      </c>
      <c r="F471" s="2" t="s">
        <v>50</v>
      </c>
      <c r="G471" s="1">
        <f t="shared" si="15"/>
        <v>101.00591479120999</v>
      </c>
      <c r="H471">
        <v>0</v>
      </c>
      <c r="I471">
        <v>93603.861190829994</v>
      </c>
      <c r="J471">
        <v>-60</v>
      </c>
      <c r="K471">
        <v>210</v>
      </c>
      <c r="L471">
        <f>_xlfn.XLOOKUP(F471,magnet_list!$A$2:$A$592,magnet_list!$M$2:$M$592,"n/a",0,1)</f>
        <v>240</v>
      </c>
      <c r="M471">
        <f>_xlfn.XLOOKUP(F471,magnet_list!$A$2:$A$592,magnet_list!$L$2:$L$592,"n/a",0,1)</f>
        <v>23</v>
      </c>
    </row>
    <row r="472" spans="1:13">
      <c r="A472" t="s">
        <v>797</v>
      </c>
      <c r="B472" t="s">
        <v>805</v>
      </c>
      <c r="C472" t="s">
        <v>1152</v>
      </c>
      <c r="D472" t="s">
        <v>804</v>
      </c>
      <c r="E472" s="2" t="s">
        <v>570</v>
      </c>
      <c r="F472" s="2" t="s">
        <v>2429</v>
      </c>
      <c r="G472" s="1">
        <f t="shared" si="15"/>
        <v>101.28601581679999</v>
      </c>
      <c r="H472">
        <v>0</v>
      </c>
      <c r="I472">
        <v>93883.962216419997</v>
      </c>
      <c r="J472">
        <v>-60</v>
      </c>
      <c r="K472">
        <v>210</v>
      </c>
      <c r="L472">
        <f>_xlfn.XLOOKUP(F472,magnet_list!$A$2:$A$592,magnet_list!$M$2:$M$592,"n/a",0,1)</f>
        <v>120</v>
      </c>
      <c r="M472">
        <f>_xlfn.XLOOKUP(F472,magnet_list!$A$2:$A$592,magnet_list!$L$2:$L$592,"n/a",0,1)</f>
        <v>23</v>
      </c>
    </row>
    <row r="473" spans="1:13">
      <c r="A473" t="s">
        <v>797</v>
      </c>
      <c r="B473" t="s">
        <v>805</v>
      </c>
      <c r="C473" t="s">
        <v>806</v>
      </c>
      <c r="E473" s="2" t="s">
        <v>51</v>
      </c>
      <c r="F473" s="2" t="s">
        <v>2429</v>
      </c>
      <c r="G473" s="1">
        <f t="shared" si="15"/>
        <v>101.32601581679999</v>
      </c>
      <c r="H473">
        <v>0</v>
      </c>
      <c r="I473">
        <v>93923.962216419997</v>
      </c>
      <c r="J473">
        <v>-60</v>
      </c>
      <c r="K473">
        <v>210</v>
      </c>
      <c r="L473">
        <f>_xlfn.XLOOKUP(F473,magnet_list!$A$2:$A$592,magnet_list!$M$2:$M$592,"n/a",0,1)</f>
        <v>120</v>
      </c>
      <c r="M473">
        <f>_xlfn.XLOOKUP(F473,magnet_list!$A$2:$A$592,magnet_list!$L$2:$L$592,"n/a",0,1)</f>
        <v>23</v>
      </c>
    </row>
    <row r="474" spans="1:13">
      <c r="A474" t="s">
        <v>797</v>
      </c>
      <c r="B474" t="s">
        <v>2288</v>
      </c>
      <c r="C474" t="s">
        <v>1152</v>
      </c>
      <c r="D474" t="s">
        <v>804</v>
      </c>
      <c r="E474" s="8" t="s">
        <v>2333</v>
      </c>
      <c r="F474" s="8" t="s">
        <v>2333</v>
      </c>
      <c r="G474" s="1">
        <f>$G$467+ABS($I$474-$I$467)/1000</f>
        <v>101.55806447930989</v>
      </c>
      <c r="H474">
        <v>0</v>
      </c>
      <c r="I474">
        <f>$I$467+1039.417</f>
        <v>94156.010878929897</v>
      </c>
      <c r="J474">
        <v>-270</v>
      </c>
      <c r="K474">
        <v>0</v>
      </c>
    </row>
    <row r="475" spans="1:13">
      <c r="A475" t="s">
        <v>797</v>
      </c>
      <c r="B475" t="s">
        <v>803</v>
      </c>
      <c r="C475" t="s">
        <v>806</v>
      </c>
      <c r="E475" t="s">
        <v>1091</v>
      </c>
      <c r="F475" t="s">
        <v>1091</v>
      </c>
      <c r="G475" s="1">
        <f t="shared" si="15"/>
        <v>101.56042278193999</v>
      </c>
      <c r="H475">
        <v>-400</v>
      </c>
      <c r="I475">
        <v>94158.369181560003</v>
      </c>
      <c r="J475">
        <v>-689</v>
      </c>
      <c r="K475">
        <v>-419</v>
      </c>
    </row>
    <row r="476" spans="1:13">
      <c r="A476" t="s">
        <v>797</v>
      </c>
      <c r="B476" t="s">
        <v>804</v>
      </c>
      <c r="C476" t="s">
        <v>1152</v>
      </c>
      <c r="D476" t="s">
        <v>804</v>
      </c>
      <c r="E476" s="10" t="s">
        <v>1474</v>
      </c>
      <c r="F476" s="10" t="s">
        <v>2430</v>
      </c>
      <c r="G476" s="1">
        <f>$G$479-ABS($I$479-$I$476)/1000</f>
        <v>101.69206437930988</v>
      </c>
      <c r="H476">
        <v>0</v>
      </c>
      <c r="I476">
        <f>$I$479-$L$476/2</f>
        <v>94290.010778929893</v>
      </c>
      <c r="J476">
        <v>-270</v>
      </c>
      <c r="K476">
        <v>0</v>
      </c>
      <c r="L476">
        <v>1889.4492</v>
      </c>
    </row>
    <row r="477" spans="1:13">
      <c r="A477" t="s">
        <v>797</v>
      </c>
      <c r="B477" t="s">
        <v>3855</v>
      </c>
      <c r="C477" t="s">
        <v>1152</v>
      </c>
      <c r="D477" t="s">
        <v>804</v>
      </c>
      <c r="E477" t="s">
        <v>2244</v>
      </c>
      <c r="F477" t="s">
        <v>2244</v>
      </c>
      <c r="G477" s="1">
        <f>$G$474+ABS($I$477-$I$474)/1000</f>
        <v>102.32556447930989</v>
      </c>
      <c r="H477">
        <v>0</v>
      </c>
      <c r="I477">
        <f>$I$474+767.5</f>
        <v>94923.510878929897</v>
      </c>
      <c r="J477">
        <v>-270</v>
      </c>
      <c r="K477">
        <v>0</v>
      </c>
      <c r="L477">
        <f>_xlfn.XLOOKUP(F477,magnet_list!$A$2:$A$592,magnet_list!$M$2:$M$592,"n/a",0,1)</f>
        <v>1000</v>
      </c>
      <c r="M477">
        <f>_xlfn.XLOOKUP(F477,magnet_list!$A$2:$A$592,magnet_list!$L$2:$L$592,"n/a",0,1)</f>
        <v>120</v>
      </c>
    </row>
    <row r="478" spans="1:13">
      <c r="A478" t="s">
        <v>797</v>
      </c>
      <c r="B478" t="s">
        <v>3855</v>
      </c>
      <c r="C478" t="s">
        <v>1152</v>
      </c>
      <c r="D478" t="s">
        <v>804</v>
      </c>
      <c r="E478" t="s">
        <v>2245</v>
      </c>
      <c r="F478" t="s">
        <v>2245</v>
      </c>
      <c r="G478" s="1">
        <f>$G$474+ABS($I$477-$I$474)/1000</f>
        <v>102.32556447930989</v>
      </c>
      <c r="H478">
        <v>0</v>
      </c>
      <c r="I478">
        <f>$I$474+767.5</f>
        <v>94923.510878929897</v>
      </c>
      <c r="J478">
        <v>-270</v>
      </c>
      <c r="K478">
        <v>0</v>
      </c>
      <c r="L478">
        <f>_xlfn.XLOOKUP(F478,magnet_list!$A$2:$A$592,magnet_list!$M$2:$M$592,"n/a",0,1)</f>
        <v>1000</v>
      </c>
      <c r="M478">
        <f>_xlfn.XLOOKUP(F478,magnet_list!$A$2:$A$592,magnet_list!$L$2:$L$592,"n/a",0,1)</f>
        <v>120</v>
      </c>
    </row>
    <row r="479" spans="1:13">
      <c r="A479" t="s">
        <v>797</v>
      </c>
      <c r="B479" t="s">
        <v>804</v>
      </c>
      <c r="C479" t="s">
        <v>1152</v>
      </c>
      <c r="D479" t="s">
        <v>804</v>
      </c>
      <c r="E479" s="10" t="s">
        <v>1175</v>
      </c>
      <c r="F479" s="10" t="s">
        <v>2430</v>
      </c>
      <c r="G479" s="1">
        <f>$G$474+ABS($I$479-$I$474)/1000</f>
        <v>102.63678897930988</v>
      </c>
      <c r="H479">
        <v>0</v>
      </c>
      <c r="I479">
        <f>$I$474+1078.7245</f>
        <v>95234.735378929894</v>
      </c>
      <c r="J479">
        <v>-270</v>
      </c>
      <c r="K479">
        <v>0</v>
      </c>
      <c r="L479">
        <v>1889.4492</v>
      </c>
    </row>
    <row r="480" spans="1:13">
      <c r="A480" t="s">
        <v>797</v>
      </c>
      <c r="B480" t="s">
        <v>804</v>
      </c>
      <c r="C480" t="s">
        <v>1152</v>
      </c>
      <c r="D480" t="s">
        <v>804</v>
      </c>
      <c r="E480" s="10" t="s">
        <v>1475</v>
      </c>
      <c r="F480" s="10" t="s">
        <v>2430</v>
      </c>
      <c r="G480" s="1">
        <f>$G$479+ABS($I$480-$I$479)/1000</f>
        <v>103.58151357930988</v>
      </c>
      <c r="H480">
        <v>0</v>
      </c>
      <c r="I480">
        <f>$I$479+$L$480/2</f>
        <v>96179.459978929895</v>
      </c>
      <c r="J480">
        <v>-270</v>
      </c>
      <c r="K480">
        <v>0</v>
      </c>
      <c r="L480">
        <v>1889.4492</v>
      </c>
    </row>
    <row r="481" spans="1:13">
      <c r="A481" t="s">
        <v>797</v>
      </c>
      <c r="B481" t="s">
        <v>804</v>
      </c>
      <c r="C481" t="s">
        <v>1152</v>
      </c>
      <c r="D481" t="s">
        <v>804</v>
      </c>
      <c r="E481" s="10" t="s">
        <v>1476</v>
      </c>
      <c r="F481" s="10" t="s">
        <v>2431</v>
      </c>
      <c r="G481" s="1">
        <f>$G$482-ABS($I$482-$I$481)/1000</f>
        <v>103.76521037930988</v>
      </c>
      <c r="H481">
        <v>0</v>
      </c>
      <c r="I481">
        <f>$I$482-$L$481/2</f>
        <v>96363.156778929886</v>
      </c>
      <c r="J481">
        <v>-270</v>
      </c>
      <c r="K481">
        <v>0</v>
      </c>
      <c r="L481">
        <v>1889.4492</v>
      </c>
    </row>
    <row r="482" spans="1:13">
      <c r="A482" t="s">
        <v>797</v>
      </c>
      <c r="B482" t="s">
        <v>804</v>
      </c>
      <c r="C482" t="s">
        <v>1152</v>
      </c>
      <c r="D482" t="s">
        <v>804</v>
      </c>
      <c r="E482" s="10" t="s">
        <v>1231</v>
      </c>
      <c r="F482" s="10" t="s">
        <v>2431</v>
      </c>
      <c r="G482" s="1">
        <f>$G$479+ABS($I$482-$I$479)/1000</f>
        <v>104.70993497930988</v>
      </c>
      <c r="H482">
        <v>0</v>
      </c>
      <c r="I482">
        <f>$I$479+2073.146</f>
        <v>97307.881378929887</v>
      </c>
      <c r="J482">
        <v>-270</v>
      </c>
      <c r="K482">
        <v>0</v>
      </c>
      <c r="L482">
        <v>1889.4492</v>
      </c>
    </row>
    <row r="483" spans="1:13">
      <c r="A483" t="s">
        <v>797</v>
      </c>
      <c r="B483" t="s">
        <v>804</v>
      </c>
      <c r="C483" t="s">
        <v>1152</v>
      </c>
      <c r="D483" t="s">
        <v>804</v>
      </c>
      <c r="E483" s="10" t="s">
        <v>1477</v>
      </c>
      <c r="F483" s="10" t="s">
        <v>2431</v>
      </c>
      <c r="G483" s="1">
        <f>$G$482+ABS($I$483-$I$482)/1000</f>
        <v>105.65465957930988</v>
      </c>
      <c r="H483">
        <v>0</v>
      </c>
      <c r="I483">
        <f>$I$482+$L$483/2</f>
        <v>98252.605978929889</v>
      </c>
      <c r="J483">
        <v>-270</v>
      </c>
      <c r="K483">
        <v>0</v>
      </c>
      <c r="L483">
        <v>1889.4492</v>
      </c>
    </row>
    <row r="484" spans="1:13">
      <c r="A484" t="s">
        <v>797</v>
      </c>
      <c r="B484" t="s">
        <v>1152</v>
      </c>
      <c r="C484" t="s">
        <v>1152</v>
      </c>
      <c r="D484" t="s">
        <v>804</v>
      </c>
      <c r="E484" s="3" t="s">
        <v>1984</v>
      </c>
      <c r="F484" s="3" t="s">
        <v>1984</v>
      </c>
      <c r="G484" s="1">
        <f>$G$482+ABS($I$484-$I$482)/1000</f>
        <v>105.88805247930988</v>
      </c>
      <c r="H484">
        <v>0</v>
      </c>
      <c r="I484">
        <f>$I$482+1178.1175</f>
        <v>98485.99887892988</v>
      </c>
      <c r="J484">
        <v>-270</v>
      </c>
      <c r="K484">
        <v>0</v>
      </c>
    </row>
    <row r="485" spans="1:13">
      <c r="A485" t="s">
        <v>797</v>
      </c>
      <c r="B485" t="s">
        <v>803</v>
      </c>
      <c r="C485" t="s">
        <v>806</v>
      </c>
      <c r="E485" t="s">
        <v>959</v>
      </c>
      <c r="F485" t="s">
        <v>959</v>
      </c>
      <c r="G485" s="1">
        <f t="shared" si="15"/>
        <v>105.99638855146</v>
      </c>
      <c r="H485">
        <v>-3182.8034800599999</v>
      </c>
      <c r="I485">
        <v>98594.334951080004</v>
      </c>
      <c r="J485">
        <v>-15.4753033</v>
      </c>
      <c r="K485">
        <v>254.52469669999999</v>
      </c>
    </row>
    <row r="486" spans="1:13">
      <c r="A486" t="s">
        <v>797</v>
      </c>
      <c r="B486" t="s">
        <v>804</v>
      </c>
      <c r="C486" t="s">
        <v>1152</v>
      </c>
      <c r="D486" t="s">
        <v>804</v>
      </c>
      <c r="E486" s="10" t="s">
        <v>1478</v>
      </c>
      <c r="F486" s="10" t="s">
        <v>2432</v>
      </c>
      <c r="G486" s="1">
        <f>$G$490-ABS($I$490-$I$486)/1000</f>
        <v>106.02205237930987</v>
      </c>
      <c r="H486">
        <v>0</v>
      </c>
      <c r="I486">
        <f>$I$490-$L$486/2</f>
        <v>98619.998778929876</v>
      </c>
      <c r="J486">
        <v>-270</v>
      </c>
      <c r="K486">
        <v>0</v>
      </c>
      <c r="L486">
        <v>1889.4492</v>
      </c>
    </row>
    <row r="487" spans="1:13">
      <c r="A487" t="s">
        <v>797</v>
      </c>
      <c r="B487" t="s">
        <v>3855</v>
      </c>
      <c r="C487" t="s">
        <v>1152</v>
      </c>
      <c r="D487" t="s">
        <v>804</v>
      </c>
      <c r="E487" t="s">
        <v>2246</v>
      </c>
      <c r="F487" t="s">
        <v>2246</v>
      </c>
      <c r="G487" s="1">
        <f>$G$484+ABS($I$487-$I$484)/1000</f>
        <v>106.65555247930988</v>
      </c>
      <c r="H487">
        <v>0</v>
      </c>
      <c r="I487">
        <f>$I$484+767.5</f>
        <v>99253.49887892988</v>
      </c>
      <c r="J487">
        <v>-270</v>
      </c>
      <c r="K487">
        <v>0</v>
      </c>
      <c r="L487">
        <f>_xlfn.XLOOKUP(F487,magnet_list!$A$2:$A$592,magnet_list!$M$2:$M$592,"n/a",0,1)</f>
        <v>1000</v>
      </c>
      <c r="M487">
        <f>_xlfn.XLOOKUP(F487,magnet_list!$A$2:$A$592,magnet_list!$L$2:$L$592,"n/a",0,1)</f>
        <v>120</v>
      </c>
    </row>
    <row r="488" spans="1:13">
      <c r="A488" t="s">
        <v>797</v>
      </c>
      <c r="B488" t="s">
        <v>3855</v>
      </c>
      <c r="C488" t="s">
        <v>1152</v>
      </c>
      <c r="D488" t="s">
        <v>804</v>
      </c>
      <c r="E488" t="s">
        <v>2247</v>
      </c>
      <c r="F488" t="s">
        <v>2247</v>
      </c>
      <c r="G488" s="1">
        <f>$G$484+ABS($I$487-$I$484)/1000</f>
        <v>106.65555247930988</v>
      </c>
      <c r="H488">
        <v>0</v>
      </c>
      <c r="I488">
        <f>$I$484+767.5</f>
        <v>99253.49887892988</v>
      </c>
      <c r="J488">
        <v>-270</v>
      </c>
      <c r="K488">
        <v>0</v>
      </c>
      <c r="L488">
        <f>_xlfn.XLOOKUP(F488,magnet_list!$A$2:$A$592,magnet_list!$M$2:$M$592,"n/a",0,1)</f>
        <v>1000</v>
      </c>
      <c r="M488">
        <f>_xlfn.XLOOKUP(F488,magnet_list!$A$2:$A$592,magnet_list!$L$2:$L$592,"n/a",0,1)</f>
        <v>120</v>
      </c>
    </row>
    <row r="489" spans="1:13">
      <c r="A489" t="s">
        <v>797</v>
      </c>
      <c r="B489" t="s">
        <v>803</v>
      </c>
      <c r="C489" t="s">
        <v>806</v>
      </c>
      <c r="E489" t="s">
        <v>960</v>
      </c>
      <c r="F489" t="s">
        <v>960</v>
      </c>
      <c r="G489" s="1">
        <f t="shared" si="15"/>
        <v>106.95845578607</v>
      </c>
      <c r="H489">
        <v>2252.6570454900002</v>
      </c>
      <c r="I489">
        <v>99556.402185690007</v>
      </c>
      <c r="J489">
        <v>-14.77745221</v>
      </c>
      <c r="K489">
        <v>255.22254778999999</v>
      </c>
    </row>
    <row r="490" spans="1:13">
      <c r="A490" t="s">
        <v>797</v>
      </c>
      <c r="B490" t="s">
        <v>804</v>
      </c>
      <c r="C490" t="s">
        <v>1152</v>
      </c>
      <c r="D490" t="s">
        <v>804</v>
      </c>
      <c r="E490" s="10" t="s">
        <v>1286</v>
      </c>
      <c r="F490" s="10" t="s">
        <v>2432</v>
      </c>
      <c r="G490" s="1">
        <f>$G$484+ABS($I$490-$I$484)/1000</f>
        <v>106.96677697930987</v>
      </c>
      <c r="H490">
        <v>0</v>
      </c>
      <c r="I490">
        <f>$I$484+1078.7245</f>
        <v>99564.723378929877</v>
      </c>
      <c r="J490">
        <v>-270</v>
      </c>
      <c r="K490">
        <v>0</v>
      </c>
      <c r="L490">
        <v>1889.4492</v>
      </c>
    </row>
    <row r="491" spans="1:13">
      <c r="A491" t="s">
        <v>797</v>
      </c>
      <c r="B491" t="s">
        <v>804</v>
      </c>
      <c r="C491" t="s">
        <v>1152</v>
      </c>
      <c r="D491" t="s">
        <v>804</v>
      </c>
      <c r="E491" s="10" t="s">
        <v>1479</v>
      </c>
      <c r="F491" s="10" t="s">
        <v>2432</v>
      </c>
      <c r="G491" s="1">
        <f>$G$490+ABS($I$491-$I$490)/1000</f>
        <v>107.91150157930987</v>
      </c>
      <c r="H491">
        <v>0</v>
      </c>
      <c r="I491">
        <f>$I$490+$L$491/2</f>
        <v>100509.44797892988</v>
      </c>
      <c r="J491">
        <v>-270</v>
      </c>
      <c r="K491">
        <v>0</v>
      </c>
      <c r="L491">
        <v>1889.4492</v>
      </c>
    </row>
    <row r="492" spans="1:13">
      <c r="A492" t="s">
        <v>797</v>
      </c>
      <c r="B492" t="s">
        <v>804</v>
      </c>
      <c r="C492" t="s">
        <v>1152</v>
      </c>
      <c r="D492" t="s">
        <v>804</v>
      </c>
      <c r="E492" s="10" t="s">
        <v>1480</v>
      </c>
      <c r="F492" s="10" t="s">
        <v>2433</v>
      </c>
      <c r="G492" s="1">
        <f>$G$493-ABS($I$493-$I$492)/1000</f>
        <v>108.09519837930986</v>
      </c>
      <c r="H492">
        <v>0</v>
      </c>
      <c r="I492">
        <f>$I$493-$L$492/2</f>
        <v>100693.14477892987</v>
      </c>
      <c r="J492">
        <v>-270</v>
      </c>
      <c r="K492">
        <v>0</v>
      </c>
      <c r="L492">
        <v>1889.4492</v>
      </c>
    </row>
    <row r="493" spans="1:13">
      <c r="A493" t="s">
        <v>797</v>
      </c>
      <c r="B493" t="s">
        <v>804</v>
      </c>
      <c r="C493" t="s">
        <v>1152</v>
      </c>
      <c r="D493" t="s">
        <v>804</v>
      </c>
      <c r="E493" s="10" t="s">
        <v>1340</v>
      </c>
      <c r="F493" s="10" t="s">
        <v>2433</v>
      </c>
      <c r="G493" s="1">
        <f>$G$490+ABS($I$493-$I$490)/1000</f>
        <v>109.03992297930986</v>
      </c>
      <c r="H493">
        <v>0</v>
      </c>
      <c r="I493">
        <f>$I$490+2073.146</f>
        <v>101637.86937892987</v>
      </c>
      <c r="J493">
        <v>-270</v>
      </c>
      <c r="K493">
        <v>0</v>
      </c>
      <c r="L493">
        <v>1889.4492</v>
      </c>
    </row>
    <row r="494" spans="1:13">
      <c r="A494" t="s">
        <v>797</v>
      </c>
      <c r="B494" t="s">
        <v>804</v>
      </c>
      <c r="C494" t="s">
        <v>1152</v>
      </c>
      <c r="D494" t="s">
        <v>804</v>
      </c>
      <c r="E494" s="10" t="s">
        <v>1481</v>
      </c>
      <c r="F494" s="10" t="s">
        <v>2433</v>
      </c>
      <c r="G494" s="1">
        <f>$G$493+ABS($I$494-$I$493)/1000</f>
        <v>109.98464757930986</v>
      </c>
      <c r="H494">
        <v>0</v>
      </c>
      <c r="I494">
        <f>$I$493+$L$494/2</f>
        <v>102582.59397892987</v>
      </c>
      <c r="J494">
        <v>-270</v>
      </c>
      <c r="K494">
        <v>0</v>
      </c>
      <c r="L494">
        <v>1889.4492</v>
      </c>
    </row>
    <row r="495" spans="1:13">
      <c r="A495" t="s">
        <v>797</v>
      </c>
      <c r="B495" t="s">
        <v>803</v>
      </c>
      <c r="C495" t="s">
        <v>806</v>
      </c>
      <c r="E495" t="s">
        <v>1090</v>
      </c>
      <c r="F495" t="s">
        <v>1090</v>
      </c>
      <c r="G495" s="1">
        <f t="shared" si="15"/>
        <v>110.10876240884998</v>
      </c>
      <c r="H495">
        <v>-400</v>
      </c>
      <c r="I495">
        <v>102706.70880846999</v>
      </c>
      <c r="J495">
        <v>-689</v>
      </c>
      <c r="K495">
        <v>-419</v>
      </c>
    </row>
    <row r="496" spans="1:13">
      <c r="A496" t="s">
        <v>797</v>
      </c>
      <c r="B496" t="s">
        <v>1152</v>
      </c>
      <c r="C496" t="s">
        <v>1152</v>
      </c>
      <c r="D496" t="s">
        <v>804</v>
      </c>
      <c r="E496" s="3" t="s">
        <v>1985</v>
      </c>
      <c r="F496" s="3" t="s">
        <v>1985</v>
      </c>
      <c r="G496" s="1">
        <f>$G$493+ABS($I$496-$I$493)/1000</f>
        <v>110.11864747930986</v>
      </c>
      <c r="H496">
        <v>0</v>
      </c>
      <c r="I496">
        <f>$I$493+1078.7245</f>
        <v>102716.59387892987</v>
      </c>
      <c r="J496">
        <v>-270</v>
      </c>
      <c r="K496">
        <v>0</v>
      </c>
    </row>
    <row r="497" spans="1:13">
      <c r="A497" t="s">
        <v>797</v>
      </c>
      <c r="B497" t="s">
        <v>805</v>
      </c>
      <c r="C497" t="s">
        <v>806</v>
      </c>
      <c r="E497" s="2" t="s">
        <v>52</v>
      </c>
      <c r="F497" s="2" t="s">
        <v>2434</v>
      </c>
      <c r="G497" s="1">
        <f t="shared" si="15"/>
        <v>110.28913011853</v>
      </c>
      <c r="H497">
        <v>0</v>
      </c>
      <c r="I497">
        <v>102887.07651815</v>
      </c>
      <c r="J497">
        <v>-60</v>
      </c>
      <c r="K497">
        <v>210</v>
      </c>
      <c r="L497">
        <f>_xlfn.XLOOKUP(F497,magnet_list!$A$2:$A$592,magnet_list!$M$2:$M$592,"n/a",0,1)</f>
        <v>120</v>
      </c>
      <c r="M497">
        <f>_xlfn.XLOOKUP(F497,magnet_list!$A$2:$A$592,magnet_list!$L$2:$L$592,"n/a",0,1)</f>
        <v>23</v>
      </c>
    </row>
    <row r="498" spans="1:13">
      <c r="A498" t="s">
        <v>797</v>
      </c>
      <c r="B498" t="s">
        <v>805</v>
      </c>
      <c r="C498" t="s">
        <v>1152</v>
      </c>
      <c r="D498" t="s">
        <v>804</v>
      </c>
      <c r="E498" s="2" t="s">
        <v>571</v>
      </c>
      <c r="F498" s="2" t="s">
        <v>2434</v>
      </c>
      <c r="G498" s="1">
        <f t="shared" si="15"/>
        <v>110.32913011853</v>
      </c>
      <c r="H498">
        <v>0</v>
      </c>
      <c r="I498">
        <v>102927.07651815</v>
      </c>
      <c r="J498">
        <v>-60</v>
      </c>
      <c r="K498">
        <v>210</v>
      </c>
      <c r="L498">
        <f>_xlfn.XLOOKUP(F498,magnet_list!$A$2:$A$592,magnet_list!$M$2:$M$592,"n/a",0,1)</f>
        <v>120</v>
      </c>
      <c r="M498">
        <f>_xlfn.XLOOKUP(F498,magnet_list!$A$2:$A$592,magnet_list!$L$2:$L$592,"n/a",0,1)</f>
        <v>23</v>
      </c>
    </row>
    <row r="499" spans="1:13">
      <c r="A499" t="s">
        <v>797</v>
      </c>
      <c r="B499" t="s">
        <v>805</v>
      </c>
      <c r="C499" t="s">
        <v>806</v>
      </c>
      <c r="E499" s="2" t="s">
        <v>53</v>
      </c>
      <c r="F499" s="2" t="s">
        <v>53</v>
      </c>
      <c r="G499" s="1">
        <f t="shared" si="15"/>
        <v>110.50923882162</v>
      </c>
      <c r="H499">
        <v>0</v>
      </c>
      <c r="I499">
        <v>103107.18522124</v>
      </c>
      <c r="J499">
        <v>-60</v>
      </c>
      <c r="K499">
        <v>210</v>
      </c>
      <c r="L499">
        <f>_xlfn.XLOOKUP(F499,magnet_list!$A$2:$A$592,magnet_list!$M$2:$M$592,"n/a",0,1)</f>
        <v>240</v>
      </c>
      <c r="M499">
        <f>_xlfn.XLOOKUP(F499,magnet_list!$A$2:$A$592,magnet_list!$L$2:$L$592,"n/a",0,1)</f>
        <v>23</v>
      </c>
    </row>
    <row r="500" spans="1:13">
      <c r="A500" t="s">
        <v>797</v>
      </c>
      <c r="B500" t="s">
        <v>805</v>
      </c>
      <c r="C500" t="s">
        <v>1152</v>
      </c>
      <c r="D500" t="s">
        <v>804</v>
      </c>
      <c r="E500" s="2" t="s">
        <v>572</v>
      </c>
      <c r="F500" s="2" t="s">
        <v>53</v>
      </c>
      <c r="G500" s="1">
        <f t="shared" si="15"/>
        <v>110.60923882162</v>
      </c>
      <c r="H500">
        <v>0</v>
      </c>
      <c r="I500">
        <v>103207.18522124</v>
      </c>
      <c r="J500">
        <v>-60</v>
      </c>
      <c r="K500">
        <v>210</v>
      </c>
      <c r="L500">
        <f>_xlfn.XLOOKUP(F500,magnet_list!$A$2:$A$592,magnet_list!$M$2:$M$592,"n/a",0,1)</f>
        <v>240</v>
      </c>
      <c r="M500">
        <f>_xlfn.XLOOKUP(F500,magnet_list!$A$2:$A$592,magnet_list!$L$2:$L$592,"n/a",0,1)</f>
        <v>23</v>
      </c>
    </row>
    <row r="501" spans="1:13">
      <c r="A501" t="s">
        <v>797</v>
      </c>
      <c r="B501" t="s">
        <v>805</v>
      </c>
      <c r="C501" t="s">
        <v>1152</v>
      </c>
      <c r="D501" t="s">
        <v>804</v>
      </c>
      <c r="E501" s="2" t="s">
        <v>573</v>
      </c>
      <c r="F501" s="2" t="s">
        <v>2434</v>
      </c>
      <c r="G501" s="1">
        <f t="shared" si="15"/>
        <v>110.88958748978</v>
      </c>
      <c r="H501">
        <v>0</v>
      </c>
      <c r="I501">
        <v>103487.5338894</v>
      </c>
      <c r="J501">
        <v>-60</v>
      </c>
      <c r="K501">
        <v>210</v>
      </c>
      <c r="L501">
        <f>_xlfn.XLOOKUP(F501,magnet_list!$A$2:$A$592,magnet_list!$M$2:$M$592,"n/a",0,1)</f>
        <v>120</v>
      </c>
      <c r="M501">
        <f>_xlfn.XLOOKUP(F501,magnet_list!$A$2:$A$592,magnet_list!$L$2:$L$592,"n/a",0,1)</f>
        <v>23</v>
      </c>
    </row>
    <row r="502" spans="1:13">
      <c r="A502" t="s">
        <v>797</v>
      </c>
      <c r="B502" t="s">
        <v>805</v>
      </c>
      <c r="C502" t="s">
        <v>806</v>
      </c>
      <c r="E502" s="2" t="s">
        <v>54</v>
      </c>
      <c r="F502" s="2" t="s">
        <v>2434</v>
      </c>
      <c r="G502" s="1">
        <f t="shared" si="15"/>
        <v>110.92958748978</v>
      </c>
      <c r="H502">
        <v>0</v>
      </c>
      <c r="I502">
        <v>103527.5338894</v>
      </c>
      <c r="J502">
        <v>-60</v>
      </c>
      <c r="K502">
        <v>210</v>
      </c>
      <c r="L502">
        <f>_xlfn.XLOOKUP(F502,magnet_list!$A$2:$A$592,magnet_list!$M$2:$M$592,"n/a",0,1)</f>
        <v>120</v>
      </c>
      <c r="M502">
        <f>_xlfn.XLOOKUP(F502,magnet_list!$A$2:$A$592,magnet_list!$L$2:$L$592,"n/a",0,1)</f>
        <v>23</v>
      </c>
    </row>
    <row r="503" spans="1:13">
      <c r="A503" t="s">
        <v>797</v>
      </c>
      <c r="B503" t="s">
        <v>803</v>
      </c>
      <c r="C503" t="s">
        <v>806</v>
      </c>
      <c r="E503" t="s">
        <v>1093</v>
      </c>
      <c r="F503" t="s">
        <v>1093</v>
      </c>
      <c r="G503" s="1">
        <f t="shared" si="15"/>
        <v>111.15873739890999</v>
      </c>
      <c r="H503">
        <v>-400</v>
      </c>
      <c r="I503">
        <v>103756.68379852999</v>
      </c>
      <c r="J503">
        <v>-689</v>
      </c>
      <c r="K503">
        <v>-419</v>
      </c>
    </row>
    <row r="504" spans="1:13">
      <c r="A504" t="s">
        <v>797</v>
      </c>
      <c r="B504" t="s">
        <v>2288</v>
      </c>
      <c r="C504" t="s">
        <v>1152</v>
      </c>
      <c r="D504" t="s">
        <v>804</v>
      </c>
      <c r="E504" s="8" t="s">
        <v>2334</v>
      </c>
      <c r="F504" s="8" t="s">
        <v>2334</v>
      </c>
      <c r="G504" s="1">
        <f>$G$496+ABS($I$504-$I$496)/1000</f>
        <v>111.15806447930986</v>
      </c>
      <c r="H504">
        <v>0</v>
      </c>
      <c r="I504">
        <f>$I$496+1039.417</f>
        <v>103756.01087892987</v>
      </c>
      <c r="J504">
        <v>-270</v>
      </c>
      <c r="K504">
        <v>0</v>
      </c>
    </row>
    <row r="505" spans="1:13">
      <c r="A505" t="s">
        <v>797</v>
      </c>
      <c r="B505" t="s">
        <v>804</v>
      </c>
      <c r="C505" t="s">
        <v>1152</v>
      </c>
      <c r="D505" t="s">
        <v>804</v>
      </c>
      <c r="E505" s="10" t="s">
        <v>1482</v>
      </c>
      <c r="F505" s="10" t="s">
        <v>2435</v>
      </c>
      <c r="G505" s="1">
        <f>$G$508-ABS($I$508-$I$505)/1000</f>
        <v>111.29206437930985</v>
      </c>
      <c r="H505">
        <v>0</v>
      </c>
      <c r="I505">
        <f>$I$508-$L$505/2</f>
        <v>103890.01077892986</v>
      </c>
      <c r="J505">
        <v>-270</v>
      </c>
      <c r="K505">
        <v>0</v>
      </c>
      <c r="L505">
        <v>1889.4492</v>
      </c>
    </row>
    <row r="506" spans="1:13">
      <c r="A506" t="s">
        <v>797</v>
      </c>
      <c r="B506" t="s">
        <v>3855</v>
      </c>
      <c r="C506" t="s">
        <v>1152</v>
      </c>
      <c r="D506" t="s">
        <v>804</v>
      </c>
      <c r="E506" t="s">
        <v>2248</v>
      </c>
      <c r="F506" t="s">
        <v>2248</v>
      </c>
      <c r="G506" s="1">
        <f>$G$504+ABS($I$506-$I$504)/1000</f>
        <v>111.92556447930986</v>
      </c>
      <c r="H506">
        <v>0</v>
      </c>
      <c r="I506">
        <f>$I$504+767.5</f>
        <v>104523.51087892987</v>
      </c>
      <c r="J506">
        <v>-270</v>
      </c>
      <c r="K506">
        <v>0</v>
      </c>
      <c r="L506">
        <f>_xlfn.XLOOKUP(F506,magnet_list!$A$2:$A$592,magnet_list!$M$2:$M$592,"n/a",0,1)</f>
        <v>1000</v>
      </c>
      <c r="M506">
        <f>_xlfn.XLOOKUP(F506,magnet_list!$A$2:$A$592,magnet_list!$L$2:$L$592,"n/a",0,1)</f>
        <v>120</v>
      </c>
    </row>
    <row r="507" spans="1:13">
      <c r="A507" t="s">
        <v>797</v>
      </c>
      <c r="B507" t="s">
        <v>3855</v>
      </c>
      <c r="C507" t="s">
        <v>1152</v>
      </c>
      <c r="D507" t="s">
        <v>804</v>
      </c>
      <c r="E507" t="s">
        <v>2249</v>
      </c>
      <c r="F507" t="s">
        <v>2249</v>
      </c>
      <c r="G507" s="1">
        <f>$G$504+ABS($I$506-$I$504)/1000</f>
        <v>111.92556447930986</v>
      </c>
      <c r="H507">
        <v>0</v>
      </c>
      <c r="I507">
        <f>$I$504+767.5</f>
        <v>104523.51087892987</v>
      </c>
      <c r="J507">
        <v>-270</v>
      </c>
      <c r="K507">
        <v>0</v>
      </c>
      <c r="L507">
        <f>_xlfn.XLOOKUP(F507,magnet_list!$A$2:$A$592,magnet_list!$M$2:$M$592,"n/a",0,1)</f>
        <v>1000</v>
      </c>
      <c r="M507">
        <f>_xlfn.XLOOKUP(F507,magnet_list!$A$2:$A$592,magnet_list!$L$2:$L$592,"n/a",0,1)</f>
        <v>120</v>
      </c>
    </row>
    <row r="508" spans="1:13">
      <c r="A508" t="s">
        <v>797</v>
      </c>
      <c r="B508" t="s">
        <v>804</v>
      </c>
      <c r="C508" t="s">
        <v>1152</v>
      </c>
      <c r="D508" t="s">
        <v>804</v>
      </c>
      <c r="E508" s="10" t="s">
        <v>1176</v>
      </c>
      <c r="F508" s="10" t="s">
        <v>2435</v>
      </c>
      <c r="G508" s="1">
        <f>$G$504+ABS($I$508-$I$504)/1000</f>
        <v>112.23678897930985</v>
      </c>
      <c r="H508">
        <v>0</v>
      </c>
      <c r="I508">
        <f>$I$504+1078.7245</f>
        <v>104834.73537892986</v>
      </c>
      <c r="J508">
        <v>-270</v>
      </c>
      <c r="K508">
        <v>0</v>
      </c>
      <c r="L508">
        <v>1889.4492</v>
      </c>
    </row>
    <row r="509" spans="1:13">
      <c r="A509" t="s">
        <v>797</v>
      </c>
      <c r="B509" t="s">
        <v>804</v>
      </c>
      <c r="C509" t="s">
        <v>1152</v>
      </c>
      <c r="D509" t="s">
        <v>804</v>
      </c>
      <c r="E509" s="10" t="s">
        <v>1483</v>
      </c>
      <c r="F509" s="10" t="s">
        <v>2435</v>
      </c>
      <c r="G509" s="1">
        <f>$G$508+ABS($I$509-$I$508)/1000</f>
        <v>113.18151357930985</v>
      </c>
      <c r="H509">
        <v>0</v>
      </c>
      <c r="I509">
        <f>$I$508+$L$509/2</f>
        <v>105779.45997892987</v>
      </c>
      <c r="J509">
        <v>-270</v>
      </c>
      <c r="K509">
        <v>0</v>
      </c>
      <c r="L509">
        <v>1889.4492</v>
      </c>
    </row>
    <row r="510" spans="1:13">
      <c r="A510" t="s">
        <v>797</v>
      </c>
      <c r="B510" t="s">
        <v>803</v>
      </c>
      <c r="C510" t="s">
        <v>806</v>
      </c>
      <c r="E510" t="s">
        <v>961</v>
      </c>
      <c r="F510" t="s">
        <v>961</v>
      </c>
      <c r="G510" s="1">
        <f t="shared" si="15"/>
        <v>113.35052497189999</v>
      </c>
      <c r="H510">
        <v>2256.1341000399998</v>
      </c>
      <c r="I510">
        <v>105948.47137152001</v>
      </c>
      <c r="J510">
        <v>-10.887701979999999</v>
      </c>
      <c r="K510">
        <v>259.11229802000003</v>
      </c>
    </row>
    <row r="511" spans="1:13">
      <c r="A511" t="s">
        <v>797</v>
      </c>
      <c r="B511" t="s">
        <v>804</v>
      </c>
      <c r="C511" t="s">
        <v>1152</v>
      </c>
      <c r="D511" t="s">
        <v>804</v>
      </c>
      <c r="E511" s="10" t="s">
        <v>1484</v>
      </c>
      <c r="F511" s="10" t="s">
        <v>2436</v>
      </c>
      <c r="G511" s="1">
        <f>$G$512-ABS($I$512-$I$511)/1000</f>
        <v>113.36521037930984</v>
      </c>
      <c r="H511">
        <v>0</v>
      </c>
      <c r="I511">
        <f>$I$512-$L$511/2</f>
        <v>105963.15677892986</v>
      </c>
      <c r="J511">
        <v>-270</v>
      </c>
      <c r="K511">
        <v>0</v>
      </c>
      <c r="L511">
        <v>1889.4492</v>
      </c>
    </row>
    <row r="512" spans="1:13">
      <c r="A512" t="s">
        <v>797</v>
      </c>
      <c r="B512" t="s">
        <v>804</v>
      </c>
      <c r="C512" t="s">
        <v>1152</v>
      </c>
      <c r="D512" t="s">
        <v>804</v>
      </c>
      <c r="E512" s="10" t="s">
        <v>1232</v>
      </c>
      <c r="F512" s="10" t="s">
        <v>2436</v>
      </c>
      <c r="G512" s="1">
        <f>$G$508+ABS($I$512-$I$508)/1000</f>
        <v>114.30993497930984</v>
      </c>
      <c r="H512">
        <v>0</v>
      </c>
      <c r="I512">
        <f>$I$508+2073.146</f>
        <v>106907.88137892986</v>
      </c>
      <c r="J512">
        <v>-270</v>
      </c>
      <c r="K512">
        <v>0</v>
      </c>
      <c r="L512">
        <v>1889.4492</v>
      </c>
    </row>
    <row r="513" spans="1:13">
      <c r="A513" t="s">
        <v>797</v>
      </c>
      <c r="B513" t="s">
        <v>804</v>
      </c>
      <c r="C513" t="s">
        <v>1152</v>
      </c>
      <c r="D513" t="s">
        <v>804</v>
      </c>
      <c r="E513" s="10" t="s">
        <v>1485</v>
      </c>
      <c r="F513" s="10" t="s">
        <v>2436</v>
      </c>
      <c r="G513" s="1">
        <f>$G$512+ABS($I$513-$I$512)/1000</f>
        <v>115.25465957930984</v>
      </c>
      <c r="H513">
        <v>0</v>
      </c>
      <c r="I513">
        <f>$I$512+$L$513/2</f>
        <v>107852.60597892986</v>
      </c>
      <c r="J513">
        <v>-270</v>
      </c>
      <c r="K513">
        <v>0</v>
      </c>
      <c r="L513">
        <v>1889.4492</v>
      </c>
    </row>
    <row r="514" spans="1:13">
      <c r="A514" t="s">
        <v>797</v>
      </c>
      <c r="B514" t="s">
        <v>1152</v>
      </c>
      <c r="C514" t="s">
        <v>1152</v>
      </c>
      <c r="D514" t="s">
        <v>804</v>
      </c>
      <c r="E514" s="3" t="s">
        <v>1986</v>
      </c>
      <c r="F514" s="3" t="s">
        <v>1986</v>
      </c>
      <c r="G514" s="1">
        <f>$G$512+ABS($I$514-$I$512)/1000</f>
        <v>115.48805247930984</v>
      </c>
      <c r="H514">
        <v>0</v>
      </c>
      <c r="I514">
        <f>$I$512+1178.1175</f>
        <v>108085.99887892985</v>
      </c>
      <c r="J514">
        <v>-270</v>
      </c>
      <c r="K514">
        <v>0</v>
      </c>
    </row>
    <row r="515" spans="1:13">
      <c r="A515" t="s">
        <v>797</v>
      </c>
      <c r="B515" t="s">
        <v>804</v>
      </c>
      <c r="C515" t="s">
        <v>1152</v>
      </c>
      <c r="D515" t="s">
        <v>804</v>
      </c>
      <c r="E515" s="10" t="s">
        <v>1486</v>
      </c>
      <c r="F515" s="10" t="s">
        <v>2437</v>
      </c>
      <c r="G515" s="1">
        <f>$G$518-ABS($I$518-$I$515)/1000</f>
        <v>115.62205237930984</v>
      </c>
      <c r="H515">
        <v>0</v>
      </c>
      <c r="I515">
        <f>$I$518-$L$515/2</f>
        <v>108219.99877892985</v>
      </c>
      <c r="J515">
        <v>-270</v>
      </c>
      <c r="K515">
        <v>0</v>
      </c>
      <c r="L515">
        <v>1889.4492</v>
      </c>
    </row>
    <row r="516" spans="1:13">
      <c r="A516" t="s">
        <v>797</v>
      </c>
      <c r="B516" t="s">
        <v>3855</v>
      </c>
      <c r="C516" t="s">
        <v>1152</v>
      </c>
      <c r="D516" t="s">
        <v>804</v>
      </c>
      <c r="E516" t="s">
        <v>2250</v>
      </c>
      <c r="F516" t="s">
        <v>2250</v>
      </c>
      <c r="G516" s="1">
        <f>$G$514+ABS($I$516-$I$514)/1000</f>
        <v>116.25555247930984</v>
      </c>
      <c r="H516">
        <v>0</v>
      </c>
      <c r="I516">
        <f>$I$514+767.5</f>
        <v>108853.49887892985</v>
      </c>
      <c r="J516">
        <v>-270</v>
      </c>
      <c r="K516">
        <v>0</v>
      </c>
      <c r="L516">
        <f>_xlfn.XLOOKUP(F516,magnet_list!$A$2:$A$592,magnet_list!$M$2:$M$592,"n/a",0,1)</f>
        <v>1000</v>
      </c>
      <c r="M516">
        <f>_xlfn.XLOOKUP(F516,magnet_list!$A$2:$A$592,magnet_list!$L$2:$L$592,"n/a",0,1)</f>
        <v>120</v>
      </c>
    </row>
    <row r="517" spans="1:13">
      <c r="A517" t="s">
        <v>797</v>
      </c>
      <c r="B517" t="s">
        <v>3855</v>
      </c>
      <c r="C517" t="s">
        <v>1152</v>
      </c>
      <c r="D517" t="s">
        <v>804</v>
      </c>
      <c r="E517" t="s">
        <v>2251</v>
      </c>
      <c r="F517" t="s">
        <v>2251</v>
      </c>
      <c r="G517" s="1">
        <f>$G$514+ABS($I$516-$I$514)/1000</f>
        <v>116.25555247930984</v>
      </c>
      <c r="H517">
        <v>0</v>
      </c>
      <c r="I517">
        <f>$I$514+767.5</f>
        <v>108853.49887892985</v>
      </c>
      <c r="J517">
        <v>-270</v>
      </c>
      <c r="K517">
        <v>0</v>
      </c>
      <c r="L517">
        <f>_xlfn.XLOOKUP(F517,magnet_list!$A$2:$A$592,magnet_list!$M$2:$M$592,"n/a",0,1)</f>
        <v>1000</v>
      </c>
      <c r="M517">
        <f>_xlfn.XLOOKUP(F517,magnet_list!$A$2:$A$592,magnet_list!$L$2:$L$592,"n/a",0,1)</f>
        <v>120</v>
      </c>
    </row>
    <row r="518" spans="1:13">
      <c r="A518" t="s">
        <v>797</v>
      </c>
      <c r="B518" t="s">
        <v>804</v>
      </c>
      <c r="C518" t="s">
        <v>1152</v>
      </c>
      <c r="D518" t="s">
        <v>804</v>
      </c>
      <c r="E518" s="10" t="s">
        <v>1287</v>
      </c>
      <c r="F518" s="10" t="s">
        <v>2437</v>
      </c>
      <c r="G518" s="1">
        <f>$G$514+ABS($I$518-$I$514)/1000</f>
        <v>116.56677697930984</v>
      </c>
      <c r="H518">
        <v>0</v>
      </c>
      <c r="I518">
        <f>$I$514+1078.7245</f>
        <v>109164.72337892985</v>
      </c>
      <c r="J518">
        <v>-270</v>
      </c>
      <c r="K518">
        <v>0</v>
      </c>
      <c r="L518">
        <v>1889.4492</v>
      </c>
    </row>
    <row r="519" spans="1:13">
      <c r="A519" t="s">
        <v>797</v>
      </c>
      <c r="B519" t="s">
        <v>803</v>
      </c>
      <c r="C519" t="s">
        <v>806</v>
      </c>
      <c r="E519" t="s">
        <v>962</v>
      </c>
      <c r="F519" t="s">
        <v>962</v>
      </c>
      <c r="G519" s="1">
        <f t="shared" ref="G519:G554" si="16">G518+(I519-I518)/1000</f>
        <v>116.82351164140998</v>
      </c>
      <c r="H519">
        <v>-3182.6780063599999</v>
      </c>
      <c r="I519">
        <v>109421.45804103</v>
      </c>
      <c r="J519">
        <v>188.0621567</v>
      </c>
      <c r="K519">
        <v>458.0621567</v>
      </c>
    </row>
    <row r="520" spans="1:13">
      <c r="A520" t="s">
        <v>797</v>
      </c>
      <c r="B520" t="s">
        <v>804</v>
      </c>
      <c r="C520" t="s">
        <v>1152</v>
      </c>
      <c r="D520" t="s">
        <v>804</v>
      </c>
      <c r="E520" s="10" t="s">
        <v>1487</v>
      </c>
      <c r="F520" s="10" t="s">
        <v>2437</v>
      </c>
      <c r="G520" s="1">
        <f>$G$518+ABS($I$520-$I$518)/1000</f>
        <v>117.51150157930984</v>
      </c>
      <c r="H520">
        <v>0</v>
      </c>
      <c r="I520">
        <f>$I$518+$L$520/2</f>
        <v>110109.44797892985</v>
      </c>
      <c r="J520">
        <v>-270</v>
      </c>
      <c r="K520">
        <v>0</v>
      </c>
      <c r="L520">
        <v>1889.4492</v>
      </c>
    </row>
    <row r="521" spans="1:13">
      <c r="A521" t="s">
        <v>797</v>
      </c>
      <c r="B521" t="s">
        <v>804</v>
      </c>
      <c r="C521" t="s">
        <v>1152</v>
      </c>
      <c r="D521" t="s">
        <v>804</v>
      </c>
      <c r="E521" s="10" t="s">
        <v>1488</v>
      </c>
      <c r="F521" s="10" t="s">
        <v>2438</v>
      </c>
      <c r="G521" s="1">
        <f>$G$522-ABS($I$522-$I$521)/1000</f>
        <v>117.69519837930983</v>
      </c>
      <c r="H521">
        <v>0</v>
      </c>
      <c r="I521">
        <f>$I$522-$L$521/2</f>
        <v>110293.14477892984</v>
      </c>
      <c r="J521">
        <v>-270</v>
      </c>
      <c r="K521">
        <v>0</v>
      </c>
      <c r="L521">
        <v>1889.4492</v>
      </c>
    </row>
    <row r="522" spans="1:13">
      <c r="A522" t="s">
        <v>797</v>
      </c>
      <c r="B522" t="s">
        <v>804</v>
      </c>
      <c r="C522" t="s">
        <v>1152</v>
      </c>
      <c r="D522" t="s">
        <v>804</v>
      </c>
      <c r="E522" s="10" t="s">
        <v>1341</v>
      </c>
      <c r="F522" s="10" t="s">
        <v>2438</v>
      </c>
      <c r="G522" s="1">
        <f>$G$518+ABS($I$522-$I$518)/1000</f>
        <v>118.63992297930983</v>
      </c>
      <c r="H522">
        <v>0</v>
      </c>
      <c r="I522">
        <f>$I$518+2073.146</f>
        <v>111237.86937892984</v>
      </c>
      <c r="J522">
        <v>-270</v>
      </c>
      <c r="K522">
        <v>0</v>
      </c>
      <c r="L522">
        <v>1889.4492</v>
      </c>
    </row>
    <row r="523" spans="1:13">
      <c r="A523" t="s">
        <v>797</v>
      </c>
      <c r="B523" t="s">
        <v>803</v>
      </c>
      <c r="C523" t="s">
        <v>806</v>
      </c>
      <c r="E523" t="s">
        <v>987</v>
      </c>
      <c r="F523" t="s">
        <v>987</v>
      </c>
      <c r="G523" s="1">
        <f t="shared" si="16"/>
        <v>119.05844420852999</v>
      </c>
      <c r="H523">
        <v>-4248.8203351599996</v>
      </c>
      <c r="I523">
        <v>111656.39060815</v>
      </c>
      <c r="J523">
        <v>188.94188359</v>
      </c>
      <c r="K523">
        <v>458.94188358999997</v>
      </c>
    </row>
    <row r="524" spans="1:13">
      <c r="A524" t="s">
        <v>797</v>
      </c>
      <c r="B524" t="s">
        <v>804</v>
      </c>
      <c r="C524" t="s">
        <v>1152</v>
      </c>
      <c r="D524" t="s">
        <v>804</v>
      </c>
      <c r="E524" s="10" t="s">
        <v>1489</v>
      </c>
      <c r="F524" s="10" t="s">
        <v>2438</v>
      </c>
      <c r="G524" s="1">
        <f>$G$522+ABS($I$524-$I$522)/1000</f>
        <v>119.58464757930983</v>
      </c>
      <c r="H524">
        <v>0</v>
      </c>
      <c r="I524">
        <f>$I$522+$L$524/2</f>
        <v>112182.59397892984</v>
      </c>
      <c r="J524">
        <v>-270</v>
      </c>
      <c r="K524">
        <v>0</v>
      </c>
      <c r="L524">
        <v>1889.4492</v>
      </c>
    </row>
    <row r="525" spans="1:13">
      <c r="A525" t="s">
        <v>797</v>
      </c>
      <c r="B525" t="s">
        <v>803</v>
      </c>
      <c r="C525" t="s">
        <v>806</v>
      </c>
      <c r="E525" t="s">
        <v>1092</v>
      </c>
      <c r="F525" t="s">
        <v>1092</v>
      </c>
      <c r="G525" s="1">
        <f t="shared" si="16"/>
        <v>119.70762730842999</v>
      </c>
      <c r="H525">
        <v>-400</v>
      </c>
      <c r="I525">
        <v>112305.57370805</v>
      </c>
      <c r="J525">
        <v>-689</v>
      </c>
      <c r="K525">
        <v>-419</v>
      </c>
    </row>
    <row r="526" spans="1:13">
      <c r="A526" t="s">
        <v>797</v>
      </c>
      <c r="B526" t="s">
        <v>2288</v>
      </c>
      <c r="C526" t="s">
        <v>1152</v>
      </c>
      <c r="D526" t="s">
        <v>804</v>
      </c>
      <c r="E526" s="8" t="s">
        <v>2335</v>
      </c>
      <c r="F526" s="8" t="s">
        <v>2335</v>
      </c>
      <c r="G526" s="1">
        <f>$G$522+ABS($I$526-$I$522)/1000</f>
        <v>119.71864747930982</v>
      </c>
      <c r="H526">
        <v>0</v>
      </c>
      <c r="I526">
        <f>$I$522+1078.7245</f>
        <v>112316.59387892984</v>
      </c>
      <c r="J526">
        <v>-270</v>
      </c>
      <c r="K526">
        <v>0</v>
      </c>
    </row>
    <row r="527" spans="1:13">
      <c r="A527" t="s">
        <v>797</v>
      </c>
      <c r="B527" t="s">
        <v>1152</v>
      </c>
      <c r="C527" t="s">
        <v>1152</v>
      </c>
      <c r="D527" t="s">
        <v>804</v>
      </c>
      <c r="E527" s="3" t="s">
        <v>1987</v>
      </c>
      <c r="F527" s="3" t="s">
        <v>1987</v>
      </c>
      <c r="G527" s="1">
        <f>$G$526+ABS($I$527-$I$526)/1000</f>
        <v>119.90856447930983</v>
      </c>
      <c r="H527">
        <v>0</v>
      </c>
      <c r="I527">
        <f>$I$526+189.917</f>
        <v>112506.51087892984</v>
      </c>
      <c r="J527">
        <v>-270</v>
      </c>
      <c r="K527">
        <v>0</v>
      </c>
    </row>
    <row r="528" spans="1:13">
      <c r="A528" t="s">
        <v>797</v>
      </c>
      <c r="B528" t="s">
        <v>805</v>
      </c>
      <c r="C528" t="s">
        <v>806</v>
      </c>
      <c r="E528" s="2" t="s">
        <v>55</v>
      </c>
      <c r="F528" s="2" t="s">
        <v>2439</v>
      </c>
      <c r="G528" s="1">
        <f t="shared" si="16"/>
        <v>120.0417162671</v>
      </c>
      <c r="H528">
        <v>0</v>
      </c>
      <c r="I528">
        <v>112639.66266672</v>
      </c>
      <c r="J528">
        <v>-70</v>
      </c>
      <c r="K528">
        <v>200</v>
      </c>
      <c r="L528">
        <f>_xlfn.XLOOKUP(F528,magnet_list!$A$2:$A$592,magnet_list!$M$2:$M$592,"n/a",0,1)</f>
        <v>100</v>
      </c>
      <c r="M528">
        <f>_xlfn.XLOOKUP(F528,magnet_list!$A$2:$A$592,magnet_list!$L$2:$L$592,"n/a",0,1)</f>
        <v>44</v>
      </c>
    </row>
    <row r="529" spans="1:19">
      <c r="A529" t="s">
        <v>797</v>
      </c>
      <c r="B529" t="s">
        <v>805</v>
      </c>
      <c r="C529" t="s">
        <v>1152</v>
      </c>
      <c r="D529" t="s">
        <v>804</v>
      </c>
      <c r="E529" s="2" t="s">
        <v>574</v>
      </c>
      <c r="F529" s="2" t="s">
        <v>2439</v>
      </c>
      <c r="G529" s="1">
        <f t="shared" si="16"/>
        <v>120.08171626710001</v>
      </c>
      <c r="H529">
        <v>0</v>
      </c>
      <c r="I529">
        <v>112679.66266672</v>
      </c>
      <c r="J529">
        <v>-70</v>
      </c>
      <c r="K529">
        <v>200</v>
      </c>
      <c r="L529">
        <f>_xlfn.XLOOKUP(F529,magnet_list!$A$2:$A$592,magnet_list!$M$2:$M$592,"n/a",0,1)</f>
        <v>100</v>
      </c>
      <c r="M529">
        <f>_xlfn.XLOOKUP(F529,magnet_list!$A$2:$A$592,magnet_list!$L$2:$L$592,"n/a",0,1)</f>
        <v>44</v>
      </c>
    </row>
    <row r="530" spans="1:19">
      <c r="A530" t="s">
        <v>797</v>
      </c>
      <c r="B530" t="s">
        <v>805</v>
      </c>
      <c r="C530" t="s">
        <v>806</v>
      </c>
      <c r="E530" s="2" t="s">
        <v>56</v>
      </c>
      <c r="F530" s="2" t="s">
        <v>2439</v>
      </c>
      <c r="G530" s="1">
        <f t="shared" si="16"/>
        <v>120.12176885656001</v>
      </c>
      <c r="H530">
        <v>0</v>
      </c>
      <c r="I530">
        <v>112719.71525618</v>
      </c>
      <c r="J530">
        <v>-70</v>
      </c>
      <c r="K530">
        <v>200</v>
      </c>
      <c r="L530">
        <f>_xlfn.XLOOKUP(F530,magnet_list!$A$2:$A$592,magnet_list!$M$2:$M$592,"n/a",0,1)</f>
        <v>100</v>
      </c>
      <c r="M530">
        <f>_xlfn.XLOOKUP(F530,magnet_list!$A$2:$A$592,magnet_list!$L$2:$L$592,"n/a",0,1)</f>
        <v>44</v>
      </c>
    </row>
    <row r="531" spans="1:19">
      <c r="A531" t="s">
        <v>797</v>
      </c>
      <c r="B531" t="s">
        <v>805</v>
      </c>
      <c r="C531" t="s">
        <v>806</v>
      </c>
      <c r="E531" s="2" t="s">
        <v>57</v>
      </c>
      <c r="F531" s="2" t="s">
        <v>2440</v>
      </c>
      <c r="G531" s="1">
        <f t="shared" si="16"/>
        <v>120.29167303446</v>
      </c>
      <c r="H531">
        <v>0</v>
      </c>
      <c r="I531">
        <v>112889.61943408</v>
      </c>
      <c r="J531">
        <v>-70</v>
      </c>
      <c r="K531">
        <v>200</v>
      </c>
      <c r="L531">
        <f>_xlfn.XLOOKUP(F531,magnet_list!$A$2:$A$592,magnet_list!$M$2:$M$592,"n/a",0,1)</f>
        <v>100</v>
      </c>
      <c r="M531">
        <f>_xlfn.XLOOKUP(F531,magnet_list!$A$2:$A$592,magnet_list!$L$2:$L$592,"n/a",0,1)</f>
        <v>44</v>
      </c>
    </row>
    <row r="532" spans="1:19">
      <c r="A532" t="s">
        <v>797</v>
      </c>
      <c r="B532" t="s">
        <v>805</v>
      </c>
      <c r="C532" t="s">
        <v>1152</v>
      </c>
      <c r="D532" t="s">
        <v>804</v>
      </c>
      <c r="E532" s="2" t="s">
        <v>575</v>
      </c>
      <c r="F532" s="2" t="s">
        <v>2440</v>
      </c>
      <c r="G532" s="1">
        <f t="shared" si="16"/>
        <v>120.33167303446001</v>
      </c>
      <c r="H532">
        <v>0</v>
      </c>
      <c r="I532">
        <v>112929.61943408</v>
      </c>
      <c r="J532">
        <v>-70</v>
      </c>
      <c r="K532">
        <v>200</v>
      </c>
      <c r="L532">
        <f>_xlfn.XLOOKUP(F532,magnet_list!$A$2:$A$592,magnet_list!$M$2:$M$592,"n/a",0,1)</f>
        <v>100</v>
      </c>
      <c r="M532">
        <f>_xlfn.XLOOKUP(F532,magnet_list!$A$2:$A$592,magnet_list!$L$2:$L$592,"n/a",0,1)</f>
        <v>44</v>
      </c>
    </row>
    <row r="533" spans="1:19">
      <c r="A533" t="s">
        <v>797</v>
      </c>
      <c r="B533" t="s">
        <v>805</v>
      </c>
      <c r="C533" t="s">
        <v>806</v>
      </c>
      <c r="E533" s="2" t="s">
        <v>58</v>
      </c>
      <c r="F533" s="2" t="s">
        <v>2440</v>
      </c>
      <c r="G533" s="1">
        <f t="shared" si="16"/>
        <v>120.37169569988001</v>
      </c>
      <c r="H533">
        <v>0</v>
      </c>
      <c r="I533">
        <v>112969.64209949999</v>
      </c>
      <c r="J533">
        <v>-70</v>
      </c>
      <c r="K533">
        <v>200</v>
      </c>
      <c r="L533">
        <f>_xlfn.XLOOKUP(F533,magnet_list!$A$2:$A$592,magnet_list!$M$2:$M$592,"n/a",0,1)</f>
        <v>100</v>
      </c>
      <c r="M533">
        <f>_xlfn.XLOOKUP(F533,magnet_list!$A$2:$A$592,magnet_list!$L$2:$L$592,"n/a",0,1)</f>
        <v>44</v>
      </c>
    </row>
    <row r="534" spans="1:19">
      <c r="A534" t="s">
        <v>797</v>
      </c>
      <c r="B534" t="s">
        <v>1152</v>
      </c>
      <c r="C534" t="s">
        <v>1152</v>
      </c>
      <c r="D534" t="s">
        <v>804</v>
      </c>
      <c r="E534" s="3" t="s">
        <v>1988</v>
      </c>
      <c r="F534" s="3" t="s">
        <v>1988</v>
      </c>
      <c r="G534" s="1">
        <f>$G$527+ABS($I$534-$I$527)/1000</f>
        <v>120.51856427930984</v>
      </c>
      <c r="H534">
        <v>0</v>
      </c>
      <c r="I534">
        <f>$I$527+609.9998</f>
        <v>113116.51067892984</v>
      </c>
      <c r="J534">
        <v>-270</v>
      </c>
      <c r="K534">
        <v>0</v>
      </c>
    </row>
    <row r="535" spans="1:19">
      <c r="A535" t="s">
        <v>797</v>
      </c>
      <c r="B535" t="s">
        <v>805</v>
      </c>
      <c r="C535" t="s">
        <v>806</v>
      </c>
      <c r="E535" s="2" t="s">
        <v>59</v>
      </c>
      <c r="F535" s="2" t="s">
        <v>2441</v>
      </c>
      <c r="G535" s="1">
        <f t="shared" si="16"/>
        <v>120.67877882997999</v>
      </c>
      <c r="H535">
        <v>0</v>
      </c>
      <c r="I535">
        <v>113276.72522959999</v>
      </c>
      <c r="J535">
        <v>35</v>
      </c>
      <c r="K535">
        <v>305</v>
      </c>
      <c r="L535">
        <f>_xlfn.XLOOKUP(F535,magnet_list!$A$2:$A$592,magnet_list!$M$2:$M$592,"n/a",0,1)</f>
        <v>300</v>
      </c>
      <c r="M535">
        <f>_xlfn.XLOOKUP(F535,magnet_list!$A$2:$A$592,magnet_list!$L$2:$L$592,"n/a",0,1)</f>
        <v>44</v>
      </c>
    </row>
    <row r="536" spans="1:19">
      <c r="A536" t="s">
        <v>797</v>
      </c>
      <c r="B536" t="s">
        <v>805</v>
      </c>
      <c r="C536" t="s">
        <v>1152</v>
      </c>
      <c r="D536" t="s">
        <v>804</v>
      </c>
      <c r="E536" s="2" t="s">
        <v>576</v>
      </c>
      <c r="F536" s="2" t="s">
        <v>2441</v>
      </c>
      <c r="G536" s="1">
        <f t="shared" si="16"/>
        <v>120.75427882998</v>
      </c>
      <c r="H536">
        <v>0</v>
      </c>
      <c r="I536">
        <v>113352.22522959999</v>
      </c>
      <c r="J536">
        <v>35</v>
      </c>
      <c r="K536">
        <v>305</v>
      </c>
      <c r="L536">
        <f>_xlfn.XLOOKUP(F536,magnet_list!$A$2:$A$592,magnet_list!$M$2:$M$592,"n/a",0,1)</f>
        <v>300</v>
      </c>
      <c r="M536">
        <f>_xlfn.XLOOKUP(F536,magnet_list!$A$2:$A$592,magnet_list!$L$2:$L$592,"n/a",0,1)</f>
        <v>44</v>
      </c>
    </row>
    <row r="537" spans="1:19">
      <c r="A537" t="s">
        <v>797</v>
      </c>
      <c r="B537" t="s">
        <v>805</v>
      </c>
      <c r="C537" t="s">
        <v>806</v>
      </c>
      <c r="E537" s="2" t="s">
        <v>60</v>
      </c>
      <c r="F537" s="2" t="s">
        <v>2441</v>
      </c>
      <c r="G537" s="1">
        <f t="shared" si="16"/>
        <v>120.82877229549</v>
      </c>
      <c r="H537">
        <v>0</v>
      </c>
      <c r="I537">
        <v>113426.71869511</v>
      </c>
      <c r="J537">
        <v>35</v>
      </c>
      <c r="K537">
        <v>305</v>
      </c>
      <c r="L537">
        <f>_xlfn.XLOOKUP(F537,magnet_list!$A$2:$A$592,magnet_list!$M$2:$M$592,"n/a",0,1)</f>
        <v>300</v>
      </c>
      <c r="M537">
        <f>_xlfn.XLOOKUP(F537,magnet_list!$A$2:$A$592,magnet_list!$L$2:$L$592,"n/a",0,1)</f>
        <v>44</v>
      </c>
    </row>
    <row r="538" spans="1:19">
      <c r="A538" t="s">
        <v>797</v>
      </c>
      <c r="B538" t="s">
        <v>1152</v>
      </c>
      <c r="C538" t="s">
        <v>1152</v>
      </c>
      <c r="D538" t="s">
        <v>804</v>
      </c>
      <c r="E538" s="3" t="s">
        <v>1990</v>
      </c>
      <c r="F538" s="3" t="s">
        <v>1990</v>
      </c>
      <c r="G538" s="1">
        <f>$G$534+ABS($I$538-$I$534)/1000</f>
        <v>121.08856427930984</v>
      </c>
      <c r="H538">
        <v>0</v>
      </c>
      <c r="I538">
        <f>$I$534+570</f>
        <v>113686.51067892984</v>
      </c>
      <c r="J538">
        <v>-270</v>
      </c>
      <c r="K538">
        <v>0</v>
      </c>
    </row>
    <row r="539" spans="1:19">
      <c r="A539" t="s">
        <v>797</v>
      </c>
      <c r="B539" t="s">
        <v>1152</v>
      </c>
      <c r="C539" t="s">
        <v>1152</v>
      </c>
      <c r="D539" t="s">
        <v>804</v>
      </c>
      <c r="E539" s="3" t="s">
        <v>1989</v>
      </c>
      <c r="F539" s="3" t="s">
        <v>1989</v>
      </c>
      <c r="G539" s="1">
        <f>$G$538+ABS($I$539-$I$538)/1000</f>
        <v>121.18356427930983</v>
      </c>
      <c r="H539">
        <v>0</v>
      </c>
      <c r="I539">
        <f>$I$538+95</f>
        <v>113781.51067892984</v>
      </c>
      <c r="J539">
        <v>-270</v>
      </c>
      <c r="K539">
        <v>0</v>
      </c>
    </row>
    <row r="540" spans="1:19">
      <c r="A540" t="s">
        <v>797</v>
      </c>
      <c r="B540" t="s">
        <v>803</v>
      </c>
      <c r="C540" t="s">
        <v>806</v>
      </c>
      <c r="E540" t="s">
        <v>1112</v>
      </c>
      <c r="F540" t="s">
        <v>1112</v>
      </c>
      <c r="G540" s="1">
        <f t="shared" si="16"/>
        <v>121.32671451602999</v>
      </c>
      <c r="H540">
        <v>-109</v>
      </c>
      <c r="I540">
        <v>113924.66091565001</v>
      </c>
      <c r="J540">
        <v>-689</v>
      </c>
      <c r="K540">
        <v>-419</v>
      </c>
      <c r="R540">
        <v>383.51500026000002</v>
      </c>
      <c r="S540">
        <f>R540/2</f>
        <v>191.75750013000001</v>
      </c>
    </row>
    <row r="541" spans="1:19">
      <c r="A541" t="s">
        <v>797</v>
      </c>
      <c r="B541" t="s">
        <v>805</v>
      </c>
      <c r="C541" t="s">
        <v>1152</v>
      </c>
      <c r="D541" t="s">
        <v>804</v>
      </c>
      <c r="E541" t="s">
        <v>3865</v>
      </c>
      <c r="F541" t="s">
        <v>3865</v>
      </c>
      <c r="G541" s="1">
        <f>$G$542-538.9426608/1000</f>
        <v>122.42376713658999</v>
      </c>
      <c r="H541">
        <v>0</v>
      </c>
      <c r="I541">
        <f>$I$542-538.9426608</f>
        <v>115021.71353620999</v>
      </c>
      <c r="J541">
        <v>-270</v>
      </c>
      <c r="K541">
        <v>0</v>
      </c>
      <c r="L541">
        <v>324</v>
      </c>
      <c r="M541">
        <v>42</v>
      </c>
      <c r="R541">
        <v>730.70016094000005</v>
      </c>
      <c r="S541">
        <f>R541-S540</f>
        <v>538.94266081000001</v>
      </c>
    </row>
    <row r="542" spans="1:19">
      <c r="A542" t="s">
        <v>797</v>
      </c>
      <c r="B542" t="s">
        <v>805</v>
      </c>
      <c r="C542" t="s">
        <v>806</v>
      </c>
      <c r="E542" s="2" t="s">
        <v>61</v>
      </c>
      <c r="F542" s="2" t="s">
        <v>2442</v>
      </c>
      <c r="G542" s="1">
        <f>G540+(I542-I540)/1000</f>
        <v>122.96270979738999</v>
      </c>
      <c r="H542">
        <v>0</v>
      </c>
      <c r="I542">
        <v>115560.65619701</v>
      </c>
      <c r="J542">
        <v>-70</v>
      </c>
      <c r="K542">
        <v>200</v>
      </c>
      <c r="L542">
        <f>_xlfn.XLOOKUP(F542,magnet_list!$A$2:$A$592,magnet_list!$M$2:$M$592,"n/a",0,1)</f>
        <v>100</v>
      </c>
      <c r="M542">
        <f>_xlfn.XLOOKUP(F542,magnet_list!$A$2:$A$592,magnet_list!$L$2:$L$592,"n/a",0,1)</f>
        <v>44</v>
      </c>
    </row>
    <row r="543" spans="1:19">
      <c r="A543" t="s">
        <v>797</v>
      </c>
      <c r="B543" t="s">
        <v>805</v>
      </c>
      <c r="C543" t="s">
        <v>1152</v>
      </c>
      <c r="D543" t="s">
        <v>804</v>
      </c>
      <c r="E543" s="2" t="s">
        <v>577</v>
      </c>
      <c r="F543" s="2" t="s">
        <v>2442</v>
      </c>
      <c r="G543" s="1">
        <f t="shared" si="16"/>
        <v>123.00270979739</v>
      </c>
      <c r="H543">
        <v>0</v>
      </c>
      <c r="I543">
        <v>115600.65619701</v>
      </c>
      <c r="J543">
        <v>-70</v>
      </c>
      <c r="K543">
        <v>200</v>
      </c>
      <c r="L543">
        <f>_xlfn.XLOOKUP(F543,magnet_list!$A$2:$A$592,magnet_list!$M$2:$M$592,"n/a",0,1)</f>
        <v>100</v>
      </c>
      <c r="M543">
        <f>_xlfn.XLOOKUP(F543,magnet_list!$A$2:$A$592,magnet_list!$L$2:$L$592,"n/a",0,1)</f>
        <v>44</v>
      </c>
    </row>
    <row r="544" spans="1:19">
      <c r="A544" t="s">
        <v>797</v>
      </c>
      <c r="B544" t="s">
        <v>805</v>
      </c>
      <c r="C544" t="s">
        <v>806</v>
      </c>
      <c r="E544" s="2" t="s">
        <v>62</v>
      </c>
      <c r="F544" s="2" t="s">
        <v>2442</v>
      </c>
      <c r="G544" s="1">
        <f t="shared" si="16"/>
        <v>123.04272554433</v>
      </c>
      <c r="H544">
        <v>0</v>
      </c>
      <c r="I544">
        <v>115640.67194395</v>
      </c>
      <c r="J544">
        <v>-70</v>
      </c>
      <c r="K544">
        <v>200</v>
      </c>
      <c r="L544">
        <f>_xlfn.XLOOKUP(F544,magnet_list!$A$2:$A$592,magnet_list!$M$2:$M$592,"n/a",0,1)</f>
        <v>100</v>
      </c>
      <c r="M544">
        <f>_xlfn.XLOOKUP(F544,magnet_list!$A$2:$A$592,magnet_list!$L$2:$L$592,"n/a",0,1)</f>
        <v>44</v>
      </c>
    </row>
    <row r="545" spans="1:18">
      <c r="A545" t="s">
        <v>797</v>
      </c>
      <c r="B545" t="s">
        <v>805</v>
      </c>
      <c r="C545" t="s">
        <v>806</v>
      </c>
      <c r="E545" s="2" t="s">
        <v>63</v>
      </c>
      <c r="F545" s="2" t="s">
        <v>2443</v>
      </c>
      <c r="G545" s="1">
        <f t="shared" si="16"/>
        <v>123.21272714588</v>
      </c>
      <c r="H545">
        <v>0</v>
      </c>
      <c r="I545">
        <v>115810.6735455</v>
      </c>
      <c r="J545">
        <v>-70</v>
      </c>
      <c r="K545">
        <v>200</v>
      </c>
      <c r="L545">
        <f>_xlfn.XLOOKUP(F545,magnet_list!$A$2:$A$592,magnet_list!$M$2:$M$592,"n/a",0,1)</f>
        <v>100</v>
      </c>
      <c r="M545">
        <f>_xlfn.XLOOKUP(F545,magnet_list!$A$2:$A$592,magnet_list!$L$2:$L$592,"n/a",0,1)</f>
        <v>44</v>
      </c>
    </row>
    <row r="546" spans="1:18">
      <c r="A546" t="s">
        <v>797</v>
      </c>
      <c r="B546" t="s">
        <v>805</v>
      </c>
      <c r="C546" t="s">
        <v>1152</v>
      </c>
      <c r="D546" t="s">
        <v>804</v>
      </c>
      <c r="E546" s="2" t="s">
        <v>578</v>
      </c>
      <c r="F546" s="2" t="s">
        <v>2443</v>
      </c>
      <c r="G546" s="1">
        <f t="shared" si="16"/>
        <v>123.25272714588</v>
      </c>
      <c r="H546">
        <v>0</v>
      </c>
      <c r="I546">
        <v>115850.6735455</v>
      </c>
      <c r="J546">
        <v>-70</v>
      </c>
      <c r="K546">
        <v>200</v>
      </c>
      <c r="L546">
        <f>_xlfn.XLOOKUP(F546,magnet_list!$A$2:$A$592,magnet_list!$M$2:$M$592,"n/a",0,1)</f>
        <v>100</v>
      </c>
      <c r="M546">
        <f>_xlfn.XLOOKUP(F546,magnet_list!$A$2:$A$592,magnet_list!$L$2:$L$592,"n/a",0,1)</f>
        <v>44</v>
      </c>
    </row>
    <row r="547" spans="1:18">
      <c r="A547" t="s">
        <v>797</v>
      </c>
      <c r="B547" t="s">
        <v>805</v>
      </c>
      <c r="C547" t="s">
        <v>806</v>
      </c>
      <c r="E547" s="2" t="s">
        <v>64</v>
      </c>
      <c r="F547" s="2" t="s">
        <v>2443</v>
      </c>
      <c r="G547" s="1">
        <f t="shared" si="16"/>
        <v>123.29276077464</v>
      </c>
      <c r="H547">
        <v>0</v>
      </c>
      <c r="I547">
        <v>115890.70717425999</v>
      </c>
      <c r="J547">
        <v>-70</v>
      </c>
      <c r="K547">
        <v>200</v>
      </c>
      <c r="L547">
        <f>_xlfn.XLOOKUP(F547,magnet_list!$A$2:$A$592,magnet_list!$M$2:$M$592,"n/a",0,1)</f>
        <v>100</v>
      </c>
      <c r="M547">
        <f>_xlfn.XLOOKUP(F547,magnet_list!$A$2:$A$592,magnet_list!$L$2:$L$592,"n/a",0,1)</f>
        <v>44</v>
      </c>
    </row>
    <row r="548" spans="1:18">
      <c r="A548" t="s">
        <v>797</v>
      </c>
      <c r="B548" t="s">
        <v>1152</v>
      </c>
      <c r="C548" t="s">
        <v>1152</v>
      </c>
      <c r="D548" t="s">
        <v>804</v>
      </c>
      <c r="E548" s="3" t="s">
        <v>1991</v>
      </c>
      <c r="F548" s="3" t="s">
        <v>1991</v>
      </c>
      <c r="G548" s="1">
        <f>$G$539+ABS($I$548-$I$539)/1000</f>
        <v>123.43956427930983</v>
      </c>
      <c r="H548">
        <v>0</v>
      </c>
      <c r="I548">
        <f>$I$539+2256</f>
        <v>116037.51067892984</v>
      </c>
      <c r="J548">
        <v>-270</v>
      </c>
      <c r="K548">
        <v>0</v>
      </c>
    </row>
    <row r="549" spans="1:18">
      <c r="A549" t="s">
        <v>797</v>
      </c>
      <c r="B549" t="s">
        <v>805</v>
      </c>
      <c r="C549" t="s">
        <v>806</v>
      </c>
      <c r="E549" s="2" t="s">
        <v>65</v>
      </c>
      <c r="F549" s="2" t="s">
        <v>2444</v>
      </c>
      <c r="G549" s="1">
        <f t="shared" si="16"/>
        <v>123.60589622882999</v>
      </c>
      <c r="H549">
        <v>0</v>
      </c>
      <c r="I549">
        <v>116203.84262845</v>
      </c>
      <c r="J549">
        <v>35</v>
      </c>
      <c r="K549">
        <v>305</v>
      </c>
      <c r="L549">
        <f>_xlfn.XLOOKUP(F549,magnet_list!$A$2:$A$592,magnet_list!$M$2:$M$592,"n/a",0,1)</f>
        <v>300</v>
      </c>
      <c r="M549">
        <f>_xlfn.XLOOKUP(F549,magnet_list!$A$2:$A$592,magnet_list!$L$2:$L$592,"n/a",0,1)</f>
        <v>44</v>
      </c>
    </row>
    <row r="550" spans="1:18">
      <c r="A550" t="s">
        <v>797</v>
      </c>
      <c r="B550" t="s">
        <v>805</v>
      </c>
      <c r="C550" t="s">
        <v>1152</v>
      </c>
      <c r="D550" t="s">
        <v>804</v>
      </c>
      <c r="E550" s="2" t="s">
        <v>579</v>
      </c>
      <c r="F550" s="2" t="s">
        <v>2444</v>
      </c>
      <c r="G550" s="1">
        <f t="shared" si="16"/>
        <v>123.68139622883</v>
      </c>
      <c r="H550">
        <v>0</v>
      </c>
      <c r="I550">
        <v>116279.34262845</v>
      </c>
      <c r="J550">
        <v>35</v>
      </c>
      <c r="K550">
        <v>305</v>
      </c>
      <c r="L550">
        <f>_xlfn.XLOOKUP(F550,magnet_list!$A$2:$A$592,magnet_list!$M$2:$M$592,"n/a",0,1)</f>
        <v>300</v>
      </c>
      <c r="M550">
        <f>_xlfn.XLOOKUP(F550,magnet_list!$A$2:$A$592,magnet_list!$L$2:$L$592,"n/a",0,1)</f>
        <v>44</v>
      </c>
    </row>
    <row r="551" spans="1:18">
      <c r="A551" t="s">
        <v>797</v>
      </c>
      <c r="B551" t="s">
        <v>805</v>
      </c>
      <c r="C551" t="s">
        <v>806</v>
      </c>
      <c r="E551" s="2" t="s">
        <v>66</v>
      </c>
      <c r="F551" s="2" t="s">
        <v>2444</v>
      </c>
      <c r="G551" s="1">
        <f t="shared" si="16"/>
        <v>123.75589758272</v>
      </c>
      <c r="H551">
        <v>0</v>
      </c>
      <c r="I551">
        <v>116353.84398234</v>
      </c>
      <c r="J551">
        <v>35</v>
      </c>
      <c r="K551">
        <v>305</v>
      </c>
      <c r="L551">
        <f>_xlfn.XLOOKUP(F551,magnet_list!$A$2:$A$592,magnet_list!$M$2:$M$592,"n/a",0,1)</f>
        <v>300</v>
      </c>
      <c r="M551">
        <f>_xlfn.XLOOKUP(F551,magnet_list!$A$2:$A$592,magnet_list!$L$2:$L$592,"n/a",0,1)</f>
        <v>44</v>
      </c>
    </row>
    <row r="552" spans="1:18">
      <c r="A552" t="s">
        <v>797</v>
      </c>
      <c r="B552" t="s">
        <v>805</v>
      </c>
      <c r="C552" t="s">
        <v>806</v>
      </c>
      <c r="E552" s="2" t="s">
        <v>67</v>
      </c>
      <c r="F552" s="2" t="s">
        <v>2445</v>
      </c>
      <c r="G552" s="1">
        <f t="shared" si="16"/>
        <v>124.33747916896</v>
      </c>
      <c r="H552">
        <v>0</v>
      </c>
      <c r="I552">
        <v>116935.42556858</v>
      </c>
      <c r="J552">
        <v>35</v>
      </c>
      <c r="K552">
        <v>305</v>
      </c>
      <c r="L552">
        <f>_xlfn.XLOOKUP(F552,magnet_list!$A$2:$A$592,magnet_list!$M$2:$M$592,"n/a",0,1)</f>
        <v>300</v>
      </c>
      <c r="M552">
        <f>_xlfn.XLOOKUP(F552,magnet_list!$A$2:$A$592,magnet_list!$L$2:$L$592,"n/a",0,1)</f>
        <v>44</v>
      </c>
    </row>
    <row r="553" spans="1:18">
      <c r="A553" t="s">
        <v>797</v>
      </c>
      <c r="B553" t="s">
        <v>805</v>
      </c>
      <c r="C553" t="s">
        <v>1152</v>
      </c>
      <c r="D553" t="s">
        <v>804</v>
      </c>
      <c r="E553" s="2" t="s">
        <v>580</v>
      </c>
      <c r="F553" s="2" t="s">
        <v>2445</v>
      </c>
      <c r="G553" s="1">
        <f t="shared" si="16"/>
        <v>124.41297916896001</v>
      </c>
      <c r="H553">
        <v>0</v>
      </c>
      <c r="I553">
        <v>117010.92556858</v>
      </c>
      <c r="J553">
        <v>35</v>
      </c>
      <c r="K553">
        <v>305</v>
      </c>
      <c r="L553">
        <f>_xlfn.XLOOKUP(F553,magnet_list!$A$2:$A$592,magnet_list!$M$2:$M$592,"n/a",0,1)</f>
        <v>300</v>
      </c>
      <c r="M553">
        <f>_xlfn.XLOOKUP(F553,magnet_list!$A$2:$A$592,magnet_list!$L$2:$L$592,"n/a",0,1)</f>
        <v>44</v>
      </c>
    </row>
    <row r="554" spans="1:18">
      <c r="A554" t="s">
        <v>797</v>
      </c>
      <c r="B554" t="s">
        <v>805</v>
      </c>
      <c r="C554" t="s">
        <v>806</v>
      </c>
      <c r="E554" s="2" t="s">
        <v>68</v>
      </c>
      <c r="F554" s="2" t="s">
        <v>2445</v>
      </c>
      <c r="G554" s="1">
        <f t="shared" si="16"/>
        <v>124.48748281099</v>
      </c>
      <c r="H554">
        <v>0</v>
      </c>
      <c r="I554">
        <v>117085.42921061</v>
      </c>
      <c r="J554">
        <v>35</v>
      </c>
      <c r="K554">
        <v>305</v>
      </c>
      <c r="L554">
        <f>_xlfn.XLOOKUP(F554,magnet_list!$A$2:$A$592,magnet_list!$M$2:$M$592,"n/a",0,1)</f>
        <v>300</v>
      </c>
      <c r="M554">
        <f>_xlfn.XLOOKUP(F554,magnet_list!$A$2:$A$592,magnet_list!$L$2:$L$592,"n/a",0,1)</f>
        <v>44</v>
      </c>
    </row>
    <row r="555" spans="1:18">
      <c r="A555" t="s">
        <v>797</v>
      </c>
      <c r="B555" t="s">
        <v>1152</v>
      </c>
      <c r="C555" t="s">
        <v>1152</v>
      </c>
      <c r="D555" t="s">
        <v>804</v>
      </c>
      <c r="E555" s="3" t="s">
        <v>1992</v>
      </c>
      <c r="F555" s="3" t="s">
        <v>1992</v>
      </c>
      <c r="G555" s="1">
        <f>$G$548+ABS($I$555-$I$548)/1000</f>
        <v>124.85656447930982</v>
      </c>
      <c r="H555">
        <v>0</v>
      </c>
      <c r="I555">
        <f>$I$548+1417.0002</f>
        <v>117454.51087892984</v>
      </c>
      <c r="J555">
        <v>-270</v>
      </c>
      <c r="K555">
        <v>0</v>
      </c>
    </row>
    <row r="556" spans="1:18">
      <c r="A556" t="s">
        <v>797</v>
      </c>
      <c r="B556" t="s">
        <v>805</v>
      </c>
      <c r="C556" t="s">
        <v>806</v>
      </c>
      <c r="D556" t="s">
        <v>804</v>
      </c>
      <c r="E556" s="2" t="s">
        <v>69</v>
      </c>
      <c r="F556" s="2" t="s">
        <v>2446</v>
      </c>
      <c r="G556" s="2">
        <f>$G$554+SQRT(($H$556-$H$554)^2+($I$556-$I$554)^2)/1000</f>
        <v>125.14714111264</v>
      </c>
      <c r="H556">
        <v>0</v>
      </c>
      <c r="I556">
        <v>117745.08751226</v>
      </c>
      <c r="J556">
        <v>110</v>
      </c>
      <c r="K556">
        <v>380</v>
      </c>
      <c r="L556">
        <f>_xlfn.XLOOKUP(F556,magnet_list!$A$2:$A$592,magnet_list!$M$2:$M$592,"n/a",0,1)</f>
        <v>1869.25</v>
      </c>
      <c r="M556">
        <f>_xlfn.XLOOKUP(F556,magnet_list!$A$2:$A$592,magnet_list!$L$2:$L$592,"n/a",0,1)</f>
        <v>25</v>
      </c>
      <c r="O556" t="s">
        <v>2345</v>
      </c>
      <c r="Q556">
        <v>85</v>
      </c>
    </row>
    <row r="557" spans="1:18">
      <c r="A557" t="s">
        <v>797</v>
      </c>
      <c r="B557" t="s">
        <v>805</v>
      </c>
      <c r="C557" t="s">
        <v>806</v>
      </c>
      <c r="D557" t="s">
        <v>804</v>
      </c>
      <c r="E557" s="2" t="s">
        <v>70</v>
      </c>
      <c r="F557" s="2" t="s">
        <v>2446</v>
      </c>
      <c r="G557" s="2">
        <f>$G$556+849.7211/1000</f>
        <v>125.99686221264</v>
      </c>
      <c r="H557">
        <v>-121.645</v>
      </c>
      <c r="I557">
        <v>118584.08192308</v>
      </c>
      <c r="J557">
        <v>110</v>
      </c>
      <c r="K557">
        <v>380</v>
      </c>
      <c r="L557">
        <f>_xlfn.XLOOKUP(F557,magnet_list!$A$2:$A$592,magnet_list!$M$2:$M$592,"n/a",0,1)</f>
        <v>1869.25</v>
      </c>
      <c r="M557">
        <f>_xlfn.XLOOKUP(F557,magnet_list!$A$2:$A$592,magnet_list!$L$2:$L$592,"n/a",0,1)</f>
        <v>25</v>
      </c>
      <c r="O557" t="s">
        <v>2344</v>
      </c>
      <c r="Q557">
        <f>R557/2</f>
        <v>849.72109999999998</v>
      </c>
      <c r="R557">
        <v>1699.4422</v>
      </c>
    </row>
    <row r="558" spans="1:18">
      <c r="A558" t="s">
        <v>797</v>
      </c>
      <c r="B558" t="s">
        <v>805</v>
      </c>
      <c r="C558" t="s">
        <v>1152</v>
      </c>
      <c r="D558" t="s">
        <v>804</v>
      </c>
      <c r="E558" s="2" t="s">
        <v>581</v>
      </c>
      <c r="F558" s="2" t="s">
        <v>2446</v>
      </c>
      <c r="G558" s="2">
        <f>$G$557+849.7211/1000</f>
        <v>126.84658331263999</v>
      </c>
      <c r="H558">
        <v>-435.78899999999999</v>
      </c>
      <c r="I558">
        <v>119371.48592307999</v>
      </c>
      <c r="J558">
        <v>110</v>
      </c>
      <c r="K558">
        <v>380</v>
      </c>
      <c r="L558">
        <f>_xlfn.XLOOKUP(F558,magnet_list!$A$2:$A$592,magnet_list!$M$2:$M$592,"n/a",0,1)</f>
        <v>1869.25</v>
      </c>
      <c r="M558">
        <f>_xlfn.XLOOKUP(F558,magnet_list!$A$2:$A$592,magnet_list!$L$2:$L$592,"n/a",0,1)</f>
        <v>25</v>
      </c>
      <c r="O558" t="s">
        <v>2346</v>
      </c>
      <c r="Q558">
        <f>R557/2</f>
        <v>849.72109999999998</v>
      </c>
    </row>
    <row r="559" spans="1:18">
      <c r="A559" t="s">
        <v>797</v>
      </c>
      <c r="B559" t="s">
        <v>805</v>
      </c>
      <c r="C559" t="s">
        <v>1152</v>
      </c>
      <c r="D559" t="s">
        <v>804</v>
      </c>
      <c r="E559" s="2" t="s">
        <v>582</v>
      </c>
      <c r="F559" s="2" t="s">
        <v>582</v>
      </c>
      <c r="G559" s="2">
        <f>$G$558+SQRT(($H$559-$H$558)^2+($I$559-$I$558)^2)/1000</f>
        <v>127.39923342851739</v>
      </c>
      <c r="H559">
        <v>-712.11429999999996</v>
      </c>
      <c r="I559">
        <v>119850.09482308</v>
      </c>
      <c r="J559">
        <v>35</v>
      </c>
      <c r="K559">
        <v>305</v>
      </c>
      <c r="L559">
        <f>_xlfn.XLOOKUP(F559,magnet_list!$A$2:$A$592,magnet_list!$M$2:$M$592,"n/a",0,1)</f>
        <v>100</v>
      </c>
      <c r="M559">
        <f>_xlfn.XLOOKUP(F559,magnet_list!$A$2:$A$592,magnet_list!$L$2:$L$592,"n/a",0,1)</f>
        <v>52</v>
      </c>
      <c r="O559" t="s">
        <v>2347</v>
      </c>
      <c r="Q559">
        <v>85</v>
      </c>
    </row>
    <row r="560" spans="1:18">
      <c r="A560" t="s">
        <v>797</v>
      </c>
      <c r="B560" t="s">
        <v>1152</v>
      </c>
      <c r="C560" t="s">
        <v>1152</v>
      </c>
      <c r="D560" t="s">
        <v>804</v>
      </c>
      <c r="E560" s="3" t="s">
        <v>1993</v>
      </c>
      <c r="F560" s="3" t="s">
        <v>1993</v>
      </c>
      <c r="G560" s="2">
        <f>$G$559+257.0767/1000</f>
        <v>127.65631012851739</v>
      </c>
      <c r="H560">
        <f>($H$562-$H$559)/($G$562-$G$559)*(G560-$G$559)+$H$559</f>
        <v>-851.50967794004589</v>
      </c>
      <c r="I560">
        <f>($I$562-$I$559)/($G$562-$G$559)*(G560-$G$559)+$I$559</f>
        <v>120066.09796725119</v>
      </c>
      <c r="J560">
        <v>-270</v>
      </c>
      <c r="K560">
        <v>0</v>
      </c>
    </row>
    <row r="561" spans="1:18">
      <c r="A561" t="s">
        <v>797</v>
      </c>
      <c r="B561" t="s">
        <v>1152</v>
      </c>
      <c r="C561" t="s">
        <v>1152</v>
      </c>
      <c r="D561" t="s">
        <v>804</v>
      </c>
      <c r="E561" s="3" t="s">
        <v>1995</v>
      </c>
      <c r="F561" s="3" t="s">
        <v>1995</v>
      </c>
      <c r="G561" s="2">
        <f>$G$560+85.0438/1000</f>
        <v>127.74135392851738</v>
      </c>
      <c r="H561">
        <f>($H$562-$H$559)/($G$562-$G$559)*(G561-$G$559)+$H$559</f>
        <v>-897.6232022013146</v>
      </c>
      <c r="I561">
        <f>($I$562-$I$559)/($G$562-$G$559)*(G561-$G$559)+$I$559</f>
        <v>120137.55418320645</v>
      </c>
      <c r="J561">
        <v>-270</v>
      </c>
      <c r="K561">
        <v>0</v>
      </c>
    </row>
    <row r="562" spans="1:18">
      <c r="A562" t="s">
        <v>797</v>
      </c>
      <c r="B562" t="s">
        <v>805</v>
      </c>
      <c r="C562" t="s">
        <v>1152</v>
      </c>
      <c r="E562" s="2" t="s">
        <v>583</v>
      </c>
      <c r="F562" s="2" t="s">
        <v>2447</v>
      </c>
      <c r="G562" s="2">
        <f>$G$559+SQRT(($H$562-$H$559)^2+($I$562-$I$559)^2)/1000</f>
        <v>127.92437647331386</v>
      </c>
      <c r="H562">
        <v>-996.86400000000003</v>
      </c>
      <c r="I562">
        <v>120291.33492307999</v>
      </c>
      <c r="J562">
        <v>35</v>
      </c>
      <c r="K562">
        <v>305</v>
      </c>
      <c r="L562">
        <f>_xlfn.XLOOKUP(F562,magnet_list!$A$2:$A$592,magnet_list!$M$2:$M$592,"n/a",0,1)</f>
        <v>300</v>
      </c>
      <c r="M562">
        <f>_xlfn.XLOOKUP(F562,magnet_list!$A$2:$A$592,magnet_list!$L$2:$L$592,"n/a",0,1)</f>
        <v>44</v>
      </c>
    </row>
    <row r="563" spans="1:18">
      <c r="A563" t="s">
        <v>797</v>
      </c>
      <c r="B563" t="s">
        <v>805</v>
      </c>
      <c r="C563" t="s">
        <v>1152</v>
      </c>
      <c r="D563" t="s">
        <v>804</v>
      </c>
      <c r="E563" s="2" t="s">
        <v>584</v>
      </c>
      <c r="F563" s="2" t="s">
        <v>2447</v>
      </c>
      <c r="G563" s="2">
        <f>($G$564+$G$562)/2</f>
        <v>127.99360624093589</v>
      </c>
      <c r="H563">
        <f>($H$564+$H$562)/2</f>
        <v>-1019.614</v>
      </c>
      <c r="I563">
        <f>($I$564+$I$562)/2</f>
        <v>120356.71992308</v>
      </c>
      <c r="J563">
        <v>35</v>
      </c>
      <c r="K563">
        <v>305</v>
      </c>
      <c r="L563">
        <f>_xlfn.XLOOKUP(F563,magnet_list!$A$2:$A$592,magnet_list!$M$2:$M$592,"n/a",0,1)</f>
        <v>300</v>
      </c>
      <c r="M563">
        <f>_xlfn.XLOOKUP(F563,magnet_list!$A$2:$A$592,magnet_list!$L$2:$L$592,"n/a",0,1)</f>
        <v>44</v>
      </c>
    </row>
    <row r="564" spans="1:18">
      <c r="A564" t="s">
        <v>797</v>
      </c>
      <c r="B564" t="s">
        <v>805</v>
      </c>
      <c r="C564" t="s">
        <v>1152</v>
      </c>
      <c r="E564" s="2" t="s">
        <v>585</v>
      </c>
      <c r="F564" s="2" t="s">
        <v>2447</v>
      </c>
      <c r="G564" s="2">
        <f>$G$562+SQRT(($H$564-$H$562)^2+($I$564-$I$562)^2)/1000</f>
        <v>128.06283600855792</v>
      </c>
      <c r="H564">
        <v>-1042.364</v>
      </c>
      <c r="I564">
        <v>120422.10492308</v>
      </c>
      <c r="J564">
        <v>35</v>
      </c>
      <c r="K564">
        <v>305</v>
      </c>
      <c r="L564">
        <f>_xlfn.XLOOKUP(F564,magnet_list!$A$2:$A$592,magnet_list!$M$2:$M$592,"n/a",0,1)</f>
        <v>300</v>
      </c>
      <c r="M564">
        <f>_xlfn.XLOOKUP(F564,magnet_list!$A$2:$A$592,magnet_list!$L$2:$L$592,"n/a",0,1)</f>
        <v>44</v>
      </c>
    </row>
    <row r="565" spans="1:18">
      <c r="A565" t="s">
        <v>797</v>
      </c>
      <c r="B565" t="s">
        <v>2288</v>
      </c>
      <c r="C565" t="s">
        <v>1152</v>
      </c>
      <c r="D565" t="s">
        <v>804</v>
      </c>
      <c r="E565" s="8" t="s">
        <v>3707</v>
      </c>
      <c r="F565" s="8" t="s">
        <v>3707</v>
      </c>
      <c r="G565" s="2">
        <f>$G$560+710.0438/1000</f>
        <v>128.36635392851738</v>
      </c>
      <c r="H565">
        <f>($H$564-$H$559)/($G$564-$G$559)*(G565-$G$559)+$H$559</f>
        <v>-1193.4132952048403</v>
      </c>
      <c r="I565">
        <f>($I$564-$I$559)/($G$564-$G$559)*(G565-$G$559)+$I$559</f>
        <v>120683.73036121075</v>
      </c>
      <c r="J565">
        <v>-270</v>
      </c>
      <c r="K565">
        <v>0</v>
      </c>
      <c r="L565">
        <v>40</v>
      </c>
      <c r="M565">
        <v>39</v>
      </c>
      <c r="O565" t="s">
        <v>3708</v>
      </c>
    </row>
    <row r="566" spans="1:18">
      <c r="A566" t="s">
        <v>797</v>
      </c>
      <c r="B566" t="s">
        <v>803</v>
      </c>
      <c r="C566" t="s">
        <v>806</v>
      </c>
      <c r="E566" t="s">
        <v>997</v>
      </c>
      <c r="F566" t="s">
        <v>997</v>
      </c>
      <c r="G566" s="2">
        <v>128.958944</v>
      </c>
      <c r="H566">
        <v>2262.8787526999999</v>
      </c>
      <c r="I566">
        <v>125076.13038572</v>
      </c>
      <c r="J566">
        <v>183.0897827</v>
      </c>
      <c r="K566">
        <v>453.0897827</v>
      </c>
    </row>
    <row r="567" spans="1:18">
      <c r="A567" t="s">
        <v>797</v>
      </c>
      <c r="B567" t="s">
        <v>805</v>
      </c>
      <c r="C567" t="s">
        <v>806</v>
      </c>
      <c r="D567" t="s">
        <v>804</v>
      </c>
      <c r="E567" s="2" t="s">
        <v>586</v>
      </c>
      <c r="F567" s="2" t="s">
        <v>2448</v>
      </c>
      <c r="G567" s="2">
        <f>$G$564+SQRT(($H$567-$H$564)^2+($I$567-$I$564)^2)/1000</f>
        <v>129.12629887611524</v>
      </c>
      <c r="H567">
        <v>-1573.9639999999999</v>
      </c>
      <c r="I567">
        <v>121343.16665319</v>
      </c>
      <c r="J567">
        <v>110</v>
      </c>
      <c r="K567">
        <v>380</v>
      </c>
      <c r="L567">
        <f>_xlfn.XLOOKUP(F567,magnet_list!$A$2:$A$592,magnet_list!$M$2:$M$592,"n/a",0,1)</f>
        <v>1869.25</v>
      </c>
      <c r="M567">
        <f>_xlfn.XLOOKUP(F567,magnet_list!$A$2:$A$592,magnet_list!$L$2:$L$592,"n/a",0,1)</f>
        <v>25</v>
      </c>
      <c r="O567" t="s">
        <v>2345</v>
      </c>
      <c r="Q567">
        <v>85</v>
      </c>
    </row>
    <row r="568" spans="1:18">
      <c r="A568" t="s">
        <v>797</v>
      </c>
      <c r="B568" t="s">
        <v>805</v>
      </c>
      <c r="C568" t="s">
        <v>806</v>
      </c>
      <c r="D568" t="s">
        <v>804</v>
      </c>
      <c r="E568" s="2" t="s">
        <v>71</v>
      </c>
      <c r="F568" s="2" t="s">
        <v>2448</v>
      </c>
      <c r="G568" s="2">
        <f>$G$567+849.7211/1000</f>
        <v>129.97601997611525</v>
      </c>
      <c r="H568">
        <v>-2009.001</v>
      </c>
      <c r="I568">
        <v>122098.73865319</v>
      </c>
      <c r="J568">
        <v>110</v>
      </c>
      <c r="K568">
        <v>380</v>
      </c>
      <c r="L568">
        <f>_xlfn.XLOOKUP(F568,magnet_list!$A$2:$A$592,magnet_list!$M$2:$M$592,"n/a",0,1)</f>
        <v>1869.25</v>
      </c>
      <c r="M568">
        <f>_xlfn.XLOOKUP(F568,magnet_list!$A$2:$A$592,magnet_list!$L$2:$L$592,"n/a",0,1)</f>
        <v>25</v>
      </c>
      <c r="O568" t="s">
        <v>2344</v>
      </c>
      <c r="Q568">
        <v>849.72109999999998</v>
      </c>
      <c r="R568">
        <v>1699.4422</v>
      </c>
    </row>
    <row r="569" spans="1:18">
      <c r="A569" t="s">
        <v>797</v>
      </c>
      <c r="B569" t="s">
        <v>805</v>
      </c>
      <c r="C569" t="s">
        <v>806</v>
      </c>
      <c r="D569" t="s">
        <v>804</v>
      </c>
      <c r="E569" s="2" t="s">
        <v>72</v>
      </c>
      <c r="F569" s="2" t="s">
        <v>2448</v>
      </c>
      <c r="G569" s="2">
        <f>$G$568+849.7211/1000</f>
        <v>130.82574107611526</v>
      </c>
      <c r="H569">
        <v>-2764.5630000000001</v>
      </c>
      <c r="I569">
        <v>122534.52153472</v>
      </c>
      <c r="J569">
        <v>110</v>
      </c>
      <c r="K569">
        <v>380</v>
      </c>
      <c r="L569">
        <f>_xlfn.XLOOKUP(F569,magnet_list!$A$2:$A$592,magnet_list!$M$2:$M$592,"n/a",0,1)</f>
        <v>1869.25</v>
      </c>
      <c r="M569">
        <f>_xlfn.XLOOKUP(F569,magnet_list!$A$2:$A$592,magnet_list!$L$2:$L$592,"n/a",0,1)</f>
        <v>25</v>
      </c>
      <c r="O569" t="s">
        <v>2346</v>
      </c>
      <c r="Q569">
        <v>849.72109999999998</v>
      </c>
    </row>
    <row r="570" spans="1:18">
      <c r="A570" t="s">
        <v>797</v>
      </c>
      <c r="B570" t="s">
        <v>805</v>
      </c>
      <c r="C570" t="s">
        <v>806</v>
      </c>
      <c r="D570" t="s">
        <v>804</v>
      </c>
      <c r="E570" s="2" t="s">
        <v>73</v>
      </c>
      <c r="F570" s="2" t="s">
        <v>73</v>
      </c>
      <c r="G570" s="2">
        <f>$G$569+SQRT(($H$570-$H$569)^2+($I$570-$I$569)^2)/1000</f>
        <v>131.3144428442962</v>
      </c>
      <c r="H570">
        <v>-3187.7890000000002</v>
      </c>
      <c r="I570">
        <v>122778.87613596</v>
      </c>
      <c r="J570">
        <v>35</v>
      </c>
      <c r="K570">
        <v>305</v>
      </c>
      <c r="L570">
        <f>_xlfn.XLOOKUP(F570,magnet_list!$A$2:$A$592,magnet_list!$M$2:$M$592,"n/a",0,1)</f>
        <v>100</v>
      </c>
      <c r="M570">
        <f>_xlfn.XLOOKUP(F570,magnet_list!$A$2:$A$592,magnet_list!$L$2:$L$592,"n/a",0,1)</f>
        <v>52</v>
      </c>
      <c r="O570" t="s">
        <v>2347</v>
      </c>
      <c r="Q570">
        <v>85</v>
      </c>
    </row>
    <row r="571" spans="1:18">
      <c r="A571" t="s">
        <v>797</v>
      </c>
      <c r="B571" t="s">
        <v>1152</v>
      </c>
      <c r="C571" t="s">
        <v>1152</v>
      </c>
      <c r="D571" t="s">
        <v>804</v>
      </c>
      <c r="E571" s="3" t="s">
        <v>1994</v>
      </c>
      <c r="F571" s="3" t="s">
        <v>1994</v>
      </c>
      <c r="G571" s="2">
        <f>$G$570+207.5006/1000</f>
        <v>131.5219434442962</v>
      </c>
      <c r="H571">
        <f>($H$572-$H$570)/($G$572-$G$570)*(G571-$G$570)+$H$570</f>
        <v>-3367.4769454353041</v>
      </c>
      <c r="I571">
        <f>($I$572-$I$570)/($G$572-$G$570)*($G$571-$G$570)+$I$570</f>
        <v>122882.64868177824</v>
      </c>
      <c r="J571">
        <v>-270</v>
      </c>
      <c r="K571">
        <v>0</v>
      </c>
    </row>
    <row r="572" spans="1:18">
      <c r="A572" t="s">
        <v>797</v>
      </c>
      <c r="B572" t="s">
        <v>805</v>
      </c>
      <c r="C572" t="s">
        <v>806</v>
      </c>
      <c r="E572" s="2" t="s">
        <v>74</v>
      </c>
      <c r="F572" s="2" t="s">
        <v>2449</v>
      </c>
      <c r="G572" s="2">
        <f>$G$570+SQRT(($H$572-$H$570)^2+($I$572-$I$570)^2)/1000</f>
        <v>131.68897017796439</v>
      </c>
      <c r="H572">
        <v>-3512.116</v>
      </c>
      <c r="I572">
        <v>122966.17995529</v>
      </c>
      <c r="J572">
        <v>35</v>
      </c>
      <c r="K572">
        <v>305</v>
      </c>
      <c r="L572">
        <f>_xlfn.XLOOKUP(F572,magnet_list!$A$2:$A$592,magnet_list!$M$2:$M$592,"n/a",0,1)</f>
        <v>300</v>
      </c>
      <c r="M572">
        <f>_xlfn.XLOOKUP(F572,magnet_list!$A$2:$A$592,magnet_list!$L$2:$L$592,"n/a",0,1)</f>
        <v>44</v>
      </c>
    </row>
    <row r="573" spans="1:18">
      <c r="A573" t="s">
        <v>797</v>
      </c>
      <c r="B573" t="s">
        <v>805</v>
      </c>
      <c r="C573" t="s">
        <v>1152</v>
      </c>
      <c r="D573" t="s">
        <v>804</v>
      </c>
      <c r="E573" s="2" t="s">
        <v>587</v>
      </c>
      <c r="F573" s="2" t="s">
        <v>2449</v>
      </c>
      <c r="G573" s="2">
        <f>($G$574+$G$572)/2</f>
        <v>131.76434943031296</v>
      </c>
      <c r="H573">
        <f>($H$574+$H$572)/2</f>
        <v>-3577.5010000000002</v>
      </c>
      <c r="I573">
        <f>($I$574+$I$572)/2</f>
        <v>123003.687733945</v>
      </c>
      <c r="J573">
        <v>35</v>
      </c>
      <c r="K573">
        <v>305</v>
      </c>
      <c r="L573">
        <f>_xlfn.XLOOKUP(F573,magnet_list!$A$2:$A$592,magnet_list!$M$2:$M$592,"n/a",0,1)</f>
        <v>300</v>
      </c>
      <c r="M573">
        <f>_xlfn.XLOOKUP(F573,magnet_list!$A$2:$A$592,magnet_list!$L$2:$L$592,"n/a",0,1)</f>
        <v>44</v>
      </c>
    </row>
    <row r="574" spans="1:18">
      <c r="A574" t="s">
        <v>797</v>
      </c>
      <c r="B574" t="s">
        <v>805</v>
      </c>
      <c r="C574" t="s">
        <v>806</v>
      </c>
      <c r="E574" s="2" t="s">
        <v>75</v>
      </c>
      <c r="F574" s="2" t="s">
        <v>2449</v>
      </c>
      <c r="G574" s="2">
        <f>$G$572+SQRT(($H$574-$H$572)^2+($I$574-$I$572)^2)/1000</f>
        <v>131.83972868266156</v>
      </c>
      <c r="H574">
        <v>-3642.886</v>
      </c>
      <c r="I574">
        <v>123041.1955126</v>
      </c>
      <c r="J574">
        <v>35</v>
      </c>
      <c r="K574">
        <v>305</v>
      </c>
      <c r="L574">
        <f>_xlfn.XLOOKUP(F574,magnet_list!$A$2:$A$592,magnet_list!$M$2:$M$592,"n/a",0,1)</f>
        <v>300</v>
      </c>
      <c r="M574">
        <f>_xlfn.XLOOKUP(F574,magnet_list!$A$2:$A$592,magnet_list!$L$2:$L$592,"n/a",0,1)</f>
        <v>44</v>
      </c>
    </row>
    <row r="575" spans="1:18">
      <c r="A575" t="s">
        <v>797</v>
      </c>
      <c r="B575" t="s">
        <v>1152</v>
      </c>
      <c r="C575" t="s">
        <v>1152</v>
      </c>
      <c r="D575" t="s">
        <v>804</v>
      </c>
      <c r="E575" s="3" t="s">
        <v>1996</v>
      </c>
      <c r="F575" s="3" t="s">
        <v>1996</v>
      </c>
      <c r="G575" s="2">
        <f>$G$573+287.5014/1000</f>
        <v>132.05185083031296</v>
      </c>
      <c r="H575">
        <f>($H$576-$H$574)/($G$576-$G$574)*(G575-$G$574)+$H$574</f>
        <v>-3826.4723370775887</v>
      </c>
      <c r="I575">
        <f>($I$576-$I$574)/($G$576-$G$574)*(G575-$G$574)+$I$574</f>
        <v>123147.4586876075</v>
      </c>
      <c r="J575">
        <v>-270</v>
      </c>
      <c r="K575">
        <v>0</v>
      </c>
    </row>
    <row r="576" spans="1:18">
      <c r="A576" t="s">
        <v>797</v>
      </c>
      <c r="B576" t="s">
        <v>805</v>
      </c>
      <c r="C576" t="s">
        <v>806</v>
      </c>
      <c r="E576" s="2" t="s">
        <v>76</v>
      </c>
      <c r="F576" s="2" t="s">
        <v>2450</v>
      </c>
      <c r="G576" s="2">
        <f>$G$574+SQRT(($H$576-$H$574)^2+($I$576-$I$574)^2)/1000</f>
        <v>132.28901394983615</v>
      </c>
      <c r="H576">
        <v>-4031.7310000000002</v>
      </c>
      <c r="I576">
        <v>123266.26620655</v>
      </c>
      <c r="J576">
        <v>35</v>
      </c>
      <c r="K576">
        <v>305</v>
      </c>
      <c r="L576">
        <f>_xlfn.XLOOKUP(F576,magnet_list!$A$2:$A$592,magnet_list!$M$2:$M$592,"n/a",0,1)</f>
        <v>300</v>
      </c>
      <c r="M576">
        <f>_xlfn.XLOOKUP(F576,magnet_list!$A$2:$A$592,magnet_list!$L$2:$L$592,"n/a",0,1)</f>
        <v>44</v>
      </c>
    </row>
    <row r="577" spans="1:18">
      <c r="A577" t="s">
        <v>797</v>
      </c>
      <c r="B577" t="s">
        <v>805</v>
      </c>
      <c r="C577" t="s">
        <v>806</v>
      </c>
      <c r="D577" t="s">
        <v>804</v>
      </c>
      <c r="E577" s="2" t="s">
        <v>588</v>
      </c>
      <c r="F577" s="2" t="s">
        <v>2450</v>
      </c>
      <c r="G577" s="2">
        <f>($G$578+$G$576)/2</f>
        <v>132.36438627469096</v>
      </c>
      <c r="H577">
        <f>($H$578+$H$576)/2</f>
        <v>-4097.116</v>
      </c>
      <c r="I577">
        <f>($I$578+$I$576)/2</f>
        <v>123303.76006110001</v>
      </c>
      <c r="J577">
        <v>35</v>
      </c>
      <c r="K577">
        <v>305</v>
      </c>
      <c r="L577">
        <f>_xlfn.XLOOKUP(F577,magnet_list!$A$2:$A$592,magnet_list!$M$2:$M$592,"n/a",0,1)</f>
        <v>300</v>
      </c>
      <c r="M577">
        <f>_xlfn.XLOOKUP(F577,magnet_list!$A$2:$A$592,magnet_list!$L$2:$L$592,"n/a",0,1)</f>
        <v>44</v>
      </c>
    </row>
    <row r="578" spans="1:18">
      <c r="A578" t="s">
        <v>797</v>
      </c>
      <c r="B578" t="s">
        <v>805</v>
      </c>
      <c r="C578" t="s">
        <v>806</v>
      </c>
      <c r="E578" s="2" t="s">
        <v>77</v>
      </c>
      <c r="F578" s="2" t="s">
        <v>2450</v>
      </c>
      <c r="G578" s="2">
        <f>$G$576+SQRT(($H$578-$H$576)^2+($I$578-$I$576)^2)/1000</f>
        <v>132.43975859954574</v>
      </c>
      <c r="H578">
        <v>-4162.5010000000002</v>
      </c>
      <c r="I578">
        <v>123341.25391565</v>
      </c>
      <c r="J578">
        <v>35</v>
      </c>
      <c r="K578">
        <v>305</v>
      </c>
      <c r="L578">
        <f>_xlfn.XLOOKUP(F578,magnet_list!$A$2:$A$592,magnet_list!$M$2:$M$592,"n/a",0,1)</f>
        <v>300</v>
      </c>
      <c r="M578">
        <f>_xlfn.XLOOKUP(F578,magnet_list!$A$2:$A$592,magnet_list!$L$2:$L$592,"n/a",0,1)</f>
        <v>44</v>
      </c>
    </row>
    <row r="579" spans="1:18">
      <c r="A579" t="s">
        <v>797</v>
      </c>
      <c r="B579" t="s">
        <v>803</v>
      </c>
      <c r="C579" t="s">
        <v>806</v>
      </c>
      <c r="E579" t="s">
        <v>988</v>
      </c>
      <c r="F579" t="s">
        <v>988</v>
      </c>
      <c r="G579" s="2">
        <v>132.76918129999999</v>
      </c>
      <c r="H579">
        <v>-2801.5504354499999</v>
      </c>
      <c r="I579">
        <v>126590.77512125</v>
      </c>
      <c r="J579">
        <v>189.30965936999999</v>
      </c>
      <c r="K579">
        <v>459.30965936999996</v>
      </c>
    </row>
    <row r="580" spans="1:18">
      <c r="A580" t="s">
        <v>797</v>
      </c>
      <c r="B580" t="s">
        <v>805</v>
      </c>
      <c r="C580" t="s">
        <v>806</v>
      </c>
      <c r="D580" t="s">
        <v>804</v>
      </c>
      <c r="E580" s="2" t="s">
        <v>78</v>
      </c>
      <c r="F580" s="2" t="s">
        <v>2451</v>
      </c>
      <c r="G580" s="2">
        <f>$G$578+SQRT(($H$580-$H$578)^2+($I$580-$I$578)^2)/1000</f>
        <v>133.10227625207048</v>
      </c>
      <c r="H580">
        <v>-4735.9480000000003</v>
      </c>
      <c r="I580">
        <v>123673.04930154</v>
      </c>
      <c r="J580">
        <v>110</v>
      </c>
      <c r="K580">
        <v>380</v>
      </c>
      <c r="L580">
        <f>_xlfn.XLOOKUP(F580,magnet_list!$A$2:$A$592,magnet_list!$M$2:$M$592,"n/a",0,1)</f>
        <v>1869.25</v>
      </c>
      <c r="M580">
        <f>_xlfn.XLOOKUP(F580,magnet_list!$A$2:$A$592,magnet_list!$L$2:$L$592,"n/a",0,1)</f>
        <v>25</v>
      </c>
      <c r="O580" t="s">
        <v>2345</v>
      </c>
      <c r="Q580">
        <v>85</v>
      </c>
    </row>
    <row r="581" spans="1:18">
      <c r="A581" t="s">
        <v>797</v>
      </c>
      <c r="B581" t="s">
        <v>805</v>
      </c>
      <c r="C581" t="s">
        <v>806</v>
      </c>
      <c r="D581" t="s">
        <v>804</v>
      </c>
      <c r="E581" s="2" t="s">
        <v>79</v>
      </c>
      <c r="F581" s="2" t="s">
        <v>2451</v>
      </c>
      <c r="G581" s="2">
        <f>$G$580+849.7211/1000</f>
        <v>133.95199735207049</v>
      </c>
      <c r="H581">
        <v>-5490.482</v>
      </c>
      <c r="I581">
        <v>124108.67007578</v>
      </c>
      <c r="J581">
        <v>110</v>
      </c>
      <c r="K581">
        <v>380</v>
      </c>
      <c r="L581">
        <f>_xlfn.XLOOKUP(F581,magnet_list!$A$2:$A$592,magnet_list!$M$2:$M$592,"n/a",0,1)</f>
        <v>1869.25</v>
      </c>
      <c r="M581">
        <f>_xlfn.XLOOKUP(F581,magnet_list!$A$2:$A$592,magnet_list!$L$2:$L$592,"n/a",0,1)</f>
        <v>25</v>
      </c>
      <c r="O581" t="s">
        <v>2344</v>
      </c>
      <c r="Q581">
        <v>849.72109999999998</v>
      </c>
      <c r="R581">
        <v>1699.4422</v>
      </c>
    </row>
    <row r="582" spans="1:18">
      <c r="A582" t="s">
        <v>797</v>
      </c>
      <c r="B582" t="s">
        <v>805</v>
      </c>
      <c r="C582" t="s">
        <v>806</v>
      </c>
      <c r="D582" t="s">
        <v>804</v>
      </c>
      <c r="E582" s="2" t="s">
        <v>80</v>
      </c>
      <c r="F582" s="2" t="s">
        <v>2451</v>
      </c>
      <c r="G582" s="2">
        <f>$G$581+849.7211/1000</f>
        <v>134.8017184520705</v>
      </c>
      <c r="H582">
        <v>-6362.3370000000004</v>
      </c>
      <c r="I582">
        <v>124108.50175190999</v>
      </c>
      <c r="J582">
        <v>110</v>
      </c>
      <c r="K582">
        <v>380</v>
      </c>
      <c r="L582">
        <f>_xlfn.XLOOKUP(F582,magnet_list!$A$2:$A$592,magnet_list!$M$2:$M$592,"n/a",0,1)</f>
        <v>1869.25</v>
      </c>
      <c r="M582">
        <f>_xlfn.XLOOKUP(F582,magnet_list!$A$2:$A$592,magnet_list!$L$2:$L$592,"n/a",0,1)</f>
        <v>25</v>
      </c>
      <c r="O582" t="s">
        <v>2346</v>
      </c>
      <c r="Q582">
        <v>849.72109999999998</v>
      </c>
    </row>
    <row r="583" spans="1:18">
      <c r="A583" t="s">
        <v>797</v>
      </c>
      <c r="B583" t="s">
        <v>1152</v>
      </c>
      <c r="C583" t="s">
        <v>1152</v>
      </c>
      <c r="D583" t="s">
        <v>804</v>
      </c>
      <c r="E583" s="3" t="s">
        <v>1999</v>
      </c>
      <c r="F583" s="3" t="s">
        <v>1999</v>
      </c>
      <c r="G583" s="2">
        <f>$G$582+(85+377)/1000</f>
        <v>135.26371845207049</v>
      </c>
      <c r="H583">
        <f>($H$584-$H$582)/($G$584-$G$582)*(G583-$G$582)+$H$582</f>
        <v>-6824.3369714824485</v>
      </c>
      <c r="I583">
        <f>($I$584-$I$582)/($G$584-$G$582)*(G583-$G$582)+$I$582</f>
        <v>124108.3394244509</v>
      </c>
      <c r="J583">
        <v>-270</v>
      </c>
      <c r="K583">
        <v>0</v>
      </c>
      <c r="O583" t="s">
        <v>2347</v>
      </c>
      <c r="Q583">
        <v>85</v>
      </c>
    </row>
    <row r="584" spans="1:18">
      <c r="A584" t="s">
        <v>797</v>
      </c>
      <c r="B584" t="s">
        <v>805</v>
      </c>
      <c r="C584" t="s">
        <v>806</v>
      </c>
      <c r="D584" t="s">
        <v>804</v>
      </c>
      <c r="E584" s="2" t="s">
        <v>81</v>
      </c>
      <c r="F584" s="2" t="s">
        <v>81</v>
      </c>
      <c r="G584" s="2">
        <f>$G$582+SQRT(($H$584-$H$582)^2+($I$584-$I$582)^2)/1000</f>
        <v>135.38900543508154</v>
      </c>
      <c r="H584">
        <v>-6949.6239467599999</v>
      </c>
      <c r="I584">
        <v>124108.29540385</v>
      </c>
      <c r="J584">
        <v>35</v>
      </c>
      <c r="K584">
        <v>305</v>
      </c>
      <c r="L584">
        <f>_xlfn.XLOOKUP(F584,magnet_list!$A$2:$A$592,magnet_list!$M$2:$M$592,"n/a",0,1)</f>
        <v>100</v>
      </c>
      <c r="M584">
        <f>_xlfn.XLOOKUP(F584,magnet_list!$A$2:$A$592,magnet_list!$L$2:$L$592,"n/a",0,1)</f>
        <v>52</v>
      </c>
    </row>
    <row r="585" spans="1:18">
      <c r="A585" t="s">
        <v>797</v>
      </c>
      <c r="B585" t="s">
        <v>1152</v>
      </c>
      <c r="C585" t="s">
        <v>1152</v>
      </c>
      <c r="D585" t="s">
        <v>804</v>
      </c>
      <c r="E585" s="3" t="s">
        <v>1997</v>
      </c>
      <c r="F585" s="3" t="s">
        <v>1997</v>
      </c>
      <c r="G585" s="2">
        <f>$G$584+197.5366/1000</f>
        <v>135.58654203508155</v>
      </c>
      <c r="H585">
        <f>($H$587-$H$584)/($G$587-$G$584)*(G585-$G$584)+$H$584</f>
        <v>-7147.1605408267005</v>
      </c>
      <c r="I585">
        <f>($I$587-$I$584)/($G$587-$G$584)*(G585-$G$584)+$I$584</f>
        <v>124108.343819652</v>
      </c>
      <c r="J585">
        <v>-270</v>
      </c>
      <c r="K585">
        <v>0</v>
      </c>
    </row>
    <row r="586" spans="1:18">
      <c r="A586" t="s">
        <v>797</v>
      </c>
      <c r="B586" t="s">
        <v>1152</v>
      </c>
      <c r="C586" t="s">
        <v>1152</v>
      </c>
      <c r="D586" t="s">
        <v>804</v>
      </c>
      <c r="E586" s="3" t="s">
        <v>1998</v>
      </c>
      <c r="F586" s="3" t="s">
        <v>1998</v>
      </c>
      <c r="G586" s="2">
        <f>$G$585+122.4997/1000</f>
        <v>135.70904173508154</v>
      </c>
      <c r="H586">
        <f>($H$587-$H$584)/($G$587-$G$584)*(G586-$G$584)+$H$584</f>
        <v>-7269.6602371472318</v>
      </c>
      <c r="I586">
        <f>($I$587-$I$584)/($G$587-$G$584)*(G586-$G$584)+$I$584</f>
        <v>124108.37384406885</v>
      </c>
      <c r="J586">
        <v>-270</v>
      </c>
      <c r="K586">
        <v>0</v>
      </c>
      <c r="M586" s="2"/>
    </row>
    <row r="587" spans="1:18">
      <c r="A587" t="s">
        <v>797</v>
      </c>
      <c r="B587" t="s">
        <v>805</v>
      </c>
      <c r="C587" t="s">
        <v>806</v>
      </c>
      <c r="E587" s="2" t="s">
        <v>82</v>
      </c>
      <c r="F587" s="2" t="s">
        <v>2452</v>
      </c>
      <c r="G587" s="2">
        <f>$G$584+SQRT(($H$587-$H$584)^2+($I$587-$I$584)^2)/1000</f>
        <v>135.87088679495557</v>
      </c>
      <c r="H587">
        <v>-7431.50529216</v>
      </c>
      <c r="I587">
        <v>124108.41351195</v>
      </c>
      <c r="J587">
        <v>35</v>
      </c>
      <c r="K587">
        <v>305</v>
      </c>
      <c r="L587">
        <f>_xlfn.XLOOKUP(F587,magnet_list!$A$2:$A$592,magnet_list!$M$2:$M$592,"n/a",0,1)</f>
        <v>300</v>
      </c>
      <c r="M587">
        <f>_xlfn.XLOOKUP(F587,magnet_list!$A$2:$A$592,magnet_list!$L$2:$L$592,"n/a",0,1)</f>
        <v>52</v>
      </c>
    </row>
    <row r="588" spans="1:18">
      <c r="A588" t="s">
        <v>797</v>
      </c>
      <c r="B588" t="s">
        <v>803</v>
      </c>
      <c r="C588" t="s">
        <v>806</v>
      </c>
      <c r="E588" t="s">
        <v>989</v>
      </c>
      <c r="F588" t="s">
        <v>989</v>
      </c>
      <c r="G588" s="2">
        <v>135.8273269</v>
      </c>
      <c r="H588">
        <v>-7456.8158022400003</v>
      </c>
      <c r="I588">
        <v>126592.67241309999</v>
      </c>
      <c r="J588">
        <v>185.46664035000001</v>
      </c>
      <c r="K588">
        <v>455.46664035000003</v>
      </c>
    </row>
    <row r="589" spans="1:18">
      <c r="A589" t="s">
        <v>797</v>
      </c>
      <c r="B589" t="s">
        <v>805</v>
      </c>
      <c r="C589" t="s">
        <v>1152</v>
      </c>
      <c r="D589" t="s">
        <v>804</v>
      </c>
      <c r="E589" s="2" t="s">
        <v>589</v>
      </c>
      <c r="F589" s="2" t="s">
        <v>2452</v>
      </c>
      <c r="G589" s="2">
        <f>($G$590+$G$588)/2</f>
        <v>135.92410051520207</v>
      </c>
      <c r="H589">
        <v>-7506.498958225</v>
      </c>
      <c r="I589">
        <f>($I$590+$I$587)/2</f>
        <v>124108.39773627999</v>
      </c>
      <c r="J589">
        <v>35</v>
      </c>
      <c r="K589">
        <v>305</v>
      </c>
      <c r="L589">
        <f>_xlfn.XLOOKUP(F589,magnet_list!$A$2:$A$592,magnet_list!$M$2:$M$592,"n/a",0,1)</f>
        <v>300</v>
      </c>
      <c r="M589">
        <f>_xlfn.XLOOKUP(F589,magnet_list!$A$2:$A$592,magnet_list!$L$2:$L$592,"n/a",0,1)</f>
        <v>52</v>
      </c>
    </row>
    <row r="590" spans="1:18">
      <c r="A590" t="s">
        <v>797</v>
      </c>
      <c r="B590" t="s">
        <v>805</v>
      </c>
      <c r="C590" t="s">
        <v>806</v>
      </c>
      <c r="E590" s="2" t="s">
        <v>83</v>
      </c>
      <c r="F590" s="2" t="s">
        <v>2452</v>
      </c>
      <c r="G590" s="2">
        <f>$G$587+SQRT(($H$590-$H$587)^2+($I$590-$I$587)^2)/1000</f>
        <v>136.02087413040414</v>
      </c>
      <c r="H590">
        <v>-7581.4926242900001</v>
      </c>
      <c r="I590">
        <v>124108.38196061</v>
      </c>
      <c r="J590">
        <v>35</v>
      </c>
      <c r="K590">
        <v>305</v>
      </c>
      <c r="L590">
        <f>_xlfn.XLOOKUP(F590,magnet_list!$A$2:$A$592,magnet_list!$M$2:$M$592,"n/a",0,1)</f>
        <v>300</v>
      </c>
      <c r="M590">
        <f>_xlfn.XLOOKUP(F590,magnet_list!$A$2:$A$592,magnet_list!$L$2:$L$592,"n/a",0,1)</f>
        <v>52</v>
      </c>
    </row>
    <row r="591" spans="1:18">
      <c r="A591" t="s">
        <v>797</v>
      </c>
      <c r="B591" t="s">
        <v>805</v>
      </c>
      <c r="C591" t="s">
        <v>806</v>
      </c>
      <c r="D591" t="s">
        <v>804</v>
      </c>
      <c r="E591" s="2" t="s">
        <v>84</v>
      </c>
      <c r="F591" s="2" t="s">
        <v>84</v>
      </c>
      <c r="G591" s="2">
        <f>$G$590+SQRT(($H$591-$H$590)^2+($I$591-$I$590)^2)/1000</f>
        <v>136.50265953236104</v>
      </c>
      <c r="H591">
        <v>-8063.2780261999997</v>
      </c>
      <c r="I591">
        <v>124108.38868242</v>
      </c>
      <c r="J591">
        <v>35</v>
      </c>
      <c r="K591">
        <v>305</v>
      </c>
      <c r="L591">
        <f>_xlfn.XLOOKUP(F591,magnet_list!$A$2:$A$592,magnet_list!$M$2:$M$592,"n/a",0,1)</f>
        <v>100</v>
      </c>
      <c r="M591">
        <f>_xlfn.XLOOKUP(F591,magnet_list!$A$2:$A$592,magnet_list!$L$2:$L$592,"n/a",0,1)</f>
        <v>52</v>
      </c>
    </row>
    <row r="592" spans="1:18">
      <c r="A592" t="s">
        <v>797</v>
      </c>
      <c r="B592" t="s">
        <v>803</v>
      </c>
      <c r="C592" t="s">
        <v>806</v>
      </c>
      <c r="E592" t="s">
        <v>990</v>
      </c>
      <c r="F592" t="s">
        <v>990</v>
      </c>
      <c r="G592" s="2">
        <v>136.84228720000002</v>
      </c>
      <c r="H592">
        <v>-9212.3961480899998</v>
      </c>
      <c r="I592">
        <v>126590.64359072001</v>
      </c>
      <c r="J592">
        <v>186.86730793000001</v>
      </c>
      <c r="K592">
        <v>456.86730793000004</v>
      </c>
    </row>
    <row r="593" spans="1:18">
      <c r="A593" t="s">
        <v>797</v>
      </c>
      <c r="B593" t="s">
        <v>805</v>
      </c>
      <c r="C593" t="s">
        <v>806</v>
      </c>
      <c r="D593" t="s">
        <v>804</v>
      </c>
      <c r="E593" s="2" t="s">
        <v>85</v>
      </c>
      <c r="F593" s="2" t="s">
        <v>2453</v>
      </c>
      <c r="G593" s="2">
        <f>$G$591+SQRT(($H$593-$H$591)^2+($I$593-$I$591)^2)/1000</f>
        <v>137.07704551115481</v>
      </c>
      <c r="H593">
        <v>-8637.6640000000007</v>
      </c>
      <c r="I593">
        <v>124108.46442344</v>
      </c>
      <c r="J593">
        <v>110</v>
      </c>
      <c r="K593">
        <v>380</v>
      </c>
      <c r="L593">
        <f>_xlfn.XLOOKUP(F593,magnet_list!$A$2:$A$592,magnet_list!$M$2:$M$592,"n/a",0,1)</f>
        <v>1869.25</v>
      </c>
      <c r="M593">
        <f>_xlfn.XLOOKUP(F593,magnet_list!$A$2:$A$592,magnet_list!$L$2:$L$592,"n/a",0,1)</f>
        <v>25</v>
      </c>
      <c r="O593" t="s">
        <v>2345</v>
      </c>
      <c r="Q593">
        <v>85</v>
      </c>
    </row>
    <row r="594" spans="1:18">
      <c r="A594" t="s">
        <v>797</v>
      </c>
      <c r="B594" t="s">
        <v>805</v>
      </c>
      <c r="C594" t="s">
        <v>806</v>
      </c>
      <c r="D594" t="s">
        <v>804</v>
      </c>
      <c r="E594" s="2" t="s">
        <v>86</v>
      </c>
      <c r="F594" s="2" t="s">
        <v>2453</v>
      </c>
      <c r="G594" s="2">
        <f>$G$593+849.7211/1000</f>
        <v>137.92676661115482</v>
      </c>
      <c r="H594">
        <v>-9509</v>
      </c>
      <c r="I594">
        <v>124108.41531081</v>
      </c>
      <c r="J594">
        <v>110</v>
      </c>
      <c r="K594">
        <v>380</v>
      </c>
      <c r="L594">
        <f>_xlfn.XLOOKUP(F594,magnet_list!$A$2:$A$592,magnet_list!$M$2:$M$592,"n/a",0,1)</f>
        <v>1869.25</v>
      </c>
      <c r="M594">
        <f>_xlfn.XLOOKUP(F594,magnet_list!$A$2:$A$592,magnet_list!$L$2:$L$592,"n/a",0,1)</f>
        <v>25</v>
      </c>
      <c r="O594" t="s">
        <v>2344</v>
      </c>
      <c r="Q594">
        <v>849.72109999999998</v>
      </c>
      <c r="R594">
        <v>1699.4422</v>
      </c>
    </row>
    <row r="595" spans="1:18">
      <c r="A595" t="s">
        <v>797</v>
      </c>
      <c r="B595" t="s">
        <v>805</v>
      </c>
      <c r="C595" t="s">
        <v>806</v>
      </c>
      <c r="D595" t="s">
        <v>804</v>
      </c>
      <c r="E595" s="2" t="s">
        <v>87</v>
      </c>
      <c r="F595" s="2" t="s">
        <v>2453</v>
      </c>
      <c r="G595" s="2">
        <f>$G$594+849.7211/1000</f>
        <v>138.77648771115483</v>
      </c>
      <c r="H595">
        <v>-10264.052</v>
      </c>
      <c r="I595">
        <v>123672.55759762001</v>
      </c>
      <c r="J595">
        <v>110</v>
      </c>
      <c r="K595">
        <v>380</v>
      </c>
      <c r="L595">
        <f>_xlfn.XLOOKUP(F595,magnet_list!$A$2:$A$592,magnet_list!$M$2:$M$592,"n/a",0,1)</f>
        <v>1869.25</v>
      </c>
      <c r="M595">
        <f>_xlfn.XLOOKUP(F595,magnet_list!$A$2:$A$592,magnet_list!$L$2:$L$592,"n/a",0,1)</f>
        <v>25</v>
      </c>
      <c r="O595" t="s">
        <v>2346</v>
      </c>
      <c r="Q595">
        <v>849.72109999999998</v>
      </c>
    </row>
    <row r="596" spans="1:18">
      <c r="A596" t="s">
        <v>797</v>
      </c>
      <c r="B596" t="s">
        <v>805</v>
      </c>
      <c r="C596" t="s">
        <v>1152</v>
      </c>
      <c r="D596" t="s">
        <v>804</v>
      </c>
      <c r="E596" s="2" t="s">
        <v>3847</v>
      </c>
      <c r="F596" s="2" t="s">
        <v>3847</v>
      </c>
      <c r="G596" s="2">
        <f>$G$595+(275+85)/1000</f>
        <v>139.13648771115484</v>
      </c>
      <c r="H596">
        <f>$H$595-306.7338</f>
        <v>-10570.7858</v>
      </c>
      <c r="I596">
        <f>$I$595-181.1663</f>
        <v>123491.39129762001</v>
      </c>
      <c r="J596">
        <f>$K$596-270</f>
        <v>-140</v>
      </c>
      <c r="K596">
        <v>130</v>
      </c>
      <c r="L596">
        <f>_xlfn.XLOOKUP(F596,magnet_list!$A$2:$A$592,magnet_list!$M$2:$M$592,"n/a",0,1)</f>
        <v>100</v>
      </c>
      <c r="M596">
        <f>_xlfn.XLOOKUP(F596,magnet_list!$A$2:$A$592,magnet_list!$L$2:$L$592,"n/a",0,1)</f>
        <v>44</v>
      </c>
      <c r="O596" t="s">
        <v>3848</v>
      </c>
    </row>
    <row r="597" spans="1:18">
      <c r="A597" t="s">
        <v>797</v>
      </c>
      <c r="B597" t="s">
        <v>805</v>
      </c>
      <c r="C597" t="s">
        <v>806</v>
      </c>
      <c r="E597" s="2" t="s">
        <v>88</v>
      </c>
      <c r="F597" s="2" t="s">
        <v>2454</v>
      </c>
      <c r="G597" s="2">
        <f>$G$595+SQRT(($H$597-$H$595)^2+($I$597-$I$595)^2)/1000</f>
        <v>139.43896399834094</v>
      </c>
      <c r="H597">
        <v>-10837.492</v>
      </c>
      <c r="I597">
        <v>123340.8327154</v>
      </c>
      <c r="J597">
        <v>35</v>
      </c>
      <c r="K597">
        <v>305</v>
      </c>
      <c r="L597">
        <f>_xlfn.XLOOKUP(F597,magnet_list!$A$2:$A$592,magnet_list!$M$2:$M$592,"n/a",0,1)</f>
        <v>300</v>
      </c>
      <c r="M597">
        <f>_xlfn.XLOOKUP(F597,magnet_list!$A$2:$A$592,magnet_list!$L$2:$L$592,"n/a",0,1)</f>
        <v>44</v>
      </c>
      <c r="O597" t="s">
        <v>2347</v>
      </c>
      <c r="Q597">
        <v>85</v>
      </c>
    </row>
    <row r="598" spans="1:18">
      <c r="A598" t="s">
        <v>797</v>
      </c>
      <c r="B598" t="s">
        <v>805</v>
      </c>
      <c r="C598" t="s">
        <v>1152</v>
      </c>
      <c r="D598" t="s">
        <v>804</v>
      </c>
      <c r="E598" s="2" t="s">
        <v>590</v>
      </c>
      <c r="F598" s="2" t="s">
        <v>2454</v>
      </c>
      <c r="G598" s="2">
        <f>($G$599+$G$597)/2</f>
        <v>139.51434225110353</v>
      </c>
      <c r="H598">
        <f>($H$599+$H$597)/2</f>
        <v>-10902.877</v>
      </c>
      <c r="I598">
        <f>($I$599+$I$597)/2</f>
        <v>123303.32694565</v>
      </c>
      <c r="J598">
        <v>35</v>
      </c>
      <c r="K598">
        <v>305</v>
      </c>
      <c r="L598">
        <f>_xlfn.XLOOKUP(F598,magnet_list!$A$2:$A$592,magnet_list!$M$2:$M$592,"n/a",0,1)</f>
        <v>300</v>
      </c>
      <c r="M598">
        <f>_xlfn.XLOOKUP(F598,magnet_list!$A$2:$A$592,magnet_list!$L$2:$L$592,"n/a",0,1)</f>
        <v>44</v>
      </c>
    </row>
    <row r="599" spans="1:18">
      <c r="A599" t="s">
        <v>797</v>
      </c>
      <c r="B599" t="s">
        <v>805</v>
      </c>
      <c r="C599" t="s">
        <v>806</v>
      </c>
      <c r="E599" s="2" t="s">
        <v>89</v>
      </c>
      <c r="F599" s="2" t="s">
        <v>2454</v>
      </c>
      <c r="G599" s="2">
        <f>$G$597+SQRT(($H$599-$H$597)^2+($I$599-$I$597)^2)/1000</f>
        <v>139.58972050386612</v>
      </c>
      <c r="H599">
        <v>-10968.262000000001</v>
      </c>
      <c r="I599">
        <v>123265.8211759</v>
      </c>
      <c r="J599">
        <v>35</v>
      </c>
      <c r="K599">
        <v>305</v>
      </c>
      <c r="L599">
        <f>_xlfn.XLOOKUP(F599,magnet_list!$A$2:$A$592,magnet_list!$M$2:$M$592,"n/a",0,1)</f>
        <v>300</v>
      </c>
      <c r="M599">
        <f>_xlfn.XLOOKUP(F599,magnet_list!$A$2:$A$592,magnet_list!$L$2:$L$592,"n/a",0,1)</f>
        <v>44</v>
      </c>
    </row>
    <row r="600" spans="1:18">
      <c r="A600" t="s">
        <v>797</v>
      </c>
      <c r="B600" t="s">
        <v>1152</v>
      </c>
      <c r="C600" t="s">
        <v>1152</v>
      </c>
      <c r="D600" t="s">
        <v>804</v>
      </c>
      <c r="E600" s="3" t="s">
        <v>2000</v>
      </c>
      <c r="F600" s="3" t="s">
        <v>2000</v>
      </c>
      <c r="G600" s="2">
        <f>$G$599+272.5237/1000</f>
        <v>139.86224420386611</v>
      </c>
      <c r="H600">
        <f>($H$602-$H$599)/($G$602-$G$599)*(G600-$G$599)+$H$599</f>
        <v>-11204.139944084505</v>
      </c>
      <c r="I600">
        <f>($I$602-$I$599)/($G$602-$G$599)*(G600-$G$599)+$I$599</f>
        <v>123129.326624521</v>
      </c>
      <c r="J600">
        <v>-270</v>
      </c>
      <c r="K600">
        <v>0</v>
      </c>
    </row>
    <row r="601" spans="1:18">
      <c r="A601" t="s">
        <v>797</v>
      </c>
      <c r="B601" t="s">
        <v>1152</v>
      </c>
      <c r="C601" t="s">
        <v>1152</v>
      </c>
      <c r="D601" t="s">
        <v>804</v>
      </c>
      <c r="E601" s="3" t="s">
        <v>2001</v>
      </c>
      <c r="F601" s="3" t="s">
        <v>2001</v>
      </c>
      <c r="G601" s="2">
        <f>$G$600+85/1000</f>
        <v>139.94724420386612</v>
      </c>
      <c r="H601">
        <f>($H$602-$H$599)/($G$602-$G$599)*(G601-$G$599)+$H$599</f>
        <v>-11277.710151912981</v>
      </c>
      <c r="I601">
        <f>($I$602-$I$599)/($G$602-$G$599)*(G601-$G$599)+$I$599</f>
        <v>123086.75404508217</v>
      </c>
      <c r="J601">
        <v>-270</v>
      </c>
      <c r="K601">
        <v>0</v>
      </c>
    </row>
    <row r="602" spans="1:18">
      <c r="A602" t="s">
        <v>797</v>
      </c>
      <c r="B602" t="s">
        <v>805</v>
      </c>
      <c r="C602" t="s">
        <v>806</v>
      </c>
      <c r="E602" s="2" t="s">
        <v>90</v>
      </c>
      <c r="F602" s="2" t="s">
        <v>2455</v>
      </c>
      <c r="G602" s="2">
        <f>$G$599+SQRT(($H$602-$H$599)^2+($I$602-$I$599)^2)/1000</f>
        <v>140.03899108465697</v>
      </c>
      <c r="H602">
        <v>-11357.12</v>
      </c>
      <c r="I602">
        <v>123040.80226425</v>
      </c>
      <c r="J602">
        <v>35</v>
      </c>
      <c r="K602">
        <v>305</v>
      </c>
      <c r="L602">
        <f>_xlfn.XLOOKUP(F602,magnet_list!$A$2:$A$592,magnet_list!$M$2:$M$592,"n/a",0,1)</f>
        <v>300</v>
      </c>
      <c r="M602">
        <f>_xlfn.XLOOKUP(F602,magnet_list!$A$2:$A$592,magnet_list!$L$2:$L$592,"n/a",0,1)</f>
        <v>44</v>
      </c>
    </row>
    <row r="603" spans="1:18">
      <c r="A603" t="s">
        <v>797</v>
      </c>
      <c r="B603" t="s">
        <v>805</v>
      </c>
      <c r="C603" t="s">
        <v>1152</v>
      </c>
      <c r="D603" t="s">
        <v>804</v>
      </c>
      <c r="E603" s="2" t="s">
        <v>591</v>
      </c>
      <c r="F603" s="2" t="s">
        <v>2455</v>
      </c>
      <c r="G603" s="2">
        <f>($G$604+$G$602)/2</f>
        <v>140.11437117378034</v>
      </c>
      <c r="H603">
        <f>($H$604+$H$602)/2</f>
        <v>-11422.505000000001</v>
      </c>
      <c r="I603">
        <f>($I$604+$I$602)/2</f>
        <v>123003.29280396001</v>
      </c>
      <c r="J603">
        <v>35</v>
      </c>
      <c r="K603">
        <v>305</v>
      </c>
      <c r="L603">
        <f>_xlfn.XLOOKUP(F603,magnet_list!$A$2:$A$592,magnet_list!$M$2:$M$592,"n/a",0,1)</f>
        <v>300</v>
      </c>
      <c r="M603">
        <f>_xlfn.XLOOKUP(F603,magnet_list!$A$2:$A$592,magnet_list!$L$2:$L$592,"n/a",0,1)</f>
        <v>44</v>
      </c>
    </row>
    <row r="604" spans="1:18">
      <c r="A604" t="s">
        <v>797</v>
      </c>
      <c r="B604" t="s">
        <v>805</v>
      </c>
      <c r="C604" t="s">
        <v>806</v>
      </c>
      <c r="E604" s="2" t="s">
        <v>91</v>
      </c>
      <c r="F604" s="2" t="s">
        <v>2455</v>
      </c>
      <c r="G604" s="2">
        <f>$G$602+SQRT(($H$604-$H$602)^2+($I$604-$I$602)^2)/1000</f>
        <v>140.18975126290371</v>
      </c>
      <c r="H604">
        <v>-11487.89</v>
      </c>
      <c r="I604">
        <v>122965.78334367</v>
      </c>
      <c r="J604">
        <v>35</v>
      </c>
      <c r="K604">
        <v>305</v>
      </c>
      <c r="L604">
        <f>_xlfn.XLOOKUP(F604,magnet_list!$A$2:$A$592,magnet_list!$M$2:$M$592,"n/a",0,1)</f>
        <v>300</v>
      </c>
      <c r="M604">
        <f>_xlfn.XLOOKUP(F604,magnet_list!$A$2:$A$592,magnet_list!$L$2:$L$592,"n/a",0,1)</f>
        <v>44</v>
      </c>
    </row>
    <row r="605" spans="1:18">
      <c r="A605" t="s">
        <v>797</v>
      </c>
      <c r="B605" t="s">
        <v>805</v>
      </c>
      <c r="C605" t="s">
        <v>806</v>
      </c>
      <c r="D605" t="s">
        <v>804</v>
      </c>
      <c r="E605" s="2" t="s">
        <v>92</v>
      </c>
      <c r="F605" s="2" t="s">
        <v>92</v>
      </c>
      <c r="G605" s="2">
        <f>$G$604+SQRT(($H$605-$H$604)^2+($I$605-$I$604)^2)/1000</f>
        <v>140.56438580082383</v>
      </c>
      <c r="H605">
        <v>-11812.210999999999</v>
      </c>
      <c r="I605">
        <v>122778.2548766</v>
      </c>
      <c r="J605">
        <v>35</v>
      </c>
      <c r="K605">
        <v>305</v>
      </c>
      <c r="L605">
        <f>_xlfn.XLOOKUP(F605,magnet_list!$A$2:$A$592,magnet_list!$M$2:$M$592,"n/a",0,1)</f>
        <v>100</v>
      </c>
      <c r="M605">
        <f>_xlfn.XLOOKUP(F605,magnet_list!$A$2:$A$592,magnet_list!$L$2:$L$592,"n/a",0,1)</f>
        <v>52</v>
      </c>
    </row>
    <row r="606" spans="1:18">
      <c r="A606" t="s">
        <v>797</v>
      </c>
      <c r="B606" t="s">
        <v>803</v>
      </c>
      <c r="C606" t="s">
        <v>806</v>
      </c>
      <c r="E606" t="s">
        <v>993</v>
      </c>
      <c r="F606" t="s">
        <v>993</v>
      </c>
      <c r="G606" s="2">
        <v>140.82484089999997</v>
      </c>
      <c r="H606">
        <v>-14493.68323638</v>
      </c>
      <c r="I606">
        <v>126601.03876963</v>
      </c>
      <c r="J606">
        <v>186.00416745000001</v>
      </c>
      <c r="K606">
        <v>456.00416745000001</v>
      </c>
    </row>
    <row r="607" spans="1:18">
      <c r="A607" t="s">
        <v>797</v>
      </c>
      <c r="B607" t="s">
        <v>805</v>
      </c>
      <c r="C607" t="s">
        <v>806</v>
      </c>
      <c r="D607" t="s">
        <v>804</v>
      </c>
      <c r="E607" s="2" t="s">
        <v>93</v>
      </c>
      <c r="F607" s="2" t="s">
        <v>2456</v>
      </c>
      <c r="G607" s="2">
        <f>$G$605+SQRT(($H$607-$H$605)^2+($I$607-$I$605)^2)/1000</f>
        <v>141.05313441019882</v>
      </c>
      <c r="H607">
        <v>-12235.437</v>
      </c>
      <c r="I607">
        <v>122533.80660785999</v>
      </c>
      <c r="J607">
        <v>110</v>
      </c>
      <c r="K607">
        <v>380</v>
      </c>
      <c r="L607">
        <f>_xlfn.XLOOKUP(F607,magnet_list!$A$2:$A$592,magnet_list!$M$2:$M$592,"n/a",0,1)</f>
        <v>1869.25</v>
      </c>
      <c r="M607">
        <f>_xlfn.XLOOKUP(F607,magnet_list!$A$2:$A$592,magnet_list!$L$2:$L$592,"n/a",0,1)</f>
        <v>25</v>
      </c>
      <c r="O607" t="s">
        <v>2345</v>
      </c>
      <c r="Q607">
        <v>85</v>
      </c>
    </row>
    <row r="608" spans="1:18">
      <c r="A608" t="s">
        <v>797</v>
      </c>
      <c r="B608" t="s">
        <v>805</v>
      </c>
      <c r="C608" t="s">
        <v>806</v>
      </c>
      <c r="D608" t="s">
        <v>804</v>
      </c>
      <c r="E608" s="2" t="s">
        <v>94</v>
      </c>
      <c r="F608" s="2" t="s">
        <v>2456</v>
      </c>
      <c r="G608" s="2">
        <f>$G$607+849.7211/1000</f>
        <v>141.90285551019883</v>
      </c>
      <c r="H608">
        <v>-12989.584999999999</v>
      </c>
      <c r="I608">
        <v>122098.00996804</v>
      </c>
      <c r="J608">
        <v>110</v>
      </c>
      <c r="K608">
        <v>380</v>
      </c>
      <c r="L608">
        <f>_xlfn.XLOOKUP(F608,magnet_list!$A$2:$A$592,magnet_list!$M$2:$M$592,"n/a",0,1)</f>
        <v>1869.25</v>
      </c>
      <c r="M608">
        <f>_xlfn.XLOOKUP(F608,magnet_list!$A$2:$A$592,magnet_list!$L$2:$L$592,"n/a",0,1)</f>
        <v>25</v>
      </c>
      <c r="O608" t="s">
        <v>2344</v>
      </c>
      <c r="Q608">
        <v>849.72109999999998</v>
      </c>
      <c r="R608">
        <v>1699.4422</v>
      </c>
    </row>
    <row r="609" spans="1:18">
      <c r="A609" t="s">
        <v>797</v>
      </c>
      <c r="B609" t="s">
        <v>803</v>
      </c>
      <c r="C609" t="s">
        <v>806</v>
      </c>
      <c r="E609" t="s">
        <v>996</v>
      </c>
      <c r="F609" t="s">
        <v>996</v>
      </c>
      <c r="G609" s="2">
        <v>142.47160239999997</v>
      </c>
      <c r="H609">
        <v>-21492.969319420001</v>
      </c>
      <c r="I609">
        <v>126157.08356114</v>
      </c>
      <c r="J609">
        <v>187.30340154000001</v>
      </c>
      <c r="K609">
        <v>457.30340153999998</v>
      </c>
      <c r="O609" t="s">
        <v>2346</v>
      </c>
      <c r="Q609">
        <v>849.72109999999998</v>
      </c>
    </row>
    <row r="610" spans="1:18">
      <c r="A610" t="s">
        <v>797</v>
      </c>
      <c r="B610" t="s">
        <v>805</v>
      </c>
      <c r="C610" t="s">
        <v>806</v>
      </c>
      <c r="D610" t="s">
        <v>804</v>
      </c>
      <c r="E610" s="2" t="s">
        <v>95</v>
      </c>
      <c r="F610" s="2" t="s">
        <v>2456</v>
      </c>
      <c r="G610" s="2">
        <f>$G$608+849.7211/1000</f>
        <v>142.75257661019884</v>
      </c>
      <c r="H610">
        <v>-13426.036</v>
      </c>
      <c r="I610">
        <v>121343.13247702</v>
      </c>
      <c r="J610">
        <v>110</v>
      </c>
      <c r="K610">
        <v>380</v>
      </c>
      <c r="L610">
        <f>_xlfn.XLOOKUP(F610,magnet_list!$A$2:$A$592,magnet_list!$M$2:$M$592,"n/a",0,1)</f>
        <v>1869.25</v>
      </c>
      <c r="M610">
        <f>_xlfn.XLOOKUP(F610,magnet_list!$A$2:$A$592,magnet_list!$L$2:$L$592,"n/a",0,1)</f>
        <v>25</v>
      </c>
      <c r="O610" t="s">
        <v>2347</v>
      </c>
      <c r="Q610">
        <v>85</v>
      </c>
    </row>
    <row r="611" spans="1:18">
      <c r="A611" t="s">
        <v>797</v>
      </c>
      <c r="B611" t="s">
        <v>1152</v>
      </c>
      <c r="C611" t="s">
        <v>1152</v>
      </c>
      <c r="D611" t="s">
        <v>804</v>
      </c>
      <c r="E611" s="3" t="s">
        <v>2002</v>
      </c>
      <c r="F611" s="3" t="s">
        <v>2002</v>
      </c>
      <c r="G611" s="2">
        <f>$G$610+(85+726.2)/1000</f>
        <v>143.56377661019886</v>
      </c>
      <c r="H611">
        <f>($H$613-$H$610)/($G$613-$G$610)*(G611-$G$610)+$H$610</f>
        <v>-13831.511558579545</v>
      </c>
      <c r="I611">
        <f>($I$613-$I$610)/($G$613-$G$610)*(G611-$G$610)+$I$610</f>
        <v>120640.54083787631</v>
      </c>
      <c r="J611">
        <v>-270</v>
      </c>
      <c r="K611">
        <v>0</v>
      </c>
    </row>
    <row r="612" spans="1:18">
      <c r="A612" t="s">
        <v>797</v>
      </c>
      <c r="B612" t="s">
        <v>1152</v>
      </c>
      <c r="C612" t="s">
        <v>1152</v>
      </c>
      <c r="D612" t="s">
        <v>804</v>
      </c>
      <c r="E612" s="3" t="s">
        <v>2003</v>
      </c>
      <c r="F612" s="3" t="s">
        <v>2003</v>
      </c>
      <c r="G612" s="2">
        <f>$G$611+84.9967/1000</f>
        <v>143.64877331019886</v>
      </c>
      <c r="H612">
        <f>($H$613-$H$610)/($G$613-$G$610)*(G612-$G$610)+$H$610</f>
        <v>-13873.996869735758</v>
      </c>
      <c r="I612">
        <f>($I$613-$I$610)/($G$613-$G$610)*(G612-$G$610)+$I$610</f>
        <v>120566.9240099981</v>
      </c>
      <c r="J612">
        <v>-270</v>
      </c>
      <c r="K612">
        <v>0</v>
      </c>
    </row>
    <row r="613" spans="1:18">
      <c r="A613" t="s">
        <v>797</v>
      </c>
      <c r="B613" t="s">
        <v>805</v>
      </c>
      <c r="C613" t="s">
        <v>806</v>
      </c>
      <c r="E613" s="2" t="s">
        <v>96</v>
      </c>
      <c r="F613" s="2" t="s">
        <v>2457</v>
      </c>
      <c r="G613" s="2">
        <f>$G$610+SQRT(($H$613-$H$610)^2+($I$613-$I$610)^2)/1000</f>
        <v>143.81610290882631</v>
      </c>
      <c r="H613">
        <v>-13957.636</v>
      </c>
      <c r="I613">
        <v>120421.99750978001</v>
      </c>
      <c r="J613">
        <v>35</v>
      </c>
      <c r="K613">
        <v>305</v>
      </c>
      <c r="L613">
        <f>_xlfn.XLOOKUP(F613,magnet_list!$A$2:$A$592,magnet_list!$M$2:$M$592,"n/a",0,1)</f>
        <v>300</v>
      </c>
      <c r="M613">
        <f>_xlfn.XLOOKUP(F613,magnet_list!$A$2:$A$592,magnet_list!$L$2:$L$592,"n/a",0,1)</f>
        <v>44</v>
      </c>
    </row>
    <row r="614" spans="1:18">
      <c r="A614" t="s">
        <v>797</v>
      </c>
      <c r="B614" t="s">
        <v>805</v>
      </c>
      <c r="C614" t="s">
        <v>1152</v>
      </c>
      <c r="D614" t="s">
        <v>804</v>
      </c>
      <c r="E614" s="2" t="s">
        <v>592</v>
      </c>
      <c r="F614" s="2" t="s">
        <v>2457</v>
      </c>
      <c r="G614" s="2">
        <f>($G$615+$G$613)/2</f>
        <v>143.89123030759043</v>
      </c>
      <c r="H614">
        <f>($H$615+$H$613)/2</f>
        <v>-13995.386</v>
      </c>
      <c r="I614">
        <f>($I$615+$I$613)/2</f>
        <v>120357.04319087</v>
      </c>
      <c r="J614">
        <v>35</v>
      </c>
      <c r="K614">
        <v>305</v>
      </c>
      <c r="L614">
        <f>_xlfn.XLOOKUP(F614,magnet_list!$A$2:$A$592,magnet_list!$M$2:$M$592,"n/a",0,1)</f>
        <v>300</v>
      </c>
      <c r="M614">
        <f>_xlfn.XLOOKUP(F614,magnet_list!$A$2:$A$592,magnet_list!$L$2:$L$592,"n/a",0,1)</f>
        <v>44</v>
      </c>
    </row>
    <row r="615" spans="1:18">
      <c r="A615" t="s">
        <v>797</v>
      </c>
      <c r="B615" t="s">
        <v>805</v>
      </c>
      <c r="C615" t="s">
        <v>806</v>
      </c>
      <c r="E615" s="2" t="s">
        <v>97</v>
      </c>
      <c r="F615" s="2" t="s">
        <v>2457</v>
      </c>
      <c r="G615" s="2">
        <f>$G$613+SQRT(($H$615-$H$613)^2+($I$615-$I$613)^2)/1000</f>
        <v>143.96635770635453</v>
      </c>
      <c r="H615">
        <v>-14033.136</v>
      </c>
      <c r="I615">
        <v>120292.08887196</v>
      </c>
      <c r="J615">
        <v>35</v>
      </c>
      <c r="K615">
        <v>305</v>
      </c>
      <c r="L615">
        <f>_xlfn.XLOOKUP(F615,magnet_list!$A$2:$A$592,magnet_list!$M$2:$M$592,"n/a",0,1)</f>
        <v>300</v>
      </c>
      <c r="M615">
        <f>_xlfn.XLOOKUP(F615,magnet_list!$A$2:$A$592,magnet_list!$L$2:$L$592,"n/a",0,1)</f>
        <v>44</v>
      </c>
    </row>
    <row r="616" spans="1:18">
      <c r="A616" t="s">
        <v>797</v>
      </c>
      <c r="B616" t="s">
        <v>1152</v>
      </c>
      <c r="C616" t="s">
        <v>1152</v>
      </c>
      <c r="D616" t="s">
        <v>804</v>
      </c>
      <c r="E616" s="3" t="s">
        <v>2004</v>
      </c>
      <c r="F616" s="3" t="s">
        <v>2004</v>
      </c>
      <c r="G616" s="2">
        <f>$G$614+288.044/1000</f>
        <v>144.17927430759045</v>
      </c>
      <c r="H616">
        <f>($H$617-$H$615)/($G$617-$G$615)*(G616-$G$615)+$H$615</f>
        <v>-14139.501736011465</v>
      </c>
      <c r="I616">
        <f>($I$617-$I$615)/($G$617-$G$615)*(G616-$G$615)+$I$615</f>
        <v>120107.64427517117</v>
      </c>
      <c r="J616">
        <v>-270</v>
      </c>
      <c r="K616">
        <v>0</v>
      </c>
    </row>
    <row r="617" spans="1:18">
      <c r="A617" t="s">
        <v>797</v>
      </c>
      <c r="B617" t="s">
        <v>805</v>
      </c>
      <c r="C617" t="s">
        <v>806</v>
      </c>
      <c r="D617" t="s">
        <v>804</v>
      </c>
      <c r="E617" s="2" t="s">
        <v>98</v>
      </c>
      <c r="F617" s="2" t="s">
        <v>98</v>
      </c>
      <c r="G617" s="2">
        <f>$G$615+SQRT(($H$617-$H$615)^2+($I$617-$I$615)^2)/1000</f>
        <v>144.47630109788997</v>
      </c>
      <c r="H617">
        <v>-14287.886</v>
      </c>
      <c r="I617">
        <v>119850.33701846001</v>
      </c>
      <c r="J617">
        <v>35</v>
      </c>
      <c r="K617">
        <v>305</v>
      </c>
      <c r="L617">
        <f>_xlfn.XLOOKUP(F617,magnet_list!$A$2:$A$592,magnet_list!$M$2:$M$592,"n/a",0,1)</f>
        <v>100</v>
      </c>
      <c r="M617">
        <f>_xlfn.XLOOKUP(F617,magnet_list!$A$2:$A$592,magnet_list!$L$2:$L$592,"n/a",0,1)</f>
        <v>52</v>
      </c>
    </row>
    <row r="618" spans="1:18">
      <c r="A618" t="s">
        <v>797</v>
      </c>
      <c r="B618" t="s">
        <v>805</v>
      </c>
      <c r="C618" t="s">
        <v>806</v>
      </c>
      <c r="D618" t="s">
        <v>804</v>
      </c>
      <c r="E618" s="2" t="s">
        <v>99</v>
      </c>
      <c r="F618" s="2" t="s">
        <v>2458</v>
      </c>
      <c r="G618" s="2">
        <f>$G$617+SQRT(($H$618-$H$617)^2+($I$618-$I$617)^2)/1000</f>
        <v>145.02935006136889</v>
      </c>
      <c r="H618">
        <v>-14564.210999999999</v>
      </c>
      <c r="I618">
        <v>119371.26745109</v>
      </c>
      <c r="J618">
        <v>110</v>
      </c>
      <c r="K618">
        <v>380</v>
      </c>
      <c r="L618">
        <f>_xlfn.XLOOKUP(F618,magnet_list!$A$2:$A$592,magnet_list!$M$2:$M$592,"n/a",0,1)</f>
        <v>1869.25</v>
      </c>
      <c r="M618">
        <f>_xlfn.XLOOKUP(F618,magnet_list!$A$2:$A$592,magnet_list!$L$2:$L$592,"n/a",0,1)</f>
        <v>25</v>
      </c>
      <c r="O618" t="s">
        <v>2345</v>
      </c>
      <c r="Q618">
        <v>85</v>
      </c>
    </row>
    <row r="619" spans="1:18">
      <c r="A619" t="s">
        <v>797</v>
      </c>
      <c r="B619" t="s">
        <v>805</v>
      </c>
      <c r="C619" t="s">
        <v>806</v>
      </c>
      <c r="D619" t="s">
        <v>804</v>
      </c>
      <c r="E619" s="2" t="s">
        <v>100</v>
      </c>
      <c r="F619" s="2" t="s">
        <v>2458</v>
      </c>
      <c r="G619" s="2">
        <f>$G$618+849.7211/1000</f>
        <v>145.8790711613689</v>
      </c>
      <c r="H619">
        <v>-14878.355</v>
      </c>
      <c r="I619">
        <v>118584.37400082</v>
      </c>
      <c r="J619">
        <v>110</v>
      </c>
      <c r="K619">
        <v>380</v>
      </c>
      <c r="L619">
        <f>_xlfn.XLOOKUP(F619,magnet_list!$A$2:$A$592,magnet_list!$M$2:$M$592,"n/a",0,1)</f>
        <v>1869.25</v>
      </c>
      <c r="M619">
        <f>_xlfn.XLOOKUP(F619,magnet_list!$A$2:$A$592,magnet_list!$L$2:$L$592,"n/a",0,1)</f>
        <v>25</v>
      </c>
      <c r="O619" t="s">
        <v>2344</v>
      </c>
      <c r="Q619">
        <v>849.72109999999998</v>
      </c>
      <c r="R619">
        <v>1699.4422</v>
      </c>
    </row>
    <row r="620" spans="1:18">
      <c r="A620" t="s">
        <v>797</v>
      </c>
      <c r="B620" t="s">
        <v>805</v>
      </c>
      <c r="C620" t="s">
        <v>806</v>
      </c>
      <c r="D620" t="s">
        <v>804</v>
      </c>
      <c r="E620" s="2" t="s">
        <v>101</v>
      </c>
      <c r="F620" s="2" t="s">
        <v>2458</v>
      </c>
      <c r="G620" s="2">
        <f>$G$619+849.7211/1000</f>
        <v>146.72879226136891</v>
      </c>
      <c r="H620">
        <v>-15000</v>
      </c>
      <c r="I620">
        <v>117745.44036273001</v>
      </c>
      <c r="J620">
        <v>110</v>
      </c>
      <c r="K620">
        <v>380</v>
      </c>
      <c r="L620">
        <f>_xlfn.XLOOKUP(F620,magnet_list!$A$2:$A$592,magnet_list!$M$2:$M$592,"n/a",0,1)</f>
        <v>1869.25</v>
      </c>
      <c r="M620">
        <f>_xlfn.XLOOKUP(F620,magnet_list!$A$2:$A$592,magnet_list!$L$2:$L$592,"n/a",0,1)</f>
        <v>25</v>
      </c>
      <c r="O620" t="s">
        <v>2346</v>
      </c>
      <c r="Q620">
        <v>849.72109999999998</v>
      </c>
    </row>
    <row r="621" spans="1:18">
      <c r="A621" t="s">
        <v>797</v>
      </c>
      <c r="B621" t="s">
        <v>1152</v>
      </c>
      <c r="C621" t="s">
        <v>1152</v>
      </c>
      <c r="D621" t="s">
        <v>804</v>
      </c>
      <c r="E621" s="3" t="s">
        <v>2005</v>
      </c>
      <c r="F621" s="3" t="s">
        <v>2005</v>
      </c>
      <c r="G621">
        <f>$G$620+(85+196.0455)/1000</f>
        <v>147.00983776136891</v>
      </c>
      <c r="H621">
        <v>-15000</v>
      </c>
      <c r="I621">
        <f>$I$630+1379.5</f>
        <v>117452.21970454</v>
      </c>
      <c r="J621">
        <v>-270</v>
      </c>
      <c r="K621">
        <v>0</v>
      </c>
      <c r="O621" t="s">
        <v>2347</v>
      </c>
      <c r="Q621">
        <v>85</v>
      </c>
    </row>
    <row r="622" spans="1:18">
      <c r="A622" t="s">
        <v>797</v>
      </c>
      <c r="B622" t="s">
        <v>2288</v>
      </c>
      <c r="C622" t="s">
        <v>1152</v>
      </c>
      <c r="D622" t="s">
        <v>804</v>
      </c>
      <c r="E622" s="8" t="s">
        <v>2310</v>
      </c>
      <c r="F622" s="8" t="s">
        <v>2310</v>
      </c>
      <c r="G622">
        <f>$G$621+ABS($I$622-$I$621)/1000</f>
        <v>147.55983776136893</v>
      </c>
      <c r="H622">
        <v>-15000</v>
      </c>
      <c r="I622">
        <f>$I$621-550</f>
        <v>116902.21970454</v>
      </c>
      <c r="J622">
        <v>-270</v>
      </c>
      <c r="K622">
        <v>0</v>
      </c>
    </row>
    <row r="623" spans="1:18">
      <c r="A623" t="s">
        <v>797</v>
      </c>
      <c r="B623" t="s">
        <v>805</v>
      </c>
      <c r="C623" t="s">
        <v>806</v>
      </c>
      <c r="E623" s="2" t="s">
        <v>102</v>
      </c>
      <c r="F623" s="2" t="s">
        <v>2459</v>
      </c>
      <c r="G623">
        <f t="shared" ref="G623:G685" si="17">G622-(I623-I622)/1000</f>
        <v>147.70591185118892</v>
      </c>
      <c r="H623">
        <v>-15000</v>
      </c>
      <c r="I623">
        <v>116756.14561471999</v>
      </c>
      <c r="J623">
        <v>-70</v>
      </c>
      <c r="K623">
        <v>200</v>
      </c>
      <c r="L623">
        <f>_xlfn.XLOOKUP(F623,magnet_list!$A$2:$A$592,magnet_list!$M$2:$M$592,"n/a",0,1)</f>
        <v>100</v>
      </c>
      <c r="M623">
        <f>_xlfn.XLOOKUP(F623,magnet_list!$A$2:$A$592,magnet_list!$L$2:$L$592,"n/a",0,1)</f>
        <v>44</v>
      </c>
    </row>
    <row r="624" spans="1:18">
      <c r="A624" t="s">
        <v>797</v>
      </c>
      <c r="B624" t="s">
        <v>805</v>
      </c>
      <c r="C624" t="s">
        <v>1152</v>
      </c>
      <c r="D624" t="s">
        <v>804</v>
      </c>
      <c r="E624" s="2" t="s">
        <v>593</v>
      </c>
      <c r="F624" s="2" t="s">
        <v>2459</v>
      </c>
      <c r="G624">
        <f t="shared" si="17"/>
        <v>147.74591185118891</v>
      </c>
      <c r="H624">
        <v>-15000</v>
      </c>
      <c r="I624">
        <v>116716.14561471999</v>
      </c>
      <c r="J624">
        <v>-70</v>
      </c>
      <c r="K624">
        <v>200</v>
      </c>
      <c r="L624">
        <f>_xlfn.XLOOKUP(F624,magnet_list!$A$2:$A$592,magnet_list!$M$2:$M$592,"n/a",0,1)</f>
        <v>100</v>
      </c>
      <c r="M624">
        <f>_xlfn.XLOOKUP(F624,magnet_list!$A$2:$A$592,magnet_list!$L$2:$L$592,"n/a",0,1)</f>
        <v>44</v>
      </c>
    </row>
    <row r="625" spans="1:13">
      <c r="A625" t="s">
        <v>797</v>
      </c>
      <c r="B625" t="s">
        <v>805</v>
      </c>
      <c r="C625" t="s">
        <v>806</v>
      </c>
      <c r="E625" s="2" t="s">
        <v>103</v>
      </c>
      <c r="F625" s="2" t="s">
        <v>2459</v>
      </c>
      <c r="G625">
        <f t="shared" si="17"/>
        <v>147.7859378701589</v>
      </c>
      <c r="H625">
        <v>-15000</v>
      </c>
      <c r="I625">
        <v>116676.11959575</v>
      </c>
      <c r="J625">
        <v>-70</v>
      </c>
      <c r="K625">
        <v>200</v>
      </c>
      <c r="L625">
        <f>_xlfn.XLOOKUP(F625,magnet_list!$A$2:$A$592,magnet_list!$M$2:$M$592,"n/a",0,1)</f>
        <v>100</v>
      </c>
      <c r="M625">
        <f>_xlfn.XLOOKUP(F625,magnet_list!$A$2:$A$592,magnet_list!$L$2:$L$592,"n/a",0,1)</f>
        <v>44</v>
      </c>
    </row>
    <row r="626" spans="1:13">
      <c r="A626" t="s">
        <v>797</v>
      </c>
      <c r="B626" t="s">
        <v>805</v>
      </c>
      <c r="C626" t="s">
        <v>806</v>
      </c>
      <c r="E626" s="2" t="s">
        <v>104</v>
      </c>
      <c r="F626" s="2" t="s">
        <v>2460</v>
      </c>
      <c r="G626">
        <f t="shared" si="17"/>
        <v>147.9560132913189</v>
      </c>
      <c r="H626">
        <v>-15000</v>
      </c>
      <c r="I626">
        <v>116506.04417459</v>
      </c>
      <c r="J626">
        <v>-70</v>
      </c>
      <c r="K626">
        <v>200</v>
      </c>
      <c r="L626">
        <f>_xlfn.XLOOKUP(F626,magnet_list!$A$2:$A$592,magnet_list!$M$2:$M$592,"n/a",0,1)</f>
        <v>100</v>
      </c>
      <c r="M626">
        <f>_xlfn.XLOOKUP(F626,magnet_list!$A$2:$A$592,magnet_list!$L$2:$L$592,"n/a",0,1)</f>
        <v>44</v>
      </c>
    </row>
    <row r="627" spans="1:13">
      <c r="A627" t="s">
        <v>797</v>
      </c>
      <c r="B627" t="s">
        <v>805</v>
      </c>
      <c r="C627" t="s">
        <v>1152</v>
      </c>
      <c r="D627" t="s">
        <v>804</v>
      </c>
      <c r="E627" s="2" t="s">
        <v>594</v>
      </c>
      <c r="F627" s="2" t="s">
        <v>2460</v>
      </c>
      <c r="G627">
        <f t="shared" si="17"/>
        <v>147.99601329131889</v>
      </c>
      <c r="H627">
        <v>-15000</v>
      </c>
      <c r="I627">
        <v>116466.04417459</v>
      </c>
      <c r="J627">
        <v>-70</v>
      </c>
      <c r="K627">
        <v>200</v>
      </c>
      <c r="L627">
        <f>_xlfn.XLOOKUP(F627,magnet_list!$A$2:$A$592,magnet_list!$M$2:$M$592,"n/a",0,1)</f>
        <v>100</v>
      </c>
      <c r="M627">
        <f>_xlfn.XLOOKUP(F627,magnet_list!$A$2:$A$592,magnet_list!$L$2:$L$592,"n/a",0,1)</f>
        <v>44</v>
      </c>
    </row>
    <row r="628" spans="1:13">
      <c r="A628" t="s">
        <v>797</v>
      </c>
      <c r="B628" t="s">
        <v>805</v>
      </c>
      <c r="C628" t="s">
        <v>806</v>
      </c>
      <c r="E628" s="2" t="s">
        <v>105</v>
      </c>
      <c r="F628" s="2" t="s">
        <v>2460</v>
      </c>
      <c r="G628">
        <f t="shared" si="17"/>
        <v>148.03600694305891</v>
      </c>
      <c r="H628">
        <v>-15000</v>
      </c>
      <c r="I628">
        <v>116426.05052285</v>
      </c>
      <c r="J628">
        <v>-70</v>
      </c>
      <c r="K628">
        <v>200</v>
      </c>
      <c r="L628">
        <f>_xlfn.XLOOKUP(F628,magnet_list!$A$2:$A$592,magnet_list!$M$2:$M$592,"n/a",0,1)</f>
        <v>100</v>
      </c>
      <c r="M628">
        <f>_xlfn.XLOOKUP(F628,magnet_list!$A$2:$A$592,magnet_list!$L$2:$L$592,"n/a",0,1)</f>
        <v>44</v>
      </c>
    </row>
    <row r="629" spans="1:13">
      <c r="A629" t="s">
        <v>797</v>
      </c>
      <c r="B629" t="s">
        <v>805</v>
      </c>
      <c r="C629" t="s">
        <v>806</v>
      </c>
      <c r="E629" s="2" t="s">
        <v>106</v>
      </c>
      <c r="F629" s="2" t="s">
        <v>2461</v>
      </c>
      <c r="G629">
        <f t="shared" si="17"/>
        <v>148.31383776136892</v>
      </c>
      <c r="H629">
        <v>-15000</v>
      </c>
      <c r="I629">
        <v>116148.21970454</v>
      </c>
      <c r="J629">
        <v>35</v>
      </c>
      <c r="K629">
        <v>305</v>
      </c>
      <c r="L629">
        <f>_xlfn.XLOOKUP(F629,magnet_list!$A$2:$A$592,magnet_list!$M$2:$M$592,"n/a",0,1)</f>
        <v>300</v>
      </c>
      <c r="M629">
        <f>_xlfn.XLOOKUP(F629,magnet_list!$A$2:$A$592,magnet_list!$L$2:$L$592,"n/a",0,1)</f>
        <v>44</v>
      </c>
    </row>
    <row r="630" spans="1:13">
      <c r="A630" t="s">
        <v>797</v>
      </c>
      <c r="B630" t="s">
        <v>805</v>
      </c>
      <c r="C630" t="s">
        <v>1152</v>
      </c>
      <c r="D630" t="s">
        <v>804</v>
      </c>
      <c r="E630" s="2" t="s">
        <v>595</v>
      </c>
      <c r="F630" s="2" t="s">
        <v>2461</v>
      </c>
      <c r="G630">
        <f t="shared" si="17"/>
        <v>148.38933776136892</v>
      </c>
      <c r="H630">
        <v>-15000</v>
      </c>
      <c r="I630">
        <v>116072.71970454</v>
      </c>
      <c r="J630">
        <v>35</v>
      </c>
      <c r="K630">
        <v>305</v>
      </c>
      <c r="L630">
        <f>_xlfn.XLOOKUP(F630,magnet_list!$A$2:$A$592,magnet_list!$M$2:$M$592,"n/a",0,1)</f>
        <v>300</v>
      </c>
      <c r="M630">
        <f>_xlfn.XLOOKUP(F630,magnet_list!$A$2:$A$592,magnet_list!$L$2:$L$592,"n/a",0,1)</f>
        <v>44</v>
      </c>
    </row>
    <row r="631" spans="1:13">
      <c r="A631" t="s">
        <v>797</v>
      </c>
      <c r="B631" t="s">
        <v>805</v>
      </c>
      <c r="C631" t="s">
        <v>806</v>
      </c>
      <c r="E631" s="2" t="s">
        <v>107</v>
      </c>
      <c r="F631" s="2" t="s">
        <v>2461</v>
      </c>
      <c r="G631">
        <f t="shared" si="17"/>
        <v>148.4638427060089</v>
      </c>
      <c r="H631">
        <v>-15000</v>
      </c>
      <c r="I631">
        <v>115998.2147599</v>
      </c>
      <c r="J631">
        <v>35</v>
      </c>
      <c r="K631">
        <v>305</v>
      </c>
      <c r="L631">
        <f>_xlfn.XLOOKUP(F631,magnet_list!$A$2:$A$592,magnet_list!$M$2:$M$592,"n/a",0,1)</f>
        <v>300</v>
      </c>
      <c r="M631">
        <f>_xlfn.XLOOKUP(F631,magnet_list!$A$2:$A$592,magnet_list!$L$2:$L$592,"n/a",0,1)</f>
        <v>44</v>
      </c>
    </row>
    <row r="632" spans="1:13">
      <c r="A632" t="s">
        <v>797</v>
      </c>
      <c r="B632" t="s">
        <v>1152</v>
      </c>
      <c r="C632" t="s">
        <v>1152</v>
      </c>
      <c r="D632" t="s">
        <v>804</v>
      </c>
      <c r="E632" s="3" t="s">
        <v>2006</v>
      </c>
      <c r="F632" s="3" t="s">
        <v>2006</v>
      </c>
      <c r="G632">
        <f>$G$622+ABS($I$632-$I$622)/1000</f>
        <v>148.69183776136893</v>
      </c>
      <c r="H632">
        <v>-15000</v>
      </c>
      <c r="I632">
        <f>$I$622-1132</f>
        <v>115770.21970454</v>
      </c>
      <c r="J632">
        <v>-270</v>
      </c>
      <c r="K632">
        <v>0</v>
      </c>
    </row>
    <row r="633" spans="1:13">
      <c r="A633" t="s">
        <v>797</v>
      </c>
      <c r="B633" t="s">
        <v>805</v>
      </c>
      <c r="C633" t="s">
        <v>806</v>
      </c>
      <c r="E633" s="2" t="s">
        <v>108</v>
      </c>
      <c r="F633" s="2" t="s">
        <v>2462</v>
      </c>
      <c r="G633">
        <f t="shared" si="17"/>
        <v>148.85878846604894</v>
      </c>
      <c r="H633">
        <v>-15000</v>
      </c>
      <c r="I633">
        <v>115603.26899986</v>
      </c>
      <c r="J633">
        <v>35</v>
      </c>
      <c r="K633">
        <v>305</v>
      </c>
      <c r="L633">
        <f>_xlfn.XLOOKUP(F633,magnet_list!$A$2:$A$592,magnet_list!$M$2:$M$592,"n/a",0,1)</f>
        <v>300</v>
      </c>
      <c r="M633">
        <f>_xlfn.XLOOKUP(F633,magnet_list!$A$2:$A$592,magnet_list!$L$2:$L$592,"n/a",0,1)</f>
        <v>44</v>
      </c>
    </row>
    <row r="634" spans="1:13">
      <c r="A634" t="s">
        <v>797</v>
      </c>
      <c r="B634" t="s">
        <v>803</v>
      </c>
      <c r="C634" t="s">
        <v>806</v>
      </c>
      <c r="E634" t="s">
        <v>992</v>
      </c>
      <c r="F634" t="s">
        <v>992</v>
      </c>
      <c r="G634">
        <f t="shared" si="17"/>
        <v>148.88772073739892</v>
      </c>
      <c r="H634">
        <v>-21487.130491349999</v>
      </c>
      <c r="I634">
        <v>115574.33672851</v>
      </c>
      <c r="J634">
        <v>188.69609273</v>
      </c>
      <c r="K634">
        <v>458.69609273000003</v>
      </c>
    </row>
    <row r="635" spans="1:13">
      <c r="A635" t="s">
        <v>797</v>
      </c>
      <c r="B635" t="s">
        <v>805</v>
      </c>
      <c r="C635" t="s">
        <v>1152</v>
      </c>
      <c r="D635" t="s">
        <v>804</v>
      </c>
      <c r="E635" s="2" t="s">
        <v>596</v>
      </c>
      <c r="F635" s="2" t="s">
        <v>2462</v>
      </c>
      <c r="G635">
        <f t="shared" si="17"/>
        <v>148.93330742433892</v>
      </c>
      <c r="H635">
        <v>-15000</v>
      </c>
      <c r="I635">
        <v>115528.75004157001</v>
      </c>
      <c r="J635">
        <v>35</v>
      </c>
      <c r="K635">
        <v>305</v>
      </c>
      <c r="L635">
        <f>_xlfn.XLOOKUP(F635,magnet_list!$A$2:$A$592,magnet_list!$M$2:$M$592,"n/a",0,1)</f>
        <v>300</v>
      </c>
      <c r="M635">
        <f>_xlfn.XLOOKUP(F635,magnet_list!$A$2:$A$592,magnet_list!$L$2:$L$592,"n/a",0,1)</f>
        <v>44</v>
      </c>
    </row>
    <row r="636" spans="1:13">
      <c r="A636" t="s">
        <v>797</v>
      </c>
      <c r="B636" t="s">
        <v>805</v>
      </c>
      <c r="C636" t="s">
        <v>806</v>
      </c>
      <c r="E636" s="2" t="s">
        <v>109</v>
      </c>
      <c r="F636" s="2" t="s">
        <v>2462</v>
      </c>
      <c r="G636">
        <f t="shared" si="17"/>
        <v>149.00880742433893</v>
      </c>
      <c r="H636">
        <v>-15000</v>
      </c>
      <c r="I636">
        <v>115453.25004157001</v>
      </c>
      <c r="J636">
        <v>35</v>
      </c>
      <c r="K636">
        <v>305</v>
      </c>
      <c r="L636">
        <f>_xlfn.XLOOKUP(F636,magnet_list!$A$2:$A$592,magnet_list!$M$2:$M$592,"n/a",0,1)</f>
        <v>300</v>
      </c>
      <c r="M636">
        <f>_xlfn.XLOOKUP(F636,magnet_list!$A$2:$A$592,magnet_list!$L$2:$L$592,"n/a",0,1)</f>
        <v>44</v>
      </c>
    </row>
    <row r="637" spans="1:13">
      <c r="A637" t="s">
        <v>797</v>
      </c>
      <c r="B637" t="s">
        <v>803</v>
      </c>
      <c r="C637" t="s">
        <v>806</v>
      </c>
      <c r="E637" t="s">
        <v>1111</v>
      </c>
      <c r="F637" t="s">
        <v>1111</v>
      </c>
      <c r="G637">
        <f t="shared" si="17"/>
        <v>152.57916927693893</v>
      </c>
      <c r="H637">
        <v>-15124</v>
      </c>
      <c r="I637">
        <v>111882.88818897</v>
      </c>
      <c r="J637">
        <v>-689</v>
      </c>
      <c r="K637">
        <v>-419</v>
      </c>
    </row>
    <row r="638" spans="1:13">
      <c r="A638" t="s">
        <v>797</v>
      </c>
      <c r="B638" t="s">
        <v>1152</v>
      </c>
      <c r="C638" t="s">
        <v>1152</v>
      </c>
      <c r="D638" t="s">
        <v>804</v>
      </c>
      <c r="E638" s="3" t="s">
        <v>2007</v>
      </c>
      <c r="F638" s="3" t="s">
        <v>2007</v>
      </c>
      <c r="G638">
        <f>$G$632+ABS($I$638-$I$632)/1000</f>
        <v>152.77683776136894</v>
      </c>
      <c r="H638">
        <v>-15000</v>
      </c>
      <c r="I638">
        <f>$I$632-4085</f>
        <v>111685.21970454</v>
      </c>
      <c r="J638">
        <v>-270</v>
      </c>
      <c r="K638">
        <v>0</v>
      </c>
    </row>
    <row r="639" spans="1:13">
      <c r="A639" t="s">
        <v>797</v>
      </c>
      <c r="B639" t="s">
        <v>803</v>
      </c>
      <c r="C639" t="s">
        <v>806</v>
      </c>
      <c r="E639" t="s">
        <v>991</v>
      </c>
      <c r="F639" t="s">
        <v>991</v>
      </c>
      <c r="G639">
        <f t="shared" si="17"/>
        <v>152.80636678319894</v>
      </c>
      <c r="H639">
        <v>-12665.201938169999</v>
      </c>
      <c r="I639">
        <v>111655.69068271</v>
      </c>
      <c r="J639">
        <v>189.93913773</v>
      </c>
      <c r="K639">
        <v>459.93913772999997</v>
      </c>
    </row>
    <row r="640" spans="1:13">
      <c r="A640" t="s">
        <v>797</v>
      </c>
      <c r="B640" t="s">
        <v>1152</v>
      </c>
      <c r="C640" t="s">
        <v>1152</v>
      </c>
      <c r="D640" t="s">
        <v>804</v>
      </c>
      <c r="E640" s="3" t="s">
        <v>2008</v>
      </c>
      <c r="F640" s="3" t="s">
        <v>2008</v>
      </c>
      <c r="G640">
        <f>$G$638+ABS($I$640-$I$638)/1000</f>
        <v>152.86183776136895</v>
      </c>
      <c r="H640">
        <v>-15000</v>
      </c>
      <c r="I640">
        <f>$I$638-85</f>
        <v>111600.21970454</v>
      </c>
      <c r="J640">
        <v>-270</v>
      </c>
      <c r="K640">
        <v>0</v>
      </c>
    </row>
    <row r="641" spans="1:13">
      <c r="A641" t="s">
        <v>797</v>
      </c>
      <c r="B641" t="s">
        <v>805</v>
      </c>
      <c r="C641" t="s">
        <v>806</v>
      </c>
      <c r="E641" s="2" t="s">
        <v>110</v>
      </c>
      <c r="F641" s="2" t="s">
        <v>2463</v>
      </c>
      <c r="G641">
        <f t="shared" si="17"/>
        <v>153.03022217391893</v>
      </c>
      <c r="H641">
        <v>-15000</v>
      </c>
      <c r="I641">
        <v>111431.83529199001</v>
      </c>
      <c r="J641">
        <v>35</v>
      </c>
      <c r="K641">
        <v>305</v>
      </c>
      <c r="L641">
        <f>_xlfn.XLOOKUP(F641,magnet_list!$A$2:$A$592,magnet_list!$M$2:$M$592,"n/a",0,1)</f>
        <v>300</v>
      </c>
      <c r="M641">
        <f>_xlfn.XLOOKUP(F641,magnet_list!$A$2:$A$592,magnet_list!$L$2:$L$592,"n/a",0,1)</f>
        <v>44</v>
      </c>
    </row>
    <row r="642" spans="1:13">
      <c r="A642" t="s">
        <v>797</v>
      </c>
      <c r="B642" t="s">
        <v>805</v>
      </c>
      <c r="C642" t="s">
        <v>1152</v>
      </c>
      <c r="D642" t="s">
        <v>804</v>
      </c>
      <c r="E642" s="2" t="s">
        <v>597</v>
      </c>
      <c r="F642" s="2" t="s">
        <v>2463</v>
      </c>
      <c r="G642">
        <f t="shared" si="17"/>
        <v>153.10572217391893</v>
      </c>
      <c r="H642">
        <v>-15000</v>
      </c>
      <c r="I642">
        <v>111356.33529199001</v>
      </c>
      <c r="J642">
        <v>35</v>
      </c>
      <c r="K642">
        <v>305</v>
      </c>
      <c r="L642">
        <f>_xlfn.XLOOKUP(F642,magnet_list!$A$2:$A$592,magnet_list!$M$2:$M$592,"n/a",0,1)</f>
        <v>300</v>
      </c>
      <c r="M642">
        <f>_xlfn.XLOOKUP(F642,magnet_list!$A$2:$A$592,magnet_list!$L$2:$L$592,"n/a",0,1)</f>
        <v>44</v>
      </c>
    </row>
    <row r="643" spans="1:13">
      <c r="A643" t="s">
        <v>797</v>
      </c>
      <c r="B643" t="s">
        <v>805</v>
      </c>
      <c r="C643" t="s">
        <v>806</v>
      </c>
      <c r="E643" s="2" t="s">
        <v>111</v>
      </c>
      <c r="F643" s="2" t="s">
        <v>2463</v>
      </c>
      <c r="G643">
        <f t="shared" si="17"/>
        <v>153.18020722535894</v>
      </c>
      <c r="H643">
        <v>-15000</v>
      </c>
      <c r="I643">
        <v>111281.85024055</v>
      </c>
      <c r="J643">
        <v>35</v>
      </c>
      <c r="K643">
        <v>305</v>
      </c>
      <c r="L643">
        <f>_xlfn.XLOOKUP(F643,magnet_list!$A$2:$A$592,magnet_list!$M$2:$M$592,"n/a",0,1)</f>
        <v>300</v>
      </c>
      <c r="M643">
        <f>_xlfn.XLOOKUP(F643,magnet_list!$A$2:$A$592,magnet_list!$L$2:$L$592,"n/a",0,1)</f>
        <v>44</v>
      </c>
    </row>
    <row r="644" spans="1:13">
      <c r="A644" t="s">
        <v>797</v>
      </c>
      <c r="B644" t="s">
        <v>803</v>
      </c>
      <c r="C644" t="s">
        <v>806</v>
      </c>
      <c r="E644" t="s">
        <v>994</v>
      </c>
      <c r="F644" t="s">
        <v>994</v>
      </c>
      <c r="G644">
        <f t="shared" si="17"/>
        <v>153.31968819097895</v>
      </c>
      <c r="H644">
        <v>-18990.204869879999</v>
      </c>
      <c r="I644">
        <v>111142.36927493</v>
      </c>
      <c r="J644">
        <v>188.72934909</v>
      </c>
      <c r="K644">
        <v>458.72934909000003</v>
      </c>
    </row>
    <row r="645" spans="1:13">
      <c r="A645" t="s">
        <v>797</v>
      </c>
      <c r="B645" t="s">
        <v>805</v>
      </c>
      <c r="C645" t="s">
        <v>806</v>
      </c>
      <c r="E645" s="2" t="s">
        <v>112</v>
      </c>
      <c r="F645" s="2" t="s">
        <v>2464</v>
      </c>
      <c r="G645">
        <f t="shared" si="17"/>
        <v>153.43949097225894</v>
      </c>
      <c r="H645">
        <v>-15000</v>
      </c>
      <c r="I645">
        <v>111022.56649365</v>
      </c>
      <c r="J645">
        <v>-70</v>
      </c>
      <c r="K645">
        <v>200</v>
      </c>
      <c r="L645">
        <f>_xlfn.XLOOKUP(F645,magnet_list!$A$2:$A$592,magnet_list!$M$2:$M$592,"n/a",0,1)</f>
        <v>100</v>
      </c>
      <c r="M645">
        <f>_xlfn.XLOOKUP(F645,magnet_list!$A$2:$A$592,magnet_list!$L$2:$L$592,"n/a",0,1)</f>
        <v>44</v>
      </c>
    </row>
    <row r="646" spans="1:13">
      <c r="A646" t="s">
        <v>797</v>
      </c>
      <c r="B646" t="s">
        <v>805</v>
      </c>
      <c r="C646" t="s">
        <v>1152</v>
      </c>
      <c r="D646" t="s">
        <v>804</v>
      </c>
      <c r="E646" s="2" t="s">
        <v>598</v>
      </c>
      <c r="F646" s="2" t="s">
        <v>2464</v>
      </c>
      <c r="G646">
        <f t="shared" si="17"/>
        <v>153.47949097225893</v>
      </c>
      <c r="H646">
        <v>-15000</v>
      </c>
      <c r="I646">
        <v>110982.56649365</v>
      </c>
      <c r="J646">
        <v>-70</v>
      </c>
      <c r="K646">
        <v>200</v>
      </c>
      <c r="L646">
        <f>_xlfn.XLOOKUP(F646,magnet_list!$A$2:$A$592,magnet_list!$M$2:$M$592,"n/a",0,1)</f>
        <v>100</v>
      </c>
      <c r="M646">
        <f>_xlfn.XLOOKUP(F646,magnet_list!$A$2:$A$592,magnet_list!$L$2:$L$592,"n/a",0,1)</f>
        <v>44</v>
      </c>
    </row>
    <row r="647" spans="1:13">
      <c r="A647" t="s">
        <v>797</v>
      </c>
      <c r="B647" t="s">
        <v>805</v>
      </c>
      <c r="C647" t="s">
        <v>806</v>
      </c>
      <c r="E647" s="2" t="s">
        <v>113</v>
      </c>
      <c r="F647" s="2" t="s">
        <v>2464</v>
      </c>
      <c r="G647">
        <f t="shared" si="17"/>
        <v>153.51950241830892</v>
      </c>
      <c r="H647">
        <v>-15000</v>
      </c>
      <c r="I647">
        <v>110942.55504760001</v>
      </c>
      <c r="J647">
        <v>-70</v>
      </c>
      <c r="K647">
        <v>200</v>
      </c>
      <c r="L647">
        <f>_xlfn.XLOOKUP(F647,magnet_list!$A$2:$A$592,magnet_list!$M$2:$M$592,"n/a",0,1)</f>
        <v>100</v>
      </c>
      <c r="M647">
        <f>_xlfn.XLOOKUP(F647,magnet_list!$A$2:$A$592,magnet_list!$L$2:$L$592,"n/a",0,1)</f>
        <v>44</v>
      </c>
    </row>
    <row r="648" spans="1:13">
      <c r="A648" t="s">
        <v>797</v>
      </c>
      <c r="B648" t="s">
        <v>805</v>
      </c>
      <c r="C648" t="s">
        <v>806</v>
      </c>
      <c r="E648" s="2" t="s">
        <v>114</v>
      </c>
      <c r="F648" s="2" t="s">
        <v>2465</v>
      </c>
      <c r="G648">
        <f t="shared" si="17"/>
        <v>153.68945968423893</v>
      </c>
      <c r="H648">
        <v>-15000</v>
      </c>
      <c r="I648">
        <v>110772.59778167</v>
      </c>
      <c r="J648">
        <v>-70</v>
      </c>
      <c r="K648">
        <v>200</v>
      </c>
      <c r="L648">
        <f>_xlfn.XLOOKUP(F648,magnet_list!$A$2:$A$592,magnet_list!$M$2:$M$592,"n/a",0,1)</f>
        <v>100</v>
      </c>
      <c r="M648">
        <f>_xlfn.XLOOKUP(F648,magnet_list!$A$2:$A$592,magnet_list!$L$2:$L$592,"n/a",0,1)</f>
        <v>44</v>
      </c>
    </row>
    <row r="649" spans="1:13">
      <c r="A649" t="s">
        <v>797</v>
      </c>
      <c r="B649" t="s">
        <v>805</v>
      </c>
      <c r="C649" t="s">
        <v>1152</v>
      </c>
      <c r="D649" t="s">
        <v>804</v>
      </c>
      <c r="E649" s="2" t="s">
        <v>599</v>
      </c>
      <c r="F649" s="2" t="s">
        <v>2465</v>
      </c>
      <c r="G649">
        <f t="shared" si="17"/>
        <v>153.72945968423892</v>
      </c>
      <c r="H649">
        <v>-15000</v>
      </c>
      <c r="I649">
        <v>110732.59778167</v>
      </c>
      <c r="J649">
        <v>-70</v>
      </c>
      <c r="K649">
        <v>200</v>
      </c>
      <c r="L649">
        <f>_xlfn.XLOOKUP(F649,magnet_list!$A$2:$A$592,magnet_list!$M$2:$M$592,"n/a",0,1)</f>
        <v>100</v>
      </c>
      <c r="M649">
        <f>_xlfn.XLOOKUP(F649,magnet_list!$A$2:$A$592,magnet_list!$L$2:$L$592,"n/a",0,1)</f>
        <v>44</v>
      </c>
    </row>
    <row r="650" spans="1:13">
      <c r="A650" t="s">
        <v>797</v>
      </c>
      <c r="B650" t="s">
        <v>805</v>
      </c>
      <c r="C650" t="s">
        <v>806</v>
      </c>
      <c r="E650" s="2" t="s">
        <v>115</v>
      </c>
      <c r="F650" s="2" t="s">
        <v>2465</v>
      </c>
      <c r="G650">
        <f t="shared" si="17"/>
        <v>153.76947274204892</v>
      </c>
      <c r="H650">
        <v>-15000</v>
      </c>
      <c r="I650">
        <v>110692.58472386</v>
      </c>
      <c r="J650">
        <v>-70</v>
      </c>
      <c r="K650">
        <v>200</v>
      </c>
      <c r="L650">
        <f>_xlfn.XLOOKUP(F650,magnet_list!$A$2:$A$592,magnet_list!$M$2:$M$592,"n/a",0,1)</f>
        <v>100</v>
      </c>
      <c r="M650">
        <f>_xlfn.XLOOKUP(F650,magnet_list!$A$2:$A$592,magnet_list!$L$2:$L$592,"n/a",0,1)</f>
        <v>44</v>
      </c>
    </row>
    <row r="651" spans="1:13">
      <c r="A651" t="s">
        <v>797</v>
      </c>
      <c r="B651" t="s">
        <v>803</v>
      </c>
      <c r="C651" t="s">
        <v>806</v>
      </c>
      <c r="E651" t="s">
        <v>995</v>
      </c>
      <c r="F651" t="s">
        <v>995</v>
      </c>
      <c r="G651">
        <f t="shared" si="17"/>
        <v>153.79521765817893</v>
      </c>
      <c r="H651">
        <v>-13550.91367272</v>
      </c>
      <c r="I651">
        <v>110666.83980772999</v>
      </c>
      <c r="J651">
        <v>187.76109185000001</v>
      </c>
      <c r="K651">
        <v>457.76109185000001</v>
      </c>
    </row>
    <row r="652" spans="1:13">
      <c r="A652" t="s">
        <v>797</v>
      </c>
      <c r="B652" t="s">
        <v>1152</v>
      </c>
      <c r="C652" t="s">
        <v>1152</v>
      </c>
      <c r="D652" t="s">
        <v>804</v>
      </c>
      <c r="E652" s="3" t="s">
        <v>2009</v>
      </c>
      <c r="F652" s="3" t="s">
        <v>2009</v>
      </c>
      <c r="G652">
        <f>$G$640+ABS($I$652-$I$640)/1000</f>
        <v>153.91353776136896</v>
      </c>
      <c r="H652">
        <v>-15000</v>
      </c>
      <c r="I652">
        <f>$I$640-1051.7</f>
        <v>110548.51970454</v>
      </c>
      <c r="J652">
        <v>-270</v>
      </c>
      <c r="K652">
        <v>0</v>
      </c>
    </row>
    <row r="653" spans="1:13">
      <c r="A653" t="s">
        <v>797</v>
      </c>
      <c r="B653" t="s">
        <v>803</v>
      </c>
      <c r="C653" t="s">
        <v>806</v>
      </c>
      <c r="E653" t="s">
        <v>1110</v>
      </c>
      <c r="F653" t="s">
        <v>1110</v>
      </c>
      <c r="G653">
        <f t="shared" si="17"/>
        <v>154.08937763626895</v>
      </c>
      <c r="H653">
        <v>-15400</v>
      </c>
      <c r="I653">
        <v>110372.67982963999</v>
      </c>
      <c r="J653">
        <v>-689</v>
      </c>
      <c r="K653">
        <v>-419</v>
      </c>
    </row>
    <row r="654" spans="1:13">
      <c r="A654" t="s">
        <v>797</v>
      </c>
      <c r="B654" t="s">
        <v>1152</v>
      </c>
      <c r="C654" t="s">
        <v>1152</v>
      </c>
      <c r="D654" t="s">
        <v>804</v>
      </c>
      <c r="E654" s="3" t="s">
        <v>2311</v>
      </c>
      <c r="F654" s="3" t="s">
        <v>2311</v>
      </c>
      <c r="G654">
        <f>$G$652+ABS($I$654-$I$652)/1000</f>
        <v>155.19013726136896</v>
      </c>
      <c r="H654">
        <v>-15000</v>
      </c>
      <c r="I654">
        <f>$I$652-1276.5995</f>
        <v>109271.92020454</v>
      </c>
      <c r="J654">
        <v>-270</v>
      </c>
      <c r="K654">
        <v>0</v>
      </c>
    </row>
    <row r="655" spans="1:13">
      <c r="A655" t="s">
        <v>797</v>
      </c>
      <c r="B655" t="s">
        <v>2288</v>
      </c>
      <c r="C655" t="s">
        <v>1152</v>
      </c>
      <c r="D655" t="s">
        <v>804</v>
      </c>
      <c r="E655" s="8" t="s">
        <v>2312</v>
      </c>
      <c r="F655" s="8" t="s">
        <v>2312</v>
      </c>
      <c r="G655">
        <f>$G$654+ABS($I$655-$I$654)/1000</f>
        <v>156.56693726136896</v>
      </c>
      <c r="H655">
        <v>-15000</v>
      </c>
      <c r="I655">
        <f>$I$654-1376.8</f>
        <v>107895.12020454</v>
      </c>
      <c r="J655">
        <v>-270</v>
      </c>
      <c r="K655">
        <v>0</v>
      </c>
    </row>
    <row r="656" spans="1:13">
      <c r="A656" t="s">
        <v>797</v>
      </c>
      <c r="B656" t="s">
        <v>803</v>
      </c>
      <c r="C656" t="s">
        <v>806</v>
      </c>
      <c r="E656" t="s">
        <v>1095</v>
      </c>
      <c r="F656" t="s">
        <v>1095</v>
      </c>
      <c r="G656">
        <f t="shared" si="17"/>
        <v>156.64626432919897</v>
      </c>
      <c r="H656">
        <v>-15400</v>
      </c>
      <c r="I656">
        <v>107815.79313671</v>
      </c>
      <c r="J656">
        <v>-689</v>
      </c>
      <c r="K656">
        <v>-419</v>
      </c>
    </row>
    <row r="657" spans="1:13">
      <c r="A657" t="s">
        <v>797</v>
      </c>
      <c r="B657" t="s">
        <v>804</v>
      </c>
      <c r="C657" t="s">
        <v>1152</v>
      </c>
      <c r="D657" t="s">
        <v>804</v>
      </c>
      <c r="E657" s="10" t="s">
        <v>1490</v>
      </c>
      <c r="F657" s="10" t="s">
        <v>2466</v>
      </c>
      <c r="G657">
        <f>$G$660-ABS($I$660-$I$657)/1000</f>
        <v>156.74693716136895</v>
      </c>
      <c r="H657">
        <v>-15000</v>
      </c>
      <c r="I657">
        <f>$I$660+$L$657/2</f>
        <v>107715.12030454</v>
      </c>
      <c r="J657">
        <v>-270</v>
      </c>
      <c r="K657">
        <v>0</v>
      </c>
      <c r="L657">
        <v>1889.4492</v>
      </c>
    </row>
    <row r="658" spans="1:13">
      <c r="A658" t="s">
        <v>797</v>
      </c>
      <c r="B658" t="s">
        <v>3855</v>
      </c>
      <c r="C658" t="s">
        <v>1152</v>
      </c>
      <c r="D658" t="s">
        <v>804</v>
      </c>
      <c r="E658" t="s">
        <v>2252</v>
      </c>
      <c r="F658" t="s">
        <v>2252</v>
      </c>
      <c r="G658">
        <f>$G$655+ABS($I$658-$I$655)/1000</f>
        <v>157.38043726136897</v>
      </c>
      <c r="H658">
        <v>-15000</v>
      </c>
      <c r="I658">
        <f>$I$655-813.5</f>
        <v>107081.62020454</v>
      </c>
      <c r="J658">
        <v>-270</v>
      </c>
      <c r="K658">
        <v>0</v>
      </c>
      <c r="L658">
        <f>_xlfn.XLOOKUP(F658,magnet_list!$A$2:$A$592,magnet_list!$M$2:$M$592,"n/a",0,1)</f>
        <v>1000</v>
      </c>
      <c r="M658">
        <f>_xlfn.XLOOKUP(F658,magnet_list!$A$2:$A$592,magnet_list!$L$2:$L$592,"n/a",0,1)</f>
        <v>120</v>
      </c>
    </row>
    <row r="659" spans="1:13">
      <c r="A659" t="s">
        <v>797</v>
      </c>
      <c r="B659" t="s">
        <v>3855</v>
      </c>
      <c r="C659" t="s">
        <v>1152</v>
      </c>
      <c r="D659" t="s">
        <v>804</v>
      </c>
      <c r="E659" t="s">
        <v>2253</v>
      </c>
      <c r="F659" t="s">
        <v>2253</v>
      </c>
      <c r="G659">
        <f>$G$655+ABS($I$658-$I$655)/1000</f>
        <v>157.38043726136897</v>
      </c>
      <c r="H659">
        <v>-15000</v>
      </c>
      <c r="I659">
        <f>$I$655-813.5</f>
        <v>107081.62020454</v>
      </c>
      <c r="J659">
        <v>-270</v>
      </c>
      <c r="K659">
        <v>0</v>
      </c>
      <c r="L659">
        <f>_xlfn.XLOOKUP(F659,magnet_list!$A$2:$A$592,magnet_list!$M$2:$M$592,"n/a",0,1)</f>
        <v>1000</v>
      </c>
      <c r="M659">
        <f>_xlfn.XLOOKUP(F659,magnet_list!$A$2:$A$592,magnet_list!$L$2:$L$592,"n/a",0,1)</f>
        <v>120</v>
      </c>
    </row>
    <row r="660" spans="1:13">
      <c r="A660" t="s">
        <v>797</v>
      </c>
      <c r="B660" t="s">
        <v>804</v>
      </c>
      <c r="C660" t="s">
        <v>1152</v>
      </c>
      <c r="D660" t="s">
        <v>804</v>
      </c>
      <c r="E660" s="10" t="s">
        <v>1177</v>
      </c>
      <c r="F660" s="10" t="s">
        <v>2466</v>
      </c>
      <c r="G660">
        <f>$G$655+ABS($I$660-$I$655)/1000</f>
        <v>157.69166176136895</v>
      </c>
      <c r="H660">
        <v>-15000</v>
      </c>
      <c r="I660">
        <f>$I$655-1124.7245</f>
        <v>106770.39570454</v>
      </c>
      <c r="J660">
        <v>-270</v>
      </c>
      <c r="K660">
        <v>0</v>
      </c>
      <c r="L660">
        <v>1889.4492</v>
      </c>
    </row>
    <row r="661" spans="1:13">
      <c r="A661" t="s">
        <v>797</v>
      </c>
      <c r="B661" t="s">
        <v>804</v>
      </c>
      <c r="C661" t="s">
        <v>1152</v>
      </c>
      <c r="D661" t="s">
        <v>804</v>
      </c>
      <c r="E661" s="10" t="s">
        <v>1491</v>
      </c>
      <c r="F661" s="10" t="s">
        <v>2466</v>
      </c>
      <c r="G661">
        <f>$G$660+ABS($I$661-$I$660)/1000</f>
        <v>158.63638636136895</v>
      </c>
      <c r="H661">
        <v>-15000</v>
      </c>
      <c r="I661">
        <f>$I$660-$L$661/2</f>
        <v>105825.67110454</v>
      </c>
      <c r="J661">
        <v>-270</v>
      </c>
      <c r="K661">
        <v>0</v>
      </c>
      <c r="L661">
        <v>1889.4492</v>
      </c>
    </row>
    <row r="662" spans="1:13">
      <c r="A662" t="s">
        <v>797</v>
      </c>
      <c r="B662" t="s">
        <v>804</v>
      </c>
      <c r="C662" t="s">
        <v>1152</v>
      </c>
      <c r="D662" t="s">
        <v>804</v>
      </c>
      <c r="E662" s="10" t="s">
        <v>1492</v>
      </c>
      <c r="F662" s="10" t="s">
        <v>2467</v>
      </c>
      <c r="G662">
        <f>$G$663-ABS($I$663-$I$662)/1000</f>
        <v>158.84632516136895</v>
      </c>
      <c r="H662">
        <v>-15000</v>
      </c>
      <c r="I662">
        <f>$I$663+$L$662/2</f>
        <v>105615.73230454</v>
      </c>
      <c r="J662">
        <v>-270</v>
      </c>
      <c r="K662">
        <v>0</v>
      </c>
      <c r="L662">
        <v>1889.4492</v>
      </c>
    </row>
    <row r="663" spans="1:13">
      <c r="A663" t="s">
        <v>797</v>
      </c>
      <c r="B663" t="s">
        <v>804</v>
      </c>
      <c r="C663" t="s">
        <v>1152</v>
      </c>
      <c r="D663" t="s">
        <v>804</v>
      </c>
      <c r="E663" s="10" t="s">
        <v>1233</v>
      </c>
      <c r="F663" s="10" t="s">
        <v>2467</v>
      </c>
      <c r="G663">
        <f>$G$660+ABS($I$663-$I$660)/1000</f>
        <v>159.79104976136895</v>
      </c>
      <c r="H663">
        <v>-15000</v>
      </c>
      <c r="I663">
        <f>$I$660-2099.388</f>
        <v>104671.00770454</v>
      </c>
      <c r="J663">
        <v>-270</v>
      </c>
      <c r="K663">
        <v>0</v>
      </c>
      <c r="L663">
        <v>1889.4492</v>
      </c>
    </row>
    <row r="664" spans="1:13">
      <c r="A664" t="s">
        <v>797</v>
      </c>
      <c r="B664" t="s">
        <v>804</v>
      </c>
      <c r="C664" t="s">
        <v>1152</v>
      </c>
      <c r="D664" t="s">
        <v>804</v>
      </c>
      <c r="E664" s="10" t="s">
        <v>1493</v>
      </c>
      <c r="F664" s="10" t="s">
        <v>2467</v>
      </c>
      <c r="G664">
        <f>$G$663+ABS($I$664-$I$663)/1000</f>
        <v>160.73577436136895</v>
      </c>
      <c r="H664">
        <v>-15000</v>
      </c>
      <c r="I664">
        <f>$I$663-$L$664/2</f>
        <v>103726.28310453999</v>
      </c>
      <c r="J664">
        <v>-270</v>
      </c>
      <c r="K664">
        <v>0</v>
      </c>
      <c r="L664">
        <v>1889.4492</v>
      </c>
    </row>
    <row r="665" spans="1:13">
      <c r="A665" t="s">
        <v>797</v>
      </c>
      <c r="B665" t="s">
        <v>1152</v>
      </c>
      <c r="C665" t="s">
        <v>1152</v>
      </c>
      <c r="D665" t="s">
        <v>804</v>
      </c>
      <c r="E665" s="3" t="s">
        <v>2010</v>
      </c>
      <c r="F665" s="3" t="s">
        <v>2010</v>
      </c>
      <c r="G665">
        <f>$G$663+ABS($I$665-$I$663)/1000</f>
        <v>160.86977426136895</v>
      </c>
      <c r="H665">
        <v>-15000</v>
      </c>
      <c r="I665">
        <f>$I$663-1078.7245</f>
        <v>103592.28320454</v>
      </c>
      <c r="J665">
        <v>-270</v>
      </c>
      <c r="K665">
        <v>0</v>
      </c>
    </row>
    <row r="666" spans="1:13">
      <c r="A666" t="s">
        <v>797</v>
      </c>
      <c r="B666" t="s">
        <v>803</v>
      </c>
      <c r="C666" t="s">
        <v>806</v>
      </c>
      <c r="E666" t="s">
        <v>964</v>
      </c>
      <c r="F666" t="s">
        <v>964</v>
      </c>
      <c r="G666">
        <f t="shared" si="17"/>
        <v>161.00125527576893</v>
      </c>
      <c r="H666">
        <v>-13547.755110640001</v>
      </c>
      <c r="I666">
        <v>103460.80219014001</v>
      </c>
      <c r="J666">
        <v>-14.97839381</v>
      </c>
      <c r="K666">
        <v>255.02160619</v>
      </c>
    </row>
    <row r="667" spans="1:13">
      <c r="A667" t="s">
        <v>797</v>
      </c>
      <c r="B667" t="s">
        <v>803</v>
      </c>
      <c r="C667" t="s">
        <v>806</v>
      </c>
      <c r="E667" t="s">
        <v>963</v>
      </c>
      <c r="F667" t="s">
        <v>963</v>
      </c>
      <c r="G667">
        <f t="shared" si="17"/>
        <v>161.00294672390893</v>
      </c>
      <c r="H667">
        <v>-18983.829013840001</v>
      </c>
      <c r="I667">
        <v>103459.110742</v>
      </c>
      <c r="J667">
        <v>-15.704067589999999</v>
      </c>
      <c r="K667">
        <v>254.29593241000001</v>
      </c>
    </row>
    <row r="668" spans="1:13">
      <c r="A668" t="s">
        <v>797</v>
      </c>
      <c r="B668" t="s">
        <v>1152</v>
      </c>
      <c r="C668" t="s">
        <v>1152</v>
      </c>
      <c r="D668" t="s">
        <v>804</v>
      </c>
      <c r="E668" s="3" t="s">
        <v>2011</v>
      </c>
      <c r="F668" s="3" t="s">
        <v>2011</v>
      </c>
      <c r="G668">
        <f>$G$665+ABS($I$668-$I$665)/1000</f>
        <v>161.08977426136894</v>
      </c>
      <c r="H668">
        <v>-15000</v>
      </c>
      <c r="I668">
        <f>$I$665-220</f>
        <v>103372.28320454</v>
      </c>
      <c r="J668">
        <v>-270</v>
      </c>
      <c r="K668">
        <v>0</v>
      </c>
    </row>
    <row r="669" spans="1:13">
      <c r="A669" t="s">
        <v>797</v>
      </c>
      <c r="B669" t="s">
        <v>804</v>
      </c>
      <c r="C669" t="s">
        <v>1152</v>
      </c>
      <c r="D669" t="s">
        <v>804</v>
      </c>
      <c r="E669" s="10" t="s">
        <v>1494</v>
      </c>
      <c r="F669" s="10" t="s">
        <v>2468</v>
      </c>
      <c r="G669">
        <f>$G$672-ABS($I$672-$I$669)/1000</f>
        <v>161.26062116136896</v>
      </c>
      <c r="H669">
        <v>-15000</v>
      </c>
      <c r="I669">
        <f>$I$672+$L$669/2</f>
        <v>103201.43630454</v>
      </c>
      <c r="J669">
        <v>-270</v>
      </c>
      <c r="K669">
        <v>0</v>
      </c>
      <c r="L669">
        <v>1889.4492</v>
      </c>
    </row>
    <row r="670" spans="1:13">
      <c r="A670" t="s">
        <v>797</v>
      </c>
      <c r="B670" t="s">
        <v>3855</v>
      </c>
      <c r="C670" t="s">
        <v>1152</v>
      </c>
      <c r="D670" t="s">
        <v>804</v>
      </c>
      <c r="E670" t="s">
        <v>2254</v>
      </c>
      <c r="F670" t="s">
        <v>2254</v>
      </c>
      <c r="G670">
        <f>$G$668+ABS($I$670-$I$668)/1000</f>
        <v>161.89412126136895</v>
      </c>
      <c r="H670">
        <v>-15000</v>
      </c>
      <c r="I670">
        <f>$I$668-804.347</f>
        <v>102567.93620454</v>
      </c>
      <c r="J670">
        <v>-270</v>
      </c>
      <c r="K670">
        <v>0</v>
      </c>
      <c r="L670">
        <f>_xlfn.XLOOKUP(F670,magnet_list!$A$2:$A$592,magnet_list!$M$2:$M$592,"n/a",0,1)</f>
        <v>1000</v>
      </c>
      <c r="M670">
        <f>_xlfn.XLOOKUP(F670,magnet_list!$A$2:$A$592,magnet_list!$L$2:$L$592,"n/a",0,1)</f>
        <v>120</v>
      </c>
    </row>
    <row r="671" spans="1:13">
      <c r="A671" t="s">
        <v>797</v>
      </c>
      <c r="B671" t="s">
        <v>3855</v>
      </c>
      <c r="C671" t="s">
        <v>1152</v>
      </c>
      <c r="D671" t="s">
        <v>804</v>
      </c>
      <c r="E671" t="s">
        <v>2255</v>
      </c>
      <c r="F671" t="s">
        <v>2255</v>
      </c>
      <c r="G671">
        <f>$G$668+ABS($I$670-$I$668)/1000</f>
        <v>161.89412126136895</v>
      </c>
      <c r="H671">
        <v>-15000</v>
      </c>
      <c r="I671">
        <f>$I$668-804.347</f>
        <v>102567.93620454</v>
      </c>
      <c r="J671">
        <v>-270</v>
      </c>
      <c r="K671">
        <v>0</v>
      </c>
      <c r="L671">
        <f>_xlfn.XLOOKUP(F671,magnet_list!$A$2:$A$592,magnet_list!$M$2:$M$592,"n/a",0,1)</f>
        <v>1000</v>
      </c>
      <c r="M671">
        <f>_xlfn.XLOOKUP(F671,magnet_list!$A$2:$A$592,magnet_list!$L$2:$L$592,"n/a",0,1)</f>
        <v>120</v>
      </c>
    </row>
    <row r="672" spans="1:13">
      <c r="A672" t="s">
        <v>797</v>
      </c>
      <c r="B672" t="s">
        <v>804</v>
      </c>
      <c r="C672" t="s">
        <v>1152</v>
      </c>
      <c r="D672" t="s">
        <v>804</v>
      </c>
      <c r="E672" s="10" t="s">
        <v>1288</v>
      </c>
      <c r="F672" s="10" t="s">
        <v>2468</v>
      </c>
      <c r="G672">
        <f>$G$668+ABS($I$672-$I$668)/1000</f>
        <v>162.20534576136896</v>
      </c>
      <c r="H672">
        <v>-15000</v>
      </c>
      <c r="I672">
        <f>$I$668-1115.5715</f>
        <v>102256.71170453999</v>
      </c>
      <c r="J672">
        <v>-270</v>
      </c>
      <c r="K672">
        <v>0</v>
      </c>
      <c r="L672">
        <v>1889.4492</v>
      </c>
    </row>
    <row r="673" spans="1:13">
      <c r="A673" t="s">
        <v>797</v>
      </c>
      <c r="B673" t="s">
        <v>804</v>
      </c>
      <c r="C673" t="s">
        <v>1152</v>
      </c>
      <c r="D673" t="s">
        <v>804</v>
      </c>
      <c r="E673" s="10" t="s">
        <v>1495</v>
      </c>
      <c r="F673" s="10" t="s">
        <v>2468</v>
      </c>
      <c r="G673">
        <f>$G$672+ABS($I$673-$I$672)/1000</f>
        <v>163.15007036136896</v>
      </c>
      <c r="H673">
        <v>-15000</v>
      </c>
      <c r="I673">
        <f>$I$672-$L$673/2</f>
        <v>101311.98710453999</v>
      </c>
      <c r="J673">
        <v>-270</v>
      </c>
      <c r="K673">
        <v>0</v>
      </c>
      <c r="L673">
        <v>1889.4492</v>
      </c>
    </row>
    <row r="674" spans="1:13">
      <c r="A674" t="s">
        <v>797</v>
      </c>
      <c r="B674" t="s">
        <v>804</v>
      </c>
      <c r="C674" t="s">
        <v>1152</v>
      </c>
      <c r="D674" t="s">
        <v>804</v>
      </c>
      <c r="E674" s="10" t="s">
        <v>1496</v>
      </c>
      <c r="F674" s="10" t="s">
        <v>2469</v>
      </c>
      <c r="G674">
        <f>$G$675-ABS($I$675-$I$674)/1000</f>
        <v>163.36000916136896</v>
      </c>
      <c r="H674">
        <v>-15000</v>
      </c>
      <c r="I674">
        <f>$I$675+$L$674/2</f>
        <v>101102.04830453999</v>
      </c>
      <c r="J674">
        <v>-270</v>
      </c>
      <c r="K674">
        <v>0</v>
      </c>
      <c r="L674">
        <v>1889.4492</v>
      </c>
    </row>
    <row r="675" spans="1:13">
      <c r="A675" t="s">
        <v>797</v>
      </c>
      <c r="B675" t="s">
        <v>804</v>
      </c>
      <c r="C675" t="s">
        <v>1152</v>
      </c>
      <c r="D675" t="s">
        <v>804</v>
      </c>
      <c r="E675" s="10" t="s">
        <v>1342</v>
      </c>
      <c r="F675" s="10" t="s">
        <v>2469</v>
      </c>
      <c r="G675">
        <f>$G$672+ABS($I$675-$I$672)/1000</f>
        <v>164.30473376136896</v>
      </c>
      <c r="H675">
        <v>-15000</v>
      </c>
      <c r="I675">
        <f>$I$672-2099.388</f>
        <v>100157.32370453999</v>
      </c>
      <c r="J675">
        <v>-270</v>
      </c>
      <c r="K675">
        <v>0</v>
      </c>
      <c r="L675">
        <v>1889.4492</v>
      </c>
    </row>
    <row r="676" spans="1:13">
      <c r="A676" t="s">
        <v>797</v>
      </c>
      <c r="B676" t="s">
        <v>804</v>
      </c>
      <c r="C676" t="s">
        <v>1152</v>
      </c>
      <c r="D676" t="s">
        <v>804</v>
      </c>
      <c r="E676" s="10" t="s">
        <v>1497</v>
      </c>
      <c r="F676" s="10" t="s">
        <v>2469</v>
      </c>
      <c r="G676">
        <f>$G$675+ABS($I$676-$I$675)/1000</f>
        <v>165.24945836136897</v>
      </c>
      <c r="H676">
        <v>-15000</v>
      </c>
      <c r="I676">
        <f>$I$675-$L$676/2</f>
        <v>99212.599104539986</v>
      </c>
      <c r="J676">
        <v>-270</v>
      </c>
      <c r="K676">
        <v>0</v>
      </c>
      <c r="L676">
        <v>1889.4492</v>
      </c>
    </row>
    <row r="677" spans="1:13">
      <c r="A677" t="s">
        <v>797</v>
      </c>
      <c r="B677" t="s">
        <v>803</v>
      </c>
      <c r="C677" t="s">
        <v>806</v>
      </c>
      <c r="E677" t="s">
        <v>1094</v>
      </c>
      <c r="F677" t="s">
        <v>1094</v>
      </c>
      <c r="G677">
        <f t="shared" si="17"/>
        <v>165.36133102209897</v>
      </c>
      <c r="H677">
        <v>-15400</v>
      </c>
      <c r="I677">
        <v>99100.726443809996</v>
      </c>
      <c r="J677">
        <v>-689</v>
      </c>
      <c r="K677">
        <v>-419</v>
      </c>
    </row>
    <row r="678" spans="1:13">
      <c r="A678" t="s">
        <v>797</v>
      </c>
      <c r="B678" t="s">
        <v>1152</v>
      </c>
      <c r="C678" t="s">
        <v>1152</v>
      </c>
      <c r="D678" t="s">
        <v>804</v>
      </c>
      <c r="E678" s="3" t="s">
        <v>2012</v>
      </c>
      <c r="F678" s="3" t="s">
        <v>2012</v>
      </c>
      <c r="G678">
        <f>$G$675+ABS($I$678-$I$675)/1000</f>
        <v>165.38345826136896</v>
      </c>
      <c r="H678">
        <v>-15000</v>
      </c>
      <c r="I678">
        <f>$I$675-1078.7245</f>
        <v>99078.599204539991</v>
      </c>
      <c r="J678">
        <v>-270</v>
      </c>
      <c r="K678">
        <v>0</v>
      </c>
    </row>
    <row r="679" spans="1:13">
      <c r="A679" t="s">
        <v>797</v>
      </c>
      <c r="B679" t="s">
        <v>1152</v>
      </c>
      <c r="C679" t="s">
        <v>1152</v>
      </c>
      <c r="D679" t="s">
        <v>804</v>
      </c>
      <c r="E679" s="3" t="s">
        <v>3715</v>
      </c>
      <c r="F679" s="3" t="s">
        <v>3715</v>
      </c>
      <c r="G679">
        <f>$G$678+ABS($I$679-$I$678)/1000</f>
        <v>165.46845826136897</v>
      </c>
      <c r="H679">
        <v>-15000</v>
      </c>
      <c r="I679">
        <f>$I$678-85</f>
        <v>98993.599204539991</v>
      </c>
      <c r="J679">
        <v>-270</v>
      </c>
      <c r="K679">
        <v>0</v>
      </c>
    </row>
    <row r="680" spans="1:13">
      <c r="A680" t="s">
        <v>797</v>
      </c>
      <c r="B680" t="s">
        <v>805</v>
      </c>
      <c r="C680" t="s">
        <v>806</v>
      </c>
      <c r="E680" s="2" t="s">
        <v>116</v>
      </c>
      <c r="F680" s="2" t="s">
        <v>116</v>
      </c>
      <c r="G680">
        <f t="shared" si="17"/>
        <v>165.64128239499897</v>
      </c>
      <c r="H680">
        <v>-15000</v>
      </c>
      <c r="I680">
        <v>98820.775070909993</v>
      </c>
      <c r="J680">
        <v>-20</v>
      </c>
      <c r="K680">
        <v>250</v>
      </c>
      <c r="L680">
        <f>_xlfn.XLOOKUP(F680,magnet_list!$A$2:$A$592,magnet_list!$M$2:$M$592,"n/a",0,1)</f>
        <v>190</v>
      </c>
      <c r="M680">
        <f>_xlfn.XLOOKUP(F680,magnet_list!$A$2:$A$592,magnet_list!$L$2:$L$592,"n/a",0,1)</f>
        <v>23</v>
      </c>
    </row>
    <row r="681" spans="1:13">
      <c r="A681" t="s">
        <v>797</v>
      </c>
      <c r="B681" t="s">
        <v>805</v>
      </c>
      <c r="C681" t="s">
        <v>1152</v>
      </c>
      <c r="D681" t="s">
        <v>804</v>
      </c>
      <c r="E681" s="2" t="s">
        <v>600</v>
      </c>
      <c r="F681" s="2" t="s">
        <v>116</v>
      </c>
      <c r="G681">
        <f t="shared" si="17"/>
        <v>165.71628239499896</v>
      </c>
      <c r="H681">
        <v>-15000</v>
      </c>
      <c r="I681">
        <v>98745.775070909993</v>
      </c>
      <c r="J681">
        <v>-20</v>
      </c>
      <c r="K681">
        <v>250</v>
      </c>
      <c r="L681">
        <f>_xlfn.XLOOKUP(F681,magnet_list!$A$2:$A$592,magnet_list!$M$2:$M$592,"n/a",0,1)</f>
        <v>190</v>
      </c>
      <c r="M681">
        <f>_xlfn.XLOOKUP(F681,magnet_list!$A$2:$A$592,magnet_list!$L$2:$L$592,"n/a",0,1)</f>
        <v>23</v>
      </c>
    </row>
    <row r="682" spans="1:13">
      <c r="A682" t="s">
        <v>797</v>
      </c>
      <c r="B682" t="s">
        <v>805</v>
      </c>
      <c r="C682" t="s">
        <v>1152</v>
      </c>
      <c r="D682" t="s">
        <v>804</v>
      </c>
      <c r="E682" s="2" t="s">
        <v>601</v>
      </c>
      <c r="F682" s="2" t="s">
        <v>117</v>
      </c>
      <c r="G682">
        <f t="shared" si="17"/>
        <v>166.01114080756895</v>
      </c>
      <c r="H682">
        <v>-15000</v>
      </c>
      <c r="I682">
        <v>98450.916658339993</v>
      </c>
      <c r="J682">
        <v>-20</v>
      </c>
      <c r="K682">
        <v>250</v>
      </c>
      <c r="L682">
        <f>_xlfn.XLOOKUP(F682,magnet_list!$A$2:$A$592,magnet_list!$M$2:$M$592,"n/a",0,1)</f>
        <v>190</v>
      </c>
      <c r="M682">
        <f>_xlfn.XLOOKUP(F682,magnet_list!$A$2:$A$592,magnet_list!$L$2:$L$592,"n/a",0,1)</f>
        <v>23</v>
      </c>
    </row>
    <row r="683" spans="1:13">
      <c r="A683" t="s">
        <v>797</v>
      </c>
      <c r="B683" t="s">
        <v>805</v>
      </c>
      <c r="C683" t="s">
        <v>806</v>
      </c>
      <c r="E683" s="2" t="s">
        <v>117</v>
      </c>
      <c r="F683" s="2" t="s">
        <v>117</v>
      </c>
      <c r="G683">
        <f t="shared" si="17"/>
        <v>166.08614080756894</v>
      </c>
      <c r="H683">
        <v>-15000</v>
      </c>
      <c r="I683">
        <v>98375.916658339993</v>
      </c>
      <c r="J683">
        <v>-20</v>
      </c>
      <c r="K683">
        <v>250</v>
      </c>
      <c r="L683">
        <f>_xlfn.XLOOKUP(F683,magnet_list!$A$2:$A$592,magnet_list!$M$2:$M$592,"n/a",0,1)</f>
        <v>190</v>
      </c>
      <c r="M683">
        <f>_xlfn.XLOOKUP(F683,magnet_list!$A$2:$A$592,magnet_list!$L$2:$L$592,"n/a",0,1)</f>
        <v>23</v>
      </c>
    </row>
    <row r="684" spans="1:13">
      <c r="A684" t="s">
        <v>797</v>
      </c>
      <c r="B684" t="s">
        <v>2288</v>
      </c>
      <c r="C684" t="s">
        <v>1152</v>
      </c>
      <c r="D684" t="s">
        <v>804</v>
      </c>
      <c r="E684" s="8" t="s">
        <v>2313</v>
      </c>
      <c r="F684" s="8" t="s">
        <v>2313</v>
      </c>
      <c r="G684">
        <f>$G$679+ABS($I$684-$I$679)/1000</f>
        <v>166.21293726136898</v>
      </c>
      <c r="H684">
        <v>-15000</v>
      </c>
      <c r="I684">
        <f>$I$679-744.479</f>
        <v>98249.120204539984</v>
      </c>
      <c r="J684">
        <v>-270</v>
      </c>
      <c r="K684">
        <v>0</v>
      </c>
    </row>
    <row r="685" spans="1:13">
      <c r="A685" t="s">
        <v>797</v>
      </c>
      <c r="B685" t="s">
        <v>803</v>
      </c>
      <c r="C685" t="s">
        <v>806</v>
      </c>
      <c r="E685" t="s">
        <v>1097</v>
      </c>
      <c r="F685" t="s">
        <v>1097</v>
      </c>
      <c r="G685">
        <f t="shared" si="17"/>
        <v>166.24309753248895</v>
      </c>
      <c r="H685">
        <v>-15400</v>
      </c>
      <c r="I685">
        <v>98218.959933420003</v>
      </c>
      <c r="J685">
        <v>-689</v>
      </c>
      <c r="K685">
        <v>-419</v>
      </c>
    </row>
    <row r="686" spans="1:13">
      <c r="A686" t="s">
        <v>797</v>
      </c>
      <c r="B686" t="s">
        <v>804</v>
      </c>
      <c r="C686" t="s">
        <v>1152</v>
      </c>
      <c r="D686" t="s">
        <v>804</v>
      </c>
      <c r="E686" s="10" t="s">
        <v>1498</v>
      </c>
      <c r="F686" s="10" t="s">
        <v>2470</v>
      </c>
      <c r="G686">
        <f>$G$689-ABS($I$689-$I$686)/1000</f>
        <v>166.34693716136897</v>
      </c>
      <c r="H686">
        <v>-15000</v>
      </c>
      <c r="I686">
        <f>$I$689+$L$686/2</f>
        <v>98115.120304539989</v>
      </c>
      <c r="J686">
        <v>-270</v>
      </c>
      <c r="K686">
        <v>0</v>
      </c>
      <c r="L686">
        <v>1889.4492</v>
      </c>
    </row>
    <row r="687" spans="1:13">
      <c r="A687" t="s">
        <v>797</v>
      </c>
      <c r="B687" t="s">
        <v>3855</v>
      </c>
      <c r="C687" t="s">
        <v>1152</v>
      </c>
      <c r="D687" t="s">
        <v>804</v>
      </c>
      <c r="E687" t="s">
        <v>2256</v>
      </c>
      <c r="F687" t="s">
        <v>2256</v>
      </c>
      <c r="G687">
        <f>$G$684+ABS($I$687-$I$684)/1000</f>
        <v>166.98043726136899</v>
      </c>
      <c r="H687">
        <v>-15000</v>
      </c>
      <c r="I687">
        <f>$I$684-767.5</f>
        <v>97481.620204539984</v>
      </c>
      <c r="J687">
        <v>-270</v>
      </c>
      <c r="K687">
        <v>0</v>
      </c>
      <c r="L687">
        <f>_xlfn.XLOOKUP(F687,magnet_list!$A$2:$A$592,magnet_list!$M$2:$M$592,"n/a",0,1)</f>
        <v>1000</v>
      </c>
      <c r="M687">
        <f>_xlfn.XLOOKUP(F687,magnet_list!$A$2:$A$592,magnet_list!$L$2:$L$592,"n/a",0,1)</f>
        <v>120</v>
      </c>
    </row>
    <row r="688" spans="1:13">
      <c r="A688" t="s">
        <v>797</v>
      </c>
      <c r="B688" t="s">
        <v>3855</v>
      </c>
      <c r="C688" t="s">
        <v>1152</v>
      </c>
      <c r="D688" t="s">
        <v>804</v>
      </c>
      <c r="E688" t="s">
        <v>2257</v>
      </c>
      <c r="F688" t="s">
        <v>2257</v>
      </c>
      <c r="G688">
        <f>$G$684+ABS($I$687-$I$684)/1000</f>
        <v>166.98043726136899</v>
      </c>
      <c r="H688">
        <v>-15000</v>
      </c>
      <c r="I688">
        <f>$I$684-767.5</f>
        <v>97481.620204539984</v>
      </c>
      <c r="J688">
        <v>-270</v>
      </c>
      <c r="K688">
        <v>0</v>
      </c>
      <c r="L688">
        <f>_xlfn.XLOOKUP(F688,magnet_list!$A$2:$A$592,magnet_list!$M$2:$M$592,"n/a",0,1)</f>
        <v>1000</v>
      </c>
      <c r="M688">
        <f>_xlfn.XLOOKUP(F688,magnet_list!$A$2:$A$592,magnet_list!$L$2:$L$592,"n/a",0,1)</f>
        <v>120</v>
      </c>
    </row>
    <row r="689" spans="1:13">
      <c r="A689" t="s">
        <v>797</v>
      </c>
      <c r="B689" t="s">
        <v>804</v>
      </c>
      <c r="C689" t="s">
        <v>1152</v>
      </c>
      <c r="D689" t="s">
        <v>804</v>
      </c>
      <c r="E689" s="10" t="s">
        <v>1178</v>
      </c>
      <c r="F689" s="10" t="s">
        <v>2470</v>
      </c>
      <c r="G689">
        <f>$G$684+ABS($I$689-$I$684)/1000</f>
        <v>167.29166176136897</v>
      </c>
      <c r="H689">
        <v>-15000</v>
      </c>
      <c r="I689">
        <f>$I$684-1078.7245</f>
        <v>97170.395704539987</v>
      </c>
      <c r="J689">
        <v>-270</v>
      </c>
      <c r="K689">
        <v>0</v>
      </c>
      <c r="L689">
        <v>1889.4492</v>
      </c>
    </row>
    <row r="690" spans="1:13">
      <c r="A690" t="s">
        <v>797</v>
      </c>
      <c r="B690" t="s">
        <v>804</v>
      </c>
      <c r="C690" t="s">
        <v>1152</v>
      </c>
      <c r="D690" t="s">
        <v>804</v>
      </c>
      <c r="E690" s="10" t="s">
        <v>1499</v>
      </c>
      <c r="F690" s="10" t="s">
        <v>2470</v>
      </c>
      <c r="G690">
        <f>$G$689+ABS($I$690-$I$689)/1000</f>
        <v>168.23638636136897</v>
      </c>
      <c r="H690">
        <v>-15000</v>
      </c>
      <c r="I690">
        <f>$I$689-$L$690/2</f>
        <v>96225.671104539986</v>
      </c>
      <c r="J690">
        <v>-270</v>
      </c>
      <c r="K690">
        <v>0</v>
      </c>
      <c r="L690">
        <v>1889.4492</v>
      </c>
    </row>
    <row r="691" spans="1:13">
      <c r="A691" t="s">
        <v>797</v>
      </c>
      <c r="B691" t="s">
        <v>804</v>
      </c>
      <c r="C691" t="s">
        <v>1152</v>
      </c>
      <c r="D691" t="s">
        <v>804</v>
      </c>
      <c r="E691" s="10" t="s">
        <v>1500</v>
      </c>
      <c r="F691" s="10" t="s">
        <v>2471</v>
      </c>
      <c r="G691">
        <f>$G$692-ABS($I$692-$I$691)/1000</f>
        <v>168.44632516136897</v>
      </c>
      <c r="H691">
        <v>-15000</v>
      </c>
      <c r="I691">
        <f>$I$692+$L$691/2</f>
        <v>96015.732304539983</v>
      </c>
      <c r="J691">
        <v>-270</v>
      </c>
      <c r="K691">
        <v>0</v>
      </c>
      <c r="L691">
        <v>1889.4492</v>
      </c>
    </row>
    <row r="692" spans="1:13">
      <c r="A692" t="s">
        <v>797</v>
      </c>
      <c r="B692" t="s">
        <v>804</v>
      </c>
      <c r="C692" t="s">
        <v>1152</v>
      </c>
      <c r="D692" t="s">
        <v>804</v>
      </c>
      <c r="E692" s="10" t="s">
        <v>1234</v>
      </c>
      <c r="F692" s="10" t="s">
        <v>2471</v>
      </c>
      <c r="G692">
        <f>$G$689+ABS($I$692-$I$689)/1000</f>
        <v>169.39104976136898</v>
      </c>
      <c r="H692">
        <v>-15000</v>
      </c>
      <c r="I692">
        <f>$I$689-2099.388</f>
        <v>95071.007704539981</v>
      </c>
      <c r="J692">
        <v>-270</v>
      </c>
      <c r="K692">
        <v>0</v>
      </c>
      <c r="L692">
        <v>1889.4492</v>
      </c>
    </row>
    <row r="693" spans="1:13">
      <c r="A693" t="s">
        <v>797</v>
      </c>
      <c r="B693" t="s">
        <v>804</v>
      </c>
      <c r="C693" t="s">
        <v>1152</v>
      </c>
      <c r="D693" t="s">
        <v>804</v>
      </c>
      <c r="E693" s="10" t="s">
        <v>1501</v>
      </c>
      <c r="F693" s="10" t="s">
        <v>2471</v>
      </c>
      <c r="G693">
        <f>$G$692+ABS($I$693-$I$692)/1000</f>
        <v>170.33577436136898</v>
      </c>
      <c r="H693">
        <v>-15000</v>
      </c>
      <c r="I693">
        <f>$I$692-$L$693/2</f>
        <v>94126.28310453998</v>
      </c>
      <c r="J693">
        <v>-270</v>
      </c>
      <c r="K693">
        <v>0</v>
      </c>
      <c r="L693">
        <v>1889.4492</v>
      </c>
    </row>
    <row r="694" spans="1:13">
      <c r="A694" t="s">
        <v>797</v>
      </c>
      <c r="B694" t="s">
        <v>803</v>
      </c>
      <c r="C694" t="s">
        <v>806</v>
      </c>
      <c r="E694" t="s">
        <v>966</v>
      </c>
      <c r="F694" t="s">
        <v>966</v>
      </c>
      <c r="G694">
        <f t="shared" ref="G694:G744" si="18">G693-(I694-I693)/1000</f>
        <v>170.57151657742895</v>
      </c>
      <c r="H694">
        <v>-13546.781325260001</v>
      </c>
      <c r="I694">
        <v>93890.540888479998</v>
      </c>
      <c r="J694">
        <v>-16.184672590000002</v>
      </c>
      <c r="K694">
        <v>253.81532741000001</v>
      </c>
    </row>
    <row r="695" spans="1:13">
      <c r="A695" t="s">
        <v>797</v>
      </c>
      <c r="B695" t="s">
        <v>1152</v>
      </c>
      <c r="C695" t="s">
        <v>1152</v>
      </c>
      <c r="D695" t="s">
        <v>804</v>
      </c>
      <c r="E695" s="3" t="s">
        <v>2013</v>
      </c>
      <c r="F695" s="3" t="s">
        <v>2013</v>
      </c>
      <c r="G695">
        <f>$G$692+ABS($I$695-$I$692)/1000</f>
        <v>170.60477426136896</v>
      </c>
      <c r="H695">
        <v>-15000</v>
      </c>
      <c r="I695">
        <f>$I$692-1213.7245</f>
        <v>93857.283204539985</v>
      </c>
      <c r="J695">
        <v>-270</v>
      </c>
      <c r="K695">
        <v>0</v>
      </c>
    </row>
    <row r="696" spans="1:13">
      <c r="A696" t="s">
        <v>797</v>
      </c>
      <c r="B696" t="s">
        <v>1152</v>
      </c>
      <c r="C696" t="s">
        <v>1152</v>
      </c>
      <c r="D696" t="s">
        <v>804</v>
      </c>
      <c r="E696" s="3" t="s">
        <v>2014</v>
      </c>
      <c r="F696" s="3" t="s">
        <v>2014</v>
      </c>
      <c r="G696">
        <f>$G$695+ABS($I$696-$I$695)/1000</f>
        <v>170.68977426136897</v>
      </c>
      <c r="H696">
        <v>-15000</v>
      </c>
      <c r="I696">
        <f>$I$695-85</f>
        <v>93772.283204539985</v>
      </c>
      <c r="J696">
        <v>-270</v>
      </c>
      <c r="K696">
        <v>0</v>
      </c>
    </row>
    <row r="697" spans="1:13">
      <c r="A697" t="s">
        <v>797</v>
      </c>
      <c r="B697" t="s">
        <v>803</v>
      </c>
      <c r="C697" t="s">
        <v>806</v>
      </c>
      <c r="E697" t="s">
        <v>965</v>
      </c>
      <c r="F697" t="s">
        <v>965</v>
      </c>
      <c r="G697">
        <f t="shared" si="18"/>
        <v>170.77709994022894</v>
      </c>
      <c r="H697">
        <v>-18984.63782602</v>
      </c>
      <c r="I697">
        <v>93684.957525680002</v>
      </c>
      <c r="J697">
        <v>-16.87551534</v>
      </c>
      <c r="K697">
        <v>253.12448466000001</v>
      </c>
    </row>
    <row r="698" spans="1:13">
      <c r="A698" t="s">
        <v>797</v>
      </c>
      <c r="B698" t="s">
        <v>804</v>
      </c>
      <c r="C698" t="s">
        <v>1152</v>
      </c>
      <c r="D698" t="s">
        <v>804</v>
      </c>
      <c r="E698" s="10" t="s">
        <v>1502</v>
      </c>
      <c r="F698" s="10" t="s">
        <v>2472</v>
      </c>
      <c r="G698">
        <f>$G$701-ABS($I$701-$I$698)/1000</f>
        <v>170.86062116136898</v>
      </c>
      <c r="H698">
        <v>-15000</v>
      </c>
      <c r="I698">
        <f>$I$701+$L$698/2</f>
        <v>93601.43630453998</v>
      </c>
      <c r="J698">
        <v>-270</v>
      </c>
      <c r="K698">
        <v>0</v>
      </c>
      <c r="L698">
        <v>1889.4492</v>
      </c>
    </row>
    <row r="699" spans="1:13">
      <c r="A699" t="s">
        <v>797</v>
      </c>
      <c r="B699" t="s">
        <v>3855</v>
      </c>
      <c r="C699" t="s">
        <v>1152</v>
      </c>
      <c r="D699" t="s">
        <v>804</v>
      </c>
      <c r="E699" t="s">
        <v>2258</v>
      </c>
      <c r="F699" t="s">
        <v>2258</v>
      </c>
      <c r="G699">
        <f>$G$696+ABS($I$699-$I$696)/1000</f>
        <v>171.49412126136897</v>
      </c>
      <c r="H699">
        <v>-15000</v>
      </c>
      <c r="I699">
        <f>$I$696-804.347</f>
        <v>92967.93620453999</v>
      </c>
      <c r="J699">
        <v>-270</v>
      </c>
      <c r="K699">
        <v>0</v>
      </c>
      <c r="L699">
        <f>_xlfn.XLOOKUP(F699,magnet_list!$A$2:$A$592,magnet_list!$M$2:$M$592,"n/a",0,1)</f>
        <v>1000</v>
      </c>
      <c r="M699">
        <f>_xlfn.XLOOKUP(F699,magnet_list!$A$2:$A$592,magnet_list!$L$2:$L$592,"n/a",0,1)</f>
        <v>120</v>
      </c>
    </row>
    <row r="700" spans="1:13">
      <c r="A700" t="s">
        <v>797</v>
      </c>
      <c r="B700" t="s">
        <v>3855</v>
      </c>
      <c r="C700" t="s">
        <v>1152</v>
      </c>
      <c r="D700" t="s">
        <v>804</v>
      </c>
      <c r="E700" t="s">
        <v>2259</v>
      </c>
      <c r="F700" t="s">
        <v>2259</v>
      </c>
      <c r="G700">
        <f>$G$696+ABS($I$699-$I$696)/1000</f>
        <v>171.49412126136897</v>
      </c>
      <c r="H700">
        <v>-15000</v>
      </c>
      <c r="I700">
        <f>$I$696-804.347</f>
        <v>92967.93620453999</v>
      </c>
      <c r="J700">
        <v>-270</v>
      </c>
      <c r="K700">
        <v>0</v>
      </c>
      <c r="L700">
        <f>_xlfn.XLOOKUP(F700,magnet_list!$A$2:$A$592,magnet_list!$M$2:$M$592,"n/a",0,1)</f>
        <v>1000</v>
      </c>
      <c r="M700">
        <f>_xlfn.XLOOKUP(F700,magnet_list!$A$2:$A$592,magnet_list!$L$2:$L$592,"n/a",0,1)</f>
        <v>120</v>
      </c>
    </row>
    <row r="701" spans="1:13">
      <c r="A701" t="s">
        <v>797</v>
      </c>
      <c r="B701" t="s">
        <v>804</v>
      </c>
      <c r="C701" t="s">
        <v>1152</v>
      </c>
      <c r="D701" t="s">
        <v>804</v>
      </c>
      <c r="E701" s="10" t="s">
        <v>1289</v>
      </c>
      <c r="F701" s="10" t="s">
        <v>2472</v>
      </c>
      <c r="G701">
        <f>$G$696+ABS($I$701-$I$696)/1000</f>
        <v>171.80534576136898</v>
      </c>
      <c r="H701">
        <v>-15000</v>
      </c>
      <c r="I701">
        <f>$I$696-1115.5715</f>
        <v>92656.711704539979</v>
      </c>
      <c r="J701">
        <v>-270</v>
      </c>
      <c r="K701">
        <v>0</v>
      </c>
      <c r="L701">
        <v>1889.4492</v>
      </c>
    </row>
    <row r="702" spans="1:13">
      <c r="A702" t="s">
        <v>797</v>
      </c>
      <c r="B702" t="s">
        <v>804</v>
      </c>
      <c r="C702" t="s">
        <v>1152</v>
      </c>
      <c r="D702" t="s">
        <v>804</v>
      </c>
      <c r="E702" s="10" t="s">
        <v>1503</v>
      </c>
      <c r="F702" s="10" t="s">
        <v>2472</v>
      </c>
      <c r="G702">
        <f>$G$701+ABS($I$702-$I$701)/1000</f>
        <v>172.75007036136898</v>
      </c>
      <c r="H702">
        <v>-15000</v>
      </c>
      <c r="I702">
        <f>$I$701-$L$702/2</f>
        <v>91711.987104539978</v>
      </c>
      <c r="J702">
        <v>-270</v>
      </c>
      <c r="K702">
        <v>0</v>
      </c>
      <c r="L702">
        <v>1889.4492</v>
      </c>
    </row>
    <row r="703" spans="1:13">
      <c r="A703" t="s">
        <v>797</v>
      </c>
      <c r="B703" t="s">
        <v>804</v>
      </c>
      <c r="C703" t="s">
        <v>1152</v>
      </c>
      <c r="D703" t="s">
        <v>804</v>
      </c>
      <c r="E703" s="10" t="s">
        <v>1504</v>
      </c>
      <c r="F703" s="10" t="s">
        <v>2473</v>
      </c>
      <c r="G703">
        <f>$G$704-ABS($I$704-$I$703)/1000</f>
        <v>172.96000916136899</v>
      </c>
      <c r="H703">
        <v>-15000</v>
      </c>
      <c r="I703">
        <f>$I$704+$L$703/2</f>
        <v>91502.048304539974</v>
      </c>
      <c r="J703">
        <v>-270</v>
      </c>
      <c r="K703">
        <v>0</v>
      </c>
      <c r="L703">
        <v>1889.4492</v>
      </c>
    </row>
    <row r="704" spans="1:13">
      <c r="A704" t="s">
        <v>797</v>
      </c>
      <c r="B704" t="s">
        <v>804</v>
      </c>
      <c r="C704" t="s">
        <v>1152</v>
      </c>
      <c r="D704" t="s">
        <v>804</v>
      </c>
      <c r="E704" s="10" t="s">
        <v>1343</v>
      </c>
      <c r="F704" s="10" t="s">
        <v>2473</v>
      </c>
      <c r="G704">
        <f>$G$701+ABS($I$704-$I$701)/1000</f>
        <v>173.90473376136899</v>
      </c>
      <c r="H704">
        <v>-15000</v>
      </c>
      <c r="I704">
        <f>$I$701-2099.388</f>
        <v>90557.323704539973</v>
      </c>
      <c r="J704">
        <v>-270</v>
      </c>
      <c r="K704">
        <v>0</v>
      </c>
      <c r="L704">
        <v>1889.4492</v>
      </c>
    </row>
    <row r="705" spans="1:13">
      <c r="A705" t="s">
        <v>797</v>
      </c>
      <c r="B705" t="s">
        <v>804</v>
      </c>
      <c r="C705" t="s">
        <v>1152</v>
      </c>
      <c r="D705" t="s">
        <v>804</v>
      </c>
      <c r="E705" s="10" t="s">
        <v>1505</v>
      </c>
      <c r="F705" s="10" t="s">
        <v>2473</v>
      </c>
      <c r="G705">
        <f>$G$704+ABS($I$705-$I$704)/1000</f>
        <v>174.84945836136899</v>
      </c>
      <c r="H705">
        <v>-15000</v>
      </c>
      <c r="I705">
        <f>$I$704-$L$705/2</f>
        <v>89612.599104539971</v>
      </c>
      <c r="J705">
        <v>-270</v>
      </c>
      <c r="K705">
        <v>0</v>
      </c>
      <c r="L705">
        <v>1889.4492</v>
      </c>
    </row>
    <row r="706" spans="1:13">
      <c r="A706" t="s">
        <v>797</v>
      </c>
      <c r="B706" t="s">
        <v>803</v>
      </c>
      <c r="C706" t="s">
        <v>806</v>
      </c>
      <c r="E706" t="s">
        <v>1096</v>
      </c>
      <c r="F706" t="s">
        <v>1096</v>
      </c>
      <c r="G706">
        <f t="shared" si="18"/>
        <v>174.95979573084895</v>
      </c>
      <c r="H706">
        <v>-15400</v>
      </c>
      <c r="I706">
        <v>89502.261735060005</v>
      </c>
      <c r="J706">
        <v>-689</v>
      </c>
      <c r="K706">
        <v>-419</v>
      </c>
    </row>
    <row r="707" spans="1:13">
      <c r="A707" t="s">
        <v>797</v>
      </c>
      <c r="B707" t="s">
        <v>1152</v>
      </c>
      <c r="C707" t="s">
        <v>1152</v>
      </c>
      <c r="D707" t="s">
        <v>804</v>
      </c>
      <c r="E707" s="3" t="s">
        <v>2015</v>
      </c>
      <c r="F707" s="3" t="s">
        <v>2015</v>
      </c>
      <c r="G707">
        <f>$G$704+ABS($I$707-$I$704)/1000</f>
        <v>174.98345826136898</v>
      </c>
      <c r="H707">
        <v>-15000</v>
      </c>
      <c r="I707">
        <f>$I$704-1078.7245</f>
        <v>89478.599204539976</v>
      </c>
      <c r="J707">
        <v>-270</v>
      </c>
      <c r="K707">
        <v>0</v>
      </c>
    </row>
    <row r="708" spans="1:13">
      <c r="A708" t="s">
        <v>797</v>
      </c>
      <c r="B708" t="s">
        <v>805</v>
      </c>
      <c r="C708" t="s">
        <v>806</v>
      </c>
      <c r="E708" s="2" t="s">
        <v>118</v>
      </c>
      <c r="F708" s="2" t="s">
        <v>118</v>
      </c>
      <c r="G708">
        <f t="shared" si="18"/>
        <v>175.15461694360894</v>
      </c>
      <c r="H708">
        <v>-15000</v>
      </c>
      <c r="I708">
        <v>89307.440522300007</v>
      </c>
      <c r="J708">
        <v>-20</v>
      </c>
      <c r="K708">
        <v>250</v>
      </c>
      <c r="L708">
        <f>_xlfn.XLOOKUP(F708,magnet_list!$A$2:$A$592,magnet_list!$M$2:$M$592,"n/a",0,1)</f>
        <v>190</v>
      </c>
      <c r="M708">
        <f>_xlfn.XLOOKUP(F708,magnet_list!$A$2:$A$592,magnet_list!$L$2:$L$592,"n/a",0,1)</f>
        <v>23</v>
      </c>
    </row>
    <row r="709" spans="1:13">
      <c r="A709" t="s">
        <v>797</v>
      </c>
      <c r="B709" t="s">
        <v>805</v>
      </c>
      <c r="C709" t="s">
        <v>1152</v>
      </c>
      <c r="D709" t="s">
        <v>804</v>
      </c>
      <c r="E709" s="2" t="s">
        <v>602</v>
      </c>
      <c r="F709" s="2" t="s">
        <v>118</v>
      </c>
      <c r="G709">
        <f t="shared" si="18"/>
        <v>175.22961694360893</v>
      </c>
      <c r="H709">
        <v>-15000</v>
      </c>
      <c r="I709">
        <v>89232.440522300007</v>
      </c>
      <c r="J709">
        <v>-20</v>
      </c>
      <c r="K709">
        <v>250</v>
      </c>
      <c r="L709">
        <f>_xlfn.XLOOKUP(F709,magnet_list!$A$2:$A$592,magnet_list!$M$2:$M$592,"n/a",0,1)</f>
        <v>190</v>
      </c>
      <c r="M709">
        <f>_xlfn.XLOOKUP(F709,magnet_list!$A$2:$A$592,magnet_list!$L$2:$L$592,"n/a",0,1)</f>
        <v>23</v>
      </c>
    </row>
    <row r="710" spans="1:13">
      <c r="A710" t="s">
        <v>797</v>
      </c>
      <c r="B710" t="s">
        <v>805</v>
      </c>
      <c r="C710" t="s">
        <v>1152</v>
      </c>
      <c r="D710" t="s">
        <v>804</v>
      </c>
      <c r="E710" s="2" t="s">
        <v>603</v>
      </c>
      <c r="F710" s="2" t="s">
        <v>119</v>
      </c>
      <c r="G710">
        <f t="shared" si="18"/>
        <v>175.52498394360893</v>
      </c>
      <c r="H710">
        <v>-15000</v>
      </c>
      <c r="I710">
        <v>88937.073522300008</v>
      </c>
      <c r="J710">
        <v>-20</v>
      </c>
      <c r="K710">
        <v>250</v>
      </c>
      <c r="L710">
        <f>_xlfn.XLOOKUP(F710,magnet_list!$A$2:$A$592,magnet_list!$M$2:$M$592,"n/a",0,1)</f>
        <v>190</v>
      </c>
      <c r="M710">
        <f>_xlfn.XLOOKUP(F710,magnet_list!$A$2:$A$592,magnet_list!$L$2:$L$592,"n/a",0,1)</f>
        <v>23</v>
      </c>
    </row>
    <row r="711" spans="1:13">
      <c r="A711" t="s">
        <v>797</v>
      </c>
      <c r="B711" t="s">
        <v>805</v>
      </c>
      <c r="C711" t="s">
        <v>806</v>
      </c>
      <c r="E711" s="2" t="s">
        <v>119</v>
      </c>
      <c r="F711" s="2" t="s">
        <v>119</v>
      </c>
      <c r="G711">
        <f t="shared" si="18"/>
        <v>175.59999272441894</v>
      </c>
      <c r="H711">
        <v>-15000</v>
      </c>
      <c r="I711">
        <v>88862.064741490001</v>
      </c>
      <c r="J711">
        <v>-20</v>
      </c>
      <c r="K711">
        <v>250</v>
      </c>
      <c r="L711">
        <f>_xlfn.XLOOKUP(F711,magnet_list!$A$2:$A$592,magnet_list!$M$2:$M$592,"n/a",0,1)</f>
        <v>190</v>
      </c>
      <c r="M711">
        <f>_xlfn.XLOOKUP(F711,magnet_list!$A$2:$A$592,magnet_list!$L$2:$L$592,"n/a",0,1)</f>
        <v>23</v>
      </c>
    </row>
    <row r="712" spans="1:13">
      <c r="A712" t="s">
        <v>797</v>
      </c>
      <c r="B712" t="s">
        <v>2288</v>
      </c>
      <c r="C712" t="s">
        <v>1152</v>
      </c>
      <c r="D712" t="s">
        <v>804</v>
      </c>
      <c r="E712" s="9" t="s">
        <v>2314</v>
      </c>
      <c r="F712" s="9" t="s">
        <v>2314</v>
      </c>
      <c r="G712">
        <f>$G$707+ABS($I$712-$I$707)/1000</f>
        <v>175.81293626136898</v>
      </c>
      <c r="H712">
        <v>-15000</v>
      </c>
      <c r="I712">
        <f>$I$707-829.478</f>
        <v>88649.121204539973</v>
      </c>
      <c r="J712">
        <v>-270</v>
      </c>
      <c r="K712">
        <v>0</v>
      </c>
    </row>
    <row r="713" spans="1:13">
      <c r="A713" t="s">
        <v>797</v>
      </c>
      <c r="B713" t="s">
        <v>803</v>
      </c>
      <c r="C713" t="s">
        <v>806</v>
      </c>
      <c r="E713" t="s">
        <v>1099</v>
      </c>
      <c r="F713" t="s">
        <v>1099</v>
      </c>
      <c r="G713">
        <f t="shared" si="18"/>
        <v>175.84332550535896</v>
      </c>
      <c r="H713">
        <v>-15400</v>
      </c>
      <c r="I713">
        <v>88618.731960549994</v>
      </c>
      <c r="J713">
        <v>-689</v>
      </c>
      <c r="K713">
        <v>-419</v>
      </c>
    </row>
    <row r="714" spans="1:13">
      <c r="A714" t="s">
        <v>797</v>
      </c>
      <c r="B714" t="s">
        <v>804</v>
      </c>
      <c r="C714" t="s">
        <v>1152</v>
      </c>
      <c r="D714" t="s">
        <v>804</v>
      </c>
      <c r="E714" s="10" t="s">
        <v>1506</v>
      </c>
      <c r="F714" s="10" t="s">
        <v>2474</v>
      </c>
      <c r="G714">
        <f>$G$717-ABS($I$717-$I$714)/1000</f>
        <v>175.94693716136896</v>
      </c>
      <c r="H714">
        <v>-15000</v>
      </c>
      <c r="I714">
        <f>$I$717+$L$714/2</f>
        <v>88515.120304539974</v>
      </c>
      <c r="J714">
        <v>-270</v>
      </c>
      <c r="K714">
        <v>0</v>
      </c>
      <c r="L714">
        <v>1889.4492</v>
      </c>
    </row>
    <row r="715" spans="1:13">
      <c r="A715" t="s">
        <v>797</v>
      </c>
      <c r="B715" t="s">
        <v>3855</v>
      </c>
      <c r="C715" t="s">
        <v>1152</v>
      </c>
      <c r="D715" t="s">
        <v>804</v>
      </c>
      <c r="E715" t="s">
        <v>2260</v>
      </c>
      <c r="F715" t="s">
        <v>2260</v>
      </c>
      <c r="G715">
        <f>$G$712+ABS($I$715-$I$712)/1000</f>
        <v>176.58043726136898</v>
      </c>
      <c r="H715">
        <v>-15000</v>
      </c>
      <c r="I715">
        <f>$I$712-767.501</f>
        <v>87881.62020453997</v>
      </c>
      <c r="J715">
        <v>-270</v>
      </c>
      <c r="K715">
        <v>0</v>
      </c>
      <c r="L715">
        <f>_xlfn.XLOOKUP(F715,magnet_list!$A$2:$A$592,magnet_list!$M$2:$M$592,"n/a",0,1)</f>
        <v>1000</v>
      </c>
      <c r="M715">
        <f>_xlfn.XLOOKUP(F715,magnet_list!$A$2:$A$592,magnet_list!$L$2:$L$592,"n/a",0,1)</f>
        <v>120</v>
      </c>
    </row>
    <row r="716" spans="1:13">
      <c r="A716" t="s">
        <v>797</v>
      </c>
      <c r="B716" t="s">
        <v>3855</v>
      </c>
      <c r="C716" t="s">
        <v>1152</v>
      </c>
      <c r="D716" t="s">
        <v>804</v>
      </c>
      <c r="E716" t="s">
        <v>2261</v>
      </c>
      <c r="F716" t="s">
        <v>2261</v>
      </c>
      <c r="G716">
        <f>$G$712+ABS($I$715-$I$712)/1000</f>
        <v>176.58043726136898</v>
      </c>
      <c r="H716">
        <v>-15000</v>
      </c>
      <c r="I716">
        <f>$I$712-767.501</f>
        <v>87881.62020453997</v>
      </c>
      <c r="J716">
        <v>-270</v>
      </c>
      <c r="K716">
        <v>0</v>
      </c>
      <c r="L716">
        <f>_xlfn.XLOOKUP(F716,magnet_list!$A$2:$A$592,magnet_list!$M$2:$M$592,"n/a",0,1)</f>
        <v>1000</v>
      </c>
      <c r="M716">
        <f>_xlfn.XLOOKUP(F716,magnet_list!$A$2:$A$592,magnet_list!$L$2:$L$592,"n/a",0,1)</f>
        <v>120</v>
      </c>
    </row>
    <row r="717" spans="1:13">
      <c r="A717" t="s">
        <v>797</v>
      </c>
      <c r="B717" t="s">
        <v>804</v>
      </c>
      <c r="C717" t="s">
        <v>1152</v>
      </c>
      <c r="D717" t="s">
        <v>804</v>
      </c>
      <c r="E717" s="10" t="s">
        <v>1179</v>
      </c>
      <c r="F717" s="10" t="s">
        <v>2474</v>
      </c>
      <c r="G717">
        <f>$G$712+ABS($I$717-$I$712)/1000</f>
        <v>176.89166176136897</v>
      </c>
      <c r="H717">
        <v>-15000</v>
      </c>
      <c r="I717">
        <f>$I$712-1078.7255</f>
        <v>87570.395704539973</v>
      </c>
      <c r="J717">
        <v>-270</v>
      </c>
      <c r="K717">
        <v>0</v>
      </c>
      <c r="L717">
        <v>1889.4492</v>
      </c>
    </row>
    <row r="718" spans="1:13">
      <c r="A718" t="s">
        <v>797</v>
      </c>
      <c r="B718" t="s">
        <v>804</v>
      </c>
      <c r="C718" t="s">
        <v>1152</v>
      </c>
      <c r="D718" t="s">
        <v>804</v>
      </c>
      <c r="E718" s="10" t="s">
        <v>1507</v>
      </c>
      <c r="F718" s="10" t="s">
        <v>2474</v>
      </c>
      <c r="G718">
        <f>$G$717+ABS($I$718-$I$717)/1000</f>
        <v>177.83638636136897</v>
      </c>
      <c r="H718">
        <v>-15000</v>
      </c>
      <c r="I718">
        <f>$I$717-$L$718/2</f>
        <v>86625.671104539972</v>
      </c>
      <c r="J718">
        <v>-270</v>
      </c>
      <c r="K718">
        <v>0</v>
      </c>
      <c r="L718">
        <v>1889.4492</v>
      </c>
    </row>
    <row r="719" spans="1:13">
      <c r="A719" t="s">
        <v>797</v>
      </c>
      <c r="B719" t="s">
        <v>804</v>
      </c>
      <c r="C719" t="s">
        <v>1152</v>
      </c>
      <c r="D719" t="s">
        <v>804</v>
      </c>
      <c r="E719" s="10" t="s">
        <v>1508</v>
      </c>
      <c r="F719" s="10" t="s">
        <v>2475</v>
      </c>
      <c r="G719">
        <f>$G$720-ABS($I$720-$I$719)/1000</f>
        <v>178.04632516136897</v>
      </c>
      <c r="H719">
        <v>-15000</v>
      </c>
      <c r="I719">
        <f>$I$720+$L$719/2</f>
        <v>86415.732304539968</v>
      </c>
      <c r="J719">
        <v>-270</v>
      </c>
      <c r="K719">
        <v>0</v>
      </c>
      <c r="L719">
        <v>1889.4492</v>
      </c>
    </row>
    <row r="720" spans="1:13">
      <c r="A720" t="s">
        <v>797</v>
      </c>
      <c r="B720" t="s">
        <v>804</v>
      </c>
      <c r="C720" t="s">
        <v>1152</v>
      </c>
      <c r="D720" t="s">
        <v>804</v>
      </c>
      <c r="E720" s="10" t="s">
        <v>1235</v>
      </c>
      <c r="F720" s="10" t="s">
        <v>2475</v>
      </c>
      <c r="G720">
        <f>$G$717+ABS($I$720-$I$717)/1000</f>
        <v>178.99104976136897</v>
      </c>
      <c r="H720">
        <v>-15000</v>
      </c>
      <c r="I720">
        <f>$I$717-2099.388</f>
        <v>85471.007704539967</v>
      </c>
      <c r="J720">
        <v>-270</v>
      </c>
      <c r="K720">
        <v>0</v>
      </c>
      <c r="L720">
        <v>1889.4492</v>
      </c>
    </row>
    <row r="721" spans="1:13">
      <c r="A721" t="s">
        <v>797</v>
      </c>
      <c r="B721" t="s">
        <v>804</v>
      </c>
      <c r="C721" t="s">
        <v>1152</v>
      </c>
      <c r="D721" t="s">
        <v>804</v>
      </c>
      <c r="E721" s="10" t="s">
        <v>1509</v>
      </c>
      <c r="F721" s="10" t="s">
        <v>2475</v>
      </c>
      <c r="G721">
        <f>$G$720+ABS($I$721-$I$720)/1000</f>
        <v>179.93577436136897</v>
      </c>
      <c r="H721">
        <v>-15000</v>
      </c>
      <c r="I721">
        <f>$I$720-$L$721/2</f>
        <v>84526.283104539965</v>
      </c>
      <c r="J721">
        <v>-270</v>
      </c>
      <c r="K721">
        <v>0</v>
      </c>
      <c r="L721">
        <v>1889.4492</v>
      </c>
    </row>
    <row r="722" spans="1:13">
      <c r="A722" t="s">
        <v>797</v>
      </c>
      <c r="B722" t="s">
        <v>803</v>
      </c>
      <c r="C722" t="s">
        <v>806</v>
      </c>
      <c r="E722" t="s">
        <v>967</v>
      </c>
      <c r="F722" t="s">
        <v>967</v>
      </c>
      <c r="G722">
        <f t="shared" si="18"/>
        <v>180.16695219073893</v>
      </c>
      <c r="H722">
        <v>-13542.45196787</v>
      </c>
      <c r="I722">
        <v>84295.105275170004</v>
      </c>
      <c r="J722">
        <v>-17.931868860000002</v>
      </c>
      <c r="K722">
        <v>252.06813113999999</v>
      </c>
    </row>
    <row r="723" spans="1:13">
      <c r="A723" t="s">
        <v>797</v>
      </c>
      <c r="B723" t="s">
        <v>1152</v>
      </c>
      <c r="C723" t="s">
        <v>1152</v>
      </c>
      <c r="D723" t="s">
        <v>804</v>
      </c>
      <c r="E723" s="3" t="s">
        <v>2016</v>
      </c>
      <c r="F723" s="3" t="s">
        <v>2016</v>
      </c>
      <c r="G723">
        <f>$G$720+ABS($I$723-$I$720)/1000</f>
        <v>180.20477426136895</v>
      </c>
      <c r="H723">
        <v>-15000</v>
      </c>
      <c r="I723">
        <f>$I$720-1213.7245</f>
        <v>84257.28320453997</v>
      </c>
      <c r="J723">
        <v>-270</v>
      </c>
      <c r="K723">
        <v>0</v>
      </c>
    </row>
    <row r="724" spans="1:13">
      <c r="A724" t="s">
        <v>797</v>
      </c>
      <c r="B724" t="s">
        <v>804</v>
      </c>
      <c r="C724" t="s">
        <v>1152</v>
      </c>
      <c r="D724" t="s">
        <v>804</v>
      </c>
      <c r="E724" s="10" t="s">
        <v>1510</v>
      </c>
      <c r="F724" s="10" t="s">
        <v>2476</v>
      </c>
      <c r="G724">
        <f>$G$728-ABS($I$728-$I$724)/1000</f>
        <v>180.46062116136895</v>
      </c>
      <c r="H724">
        <v>-15000</v>
      </c>
      <c r="I724">
        <f>$I$728+$L$724/2</f>
        <v>84001.436304539966</v>
      </c>
      <c r="J724">
        <v>-270</v>
      </c>
      <c r="K724">
        <v>0</v>
      </c>
      <c r="L724">
        <v>1889.4492</v>
      </c>
    </row>
    <row r="725" spans="1:13">
      <c r="A725" t="s">
        <v>797</v>
      </c>
      <c r="B725" t="s">
        <v>803</v>
      </c>
      <c r="C725" t="s">
        <v>806</v>
      </c>
      <c r="E725" t="s">
        <v>968</v>
      </c>
      <c r="F725" t="s">
        <v>968</v>
      </c>
      <c r="G725">
        <f t="shared" si="18"/>
        <v>181.08439455729891</v>
      </c>
      <c r="H725">
        <v>-18984.775880109999</v>
      </c>
      <c r="I725">
        <v>83377.66290861</v>
      </c>
      <c r="J725">
        <v>-17.13734402</v>
      </c>
      <c r="K725">
        <v>252.86265598</v>
      </c>
    </row>
    <row r="726" spans="1:13">
      <c r="A726" t="s">
        <v>797</v>
      </c>
      <c r="B726" t="s">
        <v>3855</v>
      </c>
      <c r="C726" t="s">
        <v>1152</v>
      </c>
      <c r="D726" t="s">
        <v>804</v>
      </c>
      <c r="E726" t="s">
        <v>2262</v>
      </c>
      <c r="F726" t="s">
        <v>2262</v>
      </c>
      <c r="G726">
        <f>$G$723+ABS($I$726-$I$723)/1000</f>
        <v>181.09412126136894</v>
      </c>
      <c r="H726">
        <v>-15000</v>
      </c>
      <c r="I726">
        <f>$I$723-889.347</f>
        <v>83367.936204539976</v>
      </c>
      <c r="J726">
        <v>-270</v>
      </c>
      <c r="K726">
        <v>0</v>
      </c>
      <c r="L726">
        <f>_xlfn.XLOOKUP(F726,magnet_list!$A$2:$A$592,magnet_list!$M$2:$M$592,"n/a",0,1)</f>
        <v>1000</v>
      </c>
      <c r="M726">
        <f>_xlfn.XLOOKUP(F726,magnet_list!$A$2:$A$592,magnet_list!$L$2:$L$592,"n/a",0,1)</f>
        <v>120</v>
      </c>
    </row>
    <row r="727" spans="1:13">
      <c r="A727" t="s">
        <v>797</v>
      </c>
      <c r="B727" t="s">
        <v>3855</v>
      </c>
      <c r="C727" t="s">
        <v>1152</v>
      </c>
      <c r="D727" t="s">
        <v>804</v>
      </c>
      <c r="E727" t="s">
        <v>2263</v>
      </c>
      <c r="F727" t="s">
        <v>2263</v>
      </c>
      <c r="G727">
        <f>$G$723+ABS($I$726-$I$723)/1000</f>
        <v>181.09412126136894</v>
      </c>
      <c r="H727">
        <v>-15000</v>
      </c>
      <c r="I727">
        <f>$I$723-889.347</f>
        <v>83367.936204539976</v>
      </c>
      <c r="J727">
        <v>-270</v>
      </c>
      <c r="K727">
        <v>0</v>
      </c>
      <c r="L727">
        <f>_xlfn.XLOOKUP(F727,magnet_list!$A$2:$A$592,magnet_list!$M$2:$M$592,"n/a",0,1)</f>
        <v>1000</v>
      </c>
      <c r="M727">
        <f>_xlfn.XLOOKUP(F727,magnet_list!$A$2:$A$592,magnet_list!$L$2:$L$592,"n/a",0,1)</f>
        <v>120</v>
      </c>
    </row>
    <row r="728" spans="1:13">
      <c r="A728" t="s">
        <v>797</v>
      </c>
      <c r="B728" t="s">
        <v>804</v>
      </c>
      <c r="C728" t="s">
        <v>1152</v>
      </c>
      <c r="D728" t="s">
        <v>804</v>
      </c>
      <c r="E728" s="10" t="s">
        <v>1290</v>
      </c>
      <c r="F728" s="10" t="s">
        <v>2476</v>
      </c>
      <c r="G728">
        <f>$G$723+ABS($I$728-$I$723)/1000</f>
        <v>181.40534576136895</v>
      </c>
      <c r="H728">
        <v>-15000</v>
      </c>
      <c r="I728">
        <f>$I$723-1200.5715</f>
        <v>83056.711704539965</v>
      </c>
      <c r="J728">
        <v>-270</v>
      </c>
      <c r="K728">
        <v>0</v>
      </c>
      <c r="L728">
        <v>1889.4492</v>
      </c>
    </row>
    <row r="729" spans="1:13">
      <c r="A729" t="s">
        <v>797</v>
      </c>
      <c r="B729" t="s">
        <v>804</v>
      </c>
      <c r="C729" t="s">
        <v>1152</v>
      </c>
      <c r="D729" t="s">
        <v>804</v>
      </c>
      <c r="E729" s="10" t="s">
        <v>1511</v>
      </c>
      <c r="F729" s="10" t="s">
        <v>2476</v>
      </c>
      <c r="G729">
        <f>$G$728+ABS($I$729-$I$728)/1000</f>
        <v>182.35007036136895</v>
      </c>
      <c r="H729">
        <v>-15000</v>
      </c>
      <c r="I729">
        <f>$I$728-$L$729/2</f>
        <v>82111.987104539963</v>
      </c>
      <c r="J729">
        <v>-270</v>
      </c>
      <c r="K729">
        <v>0</v>
      </c>
      <c r="L729">
        <v>1889.4492</v>
      </c>
    </row>
    <row r="730" spans="1:13">
      <c r="A730" t="s">
        <v>797</v>
      </c>
      <c r="B730" t="s">
        <v>804</v>
      </c>
      <c r="C730" t="s">
        <v>1152</v>
      </c>
      <c r="D730" t="s">
        <v>804</v>
      </c>
      <c r="E730" s="10" t="s">
        <v>1512</v>
      </c>
      <c r="F730" s="10" t="s">
        <v>2477</v>
      </c>
      <c r="G730">
        <f>$G$731-ABS($I$731-$I$730)/1000</f>
        <v>182.56000916136895</v>
      </c>
      <c r="H730">
        <v>-15000</v>
      </c>
      <c r="I730">
        <f>$I$731+$L$730/2</f>
        <v>81902.04830453996</v>
      </c>
      <c r="J730">
        <v>-270</v>
      </c>
      <c r="K730">
        <v>0</v>
      </c>
      <c r="L730">
        <v>1889.4492</v>
      </c>
    </row>
    <row r="731" spans="1:13">
      <c r="A731" t="s">
        <v>797</v>
      </c>
      <c r="B731" t="s">
        <v>804</v>
      </c>
      <c r="C731" t="s">
        <v>1152</v>
      </c>
      <c r="D731" t="s">
        <v>804</v>
      </c>
      <c r="E731" s="10" t="s">
        <v>1344</v>
      </c>
      <c r="F731" s="10" t="s">
        <v>2477</v>
      </c>
      <c r="G731">
        <f>$G$728+ABS($I$731-$I$728)/1000</f>
        <v>183.50473376136895</v>
      </c>
      <c r="H731">
        <v>-15000</v>
      </c>
      <c r="I731">
        <f>$I$728-2099.388</f>
        <v>80957.323704539958</v>
      </c>
      <c r="J731">
        <v>-270</v>
      </c>
      <c r="K731">
        <v>0</v>
      </c>
      <c r="L731">
        <v>1889.4492</v>
      </c>
    </row>
    <row r="732" spans="1:13">
      <c r="A732" t="s">
        <v>797</v>
      </c>
      <c r="B732" t="s">
        <v>804</v>
      </c>
      <c r="C732" t="s">
        <v>1152</v>
      </c>
      <c r="D732" t="s">
        <v>804</v>
      </c>
      <c r="E732" s="10" t="s">
        <v>1513</v>
      </c>
      <c r="F732" s="10" t="s">
        <v>2477</v>
      </c>
      <c r="G732">
        <f>$G$731+ABS($I$732-$I$731)/1000</f>
        <v>184.44945836136895</v>
      </c>
      <c r="H732">
        <v>-15000</v>
      </c>
      <c r="I732">
        <f>$I$731-$L$732/2</f>
        <v>80012.599104539957</v>
      </c>
      <c r="J732">
        <v>-270</v>
      </c>
      <c r="K732">
        <v>0</v>
      </c>
      <c r="L732">
        <v>1889.4492</v>
      </c>
    </row>
    <row r="733" spans="1:13">
      <c r="A733" t="s">
        <v>797</v>
      </c>
      <c r="B733" t="s">
        <v>803</v>
      </c>
      <c r="C733" t="s">
        <v>806</v>
      </c>
      <c r="E733" t="s">
        <v>1098</v>
      </c>
      <c r="F733" t="s">
        <v>1098</v>
      </c>
      <c r="G733">
        <f t="shared" si="18"/>
        <v>184.5579798310489</v>
      </c>
      <c r="H733">
        <v>-15400</v>
      </c>
      <c r="I733">
        <v>79904.077634860005</v>
      </c>
      <c r="J733">
        <v>-689</v>
      </c>
      <c r="K733">
        <v>-419</v>
      </c>
    </row>
    <row r="734" spans="1:13">
      <c r="A734" t="s">
        <v>797</v>
      </c>
      <c r="B734" t="s">
        <v>1152</v>
      </c>
      <c r="C734" t="s">
        <v>1152</v>
      </c>
      <c r="D734" t="s">
        <v>804</v>
      </c>
      <c r="E734" s="3" t="s">
        <v>2017</v>
      </c>
      <c r="F734" s="3" t="s">
        <v>2017</v>
      </c>
      <c r="G734">
        <f>$G$731+ABS($I$734-$I$731)/1000</f>
        <v>184.58345826136895</v>
      </c>
      <c r="H734">
        <v>-15000</v>
      </c>
      <c r="I734">
        <f>$I$731-1078.7245</f>
        <v>79878.599204539962</v>
      </c>
      <c r="J734">
        <v>-270</v>
      </c>
      <c r="K734">
        <v>0</v>
      </c>
    </row>
    <row r="735" spans="1:13">
      <c r="A735" t="s">
        <v>797</v>
      </c>
      <c r="B735" t="s">
        <v>803</v>
      </c>
      <c r="C735" t="s">
        <v>806</v>
      </c>
      <c r="E735" t="s">
        <v>969</v>
      </c>
      <c r="F735" t="s">
        <v>969</v>
      </c>
      <c r="G735">
        <f t="shared" si="18"/>
        <v>184.68872959263891</v>
      </c>
      <c r="H735">
        <v>-18985.362221949999</v>
      </c>
      <c r="I735">
        <v>79773.327873269998</v>
      </c>
      <c r="J735">
        <v>-16.267509669999999</v>
      </c>
      <c r="K735">
        <v>253.73249032999999</v>
      </c>
    </row>
    <row r="736" spans="1:13">
      <c r="A736" t="s">
        <v>797</v>
      </c>
      <c r="B736" t="s">
        <v>805</v>
      </c>
      <c r="C736" t="s">
        <v>806</v>
      </c>
      <c r="E736" s="2" t="s">
        <v>120</v>
      </c>
      <c r="F736" s="2" t="s">
        <v>120</v>
      </c>
      <c r="G736">
        <f t="shared" si="18"/>
        <v>184.7506142291889</v>
      </c>
      <c r="H736">
        <v>-15000</v>
      </c>
      <c r="I736">
        <v>79711.443236720006</v>
      </c>
      <c r="J736">
        <v>-20</v>
      </c>
      <c r="K736">
        <v>250</v>
      </c>
      <c r="L736">
        <f>_xlfn.XLOOKUP(F736,magnet_list!$A$2:$A$592,magnet_list!$M$2:$M$592,"n/a",0,1)</f>
        <v>190</v>
      </c>
      <c r="M736">
        <f>_xlfn.XLOOKUP(F736,magnet_list!$A$2:$A$592,magnet_list!$L$2:$L$592,"n/a",0,1)</f>
        <v>23</v>
      </c>
    </row>
    <row r="737" spans="1:13">
      <c r="A737" t="s">
        <v>797</v>
      </c>
      <c r="B737" t="s">
        <v>803</v>
      </c>
      <c r="C737" t="s">
        <v>806</v>
      </c>
      <c r="E737" t="s">
        <v>970</v>
      </c>
      <c r="F737" t="s">
        <v>970</v>
      </c>
      <c r="G737">
        <f t="shared" si="18"/>
        <v>184.7628730040089</v>
      </c>
      <c r="H737">
        <v>-13541.34296697</v>
      </c>
      <c r="I737">
        <v>79699.184461900004</v>
      </c>
      <c r="J737">
        <v>-16.921654799999999</v>
      </c>
      <c r="K737">
        <v>253.0783452</v>
      </c>
    </row>
    <row r="738" spans="1:13">
      <c r="A738" t="s">
        <v>797</v>
      </c>
      <c r="B738" t="s">
        <v>805</v>
      </c>
      <c r="C738" t="s">
        <v>1152</v>
      </c>
      <c r="D738" t="s">
        <v>804</v>
      </c>
      <c r="E738" s="2" t="s">
        <v>604</v>
      </c>
      <c r="F738" s="2" t="s">
        <v>120</v>
      </c>
      <c r="G738">
        <f t="shared" si="18"/>
        <v>184.82561422918889</v>
      </c>
      <c r="H738">
        <v>-15000</v>
      </c>
      <c r="I738">
        <v>79636.443236720006</v>
      </c>
      <c r="J738">
        <v>-20</v>
      </c>
      <c r="K738">
        <v>250</v>
      </c>
      <c r="L738">
        <f>_xlfn.XLOOKUP(F738,magnet_list!$A$2:$A$592,magnet_list!$M$2:$M$592,"n/a",0,1)</f>
        <v>190</v>
      </c>
      <c r="M738">
        <f>_xlfn.XLOOKUP(F738,magnet_list!$A$2:$A$592,magnet_list!$L$2:$L$592,"n/a",0,1)</f>
        <v>23</v>
      </c>
    </row>
    <row r="739" spans="1:13">
      <c r="A739" t="s">
        <v>797</v>
      </c>
      <c r="B739" t="s">
        <v>803</v>
      </c>
      <c r="C739" t="s">
        <v>806</v>
      </c>
      <c r="E739" t="s">
        <v>971</v>
      </c>
      <c r="F739" t="s">
        <v>971</v>
      </c>
      <c r="G739">
        <f t="shared" si="18"/>
        <v>185.0253255248289</v>
      </c>
      <c r="H739">
        <v>-18985.437315809999</v>
      </c>
      <c r="I739">
        <v>79436.731941079997</v>
      </c>
      <c r="J739">
        <v>-16.98540195</v>
      </c>
      <c r="K739">
        <v>253.01459804999999</v>
      </c>
    </row>
    <row r="740" spans="1:13">
      <c r="A740" t="s">
        <v>797</v>
      </c>
      <c r="B740" t="s">
        <v>803</v>
      </c>
      <c r="C740" t="s">
        <v>806</v>
      </c>
      <c r="E740" t="s">
        <v>972</v>
      </c>
      <c r="F740" t="s">
        <v>972</v>
      </c>
      <c r="G740">
        <f t="shared" si="18"/>
        <v>185.05348597755889</v>
      </c>
      <c r="H740">
        <v>-13542.099514289999</v>
      </c>
      <c r="I740">
        <v>79408.571488350004</v>
      </c>
      <c r="J740">
        <v>-16.928967969999999</v>
      </c>
      <c r="K740">
        <v>253.07103203</v>
      </c>
    </row>
    <row r="741" spans="1:13">
      <c r="A741" t="s">
        <v>797</v>
      </c>
      <c r="B741" t="s">
        <v>805</v>
      </c>
      <c r="C741" t="s">
        <v>1152</v>
      </c>
      <c r="D741" t="s">
        <v>804</v>
      </c>
      <c r="E741" s="2" t="s">
        <v>605</v>
      </c>
      <c r="F741" s="2" t="s">
        <v>121</v>
      </c>
      <c r="G741">
        <f t="shared" si="18"/>
        <v>185.1207835474589</v>
      </c>
      <c r="H741">
        <v>-15000</v>
      </c>
      <c r="I741">
        <v>79341.273918449995</v>
      </c>
      <c r="J741">
        <v>-20</v>
      </c>
      <c r="K741">
        <v>250</v>
      </c>
      <c r="L741">
        <f>_xlfn.XLOOKUP(F741,magnet_list!$A$2:$A$592,magnet_list!$M$2:$M$592,"n/a",0,1)</f>
        <v>190</v>
      </c>
      <c r="M741">
        <f>_xlfn.XLOOKUP(F741,magnet_list!$A$2:$A$592,magnet_list!$L$2:$L$592,"n/a",0,1)</f>
        <v>23</v>
      </c>
    </row>
    <row r="742" spans="1:13">
      <c r="A742" t="s">
        <v>797</v>
      </c>
      <c r="B742" t="s">
        <v>805</v>
      </c>
      <c r="C742" t="s">
        <v>806</v>
      </c>
      <c r="E742" s="2" t="s">
        <v>121</v>
      </c>
      <c r="F742" s="2" t="s">
        <v>121</v>
      </c>
      <c r="G742">
        <f t="shared" si="18"/>
        <v>185.19578354745889</v>
      </c>
      <c r="H742">
        <v>-15000</v>
      </c>
      <c r="I742">
        <v>79266.273918449995</v>
      </c>
      <c r="J742">
        <v>-20</v>
      </c>
      <c r="K742">
        <v>250</v>
      </c>
      <c r="L742">
        <f>_xlfn.XLOOKUP(F742,magnet_list!$A$2:$A$592,magnet_list!$M$2:$M$592,"n/a",0,1)</f>
        <v>190</v>
      </c>
      <c r="M742">
        <f>_xlfn.XLOOKUP(F742,magnet_list!$A$2:$A$592,magnet_list!$L$2:$L$592,"n/a",0,1)</f>
        <v>23</v>
      </c>
    </row>
    <row r="743" spans="1:13">
      <c r="A743" t="s">
        <v>797</v>
      </c>
      <c r="B743" t="s">
        <v>2288</v>
      </c>
      <c r="C743" t="s">
        <v>1152</v>
      </c>
      <c r="D743" t="s">
        <v>804</v>
      </c>
      <c r="E743" s="8" t="s">
        <v>2315</v>
      </c>
      <c r="F743" s="8" t="s">
        <v>2315</v>
      </c>
      <c r="G743">
        <f>$G$734+ABS($I$743-$I$734)/1000</f>
        <v>185.41293626136894</v>
      </c>
      <c r="H743">
        <v>-15000</v>
      </c>
      <c r="I743">
        <f>$I$734-829.478</f>
        <v>79049.121204539959</v>
      </c>
      <c r="J743">
        <v>-270</v>
      </c>
      <c r="K743">
        <v>0</v>
      </c>
    </row>
    <row r="744" spans="1:13">
      <c r="A744" t="s">
        <v>797</v>
      </c>
      <c r="B744" t="s">
        <v>803</v>
      </c>
      <c r="C744" t="s">
        <v>806</v>
      </c>
      <c r="E744" t="s">
        <v>1101</v>
      </c>
      <c r="F744" t="s">
        <v>1101</v>
      </c>
      <c r="G744">
        <f t="shared" si="18"/>
        <v>185.4399463533689</v>
      </c>
      <c r="H744">
        <v>-15400</v>
      </c>
      <c r="I744">
        <v>79022.111112540006</v>
      </c>
      <c r="J744">
        <v>-689</v>
      </c>
      <c r="K744">
        <v>-419</v>
      </c>
    </row>
    <row r="745" spans="1:13">
      <c r="A745" t="s">
        <v>797</v>
      </c>
      <c r="B745" t="s">
        <v>804</v>
      </c>
      <c r="C745" t="s">
        <v>1152</v>
      </c>
      <c r="D745" t="s">
        <v>804</v>
      </c>
      <c r="E745" s="10" t="s">
        <v>1514</v>
      </c>
      <c r="F745" s="10" t="s">
        <v>2478</v>
      </c>
      <c r="G745">
        <f>$G$748-ABS($I$748-$I$745)/1000</f>
        <v>185.54693716136893</v>
      </c>
      <c r="H745">
        <v>-15000</v>
      </c>
      <c r="I745">
        <f>$I$748+$L$745/2</f>
        <v>78915.12030453996</v>
      </c>
      <c r="J745">
        <v>-270</v>
      </c>
      <c r="K745">
        <v>0</v>
      </c>
      <c r="L745">
        <v>1889.4492</v>
      </c>
    </row>
    <row r="746" spans="1:13">
      <c r="A746" t="s">
        <v>797</v>
      </c>
      <c r="B746" t="s">
        <v>3855</v>
      </c>
      <c r="C746" t="s">
        <v>1152</v>
      </c>
      <c r="D746" t="s">
        <v>804</v>
      </c>
      <c r="E746" t="s">
        <v>2264</v>
      </c>
      <c r="F746" t="s">
        <v>2264</v>
      </c>
      <c r="G746">
        <f>$G$743+ABS($I$746-$I$743)/1000</f>
        <v>186.18043726136895</v>
      </c>
      <c r="H746">
        <v>-15000</v>
      </c>
      <c r="I746">
        <f>$I$743-767.501</f>
        <v>78281.620204539955</v>
      </c>
      <c r="J746">
        <v>-270</v>
      </c>
      <c r="K746">
        <v>0</v>
      </c>
      <c r="L746">
        <f>_xlfn.XLOOKUP(F746,magnet_list!$A$2:$A$592,magnet_list!$M$2:$M$592,"n/a",0,1)</f>
        <v>1000</v>
      </c>
      <c r="M746">
        <f>_xlfn.XLOOKUP(F746,magnet_list!$A$2:$A$592,magnet_list!$L$2:$L$592,"n/a",0,1)</f>
        <v>120</v>
      </c>
    </row>
    <row r="747" spans="1:13">
      <c r="A747" t="s">
        <v>797</v>
      </c>
      <c r="B747" t="s">
        <v>3855</v>
      </c>
      <c r="C747" t="s">
        <v>1152</v>
      </c>
      <c r="D747" t="s">
        <v>804</v>
      </c>
      <c r="E747" t="s">
        <v>2265</v>
      </c>
      <c r="F747" t="s">
        <v>2265</v>
      </c>
      <c r="G747">
        <f>$G$743+ABS($I$746-$I$743)/1000</f>
        <v>186.18043726136895</v>
      </c>
      <c r="H747">
        <v>-15000</v>
      </c>
      <c r="I747">
        <f>$I$743-767.501</f>
        <v>78281.620204539955</v>
      </c>
      <c r="J747">
        <v>-270</v>
      </c>
      <c r="K747">
        <v>0</v>
      </c>
      <c r="L747">
        <f>_xlfn.XLOOKUP(F747,magnet_list!$A$2:$A$592,magnet_list!$M$2:$M$592,"n/a",0,1)</f>
        <v>1000</v>
      </c>
      <c r="M747">
        <f>_xlfn.XLOOKUP(F747,magnet_list!$A$2:$A$592,magnet_list!$L$2:$L$592,"n/a",0,1)</f>
        <v>120</v>
      </c>
    </row>
    <row r="748" spans="1:13">
      <c r="A748" t="s">
        <v>797</v>
      </c>
      <c r="B748" t="s">
        <v>804</v>
      </c>
      <c r="C748" t="s">
        <v>1152</v>
      </c>
      <c r="D748" t="s">
        <v>804</v>
      </c>
      <c r="E748" s="10" t="s">
        <v>1180</v>
      </c>
      <c r="F748" s="10" t="s">
        <v>2478</v>
      </c>
      <c r="G748">
        <f>$G$743+ABS($I$748-$I$743)/1000</f>
        <v>186.49166176136893</v>
      </c>
      <c r="H748">
        <v>-15000</v>
      </c>
      <c r="I748">
        <f>$I$743-1078.7255</f>
        <v>77970.395704539958</v>
      </c>
      <c r="J748">
        <v>-270</v>
      </c>
      <c r="K748">
        <v>0</v>
      </c>
      <c r="L748">
        <v>1889.4492</v>
      </c>
    </row>
    <row r="749" spans="1:13">
      <c r="A749" t="s">
        <v>797</v>
      </c>
      <c r="B749" t="s">
        <v>804</v>
      </c>
      <c r="C749" t="s">
        <v>1152</v>
      </c>
      <c r="D749" t="s">
        <v>804</v>
      </c>
      <c r="E749" s="10" t="s">
        <v>1515</v>
      </c>
      <c r="F749" s="10" t="s">
        <v>2478</v>
      </c>
      <c r="G749">
        <f>$G$748+ABS($I$749-$I$748)/1000</f>
        <v>187.43638636136893</v>
      </c>
      <c r="H749">
        <v>-15000</v>
      </c>
      <c r="I749">
        <f>$I$748-$L$749/2</f>
        <v>77025.671104539957</v>
      </c>
      <c r="J749">
        <v>-270</v>
      </c>
      <c r="K749">
        <v>0</v>
      </c>
      <c r="L749">
        <v>1889.4492</v>
      </c>
    </row>
    <row r="750" spans="1:13">
      <c r="A750" t="s">
        <v>797</v>
      </c>
      <c r="B750" t="s">
        <v>804</v>
      </c>
      <c r="C750" t="s">
        <v>1152</v>
      </c>
      <c r="D750" t="s">
        <v>804</v>
      </c>
      <c r="E750" s="10" t="s">
        <v>1516</v>
      </c>
      <c r="F750" s="10" t="s">
        <v>2479</v>
      </c>
      <c r="G750">
        <f>$G$751-ABS($I$751-$I$750)/1000</f>
        <v>187.64632516136894</v>
      </c>
      <c r="H750">
        <v>-15000</v>
      </c>
      <c r="I750">
        <f>$I$751+$L$750/2</f>
        <v>76815.732304539953</v>
      </c>
      <c r="J750">
        <v>-270</v>
      </c>
      <c r="K750">
        <v>0</v>
      </c>
      <c r="L750">
        <v>1889.4492</v>
      </c>
    </row>
    <row r="751" spans="1:13">
      <c r="A751" t="s">
        <v>797</v>
      </c>
      <c r="B751" t="s">
        <v>804</v>
      </c>
      <c r="C751" t="s">
        <v>1152</v>
      </c>
      <c r="D751" t="s">
        <v>804</v>
      </c>
      <c r="E751" s="10" t="s">
        <v>1236</v>
      </c>
      <c r="F751" s="10" t="s">
        <v>2479</v>
      </c>
      <c r="G751">
        <f>$G$748+ABS($I$751-$I$748)/1000</f>
        <v>188.59104976136894</v>
      </c>
      <c r="H751">
        <v>-15000</v>
      </c>
      <c r="I751">
        <f>$I$748-2099.388</f>
        <v>75871.007704539952</v>
      </c>
      <c r="J751">
        <v>-270</v>
      </c>
      <c r="K751">
        <v>0</v>
      </c>
      <c r="L751">
        <v>1889.4492</v>
      </c>
    </row>
    <row r="752" spans="1:13">
      <c r="A752" t="s">
        <v>797</v>
      </c>
      <c r="B752" t="s">
        <v>804</v>
      </c>
      <c r="C752" t="s">
        <v>1152</v>
      </c>
      <c r="D752" t="s">
        <v>804</v>
      </c>
      <c r="E752" s="10" t="s">
        <v>1517</v>
      </c>
      <c r="F752" s="10" t="s">
        <v>2479</v>
      </c>
      <c r="G752">
        <f>$G$751+ABS($I$752-$I$751)/1000</f>
        <v>189.53577436136894</v>
      </c>
      <c r="H752">
        <v>-15000</v>
      </c>
      <c r="I752">
        <f>$I$751-$L$752/2</f>
        <v>74926.283104539951</v>
      </c>
      <c r="J752">
        <v>-270</v>
      </c>
      <c r="K752">
        <v>0</v>
      </c>
      <c r="L752">
        <v>1889.4492</v>
      </c>
    </row>
    <row r="753" spans="1:13">
      <c r="A753" t="s">
        <v>797</v>
      </c>
      <c r="B753" t="s">
        <v>803</v>
      </c>
      <c r="C753" t="s">
        <v>806</v>
      </c>
      <c r="E753" t="s">
        <v>973</v>
      </c>
      <c r="F753" t="s">
        <v>973</v>
      </c>
      <c r="G753">
        <f t="shared" ref="G753:G809" si="19">G752-(I753-I752)/1000</f>
        <v>189.7456702536289</v>
      </c>
      <c r="H753">
        <v>-13539.84295507</v>
      </c>
      <c r="I753">
        <v>74716.387212279995</v>
      </c>
      <c r="J753">
        <v>-18.000822249999999</v>
      </c>
      <c r="K753">
        <v>251.99917775</v>
      </c>
    </row>
    <row r="754" spans="1:13">
      <c r="A754" t="s">
        <v>797</v>
      </c>
      <c r="B754" t="s">
        <v>1152</v>
      </c>
      <c r="C754" t="s">
        <v>1152</v>
      </c>
      <c r="D754" t="s">
        <v>804</v>
      </c>
      <c r="E754" s="3" t="s">
        <v>2018</v>
      </c>
      <c r="F754" s="3" t="s">
        <v>2018</v>
      </c>
      <c r="G754">
        <f>$G$751+ABS($I$754-$I$751)/1000</f>
        <v>189.80477426136892</v>
      </c>
      <c r="H754">
        <v>-15000</v>
      </c>
      <c r="I754">
        <f>$I$751-1213.7245</f>
        <v>74657.283204539955</v>
      </c>
      <c r="J754">
        <v>-270</v>
      </c>
      <c r="K754">
        <v>0</v>
      </c>
    </row>
    <row r="755" spans="1:13">
      <c r="A755" t="s">
        <v>797</v>
      </c>
      <c r="B755" t="s">
        <v>804</v>
      </c>
      <c r="C755" t="s">
        <v>1152</v>
      </c>
      <c r="D755" t="s">
        <v>804</v>
      </c>
      <c r="E755" s="10" t="s">
        <v>1518</v>
      </c>
      <c r="F755" s="10" t="s">
        <v>2480</v>
      </c>
      <c r="G755">
        <f>$G$759-ABS($I$759-$I$755)/1000</f>
        <v>190.06062116136891</v>
      </c>
      <c r="H755">
        <v>-15000</v>
      </c>
      <c r="I755">
        <f>$I$759+$L$755/2</f>
        <v>74401.436304539951</v>
      </c>
      <c r="J755">
        <v>-270</v>
      </c>
      <c r="K755">
        <v>0</v>
      </c>
      <c r="L755">
        <v>1889.4492</v>
      </c>
    </row>
    <row r="756" spans="1:13">
      <c r="A756" t="s">
        <v>797</v>
      </c>
      <c r="B756" t="s">
        <v>803</v>
      </c>
      <c r="C756" t="s">
        <v>806</v>
      </c>
      <c r="E756" t="s">
        <v>974</v>
      </c>
      <c r="F756" t="s">
        <v>974</v>
      </c>
      <c r="G756">
        <f t="shared" si="19"/>
        <v>190.32586940188887</v>
      </c>
      <c r="H756">
        <v>-18979.852185750002</v>
      </c>
      <c r="I756">
        <v>74136.188064019996</v>
      </c>
      <c r="J756">
        <v>-17.810125119999999</v>
      </c>
      <c r="K756">
        <v>252.18987487999999</v>
      </c>
    </row>
    <row r="757" spans="1:13">
      <c r="A757" t="s">
        <v>797</v>
      </c>
      <c r="B757" t="s">
        <v>3855</v>
      </c>
      <c r="C757" t="s">
        <v>1152</v>
      </c>
      <c r="D757" t="s">
        <v>804</v>
      </c>
      <c r="E757" t="s">
        <v>2266</v>
      </c>
      <c r="F757" t="s">
        <v>2266</v>
      </c>
      <c r="G757">
        <f>$G$754+ABS($I$757-$I$754)/1000</f>
        <v>190.69412126136891</v>
      </c>
      <c r="H757">
        <v>-15000</v>
      </c>
      <c r="I757">
        <f>$I$754-889.347</f>
        <v>73767.936204539961</v>
      </c>
      <c r="J757">
        <v>-270</v>
      </c>
      <c r="K757">
        <v>0</v>
      </c>
      <c r="L757">
        <f>_xlfn.XLOOKUP(F757,magnet_list!$A$2:$A$592,magnet_list!$M$2:$M$592,"n/a",0,1)</f>
        <v>1000</v>
      </c>
      <c r="M757">
        <f>_xlfn.XLOOKUP(F757,magnet_list!$A$2:$A$592,magnet_list!$L$2:$L$592,"n/a",0,1)</f>
        <v>120</v>
      </c>
    </row>
    <row r="758" spans="1:13">
      <c r="A758" t="s">
        <v>797</v>
      </c>
      <c r="B758" t="s">
        <v>3855</v>
      </c>
      <c r="C758" t="s">
        <v>1152</v>
      </c>
      <c r="D758" t="s">
        <v>804</v>
      </c>
      <c r="E758" t="s">
        <v>2267</v>
      </c>
      <c r="F758" t="s">
        <v>2267</v>
      </c>
      <c r="G758">
        <f>$G$754+ABS($I$757-$I$754)/1000</f>
        <v>190.69412126136891</v>
      </c>
      <c r="H758">
        <v>-15000</v>
      </c>
      <c r="I758">
        <f>$I$754-889.347</f>
        <v>73767.936204539961</v>
      </c>
      <c r="J758">
        <v>-270</v>
      </c>
      <c r="K758">
        <v>0</v>
      </c>
      <c r="L758">
        <f>_xlfn.XLOOKUP(F758,magnet_list!$A$2:$A$592,magnet_list!$M$2:$M$592,"n/a",0,1)</f>
        <v>1000</v>
      </c>
      <c r="M758">
        <f>_xlfn.XLOOKUP(F758,magnet_list!$A$2:$A$592,magnet_list!$L$2:$L$592,"n/a",0,1)</f>
        <v>120</v>
      </c>
    </row>
    <row r="759" spans="1:13">
      <c r="A759" t="s">
        <v>797</v>
      </c>
      <c r="B759" t="s">
        <v>804</v>
      </c>
      <c r="C759" t="s">
        <v>1152</v>
      </c>
      <c r="D759" t="s">
        <v>804</v>
      </c>
      <c r="E759" s="10" t="s">
        <v>1291</v>
      </c>
      <c r="F759" s="10" t="s">
        <v>2480</v>
      </c>
      <c r="G759">
        <f>$G$754+ABS($I$759-$I$754)/1000</f>
        <v>191.00534576136891</v>
      </c>
      <c r="H759">
        <v>-15000</v>
      </c>
      <c r="I759">
        <f>$I$754-1200.5715</f>
        <v>73456.71170453995</v>
      </c>
      <c r="J759">
        <v>-270</v>
      </c>
      <c r="K759">
        <v>0</v>
      </c>
      <c r="L759">
        <v>1889.4492</v>
      </c>
    </row>
    <row r="760" spans="1:13">
      <c r="A760" t="s">
        <v>797</v>
      </c>
      <c r="B760" t="s">
        <v>804</v>
      </c>
      <c r="C760" t="s">
        <v>1152</v>
      </c>
      <c r="D760" t="s">
        <v>804</v>
      </c>
      <c r="E760" s="10" t="s">
        <v>1519</v>
      </c>
      <c r="F760" s="10" t="s">
        <v>2480</v>
      </c>
      <c r="G760">
        <f>$G$759+ABS($I$760-$I$759)/1000</f>
        <v>191.95007036136892</v>
      </c>
      <c r="H760">
        <v>-15000</v>
      </c>
      <c r="I760">
        <f>$I$759-$L$760/2</f>
        <v>72511.987104539949</v>
      </c>
      <c r="J760">
        <v>-270</v>
      </c>
      <c r="K760">
        <v>0</v>
      </c>
      <c r="L760">
        <v>1889.4492</v>
      </c>
    </row>
    <row r="761" spans="1:13">
      <c r="A761" t="s">
        <v>797</v>
      </c>
      <c r="B761" t="s">
        <v>804</v>
      </c>
      <c r="C761" t="s">
        <v>1152</v>
      </c>
      <c r="D761" t="s">
        <v>804</v>
      </c>
      <c r="E761" s="10" t="s">
        <v>1520</v>
      </c>
      <c r="F761" s="10" t="s">
        <v>2481</v>
      </c>
      <c r="G761">
        <f>$G$762-ABS($I$762-$I$761)/1000</f>
        <v>192.16000916136892</v>
      </c>
      <c r="H761">
        <v>-15000</v>
      </c>
      <c r="I761">
        <f>$I$762+$L$761/2</f>
        <v>72302.048304539945</v>
      </c>
      <c r="J761">
        <v>-270</v>
      </c>
      <c r="K761">
        <v>0</v>
      </c>
      <c r="L761">
        <v>1889.4492</v>
      </c>
    </row>
    <row r="762" spans="1:13">
      <c r="A762" t="s">
        <v>797</v>
      </c>
      <c r="B762" t="s">
        <v>804</v>
      </c>
      <c r="C762" t="s">
        <v>1152</v>
      </c>
      <c r="D762" t="s">
        <v>804</v>
      </c>
      <c r="E762" s="10" t="s">
        <v>1345</v>
      </c>
      <c r="F762" s="10" t="s">
        <v>2481</v>
      </c>
      <c r="G762">
        <f>$G$759+ABS($I$762-$I$759)/1000</f>
        <v>193.10473376136892</v>
      </c>
      <c r="H762">
        <v>-15000</v>
      </c>
      <c r="I762">
        <f>$I$759-2099.388</f>
        <v>71357.323704539944</v>
      </c>
      <c r="J762">
        <v>-270</v>
      </c>
      <c r="K762">
        <v>0</v>
      </c>
      <c r="L762">
        <v>1889.4492</v>
      </c>
    </row>
    <row r="763" spans="1:13">
      <c r="A763" t="s">
        <v>797</v>
      </c>
      <c r="B763" t="s">
        <v>804</v>
      </c>
      <c r="C763" t="s">
        <v>1152</v>
      </c>
      <c r="D763" t="s">
        <v>804</v>
      </c>
      <c r="E763" s="10" t="s">
        <v>1521</v>
      </c>
      <c r="F763" s="10" t="s">
        <v>2481</v>
      </c>
      <c r="G763">
        <f>$G$762+ABS($I$763-$I$762)/1000</f>
        <v>194.04945836136892</v>
      </c>
      <c r="H763">
        <v>-15000</v>
      </c>
      <c r="I763">
        <f>$I$762-$L$763/2</f>
        <v>70412.599104539942</v>
      </c>
      <c r="J763">
        <v>-270</v>
      </c>
      <c r="K763">
        <v>0</v>
      </c>
      <c r="L763">
        <v>1889.4492</v>
      </c>
    </row>
    <row r="764" spans="1:13">
      <c r="A764" t="s">
        <v>797</v>
      </c>
      <c r="B764" t="s">
        <v>803</v>
      </c>
      <c r="C764" t="s">
        <v>806</v>
      </c>
      <c r="E764" t="s">
        <v>1100</v>
      </c>
      <c r="F764" t="s">
        <v>1100</v>
      </c>
      <c r="G764">
        <f t="shared" si="19"/>
        <v>194.15584381696885</v>
      </c>
      <c r="H764">
        <v>-15400</v>
      </c>
      <c r="I764">
        <v>70306.21364894</v>
      </c>
      <c r="J764">
        <v>-689</v>
      </c>
      <c r="K764">
        <v>-419</v>
      </c>
    </row>
    <row r="765" spans="1:13">
      <c r="A765" t="s">
        <v>797</v>
      </c>
      <c r="B765" t="s">
        <v>1152</v>
      </c>
      <c r="C765" t="s">
        <v>1152</v>
      </c>
      <c r="D765" t="s">
        <v>804</v>
      </c>
      <c r="E765" s="3" t="s">
        <v>2019</v>
      </c>
      <c r="F765" s="3" t="s">
        <v>2019</v>
      </c>
      <c r="G765">
        <f>$G$762+ABS($I$765-$I$762)/1000</f>
        <v>194.18345826136891</v>
      </c>
      <c r="H765">
        <v>-15000</v>
      </c>
      <c r="I765">
        <f>$I$762-1078.7245</f>
        <v>70278.599204539947</v>
      </c>
      <c r="J765">
        <v>-270</v>
      </c>
      <c r="K765">
        <v>0</v>
      </c>
    </row>
    <row r="766" spans="1:13">
      <c r="A766" t="s">
        <v>797</v>
      </c>
      <c r="B766" t="s">
        <v>805</v>
      </c>
      <c r="C766" t="s">
        <v>806</v>
      </c>
      <c r="E766" s="2" t="s">
        <v>122</v>
      </c>
      <c r="F766" s="2" t="s">
        <v>122</v>
      </c>
      <c r="G766">
        <f t="shared" si="19"/>
        <v>194.35097859916885</v>
      </c>
      <c r="H766">
        <v>-15000</v>
      </c>
      <c r="I766">
        <v>70111.078866740005</v>
      </c>
      <c r="J766">
        <v>-20</v>
      </c>
      <c r="K766">
        <v>250</v>
      </c>
      <c r="L766">
        <f>_xlfn.XLOOKUP(F766,magnet_list!$A$2:$A$592,magnet_list!$M$2:$M$592,"n/a",0,1)</f>
        <v>190</v>
      </c>
      <c r="M766">
        <f>_xlfn.XLOOKUP(F766,magnet_list!$A$2:$A$592,magnet_list!$L$2:$L$592,"n/a",0,1)</f>
        <v>23</v>
      </c>
    </row>
    <row r="767" spans="1:13">
      <c r="A767" t="s">
        <v>797</v>
      </c>
      <c r="B767" t="s">
        <v>805</v>
      </c>
      <c r="C767" t="s">
        <v>1152</v>
      </c>
      <c r="D767" t="s">
        <v>804</v>
      </c>
      <c r="E767" s="2" t="s">
        <v>606</v>
      </c>
      <c r="F767" s="2" t="s">
        <v>122</v>
      </c>
      <c r="G767">
        <f t="shared" si="19"/>
        <v>194.42597859916884</v>
      </c>
      <c r="H767">
        <v>-15000</v>
      </c>
      <c r="I767">
        <v>70036.078866740005</v>
      </c>
      <c r="J767">
        <v>-20</v>
      </c>
      <c r="K767">
        <v>250</v>
      </c>
      <c r="L767">
        <f>_xlfn.XLOOKUP(F767,magnet_list!$A$2:$A$592,magnet_list!$M$2:$M$592,"n/a",0,1)</f>
        <v>190</v>
      </c>
      <c r="M767">
        <f>_xlfn.XLOOKUP(F767,magnet_list!$A$2:$A$592,magnet_list!$L$2:$L$592,"n/a",0,1)</f>
        <v>23</v>
      </c>
    </row>
    <row r="768" spans="1:13">
      <c r="A768" t="s">
        <v>797</v>
      </c>
      <c r="B768" t="s">
        <v>805</v>
      </c>
      <c r="C768" t="s">
        <v>1152</v>
      </c>
      <c r="D768" t="s">
        <v>804</v>
      </c>
      <c r="E768" s="2" t="s">
        <v>607</v>
      </c>
      <c r="F768" s="2" t="s">
        <v>123</v>
      </c>
      <c r="G768">
        <f t="shared" si="19"/>
        <v>194.72075305150884</v>
      </c>
      <c r="H768">
        <v>-15000</v>
      </c>
      <c r="I768">
        <v>69741.304414400001</v>
      </c>
      <c r="J768">
        <v>-20</v>
      </c>
      <c r="K768">
        <v>250</v>
      </c>
      <c r="L768">
        <f>_xlfn.XLOOKUP(F768,magnet_list!$A$2:$A$592,magnet_list!$M$2:$M$592,"n/a",0,1)</f>
        <v>190</v>
      </c>
      <c r="M768">
        <f>_xlfn.XLOOKUP(F768,magnet_list!$A$2:$A$592,magnet_list!$L$2:$L$592,"n/a",0,1)</f>
        <v>23</v>
      </c>
    </row>
    <row r="769" spans="1:13">
      <c r="A769" t="s">
        <v>797</v>
      </c>
      <c r="B769" t="s">
        <v>805</v>
      </c>
      <c r="C769" t="s">
        <v>806</v>
      </c>
      <c r="E769" s="2" t="s">
        <v>123</v>
      </c>
      <c r="F769" s="2" t="s">
        <v>123</v>
      </c>
      <c r="G769">
        <f t="shared" si="19"/>
        <v>194.79575305150883</v>
      </c>
      <c r="H769">
        <v>-15000</v>
      </c>
      <c r="I769">
        <v>69666.304414400001</v>
      </c>
      <c r="J769">
        <v>-20</v>
      </c>
      <c r="K769">
        <v>250</v>
      </c>
      <c r="L769">
        <f>_xlfn.XLOOKUP(F769,magnet_list!$A$2:$A$592,magnet_list!$M$2:$M$592,"n/a",0,1)</f>
        <v>190</v>
      </c>
      <c r="M769">
        <f>_xlfn.XLOOKUP(F769,magnet_list!$A$2:$A$592,magnet_list!$L$2:$L$592,"n/a",0,1)</f>
        <v>23</v>
      </c>
    </row>
    <row r="770" spans="1:13">
      <c r="A770" t="s">
        <v>797</v>
      </c>
      <c r="B770" t="s">
        <v>2288</v>
      </c>
      <c r="C770" t="s">
        <v>1152</v>
      </c>
      <c r="D770" t="s">
        <v>804</v>
      </c>
      <c r="E770" s="8" t="s">
        <v>2316</v>
      </c>
      <c r="F770" s="8" t="s">
        <v>2316</v>
      </c>
      <c r="G770">
        <f>$G$765+ABS($I$770-$I$765)/1000</f>
        <v>195.01293626136891</v>
      </c>
      <c r="H770">
        <v>-15000</v>
      </c>
      <c r="I770">
        <f>$I$765-829.478</f>
        <v>69449.121204539944</v>
      </c>
      <c r="J770">
        <v>-270</v>
      </c>
      <c r="K770">
        <v>0</v>
      </c>
    </row>
    <row r="771" spans="1:13">
      <c r="A771" t="s">
        <v>797</v>
      </c>
      <c r="B771" t="s">
        <v>803</v>
      </c>
      <c r="C771" t="s">
        <v>806</v>
      </c>
      <c r="E771" t="s">
        <v>1103</v>
      </c>
      <c r="F771" t="s">
        <v>1103</v>
      </c>
      <c r="G771">
        <f t="shared" si="19"/>
        <v>195.04415534388886</v>
      </c>
      <c r="H771">
        <v>-15400</v>
      </c>
      <c r="I771">
        <v>69417.902122019994</v>
      </c>
      <c r="J771">
        <v>-689</v>
      </c>
      <c r="K771">
        <v>-419</v>
      </c>
    </row>
    <row r="772" spans="1:13">
      <c r="A772" t="s">
        <v>797</v>
      </c>
      <c r="B772" t="s">
        <v>804</v>
      </c>
      <c r="C772" t="s">
        <v>1152</v>
      </c>
      <c r="D772" t="s">
        <v>804</v>
      </c>
      <c r="E772" s="10" t="s">
        <v>1522</v>
      </c>
      <c r="F772" s="10" t="s">
        <v>2482</v>
      </c>
      <c r="G772">
        <f>$G$775-($I$775-$I$772)/1000</f>
        <v>197.0363863613689</v>
      </c>
      <c r="H772">
        <v>-15000</v>
      </c>
      <c r="I772">
        <f>$I$775+$L$772/2</f>
        <v>69315.120304539945</v>
      </c>
      <c r="J772">
        <v>-270</v>
      </c>
      <c r="K772">
        <v>0</v>
      </c>
      <c r="L772">
        <v>1889.4492</v>
      </c>
    </row>
    <row r="773" spans="1:13">
      <c r="A773" t="s">
        <v>797</v>
      </c>
      <c r="B773" t="s">
        <v>3855</v>
      </c>
      <c r="C773" t="s">
        <v>1152</v>
      </c>
      <c r="D773" t="s">
        <v>804</v>
      </c>
      <c r="E773" t="s">
        <v>3696</v>
      </c>
      <c r="F773" t="s">
        <v>3696</v>
      </c>
      <c r="G773">
        <f>$G$770+ABS($I$773-$I$770)/1000</f>
        <v>195.38543726136891</v>
      </c>
      <c r="H773">
        <v>-15000</v>
      </c>
      <c r="I773">
        <f>$I$770-372.501</f>
        <v>69076.62020453994</v>
      </c>
      <c r="J773">
        <v>-270</v>
      </c>
      <c r="K773">
        <v>0</v>
      </c>
      <c r="L773">
        <f>_xlfn.XLOOKUP(F773,magnet_list!$A$2:$A$592,magnet_list!$M$2:$M$592,"n/a",0,1)</f>
        <v>200</v>
      </c>
      <c r="M773">
        <f>_xlfn.XLOOKUP(F773,magnet_list!$A$2:$A$592,magnet_list!$L$2:$L$592,"n/a",0,1)</f>
        <v>128</v>
      </c>
    </row>
    <row r="774" spans="1:13">
      <c r="A774" t="s">
        <v>797</v>
      </c>
      <c r="B774" t="s">
        <v>3855</v>
      </c>
      <c r="C774" t="s">
        <v>1152</v>
      </c>
      <c r="D774" t="s">
        <v>804</v>
      </c>
      <c r="E774" t="s">
        <v>3697</v>
      </c>
      <c r="F774" t="s">
        <v>3697</v>
      </c>
      <c r="G774">
        <f>$G$770+ABS($I$773-$I$770)/1000</f>
        <v>195.38543726136891</v>
      </c>
      <c r="H774">
        <v>-15000</v>
      </c>
      <c r="I774">
        <f>$I$770-372.501</f>
        <v>69076.62020453994</v>
      </c>
      <c r="J774">
        <v>-270</v>
      </c>
      <c r="K774">
        <v>0</v>
      </c>
      <c r="L774">
        <f>_xlfn.XLOOKUP(F774,magnet_list!$A$2:$A$592,magnet_list!$M$2:$M$592,"n/a",0,1)</f>
        <v>200</v>
      </c>
      <c r="M774">
        <f>_xlfn.XLOOKUP(F774,magnet_list!$A$2:$A$592,magnet_list!$L$2:$L$592,"n/a",0,1)</f>
        <v>128</v>
      </c>
    </row>
    <row r="775" spans="1:13">
      <c r="A775" t="s">
        <v>797</v>
      </c>
      <c r="B775" t="s">
        <v>804</v>
      </c>
      <c r="C775" t="s">
        <v>1152</v>
      </c>
      <c r="D775" t="s">
        <v>804</v>
      </c>
      <c r="E775" s="10" t="s">
        <v>1181</v>
      </c>
      <c r="F775" s="10" t="s">
        <v>2482</v>
      </c>
      <c r="G775">
        <f>$G$770+ABS($I$775-$I$770)/1000</f>
        <v>196.0916617613689</v>
      </c>
      <c r="H775">
        <v>-15000</v>
      </c>
      <c r="I775">
        <f>$I$770-1078.7255</f>
        <v>68370.395704539944</v>
      </c>
      <c r="J775">
        <v>-270</v>
      </c>
      <c r="K775">
        <v>0</v>
      </c>
      <c r="L775">
        <v>1889.4492</v>
      </c>
    </row>
    <row r="776" spans="1:13">
      <c r="A776" t="s">
        <v>797</v>
      </c>
      <c r="B776" t="s">
        <v>804</v>
      </c>
      <c r="C776" t="s">
        <v>1152</v>
      </c>
      <c r="D776" t="s">
        <v>804</v>
      </c>
      <c r="E776" s="10" t="s">
        <v>1523</v>
      </c>
      <c r="F776" s="10" t="s">
        <v>2482</v>
      </c>
      <c r="G776">
        <f>$G$775+ABS($I$776-$I$775)/1000</f>
        <v>197.0363863613689</v>
      </c>
      <c r="H776">
        <v>-15000</v>
      </c>
      <c r="I776">
        <f>$I$775-$L$776/2</f>
        <v>67425.671104539942</v>
      </c>
      <c r="J776">
        <v>-270</v>
      </c>
      <c r="K776">
        <v>0</v>
      </c>
      <c r="L776">
        <v>1889.4492</v>
      </c>
    </row>
    <row r="777" spans="1:13">
      <c r="A777" t="s">
        <v>797</v>
      </c>
      <c r="B777" t="s">
        <v>804</v>
      </c>
      <c r="C777" t="s">
        <v>1152</v>
      </c>
      <c r="D777" t="s">
        <v>804</v>
      </c>
      <c r="E777" s="10" t="s">
        <v>1524</v>
      </c>
      <c r="F777" s="10" t="s">
        <v>2483</v>
      </c>
      <c r="G777">
        <f>$G$778-ABS($I$778-$I$777)/1000</f>
        <v>197.2463251613689</v>
      </c>
      <c r="H777">
        <v>-15000</v>
      </c>
      <c r="I777">
        <f>$I$778+$L$777/2</f>
        <v>67215.732304539939</v>
      </c>
      <c r="J777">
        <v>-270</v>
      </c>
      <c r="K777">
        <v>0</v>
      </c>
      <c r="L777">
        <v>1889.4492</v>
      </c>
    </row>
    <row r="778" spans="1:13">
      <c r="A778" t="s">
        <v>797</v>
      </c>
      <c r="B778" t="s">
        <v>804</v>
      </c>
      <c r="C778" t="s">
        <v>1152</v>
      </c>
      <c r="D778" t="s">
        <v>804</v>
      </c>
      <c r="E778" s="10" t="s">
        <v>1237</v>
      </c>
      <c r="F778" s="10" t="s">
        <v>2483</v>
      </c>
      <c r="G778">
        <f>$G$775+ABS($I$778-$I$775)/1000</f>
        <v>198.1910497613689</v>
      </c>
      <c r="H778">
        <v>-15000</v>
      </c>
      <c r="I778">
        <f>$I$775-2099.388</f>
        <v>66271.007704539938</v>
      </c>
      <c r="J778">
        <v>-270</v>
      </c>
      <c r="K778">
        <v>0</v>
      </c>
      <c r="L778">
        <v>1889.4492</v>
      </c>
    </row>
    <row r="779" spans="1:13">
      <c r="A779" t="s">
        <v>797</v>
      </c>
      <c r="B779" t="s">
        <v>804</v>
      </c>
      <c r="C779" t="s">
        <v>1152</v>
      </c>
      <c r="D779" t="s">
        <v>804</v>
      </c>
      <c r="E779" s="10" t="s">
        <v>1525</v>
      </c>
      <c r="F779" s="10" t="s">
        <v>2483</v>
      </c>
      <c r="G779">
        <f>$G$778+ABS($I$779-$I$778)/1000</f>
        <v>199.1357743613689</v>
      </c>
      <c r="H779">
        <v>-15000</v>
      </c>
      <c r="I779">
        <f>$I$778-$L$779/2</f>
        <v>65326.283104539936</v>
      </c>
      <c r="J779">
        <v>-270</v>
      </c>
      <c r="K779">
        <v>0</v>
      </c>
      <c r="L779">
        <v>1889.4492</v>
      </c>
    </row>
    <row r="780" spans="1:13">
      <c r="A780" t="s">
        <v>797</v>
      </c>
      <c r="B780" t="s">
        <v>803</v>
      </c>
      <c r="C780" t="s">
        <v>806</v>
      </c>
      <c r="E780" t="s">
        <v>976</v>
      </c>
      <c r="F780" t="s">
        <v>976</v>
      </c>
      <c r="G780">
        <f t="shared" si="19"/>
        <v>199.35301888473884</v>
      </c>
      <c r="H780">
        <v>-13540.997143050001</v>
      </c>
      <c r="I780">
        <v>65109.038581170003</v>
      </c>
      <c r="J780">
        <v>-15.977556290000001</v>
      </c>
      <c r="K780">
        <v>254.02244371</v>
      </c>
    </row>
    <row r="781" spans="1:13">
      <c r="A781" t="s">
        <v>797</v>
      </c>
      <c r="B781" t="s">
        <v>803</v>
      </c>
      <c r="C781" t="s">
        <v>806</v>
      </c>
      <c r="E781" t="s">
        <v>975</v>
      </c>
      <c r="F781" t="s">
        <v>975</v>
      </c>
      <c r="G781">
        <f t="shared" si="19"/>
        <v>199.38591028802884</v>
      </c>
      <c r="H781">
        <v>-18980.909353160001</v>
      </c>
      <c r="I781">
        <v>65076.147177879997</v>
      </c>
      <c r="J781">
        <v>-17.693104819999999</v>
      </c>
      <c r="K781">
        <v>252.30689518</v>
      </c>
    </row>
    <row r="782" spans="1:13">
      <c r="A782" t="s">
        <v>797</v>
      </c>
      <c r="B782" t="s">
        <v>1152</v>
      </c>
      <c r="C782" t="s">
        <v>1152</v>
      </c>
      <c r="D782" t="s">
        <v>804</v>
      </c>
      <c r="E782" s="3" t="s">
        <v>2020</v>
      </c>
      <c r="F782" s="3" t="s">
        <v>2020</v>
      </c>
      <c r="G782">
        <f>$G$778+ABS($I$782-$I$778)/1000</f>
        <v>199.40477426136889</v>
      </c>
      <c r="H782">
        <v>-15000</v>
      </c>
      <c r="I782">
        <f>$I$778-1213.7245</f>
        <v>65057.283204539941</v>
      </c>
      <c r="J782">
        <v>-270</v>
      </c>
      <c r="K782">
        <v>0</v>
      </c>
    </row>
    <row r="783" spans="1:13">
      <c r="A783" t="s">
        <v>797</v>
      </c>
      <c r="B783" t="s">
        <v>804</v>
      </c>
      <c r="C783" t="s">
        <v>1152</v>
      </c>
      <c r="D783" t="s">
        <v>804</v>
      </c>
      <c r="E783" s="10" t="s">
        <v>1526</v>
      </c>
      <c r="F783" s="10" t="s">
        <v>2484</v>
      </c>
      <c r="G783">
        <f>$G$786-ABS($I$786-$I$783)/1000</f>
        <v>199.66062116136888</v>
      </c>
      <c r="H783">
        <v>-15000</v>
      </c>
      <c r="I783">
        <f>$I$786+$L$783/2</f>
        <v>64801.436304539944</v>
      </c>
      <c r="J783">
        <v>-270</v>
      </c>
      <c r="K783">
        <v>0</v>
      </c>
      <c r="L783">
        <v>1889.4492</v>
      </c>
    </row>
    <row r="784" spans="1:13">
      <c r="A784" t="s">
        <v>797</v>
      </c>
      <c r="B784" t="s">
        <v>3855</v>
      </c>
      <c r="C784" t="s">
        <v>1152</v>
      </c>
      <c r="D784" t="s">
        <v>804</v>
      </c>
      <c r="E784" t="s">
        <v>2268</v>
      </c>
      <c r="F784" t="s">
        <v>2268</v>
      </c>
      <c r="G784">
        <f>$G$782+ABS($I$784-$I$782)/1000</f>
        <v>200.2941212613689</v>
      </c>
      <c r="H784">
        <v>-15000</v>
      </c>
      <c r="I784">
        <f>$I$782-889.347</f>
        <v>64167.936204539939</v>
      </c>
      <c r="J784">
        <v>-270</v>
      </c>
      <c r="K784">
        <v>0</v>
      </c>
      <c r="L784">
        <f>_xlfn.XLOOKUP(F784,magnet_list!$A$2:$A$592,magnet_list!$M$2:$M$592,"n/a",0,1)</f>
        <v>1000</v>
      </c>
      <c r="M784">
        <f>_xlfn.XLOOKUP(F784,magnet_list!$A$2:$A$592,magnet_list!$L$2:$L$592,"n/a",0,1)</f>
        <v>120</v>
      </c>
    </row>
    <row r="785" spans="1:13">
      <c r="A785" t="s">
        <v>797</v>
      </c>
      <c r="B785" t="s">
        <v>3855</v>
      </c>
      <c r="C785" t="s">
        <v>1152</v>
      </c>
      <c r="D785" t="s">
        <v>804</v>
      </c>
      <c r="E785" t="s">
        <v>2269</v>
      </c>
      <c r="F785" t="s">
        <v>2269</v>
      </c>
      <c r="G785">
        <f>$G$782+ABS($I$784-$I$782)/1000</f>
        <v>200.2941212613689</v>
      </c>
      <c r="H785">
        <v>-15000</v>
      </c>
      <c r="I785">
        <f>$I$782-889.347</f>
        <v>64167.936204539939</v>
      </c>
      <c r="J785">
        <v>-270</v>
      </c>
      <c r="K785">
        <v>0</v>
      </c>
      <c r="L785">
        <f>_xlfn.XLOOKUP(F785,magnet_list!$A$2:$A$592,magnet_list!$M$2:$M$592,"n/a",0,1)</f>
        <v>1000</v>
      </c>
      <c r="M785">
        <f>_xlfn.XLOOKUP(F785,magnet_list!$A$2:$A$592,magnet_list!$L$2:$L$592,"n/a",0,1)</f>
        <v>120</v>
      </c>
    </row>
    <row r="786" spans="1:13">
      <c r="A786" t="s">
        <v>797</v>
      </c>
      <c r="B786" t="s">
        <v>804</v>
      </c>
      <c r="C786" t="s">
        <v>1152</v>
      </c>
      <c r="D786" t="s">
        <v>804</v>
      </c>
      <c r="E786" s="10" t="s">
        <v>1292</v>
      </c>
      <c r="F786" s="10" t="s">
        <v>2484</v>
      </c>
      <c r="G786">
        <f>$G$782+ABS($I$786-$I$782)/1000</f>
        <v>200.60534576136888</v>
      </c>
      <c r="H786">
        <v>-15000</v>
      </c>
      <c r="I786">
        <f>$I$782-1200.5715</f>
        <v>63856.711704539943</v>
      </c>
      <c r="J786">
        <v>-270</v>
      </c>
      <c r="K786">
        <v>0</v>
      </c>
      <c r="L786">
        <v>1889.4492</v>
      </c>
    </row>
    <row r="787" spans="1:13">
      <c r="A787" t="s">
        <v>797</v>
      </c>
      <c r="B787" t="s">
        <v>804</v>
      </c>
      <c r="C787" t="s">
        <v>1152</v>
      </c>
      <c r="D787" t="s">
        <v>804</v>
      </c>
      <c r="E787" s="10" t="s">
        <v>1527</v>
      </c>
      <c r="F787" s="10" t="s">
        <v>2484</v>
      </c>
      <c r="G787">
        <f>$G$786+ABS($I$787-$I$786)/1000</f>
        <v>201.55007036136888</v>
      </c>
      <c r="H787">
        <v>-15000</v>
      </c>
      <c r="I787">
        <f>$I$786-$L$787/2</f>
        <v>62911.987104539941</v>
      </c>
      <c r="J787">
        <v>-270</v>
      </c>
      <c r="K787">
        <v>0</v>
      </c>
      <c r="L787">
        <v>1889.4492</v>
      </c>
    </row>
    <row r="788" spans="1:13">
      <c r="A788" t="s">
        <v>797</v>
      </c>
      <c r="B788" t="s">
        <v>804</v>
      </c>
      <c r="C788" t="s">
        <v>1152</v>
      </c>
      <c r="D788" t="s">
        <v>804</v>
      </c>
      <c r="E788" s="10" t="s">
        <v>1528</v>
      </c>
      <c r="F788" s="10" t="s">
        <v>2485</v>
      </c>
      <c r="G788">
        <f>$G$789-ABS($I$789-$I$788)/1000</f>
        <v>201.76000916136888</v>
      </c>
      <c r="H788">
        <v>-15000</v>
      </c>
      <c r="I788">
        <f>$I$789+$L$788/2</f>
        <v>62702.048304539945</v>
      </c>
      <c r="J788">
        <v>-270</v>
      </c>
      <c r="K788">
        <v>0</v>
      </c>
      <c r="L788">
        <v>1889.4492</v>
      </c>
    </row>
    <row r="789" spans="1:13">
      <c r="A789" t="s">
        <v>797</v>
      </c>
      <c r="B789" t="s">
        <v>804</v>
      </c>
      <c r="C789" t="s">
        <v>1152</v>
      </c>
      <c r="D789" t="s">
        <v>804</v>
      </c>
      <c r="E789" s="10" t="s">
        <v>1346</v>
      </c>
      <c r="F789" s="10" t="s">
        <v>2485</v>
      </c>
      <c r="G789">
        <f>$G$786+ABS($I$789-$I$786)/1000</f>
        <v>202.70473376136889</v>
      </c>
      <c r="H789">
        <v>-15000</v>
      </c>
      <c r="I789">
        <f>$I$786-2099.388</f>
        <v>61757.323704539944</v>
      </c>
      <c r="J789">
        <v>-270</v>
      </c>
      <c r="K789">
        <v>0</v>
      </c>
      <c r="L789">
        <v>1889.4492</v>
      </c>
    </row>
    <row r="790" spans="1:13">
      <c r="A790" t="s">
        <v>797</v>
      </c>
      <c r="B790" t="s">
        <v>804</v>
      </c>
      <c r="C790" t="s">
        <v>1152</v>
      </c>
      <c r="D790" t="s">
        <v>804</v>
      </c>
      <c r="E790" s="10" t="s">
        <v>1529</v>
      </c>
      <c r="F790" s="10" t="s">
        <v>2485</v>
      </c>
      <c r="G790">
        <f>$G$789+ABS($I$790-$I$789)/1000</f>
        <v>203.64945836136889</v>
      </c>
      <c r="H790">
        <v>-15000</v>
      </c>
      <c r="I790">
        <f>$I$789-$L$790/2</f>
        <v>60812.599104539942</v>
      </c>
      <c r="J790">
        <v>-270</v>
      </c>
      <c r="K790">
        <v>0</v>
      </c>
      <c r="L790">
        <v>1889.4492</v>
      </c>
    </row>
    <row r="791" spans="1:13">
      <c r="A791" t="s">
        <v>797</v>
      </c>
      <c r="B791" t="s">
        <v>803</v>
      </c>
      <c r="C791" t="s">
        <v>806</v>
      </c>
      <c r="E791" t="s">
        <v>1102</v>
      </c>
      <c r="F791" t="s">
        <v>1102</v>
      </c>
      <c r="G791">
        <f t="shared" si="19"/>
        <v>203.76046922902881</v>
      </c>
      <c r="H791">
        <v>-15400</v>
      </c>
      <c r="I791">
        <v>60701.588236880001</v>
      </c>
      <c r="J791">
        <v>-689</v>
      </c>
      <c r="K791">
        <v>-419</v>
      </c>
    </row>
    <row r="792" spans="1:13">
      <c r="A792" t="s">
        <v>797</v>
      </c>
      <c r="B792" t="s">
        <v>1152</v>
      </c>
      <c r="C792" t="s">
        <v>1152</v>
      </c>
      <c r="D792" t="s">
        <v>804</v>
      </c>
      <c r="E792" s="3" t="s">
        <v>2021</v>
      </c>
      <c r="F792" s="3" t="s">
        <v>2021</v>
      </c>
      <c r="G792">
        <f>$G$789+ABS($I$792-$I$789)/1000</f>
        <v>203.78345826136888</v>
      </c>
      <c r="H792">
        <v>-15000</v>
      </c>
      <c r="I792">
        <f>$I$789-1078.7245</f>
        <v>60678.599204539947</v>
      </c>
      <c r="J792">
        <v>-270</v>
      </c>
      <c r="K792">
        <v>0</v>
      </c>
    </row>
    <row r="793" spans="1:13">
      <c r="A793" t="s">
        <v>797</v>
      </c>
      <c r="B793" t="s">
        <v>805</v>
      </c>
      <c r="C793" t="s">
        <v>806</v>
      </c>
      <c r="E793" s="2" t="s">
        <v>124</v>
      </c>
      <c r="F793" s="2" t="s">
        <v>124</v>
      </c>
      <c r="G793">
        <f t="shared" si="19"/>
        <v>203.95728275583883</v>
      </c>
      <c r="H793">
        <v>-15000</v>
      </c>
      <c r="I793">
        <v>60504.77471007</v>
      </c>
      <c r="J793">
        <v>-20</v>
      </c>
      <c r="K793">
        <v>250</v>
      </c>
      <c r="L793">
        <f>_xlfn.XLOOKUP(F793,magnet_list!$A$2:$A$592,magnet_list!$M$2:$M$592,"n/a",0,1)</f>
        <v>190</v>
      </c>
      <c r="M793">
        <f>_xlfn.XLOOKUP(F793,magnet_list!$A$2:$A$592,magnet_list!$L$2:$L$592,"n/a",0,1)</f>
        <v>23</v>
      </c>
    </row>
    <row r="794" spans="1:13">
      <c r="A794" t="s">
        <v>797</v>
      </c>
      <c r="B794" t="s">
        <v>805</v>
      </c>
      <c r="C794" t="s">
        <v>1152</v>
      </c>
      <c r="D794" t="s">
        <v>804</v>
      </c>
      <c r="E794" s="2" t="s">
        <v>608</v>
      </c>
      <c r="F794" s="2" t="s">
        <v>124</v>
      </c>
      <c r="G794">
        <f t="shared" si="19"/>
        <v>204.03228275583882</v>
      </c>
      <c r="H794">
        <v>-15000</v>
      </c>
      <c r="I794">
        <v>60429.77471007</v>
      </c>
      <c r="J794">
        <v>-20</v>
      </c>
      <c r="K794">
        <v>250</v>
      </c>
      <c r="L794">
        <f>_xlfn.XLOOKUP(F794,magnet_list!$A$2:$A$592,magnet_list!$M$2:$M$592,"n/a",0,1)</f>
        <v>190</v>
      </c>
      <c r="M794">
        <f>_xlfn.XLOOKUP(F794,magnet_list!$A$2:$A$592,magnet_list!$L$2:$L$592,"n/a",0,1)</f>
        <v>23</v>
      </c>
    </row>
    <row r="795" spans="1:13">
      <c r="A795" t="s">
        <v>797</v>
      </c>
      <c r="B795" t="s">
        <v>805</v>
      </c>
      <c r="C795" t="s">
        <v>1152</v>
      </c>
      <c r="D795" t="s">
        <v>804</v>
      </c>
      <c r="E795" s="2" t="s">
        <v>609</v>
      </c>
      <c r="F795" s="2" t="s">
        <v>125</v>
      </c>
      <c r="G795">
        <f t="shared" si="19"/>
        <v>204.32674959673884</v>
      </c>
      <c r="H795">
        <v>-15000</v>
      </c>
      <c r="I795">
        <v>60135.307869169999</v>
      </c>
      <c r="J795">
        <v>-20</v>
      </c>
      <c r="K795">
        <v>250</v>
      </c>
      <c r="L795">
        <f>_xlfn.XLOOKUP(F795,magnet_list!$A$2:$A$592,magnet_list!$M$2:$M$592,"n/a",0,1)</f>
        <v>190</v>
      </c>
      <c r="M795">
        <f>_xlfn.XLOOKUP(F795,magnet_list!$A$2:$A$592,magnet_list!$L$2:$L$592,"n/a",0,1)</f>
        <v>23</v>
      </c>
    </row>
    <row r="796" spans="1:13">
      <c r="A796" t="s">
        <v>797</v>
      </c>
      <c r="B796" t="s">
        <v>805</v>
      </c>
      <c r="C796" t="s">
        <v>806</v>
      </c>
      <c r="E796" s="2" t="s">
        <v>125</v>
      </c>
      <c r="F796" s="2" t="s">
        <v>125</v>
      </c>
      <c r="G796">
        <f t="shared" si="19"/>
        <v>204.40174959673882</v>
      </c>
      <c r="H796">
        <v>-15000</v>
      </c>
      <c r="I796">
        <v>60060.307869169999</v>
      </c>
      <c r="J796">
        <v>-20</v>
      </c>
      <c r="K796">
        <v>250</v>
      </c>
      <c r="L796">
        <f>_xlfn.XLOOKUP(F796,magnet_list!$A$2:$A$592,magnet_list!$M$2:$M$592,"n/a",0,1)</f>
        <v>190</v>
      </c>
      <c r="M796">
        <f>_xlfn.XLOOKUP(F796,magnet_list!$A$2:$A$592,magnet_list!$L$2:$L$592,"n/a",0,1)</f>
        <v>23</v>
      </c>
    </row>
    <row r="797" spans="1:13">
      <c r="A797" t="s">
        <v>797</v>
      </c>
      <c r="B797" t="s">
        <v>2288</v>
      </c>
      <c r="C797" t="s">
        <v>1152</v>
      </c>
      <c r="D797" t="s">
        <v>804</v>
      </c>
      <c r="E797" s="8" t="s">
        <v>2317</v>
      </c>
      <c r="F797" s="8" t="s">
        <v>2317</v>
      </c>
      <c r="G797">
        <f>$G$792+ABS($I$797-$I$792)/1000</f>
        <v>204.56246726136888</v>
      </c>
      <c r="H797">
        <v>-15000</v>
      </c>
      <c r="I797">
        <f>$I$792-779.009</f>
        <v>59899.590204539949</v>
      </c>
      <c r="J797">
        <v>-270</v>
      </c>
      <c r="K797">
        <v>0</v>
      </c>
    </row>
    <row r="798" spans="1:13">
      <c r="A798" t="s">
        <v>797</v>
      </c>
      <c r="B798" t="s">
        <v>803</v>
      </c>
      <c r="C798" t="s">
        <v>806</v>
      </c>
      <c r="E798" t="s">
        <v>1105</v>
      </c>
      <c r="F798" t="s">
        <v>1105</v>
      </c>
      <c r="G798">
        <f t="shared" si="19"/>
        <v>204.61945236280883</v>
      </c>
      <c r="H798">
        <v>-15400</v>
      </c>
      <c r="I798">
        <v>59842.605103100002</v>
      </c>
      <c r="J798">
        <v>-689</v>
      </c>
      <c r="K798">
        <v>-419</v>
      </c>
    </row>
    <row r="799" spans="1:13">
      <c r="A799" t="s">
        <v>797</v>
      </c>
      <c r="B799" t="s">
        <v>804</v>
      </c>
      <c r="C799" t="s">
        <v>1152</v>
      </c>
      <c r="D799" t="s">
        <v>804</v>
      </c>
      <c r="E799" s="10" t="s">
        <v>1530</v>
      </c>
      <c r="F799" s="10" t="s">
        <v>2486</v>
      </c>
      <c r="G799">
        <f>$G$802-ABS($I$802-$I$799)/1000</f>
        <v>204.74293646136888</v>
      </c>
      <c r="H799">
        <v>-15000</v>
      </c>
      <c r="I799">
        <f>$I$802+$L$799/2</f>
        <v>59719.121004539949</v>
      </c>
      <c r="J799">
        <v>-270</v>
      </c>
      <c r="K799">
        <v>0</v>
      </c>
      <c r="L799">
        <v>1889.4492</v>
      </c>
    </row>
    <row r="800" spans="1:13">
      <c r="A800" t="s">
        <v>797</v>
      </c>
      <c r="B800" t="s">
        <v>3855</v>
      </c>
      <c r="C800" t="s">
        <v>1152</v>
      </c>
      <c r="D800" t="s">
        <v>804</v>
      </c>
      <c r="E800" t="s">
        <v>2270</v>
      </c>
      <c r="F800" t="s">
        <v>2270</v>
      </c>
      <c r="G800">
        <f>$G$797+ABS($I$800-$I$797)/1000</f>
        <v>205.38043726136888</v>
      </c>
      <c r="H800">
        <v>-15000</v>
      </c>
      <c r="I800">
        <f>$I$797-817.97</f>
        <v>59081.620204539948</v>
      </c>
      <c r="J800">
        <v>-270</v>
      </c>
      <c r="K800">
        <v>0</v>
      </c>
      <c r="L800">
        <f>_xlfn.XLOOKUP(F800,magnet_list!$A$2:$A$592,magnet_list!$M$2:$M$592,"n/a",0,1)</f>
        <v>1000</v>
      </c>
      <c r="M800">
        <f>_xlfn.XLOOKUP(F800,magnet_list!$A$2:$A$592,magnet_list!$L$2:$L$592,"n/a",0,1)</f>
        <v>120</v>
      </c>
    </row>
    <row r="801" spans="1:13">
      <c r="A801" t="s">
        <v>797</v>
      </c>
      <c r="B801" t="s">
        <v>3855</v>
      </c>
      <c r="C801" t="s">
        <v>1152</v>
      </c>
      <c r="D801" t="s">
        <v>804</v>
      </c>
      <c r="E801" t="s">
        <v>2271</v>
      </c>
      <c r="F801" t="s">
        <v>2271</v>
      </c>
      <c r="G801">
        <f>$G$797+ABS($I$800-$I$797)/1000</f>
        <v>205.38043726136888</v>
      </c>
      <c r="H801">
        <v>-15000</v>
      </c>
      <c r="I801">
        <f>$I$797-817.97</f>
        <v>59081.620204539948</v>
      </c>
      <c r="J801">
        <v>-270</v>
      </c>
      <c r="K801">
        <v>0</v>
      </c>
      <c r="L801">
        <f>_xlfn.XLOOKUP(F801,magnet_list!$A$2:$A$592,magnet_list!$M$2:$M$592,"n/a",0,1)</f>
        <v>1000</v>
      </c>
      <c r="M801">
        <f>_xlfn.XLOOKUP(F801,magnet_list!$A$2:$A$592,magnet_list!$L$2:$L$592,"n/a",0,1)</f>
        <v>120</v>
      </c>
    </row>
    <row r="802" spans="1:13">
      <c r="A802" t="s">
        <v>797</v>
      </c>
      <c r="B802" t="s">
        <v>804</v>
      </c>
      <c r="C802" t="s">
        <v>1152</v>
      </c>
      <c r="D802" t="s">
        <v>804</v>
      </c>
      <c r="E802" s="10" t="s">
        <v>1182</v>
      </c>
      <c r="F802" s="10" t="s">
        <v>2486</v>
      </c>
      <c r="G802">
        <f>$G$797+ABS($I$802-$I$797)/1000</f>
        <v>205.68766106136889</v>
      </c>
      <c r="H802">
        <v>-15000</v>
      </c>
      <c r="I802">
        <f>$I$797-1125.1938</f>
        <v>58774.396404539948</v>
      </c>
      <c r="J802">
        <v>-270</v>
      </c>
      <c r="K802">
        <v>0</v>
      </c>
      <c r="L802">
        <v>1889.4492</v>
      </c>
    </row>
    <row r="803" spans="1:13">
      <c r="A803" t="s">
        <v>797</v>
      </c>
      <c r="B803" t="s">
        <v>804</v>
      </c>
      <c r="C803" t="s">
        <v>1152</v>
      </c>
      <c r="D803" t="s">
        <v>804</v>
      </c>
      <c r="E803" s="10" t="s">
        <v>1531</v>
      </c>
      <c r="F803" s="10" t="s">
        <v>2486</v>
      </c>
      <c r="G803">
        <f>$G$802+ABS($I$803-$I$802)/1000</f>
        <v>206.63238566136889</v>
      </c>
      <c r="H803">
        <v>-15000</v>
      </c>
      <c r="I803">
        <f>$I$802-$L$803/2</f>
        <v>57829.671804539947</v>
      </c>
      <c r="J803">
        <v>-270</v>
      </c>
      <c r="K803">
        <v>0</v>
      </c>
      <c r="L803">
        <v>1889.4492</v>
      </c>
    </row>
    <row r="804" spans="1:13">
      <c r="A804" t="s">
        <v>797</v>
      </c>
      <c r="B804" t="s">
        <v>804</v>
      </c>
      <c r="C804" t="s">
        <v>1152</v>
      </c>
      <c r="D804" t="s">
        <v>804</v>
      </c>
      <c r="E804" s="10" t="s">
        <v>1532</v>
      </c>
      <c r="F804" s="10" t="s">
        <v>2487</v>
      </c>
      <c r="G804">
        <f>$G$805-ABS($I$805-$I$804)/1000</f>
        <v>206.84232746136888</v>
      </c>
      <c r="H804">
        <v>-15000</v>
      </c>
      <c r="I804">
        <f>$I$805+$L$804/2</f>
        <v>57619.730004539946</v>
      </c>
      <c r="J804">
        <v>-270</v>
      </c>
      <c r="K804">
        <v>0</v>
      </c>
      <c r="L804">
        <v>1889.4492</v>
      </c>
    </row>
    <row r="805" spans="1:13">
      <c r="A805" t="s">
        <v>797</v>
      </c>
      <c r="B805" t="s">
        <v>804</v>
      </c>
      <c r="C805" t="s">
        <v>1152</v>
      </c>
      <c r="D805" t="s">
        <v>804</v>
      </c>
      <c r="E805" s="10" t="s">
        <v>1238</v>
      </c>
      <c r="F805" s="10" t="s">
        <v>2487</v>
      </c>
      <c r="G805">
        <f>$G$802+ABS($I$805-$I$802)/1000</f>
        <v>207.78705206136888</v>
      </c>
      <c r="H805">
        <v>-15000</v>
      </c>
      <c r="I805">
        <f>$I$802-2099.391</f>
        <v>56675.005404539945</v>
      </c>
      <c r="J805">
        <v>-270</v>
      </c>
      <c r="K805">
        <v>0</v>
      </c>
      <c r="L805">
        <v>1889.4492</v>
      </c>
    </row>
    <row r="806" spans="1:13">
      <c r="A806" t="s">
        <v>797</v>
      </c>
      <c r="B806" t="s">
        <v>804</v>
      </c>
      <c r="C806" t="s">
        <v>1152</v>
      </c>
      <c r="D806" t="s">
        <v>804</v>
      </c>
      <c r="E806" s="10" t="s">
        <v>1533</v>
      </c>
      <c r="F806" s="10" t="s">
        <v>2487</v>
      </c>
      <c r="G806">
        <f>$G$805+ABS($I$806-$I$805)/1000</f>
        <v>208.73177666136888</v>
      </c>
      <c r="H806">
        <v>-15000</v>
      </c>
      <c r="I806">
        <f>$I$805-$L$806/2</f>
        <v>55730.280804539943</v>
      </c>
      <c r="J806">
        <v>-270</v>
      </c>
      <c r="K806">
        <v>0</v>
      </c>
      <c r="L806">
        <v>1889.4492</v>
      </c>
    </row>
    <row r="807" spans="1:13">
      <c r="A807" t="s">
        <v>797</v>
      </c>
      <c r="B807" t="s">
        <v>803</v>
      </c>
      <c r="C807" t="s">
        <v>806</v>
      </c>
      <c r="E807" t="s">
        <v>978</v>
      </c>
      <c r="F807" t="s">
        <v>978</v>
      </c>
      <c r="G807">
        <f t="shared" si="19"/>
        <v>209.01620274270883</v>
      </c>
      <c r="H807">
        <v>-13538.58164077</v>
      </c>
      <c r="I807">
        <v>55445.854723199998</v>
      </c>
      <c r="J807">
        <v>-18.70799791</v>
      </c>
      <c r="K807">
        <v>251.29200209000001</v>
      </c>
    </row>
    <row r="808" spans="1:13">
      <c r="A808" t="s">
        <v>797</v>
      </c>
      <c r="B808" t="s">
        <v>1152</v>
      </c>
      <c r="C808" t="s">
        <v>1152</v>
      </c>
      <c r="D808" t="s">
        <v>804</v>
      </c>
      <c r="E808" s="3" t="s">
        <v>2022</v>
      </c>
      <c r="F808" s="3" t="s">
        <v>2022</v>
      </c>
      <c r="G808">
        <f>$G$805+ABS($I$808-$I$805)/1000</f>
        <v>209.02662126136889</v>
      </c>
      <c r="H808">
        <v>-15000</v>
      </c>
      <c r="I808">
        <f>$I$805-1239.5692</f>
        <v>55435.436204539947</v>
      </c>
      <c r="J808">
        <v>-270</v>
      </c>
      <c r="K808">
        <v>0</v>
      </c>
    </row>
    <row r="809" spans="1:13">
      <c r="A809" t="s">
        <v>797</v>
      </c>
      <c r="B809" t="s">
        <v>803</v>
      </c>
      <c r="C809" t="s">
        <v>806</v>
      </c>
      <c r="E809" t="s">
        <v>977</v>
      </c>
      <c r="F809" t="s">
        <v>977</v>
      </c>
      <c r="G809">
        <f t="shared" si="19"/>
        <v>209.14614437831884</v>
      </c>
      <c r="H809">
        <v>-18977.680185130001</v>
      </c>
      <c r="I809">
        <v>55315.913087590001</v>
      </c>
      <c r="J809">
        <v>-16.282399009999999</v>
      </c>
      <c r="K809">
        <v>253.71760098999999</v>
      </c>
    </row>
    <row r="810" spans="1:13">
      <c r="A810" t="s">
        <v>797</v>
      </c>
      <c r="B810" t="s">
        <v>804</v>
      </c>
      <c r="C810" t="s">
        <v>1152</v>
      </c>
      <c r="D810" t="s">
        <v>804</v>
      </c>
      <c r="E810" s="10" t="s">
        <v>1534</v>
      </c>
      <c r="F810" s="10" t="s">
        <v>2488</v>
      </c>
      <c r="G810">
        <f>$G$813-ABS($I$813-$I$810)/1000</f>
        <v>209.25662086136887</v>
      </c>
      <c r="H810">
        <v>-15000</v>
      </c>
      <c r="I810">
        <f>$I$813+$L$810/2</f>
        <v>55205.436604539951</v>
      </c>
      <c r="J810">
        <v>-270</v>
      </c>
      <c r="K810">
        <v>0</v>
      </c>
      <c r="L810">
        <v>1889.4492</v>
      </c>
    </row>
    <row r="811" spans="1:13">
      <c r="A811" t="s">
        <v>797</v>
      </c>
      <c r="B811" t="s">
        <v>3855</v>
      </c>
      <c r="C811" t="s">
        <v>1152</v>
      </c>
      <c r="D811" t="s">
        <v>804</v>
      </c>
      <c r="E811" t="s">
        <v>2272</v>
      </c>
      <c r="F811" t="s">
        <v>2272</v>
      </c>
      <c r="G811">
        <f>$G$808+ABS($I$811-$I$808)/1000</f>
        <v>209.89412126136889</v>
      </c>
      <c r="H811">
        <v>-15000</v>
      </c>
      <c r="I811">
        <f>$I$808-867.5</f>
        <v>54567.936204539947</v>
      </c>
      <c r="J811">
        <v>-270</v>
      </c>
      <c r="K811">
        <v>0</v>
      </c>
      <c r="L811">
        <f>_xlfn.XLOOKUP(F811,magnet_list!$A$2:$A$592,magnet_list!$M$2:$M$592,"n/a",0,1)</f>
        <v>1000</v>
      </c>
      <c r="M811">
        <f>_xlfn.XLOOKUP(F811,magnet_list!$A$2:$A$592,magnet_list!$L$2:$L$592,"n/a",0,1)</f>
        <v>120</v>
      </c>
    </row>
    <row r="812" spans="1:13">
      <c r="A812" t="s">
        <v>797</v>
      </c>
      <c r="B812" t="s">
        <v>3855</v>
      </c>
      <c r="C812" t="s">
        <v>1152</v>
      </c>
      <c r="D812" t="s">
        <v>804</v>
      </c>
      <c r="E812" t="s">
        <v>2273</v>
      </c>
      <c r="F812" t="s">
        <v>2273</v>
      </c>
      <c r="G812">
        <f>$G$808+ABS($I$811-$I$808)/1000</f>
        <v>209.89412126136889</v>
      </c>
      <c r="H812">
        <v>-15000</v>
      </c>
      <c r="I812">
        <f>$I$808-867.5</f>
        <v>54567.936204539947</v>
      </c>
      <c r="J812">
        <v>-270</v>
      </c>
      <c r="K812">
        <v>0</v>
      </c>
      <c r="L812">
        <f>_xlfn.XLOOKUP(F812,magnet_list!$A$2:$A$592,magnet_list!$M$2:$M$592,"n/a",0,1)</f>
        <v>1000</v>
      </c>
      <c r="M812">
        <f>_xlfn.XLOOKUP(F812,magnet_list!$A$2:$A$592,magnet_list!$L$2:$L$592,"n/a",0,1)</f>
        <v>120</v>
      </c>
    </row>
    <row r="813" spans="1:13">
      <c r="A813" t="s">
        <v>797</v>
      </c>
      <c r="B813" t="s">
        <v>804</v>
      </c>
      <c r="C813" t="s">
        <v>1152</v>
      </c>
      <c r="D813" t="s">
        <v>804</v>
      </c>
      <c r="E813" s="10" t="s">
        <v>1293</v>
      </c>
      <c r="F813" s="10" t="s">
        <v>2488</v>
      </c>
      <c r="G813">
        <f>$G$808+ABS($I$813-$I$808)/1000</f>
        <v>210.20134546136887</v>
      </c>
      <c r="H813">
        <v>-15000</v>
      </c>
      <c r="I813">
        <f>$I$808-1174.7242</f>
        <v>54260.71200453995</v>
      </c>
      <c r="J813">
        <v>-270</v>
      </c>
      <c r="K813">
        <v>0</v>
      </c>
      <c r="L813">
        <v>1889.4492</v>
      </c>
    </row>
    <row r="814" spans="1:13">
      <c r="A814" t="s">
        <v>797</v>
      </c>
      <c r="B814" t="s">
        <v>804</v>
      </c>
      <c r="C814" t="s">
        <v>1152</v>
      </c>
      <c r="D814" t="s">
        <v>804</v>
      </c>
      <c r="E814" s="10" t="s">
        <v>1535</v>
      </c>
      <c r="F814" s="10" t="s">
        <v>2488</v>
      </c>
      <c r="G814">
        <f>$G$813+ABS($I$814-$I$813)/1000</f>
        <v>211.14607006136887</v>
      </c>
      <c r="H814">
        <v>-15000</v>
      </c>
      <c r="I814">
        <f>$I$813-$L$814/2</f>
        <v>53315.987404539948</v>
      </c>
      <c r="J814">
        <v>-270</v>
      </c>
      <c r="K814">
        <v>0</v>
      </c>
      <c r="L814">
        <v>1889.4492</v>
      </c>
    </row>
    <row r="815" spans="1:13">
      <c r="A815" t="s">
        <v>797</v>
      </c>
      <c r="B815" t="s">
        <v>804</v>
      </c>
      <c r="C815" t="s">
        <v>1152</v>
      </c>
      <c r="D815" t="s">
        <v>804</v>
      </c>
      <c r="E815" s="10" t="s">
        <v>1536</v>
      </c>
      <c r="F815" s="10" t="s">
        <v>2489</v>
      </c>
      <c r="G815">
        <f>$G$816-ABS($I$816-$I$815)/1000</f>
        <v>211.35600886136888</v>
      </c>
      <c r="H815">
        <v>-15000</v>
      </c>
      <c r="I815">
        <f>$I$816+$L$815/2</f>
        <v>53106.048604539952</v>
      </c>
      <c r="J815">
        <v>-270</v>
      </c>
      <c r="K815">
        <v>0</v>
      </c>
      <c r="L815">
        <v>1889.4492</v>
      </c>
    </row>
    <row r="816" spans="1:13">
      <c r="A816" t="s">
        <v>797</v>
      </c>
      <c r="B816" t="s">
        <v>804</v>
      </c>
      <c r="C816" t="s">
        <v>1152</v>
      </c>
      <c r="D816" t="s">
        <v>804</v>
      </c>
      <c r="E816" s="10" t="s">
        <v>1347</v>
      </c>
      <c r="F816" s="10" t="s">
        <v>2489</v>
      </c>
      <c r="G816">
        <f>$G$813+ABS($I$816-$I$813)/1000</f>
        <v>212.30073346136888</v>
      </c>
      <c r="H816">
        <v>-15000</v>
      </c>
      <c r="I816">
        <f>$I$813-2099.388</f>
        <v>52161.324004539951</v>
      </c>
      <c r="J816">
        <v>-270</v>
      </c>
      <c r="K816">
        <v>0</v>
      </c>
      <c r="L816">
        <v>1889.4492</v>
      </c>
    </row>
    <row r="817" spans="1:13">
      <c r="A817" t="s">
        <v>797</v>
      </c>
      <c r="B817" t="s">
        <v>804</v>
      </c>
      <c r="C817" t="s">
        <v>1152</v>
      </c>
      <c r="D817" t="s">
        <v>804</v>
      </c>
      <c r="E817" s="10" t="s">
        <v>1537</v>
      </c>
      <c r="F817" s="10" t="s">
        <v>2489</v>
      </c>
      <c r="G817">
        <f>$G$816+ABS($I$817-$I$816)/1000</f>
        <v>213.24545806136888</v>
      </c>
      <c r="H817">
        <v>-15000</v>
      </c>
      <c r="I817">
        <f>$I$816-$L$817/2</f>
        <v>51216.599404539949</v>
      </c>
      <c r="J817">
        <v>-270</v>
      </c>
      <c r="K817">
        <v>0</v>
      </c>
      <c r="L817">
        <v>1889.4492</v>
      </c>
    </row>
    <row r="818" spans="1:13">
      <c r="A818" t="s">
        <v>797</v>
      </c>
      <c r="B818" t="s">
        <v>803</v>
      </c>
      <c r="C818" t="s">
        <v>806</v>
      </c>
      <c r="E818" t="s">
        <v>1104</v>
      </c>
      <c r="F818" t="s">
        <v>1104</v>
      </c>
      <c r="G818">
        <f t="shared" ref="G818:G872" si="20">G817-(I818-I817)/1000</f>
        <v>213.33461242943883</v>
      </c>
      <c r="H818">
        <v>-15400</v>
      </c>
      <c r="I818">
        <v>51127.445036470002</v>
      </c>
      <c r="J818">
        <v>-689</v>
      </c>
      <c r="K818">
        <v>-419</v>
      </c>
    </row>
    <row r="819" spans="1:13">
      <c r="A819" t="s">
        <v>797</v>
      </c>
      <c r="B819" t="s">
        <v>1152</v>
      </c>
      <c r="C819" t="s">
        <v>1152</v>
      </c>
      <c r="D819" t="s">
        <v>804</v>
      </c>
      <c r="E819" s="3" t="s">
        <v>2023</v>
      </c>
      <c r="F819" s="3" t="s">
        <v>2023</v>
      </c>
      <c r="G819">
        <f>$G$816+ABS($I$819-$I$816)/1000</f>
        <v>213.47595786136887</v>
      </c>
      <c r="H819">
        <v>-15000</v>
      </c>
      <c r="I819">
        <f>$I$816-1175.2244</f>
        <v>50986.099604539952</v>
      </c>
      <c r="J819">
        <v>-270</v>
      </c>
      <c r="K819">
        <v>0</v>
      </c>
    </row>
    <row r="820" spans="1:13">
      <c r="A820" t="s">
        <v>797</v>
      </c>
      <c r="B820" t="s">
        <v>805</v>
      </c>
      <c r="C820" t="s">
        <v>806</v>
      </c>
      <c r="E820" s="2" t="s">
        <v>126</v>
      </c>
      <c r="F820" s="2" t="s">
        <v>126</v>
      </c>
      <c r="G820">
        <f t="shared" si="20"/>
        <v>213.63725767883884</v>
      </c>
      <c r="H820">
        <v>-15000</v>
      </c>
      <c r="I820">
        <v>50824.799787069998</v>
      </c>
      <c r="J820">
        <v>-20</v>
      </c>
      <c r="K820">
        <v>250</v>
      </c>
      <c r="L820">
        <f>_xlfn.XLOOKUP(F820,magnet_list!$A$2:$A$592,magnet_list!$M$2:$M$592,"n/a",0,1)</f>
        <v>190</v>
      </c>
      <c r="M820">
        <f>_xlfn.XLOOKUP(F820,magnet_list!$A$2:$A$592,magnet_list!$L$2:$L$592,"n/a",0,1)</f>
        <v>23</v>
      </c>
    </row>
    <row r="821" spans="1:13">
      <c r="A821" t="s">
        <v>797</v>
      </c>
      <c r="B821" t="s">
        <v>805</v>
      </c>
      <c r="C821" t="s">
        <v>1152</v>
      </c>
      <c r="D821" t="s">
        <v>804</v>
      </c>
      <c r="E821" s="2" t="s">
        <v>610</v>
      </c>
      <c r="F821" s="2" t="s">
        <v>126</v>
      </c>
      <c r="G821">
        <f t="shared" si="20"/>
        <v>213.71225767883882</v>
      </c>
      <c r="H821">
        <v>-15000</v>
      </c>
      <c r="I821">
        <v>50749.799787069998</v>
      </c>
      <c r="J821">
        <v>-20</v>
      </c>
      <c r="K821">
        <v>250</v>
      </c>
      <c r="L821">
        <f>_xlfn.XLOOKUP(F821,magnet_list!$A$2:$A$592,magnet_list!$M$2:$M$592,"n/a",0,1)</f>
        <v>190</v>
      </c>
      <c r="M821">
        <f>_xlfn.XLOOKUP(F821,magnet_list!$A$2:$A$592,magnet_list!$L$2:$L$592,"n/a",0,1)</f>
        <v>23</v>
      </c>
    </row>
    <row r="822" spans="1:13">
      <c r="A822" t="s">
        <v>797</v>
      </c>
      <c r="B822" t="s">
        <v>805</v>
      </c>
      <c r="C822" t="s">
        <v>1152</v>
      </c>
      <c r="D822" t="s">
        <v>804</v>
      </c>
      <c r="E822" s="2" t="s">
        <v>611</v>
      </c>
      <c r="F822" s="2" t="s">
        <v>127</v>
      </c>
      <c r="G822">
        <f t="shared" si="20"/>
        <v>214.00705214145881</v>
      </c>
      <c r="H822">
        <v>-15000</v>
      </c>
      <c r="I822">
        <v>50455.005324450001</v>
      </c>
      <c r="J822">
        <v>-20</v>
      </c>
      <c r="K822">
        <v>250</v>
      </c>
      <c r="L822">
        <f>_xlfn.XLOOKUP(F822,magnet_list!$A$2:$A$592,magnet_list!$M$2:$M$592,"n/a",0,1)</f>
        <v>190</v>
      </c>
      <c r="M822">
        <f>_xlfn.XLOOKUP(F822,magnet_list!$A$2:$A$592,magnet_list!$L$2:$L$592,"n/a",0,1)</f>
        <v>23</v>
      </c>
    </row>
    <row r="823" spans="1:13">
      <c r="A823" t="s">
        <v>797</v>
      </c>
      <c r="B823" t="s">
        <v>805</v>
      </c>
      <c r="C823" t="s">
        <v>806</v>
      </c>
      <c r="D823" t="s">
        <v>804</v>
      </c>
      <c r="E823" s="2" t="s">
        <v>127</v>
      </c>
      <c r="F823" s="2" t="s">
        <v>127</v>
      </c>
      <c r="G823">
        <f t="shared" si="20"/>
        <v>214.0820521414588</v>
      </c>
      <c r="H823">
        <v>-15000</v>
      </c>
      <c r="I823">
        <v>50380.005324450001</v>
      </c>
      <c r="J823">
        <v>-20</v>
      </c>
      <c r="K823">
        <v>250</v>
      </c>
      <c r="L823">
        <f>_xlfn.XLOOKUP(F823,magnet_list!$A$2:$A$592,magnet_list!$M$2:$M$592,"n/a",0,1)</f>
        <v>190</v>
      </c>
      <c r="M823">
        <f>_xlfn.XLOOKUP(F823,magnet_list!$A$2:$A$592,magnet_list!$L$2:$L$592,"n/a",0,1)</f>
        <v>23</v>
      </c>
    </row>
    <row r="824" spans="1:13">
      <c r="A824" t="s">
        <v>797</v>
      </c>
      <c r="B824" t="s">
        <v>2288</v>
      </c>
      <c r="C824" t="s">
        <v>1152</v>
      </c>
      <c r="D824" t="s">
        <v>804</v>
      </c>
      <c r="E824" s="8" t="s">
        <v>2318</v>
      </c>
      <c r="F824" s="8" t="s">
        <v>2318</v>
      </c>
      <c r="G824">
        <f>$G$819+ABS($I$824-$I$819)/1000</f>
        <v>214.23246686136886</v>
      </c>
      <c r="H824">
        <v>-15000</v>
      </c>
      <c r="I824">
        <f>$I$819-756.509</f>
        <v>50229.590604539953</v>
      </c>
      <c r="J824">
        <v>-270</v>
      </c>
      <c r="K824">
        <v>0</v>
      </c>
    </row>
    <row r="825" spans="1:13">
      <c r="A825" t="s">
        <v>797</v>
      </c>
      <c r="B825" t="s">
        <v>803</v>
      </c>
      <c r="C825" t="s">
        <v>806</v>
      </c>
      <c r="E825" t="s">
        <v>1107</v>
      </c>
      <c r="F825" t="s">
        <v>1107</v>
      </c>
      <c r="G825">
        <f t="shared" si="20"/>
        <v>214.30029639336882</v>
      </c>
      <c r="H825">
        <v>-15400</v>
      </c>
      <c r="I825">
        <v>50161.761072540001</v>
      </c>
      <c r="J825">
        <v>-689</v>
      </c>
      <c r="K825">
        <v>-419</v>
      </c>
    </row>
    <row r="826" spans="1:13">
      <c r="A826" t="s">
        <v>797</v>
      </c>
      <c r="B826" t="s">
        <v>804</v>
      </c>
      <c r="C826" t="s">
        <v>1152</v>
      </c>
      <c r="D826" t="s">
        <v>804</v>
      </c>
      <c r="E826" s="10" t="s">
        <v>1538</v>
      </c>
      <c r="F826" s="10" t="s">
        <v>2490</v>
      </c>
      <c r="G826">
        <f>$G$830-ABS($I$830-$I$826)/1000</f>
        <v>214.41293646136887</v>
      </c>
      <c r="H826">
        <v>-15000</v>
      </c>
      <c r="I826">
        <f>$I$830+$L$826/2</f>
        <v>50049.121004539957</v>
      </c>
      <c r="J826">
        <v>-270</v>
      </c>
      <c r="K826">
        <v>0</v>
      </c>
      <c r="L826">
        <v>1889.4492</v>
      </c>
    </row>
    <row r="827" spans="1:13">
      <c r="A827" t="s">
        <v>797</v>
      </c>
      <c r="B827" t="s">
        <v>3855</v>
      </c>
      <c r="C827" t="s">
        <v>1152</v>
      </c>
      <c r="D827" t="s">
        <v>804</v>
      </c>
      <c r="E827" t="s">
        <v>2274</v>
      </c>
      <c r="F827" t="s">
        <v>2274</v>
      </c>
      <c r="G827">
        <f>$G$824+ABS($I$827-$I$824)/1000</f>
        <v>215.05043736136886</v>
      </c>
      <c r="H827">
        <v>-15000</v>
      </c>
      <c r="I827">
        <f>$I$824-817.9705</f>
        <v>49411.62010453995</v>
      </c>
      <c r="J827">
        <v>-270</v>
      </c>
      <c r="K827">
        <v>0</v>
      </c>
      <c r="L827">
        <f>_xlfn.XLOOKUP(F827,magnet_list!$A$2:$A$592,magnet_list!$M$2:$M$592,"n/a",0,1)</f>
        <v>1000</v>
      </c>
      <c r="M827">
        <f>_xlfn.XLOOKUP(F827,magnet_list!$A$2:$A$592,magnet_list!$L$2:$L$592,"n/a",0,1)</f>
        <v>120</v>
      </c>
    </row>
    <row r="828" spans="1:13">
      <c r="A828" t="s">
        <v>797</v>
      </c>
      <c r="B828" t="s">
        <v>3855</v>
      </c>
      <c r="C828" t="s">
        <v>1152</v>
      </c>
      <c r="D828" t="s">
        <v>804</v>
      </c>
      <c r="E828" t="s">
        <v>2275</v>
      </c>
      <c r="F828" t="s">
        <v>2275</v>
      </c>
      <c r="G828">
        <f>$G$824+ABS($I$827-$I$824)/1000</f>
        <v>215.05043736136886</v>
      </c>
      <c r="H828">
        <v>-15000</v>
      </c>
      <c r="I828">
        <f>$I$824-817.9705</f>
        <v>49411.62010453995</v>
      </c>
      <c r="J828">
        <v>-270</v>
      </c>
      <c r="K828">
        <v>0</v>
      </c>
      <c r="L828">
        <f>_xlfn.XLOOKUP(F828,magnet_list!$A$2:$A$592,magnet_list!$M$2:$M$592,"n/a",0,1)</f>
        <v>1000</v>
      </c>
      <c r="M828">
        <f>_xlfn.XLOOKUP(F828,magnet_list!$A$2:$A$592,magnet_list!$L$2:$L$592,"n/a",0,1)</f>
        <v>120</v>
      </c>
    </row>
    <row r="829" spans="1:13">
      <c r="A829" t="s">
        <v>797</v>
      </c>
      <c r="B829" t="s">
        <v>803</v>
      </c>
      <c r="C829" t="s">
        <v>806</v>
      </c>
      <c r="E829" t="s">
        <v>979</v>
      </c>
      <c r="F829" t="s">
        <v>979</v>
      </c>
      <c r="G829">
        <f t="shared" si="20"/>
        <v>215.35500959402881</v>
      </c>
      <c r="H829">
        <v>-18969.86650837</v>
      </c>
      <c r="I829">
        <v>49107.04787188</v>
      </c>
      <c r="J829">
        <v>-6.1254141300000002</v>
      </c>
      <c r="K829">
        <v>263.87458586999998</v>
      </c>
    </row>
    <row r="830" spans="1:13">
      <c r="A830" t="s">
        <v>797</v>
      </c>
      <c r="B830" t="s">
        <v>804</v>
      </c>
      <c r="C830" t="s">
        <v>1152</v>
      </c>
      <c r="D830" t="s">
        <v>804</v>
      </c>
      <c r="E830" s="10" t="s">
        <v>1183</v>
      </c>
      <c r="F830" s="10" t="s">
        <v>2490</v>
      </c>
      <c r="G830">
        <f>$G$824+ABS($I$830-$I$824)/1000</f>
        <v>215.35766106136887</v>
      </c>
      <c r="H830">
        <v>-15000</v>
      </c>
      <c r="I830">
        <f>$I$824-1125.1942</f>
        <v>49104.396404539955</v>
      </c>
      <c r="J830">
        <v>-270</v>
      </c>
      <c r="K830">
        <v>0</v>
      </c>
      <c r="L830">
        <v>1889.4492</v>
      </c>
    </row>
    <row r="831" spans="1:13">
      <c r="A831" t="s">
        <v>797</v>
      </c>
      <c r="B831" t="s">
        <v>804</v>
      </c>
      <c r="C831" t="s">
        <v>1152</v>
      </c>
      <c r="D831" t="s">
        <v>804</v>
      </c>
      <c r="E831" s="10" t="s">
        <v>1539</v>
      </c>
      <c r="F831" s="10" t="s">
        <v>2490</v>
      </c>
      <c r="G831">
        <f>$G$830+ABS($I$831-$I$830)/1000</f>
        <v>216.30238566136887</v>
      </c>
      <c r="H831">
        <v>-15000</v>
      </c>
      <c r="I831">
        <f>$I$830-$L$831/2</f>
        <v>48159.671804539954</v>
      </c>
      <c r="J831">
        <v>-270</v>
      </c>
      <c r="K831">
        <v>0</v>
      </c>
      <c r="L831">
        <v>1889.4492</v>
      </c>
    </row>
    <row r="832" spans="1:13">
      <c r="A832" t="s">
        <v>797</v>
      </c>
      <c r="B832" t="s">
        <v>804</v>
      </c>
      <c r="C832" t="s">
        <v>1152</v>
      </c>
      <c r="D832" t="s">
        <v>804</v>
      </c>
      <c r="E832" s="10" t="s">
        <v>1540</v>
      </c>
      <c r="F832" s="10" t="s">
        <v>2491</v>
      </c>
      <c r="G832">
        <f>$G$833-ABS($I$833-$I$832)/1000</f>
        <v>216.51232746136887</v>
      </c>
      <c r="H832">
        <v>-15000</v>
      </c>
      <c r="I832">
        <f>$I$833+$L$832/2</f>
        <v>47949.730004539953</v>
      </c>
      <c r="J832">
        <v>-270</v>
      </c>
      <c r="K832">
        <v>0</v>
      </c>
      <c r="L832">
        <v>1889.4492</v>
      </c>
    </row>
    <row r="833" spans="1:13">
      <c r="A833" t="s">
        <v>797</v>
      </c>
      <c r="B833" t="s">
        <v>804</v>
      </c>
      <c r="C833" t="s">
        <v>1152</v>
      </c>
      <c r="D833" t="s">
        <v>804</v>
      </c>
      <c r="E833" s="10" t="s">
        <v>1239</v>
      </c>
      <c r="F833" s="10" t="s">
        <v>2491</v>
      </c>
      <c r="G833">
        <f>$G$830+ABS($I$833-$I$830)/1000</f>
        <v>217.45705206136887</v>
      </c>
      <c r="H833">
        <v>-15000</v>
      </c>
      <c r="I833">
        <f>$I$830-2099.391</f>
        <v>47005.005404539952</v>
      </c>
      <c r="J833">
        <v>-270</v>
      </c>
      <c r="K833">
        <v>0</v>
      </c>
      <c r="L833">
        <v>1889.4492</v>
      </c>
    </row>
    <row r="834" spans="1:13">
      <c r="A834" t="s">
        <v>797</v>
      </c>
      <c r="B834" t="s">
        <v>804</v>
      </c>
      <c r="C834" t="s">
        <v>1152</v>
      </c>
      <c r="D834" t="s">
        <v>804</v>
      </c>
      <c r="E834" s="10" t="s">
        <v>1541</v>
      </c>
      <c r="F834" s="10" t="s">
        <v>2491</v>
      </c>
      <c r="G834">
        <f>$G$833+ABS($I$834-$I$833)/1000</f>
        <v>218.40177666136887</v>
      </c>
      <c r="H834">
        <v>-15000</v>
      </c>
      <c r="I834">
        <f>$I$833-$L$834/2</f>
        <v>46060.280804539951</v>
      </c>
      <c r="J834">
        <v>-270</v>
      </c>
      <c r="K834">
        <v>0</v>
      </c>
      <c r="L834">
        <v>1889.4492</v>
      </c>
    </row>
    <row r="835" spans="1:13">
      <c r="A835" t="s">
        <v>797</v>
      </c>
      <c r="B835" t="s">
        <v>1152</v>
      </c>
      <c r="C835" t="s">
        <v>1152</v>
      </c>
      <c r="D835" t="s">
        <v>804</v>
      </c>
      <c r="E835" s="3" t="s">
        <v>2024</v>
      </c>
      <c r="F835" s="3" t="s">
        <v>2024</v>
      </c>
      <c r="G835">
        <f>$G$833+ABS($I$835-$I$833)/1000</f>
        <v>218.69665136136888</v>
      </c>
      <c r="H835">
        <v>-15000</v>
      </c>
      <c r="I835">
        <f>$I$833-1239.5993</f>
        <v>45765.40610453995</v>
      </c>
      <c r="J835">
        <v>-270</v>
      </c>
      <c r="K835">
        <v>0</v>
      </c>
    </row>
    <row r="836" spans="1:13">
      <c r="A836" t="s">
        <v>797</v>
      </c>
      <c r="B836" t="s">
        <v>804</v>
      </c>
      <c r="C836" t="s">
        <v>1152</v>
      </c>
      <c r="D836" t="s">
        <v>804</v>
      </c>
      <c r="E836" s="10" t="s">
        <v>1542</v>
      </c>
      <c r="F836" s="10" t="s">
        <v>2492</v>
      </c>
      <c r="G836">
        <f>$G$837-ABS($I$837-$I$836)/1000</f>
        <v>218.92662046136888</v>
      </c>
      <c r="H836">
        <v>-15000</v>
      </c>
      <c r="I836">
        <f>$I$837+$L$836/2</f>
        <v>45535.437004539948</v>
      </c>
      <c r="J836">
        <v>-270</v>
      </c>
      <c r="K836">
        <v>0</v>
      </c>
      <c r="L836">
        <v>1889.4492</v>
      </c>
    </row>
    <row r="837" spans="1:13">
      <c r="A837" t="s">
        <v>797</v>
      </c>
      <c r="B837" t="s">
        <v>804</v>
      </c>
      <c r="C837" t="s">
        <v>1152</v>
      </c>
      <c r="D837" t="s">
        <v>804</v>
      </c>
      <c r="E837" s="10" t="s">
        <v>1294</v>
      </c>
      <c r="F837" s="10" t="s">
        <v>2492</v>
      </c>
      <c r="G837">
        <f>$G$835+ABS($I$837-$I$835)/1000</f>
        <v>219.87134506136888</v>
      </c>
      <c r="H837">
        <v>-15000</v>
      </c>
      <c r="I837">
        <f>$I$835-1174.6937</f>
        <v>44590.712404539947</v>
      </c>
      <c r="J837">
        <v>-270</v>
      </c>
      <c r="K837">
        <v>0</v>
      </c>
      <c r="L837">
        <v>1889.4492</v>
      </c>
    </row>
    <row r="838" spans="1:13">
      <c r="A838" t="s">
        <v>797</v>
      </c>
      <c r="B838" t="s">
        <v>804</v>
      </c>
      <c r="C838" t="s">
        <v>1152</v>
      </c>
      <c r="D838" t="s">
        <v>804</v>
      </c>
      <c r="E838" s="10" t="s">
        <v>1543</v>
      </c>
      <c r="F838" s="10" t="s">
        <v>2492</v>
      </c>
      <c r="G838">
        <f>$G$837+ABS($I$838-$I$837)/1000</f>
        <v>220.81606966136889</v>
      </c>
      <c r="H838">
        <v>-15000</v>
      </c>
      <c r="I838">
        <f>$I$837-$L$838/2</f>
        <v>43645.987804539946</v>
      </c>
      <c r="J838">
        <v>-270</v>
      </c>
      <c r="K838">
        <v>0</v>
      </c>
      <c r="L838">
        <v>1889.4492</v>
      </c>
    </row>
    <row r="839" spans="1:13">
      <c r="A839" t="s">
        <v>797</v>
      </c>
      <c r="B839" t="s">
        <v>804</v>
      </c>
      <c r="C839" t="s">
        <v>1152</v>
      </c>
      <c r="D839" t="s">
        <v>804</v>
      </c>
      <c r="E839" s="10" t="s">
        <v>1544</v>
      </c>
      <c r="F839" s="10" t="s">
        <v>2493</v>
      </c>
      <c r="G839">
        <f>$G$841-ABS($I$841-$I$839)/1000</f>
        <v>221.02601146136888</v>
      </c>
      <c r="H839">
        <v>-15000</v>
      </c>
      <c r="I839">
        <f>$I$841+$L$839/2</f>
        <v>43436.046004539945</v>
      </c>
      <c r="J839">
        <v>-270</v>
      </c>
      <c r="K839">
        <v>0</v>
      </c>
      <c r="L839">
        <v>1889.4492</v>
      </c>
    </row>
    <row r="840" spans="1:13">
      <c r="A840" t="s">
        <v>797</v>
      </c>
      <c r="B840" t="s">
        <v>803</v>
      </c>
      <c r="C840" t="s">
        <v>806</v>
      </c>
      <c r="E840" t="s">
        <v>980</v>
      </c>
      <c r="F840" t="s">
        <v>980</v>
      </c>
      <c r="G840">
        <f t="shared" si="20"/>
        <v>221.79590811117882</v>
      </c>
      <c r="H840">
        <v>-21470.53945068</v>
      </c>
      <c r="I840">
        <v>42666.149354729998</v>
      </c>
      <c r="J840">
        <v>-16.01227974</v>
      </c>
      <c r="K840">
        <v>253.98772026</v>
      </c>
    </row>
    <row r="841" spans="1:13">
      <c r="A841" t="s">
        <v>797</v>
      </c>
      <c r="B841" t="s">
        <v>804</v>
      </c>
      <c r="C841" t="s">
        <v>1152</v>
      </c>
      <c r="D841" t="s">
        <v>804</v>
      </c>
      <c r="E841" s="10" t="s">
        <v>1348</v>
      </c>
      <c r="F841" s="10" t="s">
        <v>2493</v>
      </c>
      <c r="G841">
        <f>$G$837+ABS($I$841-$I$837)/1000</f>
        <v>221.97073606136888</v>
      </c>
      <c r="H841">
        <v>-15000</v>
      </c>
      <c r="I841">
        <f>$I$837-2099.391</f>
        <v>42491.321404539944</v>
      </c>
      <c r="J841">
        <v>-270</v>
      </c>
      <c r="K841">
        <v>0</v>
      </c>
      <c r="L841">
        <v>1889.4492</v>
      </c>
    </row>
    <row r="842" spans="1:13">
      <c r="A842" t="s">
        <v>797</v>
      </c>
      <c r="B842" t="s">
        <v>3855</v>
      </c>
      <c r="C842" t="s">
        <v>1152</v>
      </c>
      <c r="D842" t="s">
        <v>804</v>
      </c>
      <c r="E842" t="s">
        <v>3698</v>
      </c>
      <c r="F842" t="s">
        <v>3698</v>
      </c>
      <c r="G842">
        <f>$G$841+ABS($I$842-$I$841)/1000</f>
        <v>222.67945786136889</v>
      </c>
      <c r="H842">
        <v>-15000</v>
      </c>
      <c r="I842">
        <f>$I$841-708.7218</f>
        <v>41782.599604539944</v>
      </c>
      <c r="J842">
        <v>-270</v>
      </c>
      <c r="K842">
        <v>0</v>
      </c>
      <c r="L842">
        <f>_xlfn.XLOOKUP(F842,magnet_list!$A$2:$A$592,magnet_list!$M$2:$M$592,"n/a",0,1)</f>
        <v>200</v>
      </c>
      <c r="M842">
        <f>_xlfn.XLOOKUP(F842,magnet_list!$A$2:$A$592,magnet_list!$L$2:$L$592,"n/a",0,1)</f>
        <v>128</v>
      </c>
    </row>
    <row r="843" spans="1:13">
      <c r="A843" t="s">
        <v>797</v>
      </c>
      <c r="B843" t="s">
        <v>3855</v>
      </c>
      <c r="C843" t="s">
        <v>1152</v>
      </c>
      <c r="D843" t="s">
        <v>804</v>
      </c>
      <c r="E843" t="s">
        <v>3699</v>
      </c>
      <c r="F843" t="s">
        <v>3699</v>
      </c>
      <c r="G843">
        <f>$G$841+ABS($I$842-$I$841)/1000</f>
        <v>222.67945786136889</v>
      </c>
      <c r="H843">
        <v>-15000</v>
      </c>
      <c r="I843">
        <f>$I$841-708.7218</f>
        <v>41782.599604539944</v>
      </c>
      <c r="J843">
        <v>-270</v>
      </c>
      <c r="K843">
        <v>0</v>
      </c>
      <c r="L843">
        <f>_xlfn.XLOOKUP(F843,magnet_list!$A$2:$A$592,magnet_list!$M$2:$M$592,"n/a",0,1)</f>
        <v>200</v>
      </c>
      <c r="M843">
        <f>_xlfn.XLOOKUP(F843,magnet_list!$A$2:$A$592,magnet_list!$L$2:$L$592,"n/a",0,1)</f>
        <v>128</v>
      </c>
    </row>
    <row r="844" spans="1:13">
      <c r="A844" t="s">
        <v>797</v>
      </c>
      <c r="B844" t="s">
        <v>804</v>
      </c>
      <c r="C844" t="s">
        <v>1152</v>
      </c>
      <c r="D844" t="s">
        <v>804</v>
      </c>
      <c r="E844" s="10" t="s">
        <v>1545</v>
      </c>
      <c r="F844" s="10" t="s">
        <v>2493</v>
      </c>
      <c r="G844">
        <f>$G$841+ABS($I$844-$I$841)/1000</f>
        <v>222.91546066136888</v>
      </c>
      <c r="H844">
        <v>-15000</v>
      </c>
      <c r="I844">
        <f>$I$841-$L$844/2</f>
        <v>41546.596804539942</v>
      </c>
      <c r="J844">
        <v>-270</v>
      </c>
      <c r="K844">
        <v>0</v>
      </c>
      <c r="L844">
        <v>1889.4492</v>
      </c>
    </row>
    <row r="845" spans="1:13">
      <c r="A845" t="s">
        <v>797</v>
      </c>
      <c r="B845" t="s">
        <v>803</v>
      </c>
      <c r="C845" t="s">
        <v>806</v>
      </c>
      <c r="E845" t="s">
        <v>1106</v>
      </c>
      <c r="F845" t="s">
        <v>1106</v>
      </c>
      <c r="G845">
        <f t="shared" si="20"/>
        <v>223.01620093131882</v>
      </c>
      <c r="H845">
        <v>-15400</v>
      </c>
      <c r="I845">
        <v>41445.856534589999</v>
      </c>
      <c r="J845">
        <v>-689</v>
      </c>
      <c r="K845">
        <v>-419</v>
      </c>
    </row>
    <row r="846" spans="1:13">
      <c r="A846" t="s">
        <v>797</v>
      </c>
      <c r="B846" t="s">
        <v>1152</v>
      </c>
      <c r="C846" t="s">
        <v>1152</v>
      </c>
      <c r="D846" t="s">
        <v>804</v>
      </c>
      <c r="E846" s="3" t="s">
        <v>2025</v>
      </c>
      <c r="F846" s="3" t="s">
        <v>2025</v>
      </c>
      <c r="G846">
        <f>$G$841+ABS($I$846-$I$841)/1000</f>
        <v>223.07445776136888</v>
      </c>
      <c r="H846">
        <v>-15000</v>
      </c>
      <c r="I846">
        <f>$I$841-1103.7217</f>
        <v>41387.599704539942</v>
      </c>
      <c r="J846">
        <v>-270</v>
      </c>
      <c r="K846">
        <v>0</v>
      </c>
    </row>
    <row r="847" spans="1:13">
      <c r="A847" t="s">
        <v>797</v>
      </c>
      <c r="B847" t="s">
        <v>805</v>
      </c>
      <c r="C847" t="s">
        <v>806</v>
      </c>
      <c r="E847" s="2" t="s">
        <v>128</v>
      </c>
      <c r="F847" s="2" t="s">
        <v>128</v>
      </c>
      <c r="G847">
        <f t="shared" si="20"/>
        <v>223.24567598634883</v>
      </c>
      <c r="H847">
        <v>-15000</v>
      </c>
      <c r="I847">
        <v>41216.381479559997</v>
      </c>
      <c r="J847">
        <v>-20</v>
      </c>
      <c r="K847">
        <v>250</v>
      </c>
      <c r="L847">
        <f>_xlfn.XLOOKUP(F847,magnet_list!$A$2:$A$592,magnet_list!$M$2:$M$592,"n/a",0,1)</f>
        <v>190</v>
      </c>
      <c r="M847">
        <f>_xlfn.XLOOKUP(F847,magnet_list!$A$2:$A$592,magnet_list!$L$2:$L$592,"n/a",0,1)</f>
        <v>23</v>
      </c>
    </row>
    <row r="848" spans="1:13">
      <c r="A848" t="s">
        <v>797</v>
      </c>
      <c r="B848" t="s">
        <v>805</v>
      </c>
      <c r="C848" t="s">
        <v>1152</v>
      </c>
      <c r="D848" t="s">
        <v>804</v>
      </c>
      <c r="E848" s="2" t="s">
        <v>612</v>
      </c>
      <c r="F848" s="2" t="s">
        <v>128</v>
      </c>
      <c r="G848">
        <f t="shared" si="20"/>
        <v>223.32067598634882</v>
      </c>
      <c r="H848">
        <v>-15000</v>
      </c>
      <c r="I848">
        <v>41141.381479559997</v>
      </c>
      <c r="J848">
        <v>-20</v>
      </c>
      <c r="K848">
        <v>250</v>
      </c>
      <c r="L848">
        <f>_xlfn.XLOOKUP(F848,magnet_list!$A$2:$A$592,magnet_list!$M$2:$M$592,"n/a",0,1)</f>
        <v>190</v>
      </c>
      <c r="M848">
        <f>_xlfn.XLOOKUP(F848,magnet_list!$A$2:$A$592,magnet_list!$L$2:$L$592,"n/a",0,1)</f>
        <v>23</v>
      </c>
    </row>
    <row r="849" spans="1:13">
      <c r="A849" t="s">
        <v>797</v>
      </c>
      <c r="B849" t="s">
        <v>805</v>
      </c>
      <c r="C849" t="s">
        <v>1152</v>
      </c>
      <c r="D849" t="s">
        <v>804</v>
      </c>
      <c r="E849" s="2" t="s">
        <v>613</v>
      </c>
      <c r="F849" s="2" t="s">
        <v>129</v>
      </c>
      <c r="G849">
        <f t="shared" si="20"/>
        <v>223.61541410529881</v>
      </c>
      <c r="H849">
        <v>-15000</v>
      </c>
      <c r="I849">
        <v>40846.643360610004</v>
      </c>
      <c r="J849">
        <v>-20</v>
      </c>
      <c r="K849">
        <v>250</v>
      </c>
      <c r="L849">
        <f>_xlfn.XLOOKUP(F849,magnet_list!$A$2:$A$592,magnet_list!$M$2:$M$592,"n/a",0,1)</f>
        <v>190</v>
      </c>
      <c r="M849">
        <f>_xlfn.XLOOKUP(F849,magnet_list!$A$2:$A$592,magnet_list!$L$2:$L$592,"n/a",0,1)</f>
        <v>23</v>
      </c>
    </row>
    <row r="850" spans="1:13">
      <c r="A850" t="s">
        <v>797</v>
      </c>
      <c r="B850" t="s">
        <v>805</v>
      </c>
      <c r="C850" t="s">
        <v>806</v>
      </c>
      <c r="E850" s="2" t="s">
        <v>129</v>
      </c>
      <c r="F850" s="2" t="s">
        <v>129</v>
      </c>
      <c r="G850">
        <f t="shared" si="20"/>
        <v>223.6904141052988</v>
      </c>
      <c r="H850">
        <v>-15000</v>
      </c>
      <c r="I850">
        <v>40771.643360610004</v>
      </c>
      <c r="J850">
        <v>-20</v>
      </c>
      <c r="K850">
        <v>250</v>
      </c>
      <c r="L850">
        <f>_xlfn.XLOOKUP(F850,magnet_list!$A$2:$A$592,magnet_list!$M$2:$M$592,"n/a",0,1)</f>
        <v>190</v>
      </c>
      <c r="M850">
        <f>_xlfn.XLOOKUP(F850,magnet_list!$A$2:$A$592,magnet_list!$L$2:$L$592,"n/a",0,1)</f>
        <v>23</v>
      </c>
    </row>
    <row r="851" spans="1:13">
      <c r="A851" t="s">
        <v>797</v>
      </c>
      <c r="B851" t="s">
        <v>2288</v>
      </c>
      <c r="C851" t="s">
        <v>1152</v>
      </c>
      <c r="D851" t="s">
        <v>804</v>
      </c>
      <c r="E851" s="8" t="s">
        <v>2319</v>
      </c>
      <c r="F851" s="8" t="s">
        <v>2319</v>
      </c>
      <c r="G851">
        <f>$G$846+ABS($I$851-$I$846)/1000</f>
        <v>224.26745776136889</v>
      </c>
      <c r="H851">
        <v>-15000</v>
      </c>
      <c r="I851">
        <f>$I$846-1193</f>
        <v>40194.599704539942</v>
      </c>
      <c r="J851">
        <v>-270</v>
      </c>
      <c r="K851">
        <v>0</v>
      </c>
    </row>
    <row r="852" spans="1:13">
      <c r="A852" t="s">
        <v>797</v>
      </c>
      <c r="B852" t="s">
        <v>803</v>
      </c>
      <c r="C852" t="s">
        <v>806</v>
      </c>
      <c r="E852" t="s">
        <v>981</v>
      </c>
      <c r="F852" t="s">
        <v>981</v>
      </c>
      <c r="G852">
        <f t="shared" si="20"/>
        <v>224.80819193833884</v>
      </c>
      <c r="H852">
        <v>-16506.07744307</v>
      </c>
      <c r="I852">
        <v>39653.86552757</v>
      </c>
      <c r="J852">
        <v>-15.47124996</v>
      </c>
      <c r="K852">
        <v>254.52875004000001</v>
      </c>
    </row>
    <row r="853" spans="1:13">
      <c r="A853" t="s">
        <v>797</v>
      </c>
      <c r="B853" t="s">
        <v>803</v>
      </c>
      <c r="C853" t="s">
        <v>806</v>
      </c>
      <c r="E853" t="s">
        <v>984</v>
      </c>
      <c r="F853" t="s">
        <v>984</v>
      </c>
      <c r="G853">
        <f t="shared" si="20"/>
        <v>225.31610633117884</v>
      </c>
      <c r="H853">
        <v>-14533.57799208</v>
      </c>
      <c r="I853">
        <v>39145.951134729999</v>
      </c>
      <c r="J853">
        <v>-16.64268148</v>
      </c>
      <c r="K853">
        <v>253.35731852000001</v>
      </c>
    </row>
    <row r="854" spans="1:13">
      <c r="A854" t="s">
        <v>797</v>
      </c>
      <c r="B854" t="s">
        <v>803</v>
      </c>
      <c r="C854" t="s">
        <v>806</v>
      </c>
      <c r="E854" t="s">
        <v>982</v>
      </c>
      <c r="F854" t="s">
        <v>982</v>
      </c>
      <c r="G854">
        <f t="shared" si="20"/>
        <v>225.36682293152884</v>
      </c>
      <c r="H854">
        <v>-19976.864766710001</v>
      </c>
      <c r="I854">
        <v>39095.234534379997</v>
      </c>
      <c r="J854">
        <v>-11.876868030000001</v>
      </c>
      <c r="K854">
        <v>258.12313196999997</v>
      </c>
    </row>
    <row r="855" spans="1:13">
      <c r="A855" t="s">
        <v>797</v>
      </c>
      <c r="B855" t="s">
        <v>803</v>
      </c>
      <c r="C855" t="s">
        <v>806</v>
      </c>
      <c r="E855" t="s">
        <v>983</v>
      </c>
      <c r="F855" t="s">
        <v>983</v>
      </c>
      <c r="G855">
        <f t="shared" si="20"/>
        <v>225.85848102001884</v>
      </c>
      <c r="H855">
        <v>-16581.569498420002</v>
      </c>
      <c r="I855">
        <v>38603.576445890001</v>
      </c>
      <c r="J855">
        <v>-5.5022172500000002</v>
      </c>
      <c r="K855">
        <v>264.49778275</v>
      </c>
    </row>
    <row r="856" spans="1:13">
      <c r="A856" t="s">
        <v>797</v>
      </c>
      <c r="B856" t="s">
        <v>805</v>
      </c>
      <c r="C856" t="s">
        <v>806</v>
      </c>
      <c r="E856" s="2" t="s">
        <v>130</v>
      </c>
      <c r="F856" s="2" t="s">
        <v>2494</v>
      </c>
      <c r="G856">
        <f t="shared" si="20"/>
        <v>226.53279685040883</v>
      </c>
      <c r="H856">
        <v>-15000</v>
      </c>
      <c r="I856">
        <v>37929.260615500003</v>
      </c>
      <c r="J856">
        <v>-70</v>
      </c>
      <c r="K856">
        <v>200</v>
      </c>
      <c r="L856">
        <f>_xlfn.XLOOKUP(F856,magnet_list!$A$2:$A$592,magnet_list!$M$2:$M$592,"n/a",0,1)</f>
        <v>100</v>
      </c>
      <c r="M856">
        <f>_xlfn.XLOOKUP(F856,magnet_list!$A$2:$A$592,magnet_list!$L$2:$L$592,"n/a",0,1)</f>
        <v>44</v>
      </c>
    </row>
    <row r="857" spans="1:13">
      <c r="A857" t="s">
        <v>797</v>
      </c>
      <c r="B857" t="s">
        <v>805</v>
      </c>
      <c r="C857" t="s">
        <v>1152</v>
      </c>
      <c r="D857" t="s">
        <v>804</v>
      </c>
      <c r="E857" s="2" t="s">
        <v>614</v>
      </c>
      <c r="F857" s="2" t="s">
        <v>2494</v>
      </c>
      <c r="G857">
        <f t="shared" si="20"/>
        <v>226.57280497391884</v>
      </c>
      <c r="H857">
        <v>-15000</v>
      </c>
      <c r="I857">
        <f>($I$858+$I$856)/2</f>
        <v>37889.252491990002</v>
      </c>
      <c r="J857">
        <v>-70</v>
      </c>
      <c r="K857">
        <v>200</v>
      </c>
      <c r="L857">
        <f>_xlfn.XLOOKUP(F857,magnet_list!$A$2:$A$592,magnet_list!$M$2:$M$592,"n/a",0,1)</f>
        <v>100</v>
      </c>
      <c r="M857">
        <f>_xlfn.XLOOKUP(F857,magnet_list!$A$2:$A$592,magnet_list!$L$2:$L$592,"n/a",0,1)</f>
        <v>44</v>
      </c>
    </row>
    <row r="858" spans="1:13">
      <c r="A858" t="s">
        <v>797</v>
      </c>
      <c r="B858" t="s">
        <v>805</v>
      </c>
      <c r="C858" t="s">
        <v>806</v>
      </c>
      <c r="E858" s="2" t="s">
        <v>131</v>
      </c>
      <c r="F858" s="2" t="s">
        <v>2494</v>
      </c>
      <c r="G858">
        <f t="shared" si="20"/>
        <v>226.61281309742884</v>
      </c>
      <c r="H858">
        <v>-15000</v>
      </c>
      <c r="I858">
        <v>37849.244368480002</v>
      </c>
      <c r="J858">
        <v>-70</v>
      </c>
      <c r="K858">
        <v>200</v>
      </c>
      <c r="L858">
        <f>_xlfn.XLOOKUP(F858,magnet_list!$A$2:$A$592,magnet_list!$M$2:$M$592,"n/a",0,1)</f>
        <v>100</v>
      </c>
      <c r="M858">
        <f>_xlfn.XLOOKUP(F858,magnet_list!$A$2:$A$592,magnet_list!$L$2:$L$592,"n/a",0,1)</f>
        <v>44</v>
      </c>
    </row>
    <row r="859" spans="1:13">
      <c r="A859" t="s">
        <v>797</v>
      </c>
      <c r="B859" t="s">
        <v>805</v>
      </c>
      <c r="C859" t="s">
        <v>806</v>
      </c>
      <c r="E859" s="2" t="s">
        <v>132</v>
      </c>
      <c r="F859" s="2" t="s">
        <v>2495</v>
      </c>
      <c r="G859">
        <f t="shared" si="20"/>
        <v>226.79188629507885</v>
      </c>
      <c r="H859">
        <v>-15000</v>
      </c>
      <c r="I859">
        <v>37670.171170829999</v>
      </c>
      <c r="J859">
        <v>-70</v>
      </c>
      <c r="K859">
        <v>200</v>
      </c>
      <c r="L859">
        <f>_xlfn.XLOOKUP(F859,magnet_list!$A$2:$A$592,magnet_list!$M$2:$M$592,"n/a",0,1)</f>
        <v>100</v>
      </c>
      <c r="M859">
        <f>_xlfn.XLOOKUP(F859,magnet_list!$A$2:$A$592,magnet_list!$L$2:$L$592,"n/a",0,1)</f>
        <v>44</v>
      </c>
    </row>
    <row r="860" spans="1:13">
      <c r="A860" t="s">
        <v>797</v>
      </c>
      <c r="B860" t="s">
        <v>805</v>
      </c>
      <c r="C860" t="s">
        <v>1152</v>
      </c>
      <c r="D860" t="s">
        <v>804</v>
      </c>
      <c r="E860" s="2" t="s">
        <v>615</v>
      </c>
      <c r="F860" s="2" t="s">
        <v>2495</v>
      </c>
      <c r="G860">
        <f t="shared" si="20"/>
        <v>226.83189370567385</v>
      </c>
      <c r="H860">
        <v>-15000</v>
      </c>
      <c r="I860">
        <f>($I$861+$I$859)/2</f>
        <v>37630.163760234995</v>
      </c>
      <c r="J860">
        <v>-70</v>
      </c>
      <c r="K860">
        <v>200</v>
      </c>
      <c r="L860">
        <f>_xlfn.XLOOKUP(F860,magnet_list!$A$2:$A$592,magnet_list!$M$2:$M$592,"n/a",0,1)</f>
        <v>100</v>
      </c>
      <c r="M860">
        <f>_xlfn.XLOOKUP(F860,magnet_list!$A$2:$A$592,magnet_list!$L$2:$L$592,"n/a",0,1)</f>
        <v>44</v>
      </c>
    </row>
    <row r="861" spans="1:13">
      <c r="A861" t="s">
        <v>797</v>
      </c>
      <c r="B861" t="s">
        <v>805</v>
      </c>
      <c r="C861" t="s">
        <v>806</v>
      </c>
      <c r="E861" s="2" t="s">
        <v>133</v>
      </c>
      <c r="F861" s="2" t="s">
        <v>2495</v>
      </c>
      <c r="G861">
        <f t="shared" si="20"/>
        <v>226.87190111626884</v>
      </c>
      <c r="H861">
        <v>-15000</v>
      </c>
      <c r="I861">
        <v>37590.156349639998</v>
      </c>
      <c r="J861">
        <v>-70</v>
      </c>
      <c r="K861">
        <v>200</v>
      </c>
      <c r="L861">
        <f>_xlfn.XLOOKUP(F861,magnet_list!$A$2:$A$592,magnet_list!$M$2:$M$592,"n/a",0,1)</f>
        <v>100</v>
      </c>
      <c r="M861">
        <f>_xlfn.XLOOKUP(F861,magnet_list!$A$2:$A$592,magnet_list!$L$2:$L$592,"n/a",0,1)</f>
        <v>44</v>
      </c>
    </row>
    <row r="862" spans="1:13">
      <c r="A862" t="s">
        <v>797</v>
      </c>
      <c r="B862" t="s">
        <v>803</v>
      </c>
      <c r="C862" t="s">
        <v>806</v>
      </c>
      <c r="E862" t="s">
        <v>1109</v>
      </c>
      <c r="F862" t="s">
        <v>1109</v>
      </c>
      <c r="G862">
        <f t="shared" si="20"/>
        <v>228.30183798569885</v>
      </c>
      <c r="H862">
        <v>-15400</v>
      </c>
      <c r="I862">
        <v>36160.219480209998</v>
      </c>
      <c r="J862">
        <v>-689</v>
      </c>
      <c r="K862">
        <v>-419</v>
      </c>
    </row>
    <row r="863" spans="1:13">
      <c r="A863" t="s">
        <v>797</v>
      </c>
      <c r="B863" t="s">
        <v>804</v>
      </c>
      <c r="C863" t="s">
        <v>1152</v>
      </c>
      <c r="D863" t="s">
        <v>804</v>
      </c>
      <c r="E863" s="10" t="s">
        <v>1546</v>
      </c>
      <c r="F863" s="10" t="s">
        <v>2496</v>
      </c>
      <c r="G863">
        <f>$G$866-ABS($I$866-$I$863)/1000</f>
        <v>228.4429364613689</v>
      </c>
      <c r="H863">
        <v>-15000</v>
      </c>
      <c r="I863">
        <f>$I$866+$L$863/2</f>
        <v>36019.121004539942</v>
      </c>
      <c r="J863">
        <v>-270</v>
      </c>
      <c r="K863">
        <v>0</v>
      </c>
      <c r="L863">
        <v>1889.4492</v>
      </c>
    </row>
    <row r="864" spans="1:13">
      <c r="A864" t="s">
        <v>797</v>
      </c>
      <c r="B864" t="s">
        <v>3855</v>
      </c>
      <c r="C864" t="s">
        <v>1152</v>
      </c>
      <c r="D864" t="s">
        <v>804</v>
      </c>
      <c r="E864" t="s">
        <v>2276</v>
      </c>
      <c r="F864" t="s">
        <v>2276</v>
      </c>
      <c r="G864">
        <f>$G$851+ABS($I$864-$I$851)/1000</f>
        <v>229.08043736136889</v>
      </c>
      <c r="H864">
        <v>-15000</v>
      </c>
      <c r="I864">
        <f>$I$851-4812.9796</f>
        <v>35381.620104539943</v>
      </c>
      <c r="J864">
        <v>-270</v>
      </c>
      <c r="K864">
        <v>0</v>
      </c>
      <c r="L864">
        <f>_xlfn.XLOOKUP(F864,magnet_list!$A$2:$A$592,magnet_list!$M$2:$M$592,"n/a",0,1)</f>
        <v>800</v>
      </c>
      <c r="M864">
        <f>_xlfn.XLOOKUP(F864,magnet_list!$A$2:$A$592,magnet_list!$L$2:$L$592,"n/a",0,1)</f>
        <v>120</v>
      </c>
    </row>
    <row r="865" spans="1:13">
      <c r="A865" t="s">
        <v>797</v>
      </c>
      <c r="B865" t="s">
        <v>3855</v>
      </c>
      <c r="C865" t="s">
        <v>1152</v>
      </c>
      <c r="D865" t="s">
        <v>804</v>
      </c>
      <c r="E865" t="s">
        <v>2277</v>
      </c>
      <c r="F865" t="s">
        <v>2277</v>
      </c>
      <c r="G865">
        <f>$G$851+ABS($I$864-$I$851)/1000</f>
        <v>229.08043736136889</v>
      </c>
      <c r="H865">
        <v>-15000</v>
      </c>
      <c r="I865">
        <f>$I$851-4812.9796</f>
        <v>35381.620104539943</v>
      </c>
      <c r="J865">
        <v>-270</v>
      </c>
      <c r="K865">
        <v>0</v>
      </c>
      <c r="L865">
        <f>_xlfn.XLOOKUP(F865,magnet_list!$A$2:$A$592,magnet_list!$M$2:$M$592,"n/a",0,1)</f>
        <v>800</v>
      </c>
      <c r="M865">
        <f>_xlfn.XLOOKUP(F865,magnet_list!$A$2:$A$592,magnet_list!$L$2:$L$592,"n/a",0,1)</f>
        <v>120</v>
      </c>
    </row>
    <row r="866" spans="1:13">
      <c r="A866" t="s">
        <v>797</v>
      </c>
      <c r="B866" t="s">
        <v>804</v>
      </c>
      <c r="C866" t="s">
        <v>1152</v>
      </c>
      <c r="D866" t="s">
        <v>804</v>
      </c>
      <c r="E866" s="10" t="s">
        <v>1184</v>
      </c>
      <c r="F866" s="10" t="s">
        <v>2496</v>
      </c>
      <c r="G866">
        <f>$G$851+ABS($I$866-$I$851)/1000</f>
        <v>229.3876610613689</v>
      </c>
      <c r="H866">
        <v>-15000</v>
      </c>
      <c r="I866">
        <f>$I$851-5120.2033</f>
        <v>35074.396404539941</v>
      </c>
      <c r="J866">
        <v>-270</v>
      </c>
      <c r="K866">
        <v>0</v>
      </c>
      <c r="L866">
        <v>1889.4492</v>
      </c>
    </row>
    <row r="867" spans="1:13">
      <c r="A867" t="s">
        <v>797</v>
      </c>
      <c r="B867" t="s">
        <v>804</v>
      </c>
      <c r="C867" t="s">
        <v>1152</v>
      </c>
      <c r="D867" t="s">
        <v>804</v>
      </c>
      <c r="E867" s="10" t="s">
        <v>1547</v>
      </c>
      <c r="F867" s="10" t="s">
        <v>2496</v>
      </c>
      <c r="G867">
        <f>$G$866+ABS($I$867-$I$866)/1000</f>
        <v>230.3323856613689</v>
      </c>
      <c r="H867">
        <v>-15000</v>
      </c>
      <c r="I867">
        <f>$I$866-$L$867/2</f>
        <v>34129.671804539939</v>
      </c>
      <c r="J867">
        <v>-270</v>
      </c>
      <c r="K867">
        <v>0</v>
      </c>
      <c r="L867">
        <v>1889.4492</v>
      </c>
    </row>
    <row r="868" spans="1:13">
      <c r="A868" t="s">
        <v>797</v>
      </c>
      <c r="B868" t="s">
        <v>804</v>
      </c>
      <c r="C868" t="s">
        <v>1152</v>
      </c>
      <c r="D868" t="s">
        <v>804</v>
      </c>
      <c r="E868" s="10" t="s">
        <v>1548</v>
      </c>
      <c r="F868" s="10" t="s">
        <v>2497</v>
      </c>
      <c r="G868">
        <f>$G$869-ABS($I$869-$I$868)/1000</f>
        <v>230.5423274613689</v>
      </c>
      <c r="H868">
        <v>-15000</v>
      </c>
      <c r="I868">
        <f>$I$869+$L$868/2</f>
        <v>33919.730004539939</v>
      </c>
      <c r="J868">
        <v>-270</v>
      </c>
      <c r="K868">
        <v>0</v>
      </c>
      <c r="L868">
        <v>1889.4492</v>
      </c>
    </row>
    <row r="869" spans="1:13">
      <c r="A869" t="s">
        <v>797</v>
      </c>
      <c r="B869" t="s">
        <v>804</v>
      </c>
      <c r="C869" t="s">
        <v>1152</v>
      </c>
      <c r="D869" t="s">
        <v>804</v>
      </c>
      <c r="E869" s="10" t="s">
        <v>1240</v>
      </c>
      <c r="F869" s="10" t="s">
        <v>2497</v>
      </c>
      <c r="G869">
        <f>$G$866+ABS($I$869-$I$866)/1000</f>
        <v>231.4870520613689</v>
      </c>
      <c r="H869">
        <v>-15000</v>
      </c>
      <c r="I869">
        <f>$I$866-2099.391</f>
        <v>32975.005404539937</v>
      </c>
      <c r="J869">
        <v>-270</v>
      </c>
      <c r="K869">
        <v>0</v>
      </c>
      <c r="L869">
        <v>1889.4492</v>
      </c>
    </row>
    <row r="870" spans="1:13">
      <c r="A870" t="s">
        <v>797</v>
      </c>
      <c r="B870" t="s">
        <v>804</v>
      </c>
      <c r="C870" t="s">
        <v>1152</v>
      </c>
      <c r="D870" t="s">
        <v>804</v>
      </c>
      <c r="E870" s="10" t="s">
        <v>1549</v>
      </c>
      <c r="F870" s="10" t="s">
        <v>2497</v>
      </c>
      <c r="G870">
        <f>$G$869+ABS($I$870-$I$869)/1000</f>
        <v>232.4317766613689</v>
      </c>
      <c r="H870">
        <v>-15000</v>
      </c>
      <c r="I870">
        <f>$I$869-$L$870/2</f>
        <v>32030.280804539936</v>
      </c>
      <c r="J870">
        <v>-270</v>
      </c>
      <c r="K870">
        <v>0</v>
      </c>
      <c r="L870">
        <v>1889.4492</v>
      </c>
    </row>
    <row r="871" spans="1:13">
      <c r="A871" t="s">
        <v>797</v>
      </c>
      <c r="B871" t="s">
        <v>803</v>
      </c>
      <c r="C871" t="s">
        <v>806</v>
      </c>
      <c r="E871" t="s">
        <v>985</v>
      </c>
      <c r="F871" t="s">
        <v>985</v>
      </c>
      <c r="G871">
        <f t="shared" si="20"/>
        <v>232.54090327891885</v>
      </c>
      <c r="H871">
        <v>-21476.868670079999</v>
      </c>
      <c r="I871">
        <v>31921.154186989999</v>
      </c>
      <c r="J871">
        <v>-17.186986470000001</v>
      </c>
      <c r="K871">
        <v>252.81301353000001</v>
      </c>
    </row>
    <row r="872" spans="1:13">
      <c r="A872" t="s">
        <v>797</v>
      </c>
      <c r="B872" t="s">
        <v>803</v>
      </c>
      <c r="C872" t="s">
        <v>806</v>
      </c>
      <c r="E872" t="s">
        <v>986</v>
      </c>
      <c r="F872" t="s">
        <v>986</v>
      </c>
      <c r="G872">
        <f t="shared" si="20"/>
        <v>232.65769267726884</v>
      </c>
      <c r="H872">
        <v>-13517.683601819999</v>
      </c>
      <c r="I872">
        <v>31804.364788639999</v>
      </c>
      <c r="J872">
        <v>-17.555698979999999</v>
      </c>
      <c r="K872">
        <v>252.44430102000001</v>
      </c>
    </row>
    <row r="873" spans="1:13">
      <c r="A873" t="s">
        <v>797</v>
      </c>
      <c r="B873" t="s">
        <v>1152</v>
      </c>
      <c r="C873" t="s">
        <v>1152</v>
      </c>
      <c r="D873" t="s">
        <v>804</v>
      </c>
      <c r="E873" s="3" t="s">
        <v>2026</v>
      </c>
      <c r="F873" s="3" t="s">
        <v>2026</v>
      </c>
      <c r="G873">
        <f>$G$869+ABS($I$873-$I$869)/1000</f>
        <v>232.72665136136891</v>
      </c>
      <c r="H873">
        <v>-15000</v>
      </c>
      <c r="I873">
        <f>$I$869-1239.5993</f>
        <v>31735.406104539936</v>
      </c>
      <c r="J873">
        <v>-270</v>
      </c>
      <c r="K873">
        <v>0</v>
      </c>
    </row>
    <row r="874" spans="1:13">
      <c r="A874" t="s">
        <v>797</v>
      </c>
      <c r="B874" t="s">
        <v>804</v>
      </c>
      <c r="C874" t="s">
        <v>1152</v>
      </c>
      <c r="D874" t="s">
        <v>804</v>
      </c>
      <c r="E874" s="10" t="s">
        <v>1550</v>
      </c>
      <c r="F874" s="10" t="s">
        <v>2498</v>
      </c>
      <c r="G874">
        <f>$G$875-ABS($I$875-$I$874)/1000</f>
        <v>232.95662046136891</v>
      </c>
      <c r="H874">
        <v>-15000</v>
      </c>
      <c r="I874">
        <f>$I$875+$L$874/2</f>
        <v>31505.437004539937</v>
      </c>
      <c r="J874">
        <v>-270</v>
      </c>
      <c r="K874">
        <v>0</v>
      </c>
      <c r="L874">
        <v>1889.4492</v>
      </c>
    </row>
    <row r="875" spans="1:13">
      <c r="A875" t="s">
        <v>797</v>
      </c>
      <c r="B875" t="s">
        <v>804</v>
      </c>
      <c r="C875" t="s">
        <v>1152</v>
      </c>
      <c r="D875" t="s">
        <v>804</v>
      </c>
      <c r="E875" s="10" t="s">
        <v>1295</v>
      </c>
      <c r="F875" s="10" t="s">
        <v>2498</v>
      </c>
      <c r="G875">
        <f>$G$873+ABS($I$875-$I$873)/1000</f>
        <v>233.90134506136891</v>
      </c>
      <c r="H875">
        <v>-15000</v>
      </c>
      <c r="I875">
        <f>$I$873-1174.6937</f>
        <v>30560.712404539936</v>
      </c>
      <c r="J875">
        <v>-270</v>
      </c>
      <c r="K875">
        <v>0</v>
      </c>
      <c r="L875">
        <v>1889.4492</v>
      </c>
    </row>
    <row r="876" spans="1:13">
      <c r="A876" t="s">
        <v>797</v>
      </c>
      <c r="B876" t="s">
        <v>804</v>
      </c>
      <c r="C876" t="s">
        <v>1152</v>
      </c>
      <c r="D876" t="s">
        <v>804</v>
      </c>
      <c r="E876" s="10" t="s">
        <v>1551</v>
      </c>
      <c r="F876" s="10" t="s">
        <v>2498</v>
      </c>
      <c r="G876">
        <f>$G$875+ABS($I$876-$I$875)/1000</f>
        <v>234.84606966136892</v>
      </c>
      <c r="H876">
        <v>-15000</v>
      </c>
      <c r="I876">
        <f>$I$875-$L$876/2</f>
        <v>29615.987804539935</v>
      </c>
      <c r="J876">
        <v>-270</v>
      </c>
      <c r="K876">
        <v>0</v>
      </c>
      <c r="L876">
        <v>1889.4492</v>
      </c>
    </row>
    <row r="877" spans="1:13">
      <c r="A877" t="s">
        <v>797</v>
      </c>
      <c r="B877" t="s">
        <v>804</v>
      </c>
      <c r="C877" t="s">
        <v>1152</v>
      </c>
      <c r="D877" t="s">
        <v>804</v>
      </c>
      <c r="E877" s="10" t="s">
        <v>1552</v>
      </c>
      <c r="F877" s="10" t="s">
        <v>2499</v>
      </c>
      <c r="G877">
        <f>$G$878-ABS($I$878-$I$877)/1000</f>
        <v>235.05601146136891</v>
      </c>
      <c r="H877">
        <v>-15000</v>
      </c>
      <c r="I877">
        <f>$I$878+$L$877/2</f>
        <v>29406.046004539938</v>
      </c>
      <c r="J877">
        <v>-270</v>
      </c>
      <c r="K877">
        <v>0</v>
      </c>
      <c r="L877">
        <v>1889.4492</v>
      </c>
    </row>
    <row r="878" spans="1:13">
      <c r="A878" t="s">
        <v>797</v>
      </c>
      <c r="B878" t="s">
        <v>804</v>
      </c>
      <c r="C878" t="s">
        <v>1152</v>
      </c>
      <c r="D878" t="s">
        <v>804</v>
      </c>
      <c r="E878" s="10" t="s">
        <v>1349</v>
      </c>
      <c r="F878" s="10" t="s">
        <v>2499</v>
      </c>
      <c r="G878">
        <f>$G$875+ABS($I$878-$I$875)/1000</f>
        <v>236.00073606136891</v>
      </c>
      <c r="H878">
        <v>-15000</v>
      </c>
      <c r="I878">
        <f>$I$875-2099.391</f>
        <v>28461.321404539936</v>
      </c>
      <c r="J878">
        <v>-270</v>
      </c>
      <c r="K878">
        <v>0</v>
      </c>
      <c r="L878">
        <v>1889.4492</v>
      </c>
    </row>
    <row r="879" spans="1:13">
      <c r="A879" t="s">
        <v>797</v>
      </c>
      <c r="B879" t="s">
        <v>804</v>
      </c>
      <c r="C879" t="s">
        <v>1152</v>
      </c>
      <c r="D879" t="s">
        <v>804</v>
      </c>
      <c r="E879" s="10" t="s">
        <v>1553</v>
      </c>
      <c r="F879" s="10" t="s">
        <v>2499</v>
      </c>
      <c r="G879">
        <f>$G$878+ABS($I$879-$I$878)/1000</f>
        <v>236.94546066136891</v>
      </c>
      <c r="H879">
        <v>-15000</v>
      </c>
      <c r="I879">
        <f>$I$878-$L$879/2</f>
        <v>27516.596804539935</v>
      </c>
      <c r="J879">
        <v>-270</v>
      </c>
      <c r="K879">
        <v>0</v>
      </c>
      <c r="L879">
        <v>1889.4492</v>
      </c>
    </row>
    <row r="880" spans="1:13">
      <c r="A880" t="s">
        <v>797</v>
      </c>
      <c r="B880" t="s">
        <v>803</v>
      </c>
      <c r="C880" t="s">
        <v>806</v>
      </c>
      <c r="E880" t="s">
        <v>1108</v>
      </c>
      <c r="F880" t="s">
        <v>1108</v>
      </c>
      <c r="G880">
        <f t="shared" ref="G880:G942" si="21">G879-(I880-I879)/1000</f>
        <v>237.01810774637886</v>
      </c>
      <c r="H880">
        <v>-15400</v>
      </c>
      <c r="I880">
        <v>27443.949719529999</v>
      </c>
      <c r="J880">
        <v>-689</v>
      </c>
      <c r="K880">
        <v>-419</v>
      </c>
    </row>
    <row r="881" spans="1:13">
      <c r="A881" t="s">
        <v>797</v>
      </c>
      <c r="B881" t="s">
        <v>1152</v>
      </c>
      <c r="C881" t="s">
        <v>1152</v>
      </c>
      <c r="D881" t="s">
        <v>804</v>
      </c>
      <c r="E881" s="3" t="s">
        <v>2027</v>
      </c>
      <c r="F881" s="3" t="s">
        <v>2027</v>
      </c>
      <c r="G881">
        <f>$G$878+ABS($I$881-$I$878)/1000</f>
        <v>237.10445776136891</v>
      </c>
      <c r="H881">
        <v>-15000</v>
      </c>
      <c r="I881">
        <f>$I$878-1103.7217</f>
        <v>27357.599704539934</v>
      </c>
      <c r="J881">
        <v>-270</v>
      </c>
      <c r="K881">
        <v>0</v>
      </c>
    </row>
    <row r="882" spans="1:13">
      <c r="A882" t="s">
        <v>797</v>
      </c>
      <c r="B882" t="s">
        <v>805</v>
      </c>
      <c r="C882" t="s">
        <v>806</v>
      </c>
      <c r="E882" s="2" t="s">
        <v>134</v>
      </c>
      <c r="F882" s="2" t="s">
        <v>134</v>
      </c>
      <c r="G882">
        <f t="shared" si="21"/>
        <v>237.24705494109884</v>
      </c>
      <c r="H882">
        <v>-15000</v>
      </c>
      <c r="I882">
        <v>27215.002524809999</v>
      </c>
      <c r="J882">
        <v>-20</v>
      </c>
      <c r="K882">
        <v>250</v>
      </c>
      <c r="L882">
        <f>_xlfn.XLOOKUP(F882,magnet_list!$A$2:$A$592,magnet_list!$M$2:$M$592,"n/a",0,1)</f>
        <v>190</v>
      </c>
      <c r="M882">
        <f>_xlfn.XLOOKUP(F882,magnet_list!$A$2:$A$592,magnet_list!$L$2:$L$592,"n/a",0,1)</f>
        <v>23</v>
      </c>
    </row>
    <row r="883" spans="1:13">
      <c r="A883" t="s">
        <v>797</v>
      </c>
      <c r="B883" t="s">
        <v>805</v>
      </c>
      <c r="C883" t="s">
        <v>1152</v>
      </c>
      <c r="D883" t="s">
        <v>804</v>
      </c>
      <c r="E883" s="2" t="s">
        <v>616</v>
      </c>
      <c r="F883" s="2" t="s">
        <v>134</v>
      </c>
      <c r="G883">
        <f t="shared" si="21"/>
        <v>237.32205494109883</v>
      </c>
      <c r="H883">
        <v>-15000</v>
      </c>
      <c r="I883">
        <v>27140.002524809999</v>
      </c>
      <c r="J883">
        <v>-20</v>
      </c>
      <c r="K883">
        <v>250</v>
      </c>
      <c r="L883">
        <f>_xlfn.XLOOKUP(F883,magnet_list!$A$2:$A$592,magnet_list!$M$2:$M$592,"n/a",0,1)</f>
        <v>190</v>
      </c>
      <c r="M883">
        <f>_xlfn.XLOOKUP(F883,magnet_list!$A$2:$A$592,magnet_list!$L$2:$L$592,"n/a",0,1)</f>
        <v>23</v>
      </c>
    </row>
    <row r="884" spans="1:13">
      <c r="A884" t="s">
        <v>797</v>
      </c>
      <c r="B884" t="s">
        <v>805</v>
      </c>
      <c r="C884" t="s">
        <v>1152</v>
      </c>
      <c r="D884" t="s">
        <v>804</v>
      </c>
      <c r="E884" s="2" t="s">
        <v>617</v>
      </c>
      <c r="F884" s="2" t="s">
        <v>135</v>
      </c>
      <c r="G884">
        <f t="shared" si="21"/>
        <v>237.61632763278882</v>
      </c>
      <c r="H884">
        <v>-15000</v>
      </c>
      <c r="I884">
        <v>26845.72983312</v>
      </c>
      <c r="J884">
        <v>-20</v>
      </c>
      <c r="K884">
        <v>250</v>
      </c>
      <c r="L884">
        <f>_xlfn.XLOOKUP(F884,magnet_list!$A$2:$A$592,magnet_list!$M$2:$M$592,"n/a",0,1)</f>
        <v>190</v>
      </c>
      <c r="M884">
        <f>_xlfn.XLOOKUP(F884,magnet_list!$A$2:$A$592,magnet_list!$L$2:$L$592,"n/a",0,1)</f>
        <v>23</v>
      </c>
    </row>
    <row r="885" spans="1:13">
      <c r="A885" t="s">
        <v>797</v>
      </c>
      <c r="B885" t="s">
        <v>805</v>
      </c>
      <c r="C885" t="s">
        <v>806</v>
      </c>
      <c r="E885" s="2" t="s">
        <v>135</v>
      </c>
      <c r="F885" s="2" t="s">
        <v>135</v>
      </c>
      <c r="G885">
        <f t="shared" si="21"/>
        <v>237.69132763278881</v>
      </c>
      <c r="H885">
        <v>-15000</v>
      </c>
      <c r="I885">
        <v>26770.72983312</v>
      </c>
      <c r="J885">
        <v>-20</v>
      </c>
      <c r="K885">
        <v>250</v>
      </c>
      <c r="L885">
        <f>_xlfn.XLOOKUP(F885,magnet_list!$A$2:$A$592,magnet_list!$M$2:$M$592,"n/a",0,1)</f>
        <v>190</v>
      </c>
      <c r="M885">
        <f>_xlfn.XLOOKUP(F885,magnet_list!$A$2:$A$592,magnet_list!$L$2:$L$592,"n/a",0,1)</f>
        <v>23</v>
      </c>
    </row>
    <row r="886" spans="1:13">
      <c r="A886" t="s">
        <v>797</v>
      </c>
      <c r="B886" t="s">
        <v>2288</v>
      </c>
      <c r="C886" t="s">
        <v>1152</v>
      </c>
      <c r="D886" t="s">
        <v>804</v>
      </c>
      <c r="E886" s="8" t="s">
        <v>2320</v>
      </c>
      <c r="F886" s="8" t="s">
        <v>2320</v>
      </c>
      <c r="G886">
        <f>$G$881+ABS($I$886-$I$881)/1000</f>
        <v>238.21293736136892</v>
      </c>
      <c r="H886">
        <v>-15000</v>
      </c>
      <c r="I886">
        <f>$I$881-1108.4796</f>
        <v>26249.120104539936</v>
      </c>
      <c r="J886">
        <v>-270</v>
      </c>
      <c r="K886">
        <v>0</v>
      </c>
    </row>
    <row r="887" spans="1:13">
      <c r="A887" t="s">
        <v>797</v>
      </c>
      <c r="B887" t="s">
        <v>803</v>
      </c>
      <c r="C887" t="s">
        <v>806</v>
      </c>
      <c r="E887" t="s">
        <v>999</v>
      </c>
      <c r="F887" t="s">
        <v>999</v>
      </c>
      <c r="G887">
        <f t="shared" si="21"/>
        <v>238.21669912929886</v>
      </c>
      <c r="H887">
        <v>-15400</v>
      </c>
      <c r="I887">
        <v>26245.358336609999</v>
      </c>
      <c r="J887">
        <v>-689</v>
      </c>
      <c r="K887">
        <v>-419</v>
      </c>
    </row>
    <row r="888" spans="1:13">
      <c r="A888" t="s">
        <v>797</v>
      </c>
      <c r="B888" t="s">
        <v>804</v>
      </c>
      <c r="C888" t="s">
        <v>1152</v>
      </c>
      <c r="D888" t="s">
        <v>804</v>
      </c>
      <c r="E888" s="10" t="s">
        <v>1554</v>
      </c>
      <c r="F888" s="10" t="s">
        <v>2500</v>
      </c>
      <c r="G888">
        <f>$G$891-ABS($I$891-$I$888)/1000</f>
        <v>238.34293696136891</v>
      </c>
      <c r="H888">
        <v>-15000</v>
      </c>
      <c r="I888">
        <f>$I$891+$L$888/2</f>
        <v>26119.120504539937</v>
      </c>
      <c r="J888">
        <v>-270</v>
      </c>
      <c r="K888">
        <v>0</v>
      </c>
      <c r="L888">
        <v>1889.4492</v>
      </c>
    </row>
    <row r="889" spans="1:13">
      <c r="A889" t="s">
        <v>797</v>
      </c>
      <c r="B889" t="s">
        <v>3855</v>
      </c>
      <c r="C889" t="s">
        <v>1152</v>
      </c>
      <c r="D889" t="s">
        <v>804</v>
      </c>
      <c r="E889" t="s">
        <v>2278</v>
      </c>
      <c r="F889" t="s">
        <v>2278</v>
      </c>
      <c r="G889">
        <f>$G$886+ABS($I$889-$I$886)/1000</f>
        <v>238.96296736136892</v>
      </c>
      <c r="H889">
        <v>-15000</v>
      </c>
      <c r="I889">
        <f>$I$886-750.03</f>
        <v>25499.090104539937</v>
      </c>
      <c r="J889">
        <v>-270</v>
      </c>
      <c r="K889">
        <v>0</v>
      </c>
      <c r="L889">
        <f>_xlfn.XLOOKUP(F889,magnet_list!$A$2:$A$592,magnet_list!$M$2:$M$592,"n/a",0,1)</f>
        <v>1000</v>
      </c>
      <c r="M889">
        <f>_xlfn.XLOOKUP(F889,magnet_list!$A$2:$A$592,magnet_list!$L$2:$L$592,"n/a",0,1)</f>
        <v>120</v>
      </c>
    </row>
    <row r="890" spans="1:13">
      <c r="A890" t="s">
        <v>797</v>
      </c>
      <c r="B890" t="s">
        <v>3855</v>
      </c>
      <c r="C890" t="s">
        <v>1152</v>
      </c>
      <c r="D890" t="s">
        <v>804</v>
      </c>
      <c r="E890" t="s">
        <v>2279</v>
      </c>
      <c r="F890" t="s">
        <v>2279</v>
      </c>
      <c r="G890">
        <f>$G$886+ABS($I$889-$I$886)/1000</f>
        <v>238.96296736136892</v>
      </c>
      <c r="H890">
        <v>-15000</v>
      </c>
      <c r="I890">
        <f>$I$886-750.03</f>
        <v>25499.090104539937</v>
      </c>
      <c r="J890">
        <v>-270</v>
      </c>
      <c r="K890">
        <v>0</v>
      </c>
      <c r="L890">
        <f>_xlfn.XLOOKUP(F890,magnet_list!$A$2:$A$592,magnet_list!$M$2:$M$592,"n/a",0,1)</f>
        <v>1000</v>
      </c>
      <c r="M890">
        <f>_xlfn.XLOOKUP(F890,magnet_list!$A$2:$A$592,magnet_list!$L$2:$L$592,"n/a",0,1)</f>
        <v>120</v>
      </c>
    </row>
    <row r="891" spans="1:13">
      <c r="A891" t="s">
        <v>797</v>
      </c>
      <c r="B891" t="s">
        <v>804</v>
      </c>
      <c r="C891" t="s">
        <v>1152</v>
      </c>
      <c r="D891" t="s">
        <v>804</v>
      </c>
      <c r="E891" s="10" t="s">
        <v>1185</v>
      </c>
      <c r="F891" s="10" t="s">
        <v>2500</v>
      </c>
      <c r="G891">
        <f>$G$886+ABS($I$891-$I$886)/1000</f>
        <v>239.28766156136891</v>
      </c>
      <c r="H891">
        <v>-15000</v>
      </c>
      <c r="I891">
        <f>$I$886-1074.7242</f>
        <v>25174.395904539935</v>
      </c>
      <c r="J891">
        <v>-270</v>
      </c>
      <c r="K891">
        <v>0</v>
      </c>
      <c r="L891">
        <v>1889.4492</v>
      </c>
    </row>
    <row r="892" spans="1:13">
      <c r="A892" t="s">
        <v>797</v>
      </c>
      <c r="B892" t="s">
        <v>804</v>
      </c>
      <c r="C892" t="s">
        <v>1152</v>
      </c>
      <c r="D892" t="s">
        <v>804</v>
      </c>
      <c r="E892" s="10" t="s">
        <v>1555</v>
      </c>
      <c r="F892" s="10" t="s">
        <v>2500</v>
      </c>
      <c r="G892">
        <f>$G$891+ABS($I$892-$I$891)/1000</f>
        <v>240.23238616136891</v>
      </c>
      <c r="H892">
        <v>-15000</v>
      </c>
      <c r="I892">
        <f>$I$891-$L$892/2</f>
        <v>24229.671304539934</v>
      </c>
      <c r="J892">
        <v>-270</v>
      </c>
      <c r="K892">
        <v>0</v>
      </c>
      <c r="L892">
        <v>1889.4492</v>
      </c>
    </row>
    <row r="893" spans="1:13">
      <c r="A893" t="s">
        <v>797</v>
      </c>
      <c r="B893" t="s">
        <v>804</v>
      </c>
      <c r="C893" t="s">
        <v>1152</v>
      </c>
      <c r="D893" t="s">
        <v>804</v>
      </c>
      <c r="E893" s="10" t="s">
        <v>1556</v>
      </c>
      <c r="F893" s="10" t="s">
        <v>2501</v>
      </c>
      <c r="G893">
        <f>$G$894-ABS($I$894-$I$893)/1000</f>
        <v>240.44232496136891</v>
      </c>
      <c r="H893">
        <v>-15000</v>
      </c>
      <c r="I893">
        <f>$I$894+$L$893/2</f>
        <v>24019.732504539938</v>
      </c>
      <c r="J893">
        <v>-270</v>
      </c>
      <c r="K893">
        <v>0</v>
      </c>
      <c r="L893">
        <v>1889.4492</v>
      </c>
    </row>
    <row r="894" spans="1:13">
      <c r="A894" t="s">
        <v>797</v>
      </c>
      <c r="B894" t="s">
        <v>804</v>
      </c>
      <c r="C894" t="s">
        <v>1152</v>
      </c>
      <c r="D894" t="s">
        <v>804</v>
      </c>
      <c r="E894" s="10" t="s">
        <v>1241</v>
      </c>
      <c r="F894" s="10" t="s">
        <v>2501</v>
      </c>
      <c r="G894">
        <f>$G$891+ABS($I$894-$I$891)/1000</f>
        <v>241.38704956136891</v>
      </c>
      <c r="H894">
        <v>-15000</v>
      </c>
      <c r="I894">
        <f>$I$891-2099.388</f>
        <v>23075.007904539936</v>
      </c>
      <c r="J894">
        <v>-270</v>
      </c>
      <c r="K894">
        <v>0</v>
      </c>
      <c r="L894">
        <v>1889.4492</v>
      </c>
    </row>
    <row r="895" spans="1:13">
      <c r="A895" t="s">
        <v>797</v>
      </c>
      <c r="B895" t="s">
        <v>803</v>
      </c>
      <c r="C895" t="s">
        <v>806</v>
      </c>
      <c r="E895" t="s">
        <v>807</v>
      </c>
      <c r="F895" t="s">
        <v>807</v>
      </c>
      <c r="G895">
        <f t="shared" si="21"/>
        <v>241.81783549547885</v>
      </c>
      <c r="H895">
        <v>-13525.2362761</v>
      </c>
      <c r="I895">
        <v>22644.221970430001</v>
      </c>
      <c r="J895">
        <v>-16.918822670000001</v>
      </c>
      <c r="K895">
        <v>253.08117733</v>
      </c>
    </row>
    <row r="896" spans="1:13">
      <c r="A896" t="s">
        <v>797</v>
      </c>
      <c r="B896" t="s">
        <v>804</v>
      </c>
      <c r="C896" t="s">
        <v>1152</v>
      </c>
      <c r="D896" t="s">
        <v>804</v>
      </c>
      <c r="E896" s="10" t="s">
        <v>1557</v>
      </c>
      <c r="F896" s="10" t="s">
        <v>2501</v>
      </c>
      <c r="G896">
        <f>$G$894+ABS($I$896-$I$894)/1000</f>
        <v>242.33177416136891</v>
      </c>
      <c r="H896">
        <v>-15000</v>
      </c>
      <c r="I896">
        <f>$I$894-$L$896/2</f>
        <v>22130.283304539935</v>
      </c>
      <c r="J896">
        <v>-270</v>
      </c>
      <c r="K896">
        <v>0</v>
      </c>
      <c r="L896">
        <v>1889.4492</v>
      </c>
    </row>
    <row r="897" spans="1:13">
      <c r="A897" t="s">
        <v>797</v>
      </c>
      <c r="B897" t="s">
        <v>1152</v>
      </c>
      <c r="C897" t="s">
        <v>1152</v>
      </c>
      <c r="D897" t="s">
        <v>804</v>
      </c>
      <c r="E897" s="3" t="s">
        <v>2028</v>
      </c>
      <c r="F897" s="3" t="s">
        <v>2028</v>
      </c>
      <c r="G897">
        <f>$G$894+ABS($I$897-$I$894)/1000</f>
        <v>242.62665146136891</v>
      </c>
      <c r="H897">
        <v>-15000</v>
      </c>
      <c r="I897">
        <f>$I$894-1239.6019</f>
        <v>21835.406004539935</v>
      </c>
      <c r="J897">
        <v>-270</v>
      </c>
      <c r="K897">
        <v>0</v>
      </c>
    </row>
    <row r="898" spans="1:13">
      <c r="A898" t="s">
        <v>797</v>
      </c>
      <c r="B898" t="s">
        <v>804</v>
      </c>
      <c r="C898" t="s">
        <v>1152</v>
      </c>
      <c r="D898" t="s">
        <v>804</v>
      </c>
      <c r="E898" s="10" t="s">
        <v>1558</v>
      </c>
      <c r="F898" s="10" t="s">
        <v>2502</v>
      </c>
      <c r="G898">
        <f>$G$901-ABS($I$901-$I$898)/1000</f>
        <v>242.85662066136891</v>
      </c>
      <c r="H898">
        <v>-15000</v>
      </c>
      <c r="I898">
        <f>$I$901+$L$898/2</f>
        <v>21605.436804539935</v>
      </c>
      <c r="J898">
        <v>-270</v>
      </c>
      <c r="K898">
        <v>0</v>
      </c>
      <c r="L898">
        <v>1889.4492</v>
      </c>
    </row>
    <row r="899" spans="1:13">
      <c r="A899" t="s">
        <v>797</v>
      </c>
      <c r="B899" t="s">
        <v>3855</v>
      </c>
      <c r="C899" t="s">
        <v>1152</v>
      </c>
      <c r="D899" t="s">
        <v>804</v>
      </c>
      <c r="E899" t="s">
        <v>2280</v>
      </c>
      <c r="F899" t="s">
        <v>2280</v>
      </c>
      <c r="G899">
        <f>$G$897+ABS($I$899-$I$897)/1000</f>
        <v>243.4766514613689</v>
      </c>
      <c r="H899">
        <v>-15000</v>
      </c>
      <c r="I899">
        <f>$I$897-850</f>
        <v>20985.406004539935</v>
      </c>
      <c r="J899">
        <v>-270</v>
      </c>
      <c r="K899">
        <v>0</v>
      </c>
      <c r="L899">
        <f>_xlfn.XLOOKUP(F899,magnet_list!$A$2:$A$592,magnet_list!$M$2:$M$592,"n/a",0,1)</f>
        <v>800</v>
      </c>
      <c r="M899">
        <f>_xlfn.XLOOKUP(F899,magnet_list!$A$2:$A$592,magnet_list!$L$2:$L$592,"n/a",0,1)</f>
        <v>120</v>
      </c>
    </row>
    <row r="900" spans="1:13">
      <c r="A900" t="s">
        <v>797</v>
      </c>
      <c r="B900" t="s">
        <v>3855</v>
      </c>
      <c r="C900" t="s">
        <v>1152</v>
      </c>
      <c r="D900" t="s">
        <v>804</v>
      </c>
      <c r="E900" t="s">
        <v>2281</v>
      </c>
      <c r="F900" t="s">
        <v>2281</v>
      </c>
      <c r="G900">
        <f>$G$897+ABS($I$899-$I$897)/1000</f>
        <v>243.4766514613689</v>
      </c>
      <c r="H900">
        <v>-15000</v>
      </c>
      <c r="I900">
        <f>$I$897-850</f>
        <v>20985.406004539935</v>
      </c>
      <c r="J900">
        <v>-270</v>
      </c>
      <c r="K900">
        <v>0</v>
      </c>
      <c r="L900">
        <f>_xlfn.XLOOKUP(F900,magnet_list!$A$2:$A$592,magnet_list!$M$2:$M$592,"n/a",0,1)</f>
        <v>800</v>
      </c>
      <c r="M900">
        <f>_xlfn.XLOOKUP(F900,magnet_list!$A$2:$A$592,magnet_list!$L$2:$L$592,"n/a",0,1)</f>
        <v>120</v>
      </c>
    </row>
    <row r="901" spans="1:13">
      <c r="A901" t="s">
        <v>797</v>
      </c>
      <c r="B901" t="s">
        <v>804</v>
      </c>
      <c r="C901" t="s">
        <v>1152</v>
      </c>
      <c r="D901" t="s">
        <v>804</v>
      </c>
      <c r="E901" s="10" t="s">
        <v>1296</v>
      </c>
      <c r="F901" s="10" t="s">
        <v>2502</v>
      </c>
      <c r="G901">
        <f>$G$897+ABS($I$901-$I$897)/1000</f>
        <v>243.80134526136891</v>
      </c>
      <c r="H901">
        <v>-15000</v>
      </c>
      <c r="I901">
        <f>$I$897-1174.6938</f>
        <v>20660.712204539934</v>
      </c>
      <c r="J901">
        <v>-270</v>
      </c>
      <c r="K901">
        <v>0</v>
      </c>
      <c r="L901">
        <v>1889.4492</v>
      </c>
    </row>
    <row r="902" spans="1:13">
      <c r="A902" t="s">
        <v>797</v>
      </c>
      <c r="B902" t="s">
        <v>804</v>
      </c>
      <c r="C902" t="s">
        <v>1152</v>
      </c>
      <c r="D902" t="s">
        <v>804</v>
      </c>
      <c r="E902" s="10" t="s">
        <v>1559</v>
      </c>
      <c r="F902" s="10" t="s">
        <v>2502</v>
      </c>
      <c r="G902">
        <f>$G$901+ABS($I$902-$I$901)/1000</f>
        <v>244.74606986136891</v>
      </c>
      <c r="H902">
        <v>-15000</v>
      </c>
      <c r="I902">
        <f>$I$901-$L$902/2</f>
        <v>19715.987604539932</v>
      </c>
      <c r="J902">
        <v>-270</v>
      </c>
      <c r="K902">
        <v>0</v>
      </c>
      <c r="L902">
        <v>1889.4492</v>
      </c>
    </row>
    <row r="903" spans="1:13">
      <c r="A903" t="s">
        <v>797</v>
      </c>
      <c r="B903" t="s">
        <v>804</v>
      </c>
      <c r="C903" t="s">
        <v>1152</v>
      </c>
      <c r="D903" t="s">
        <v>804</v>
      </c>
      <c r="E903" s="10" t="s">
        <v>1560</v>
      </c>
      <c r="F903" s="10" t="s">
        <v>2503</v>
      </c>
      <c r="G903">
        <f>$G$904-ABS($I$904-$I$903)/1000</f>
        <v>244.9560116613689</v>
      </c>
      <c r="H903">
        <v>-15000</v>
      </c>
      <c r="I903">
        <f>$I$904+$L$903/2</f>
        <v>19506.045804539935</v>
      </c>
      <c r="J903">
        <v>-270</v>
      </c>
      <c r="K903">
        <v>0</v>
      </c>
      <c r="L903">
        <v>1889.4492</v>
      </c>
    </row>
    <row r="904" spans="1:13">
      <c r="A904" t="s">
        <v>797</v>
      </c>
      <c r="B904" t="s">
        <v>804</v>
      </c>
      <c r="C904" t="s">
        <v>1152</v>
      </c>
      <c r="D904" t="s">
        <v>804</v>
      </c>
      <c r="E904" s="10" t="s">
        <v>1350</v>
      </c>
      <c r="F904" s="10" t="s">
        <v>2503</v>
      </c>
      <c r="G904">
        <f>$G$901+ABS($I$904-$I$901)/1000</f>
        <v>245.90073626136891</v>
      </c>
      <c r="H904">
        <v>-15000</v>
      </c>
      <c r="I904">
        <f>$I$901-2099.391</f>
        <v>18561.321204539934</v>
      </c>
      <c r="J904">
        <v>-270</v>
      </c>
      <c r="K904">
        <v>0</v>
      </c>
      <c r="L904">
        <v>1889.4492</v>
      </c>
    </row>
    <row r="905" spans="1:13">
      <c r="A905" t="s">
        <v>797</v>
      </c>
      <c r="B905" t="s">
        <v>804</v>
      </c>
      <c r="C905" t="s">
        <v>1152</v>
      </c>
      <c r="D905" t="s">
        <v>804</v>
      </c>
      <c r="E905" s="10" t="s">
        <v>1561</v>
      </c>
      <c r="F905" s="10" t="s">
        <v>2503</v>
      </c>
      <c r="G905">
        <f>$G$904+ABS($I$905-$I$904)/1000</f>
        <v>246.84546086136891</v>
      </c>
      <c r="H905">
        <v>-15000</v>
      </c>
      <c r="I905">
        <f>$I$904-$L$905/2</f>
        <v>17616.596604539933</v>
      </c>
      <c r="J905">
        <v>-270</v>
      </c>
      <c r="K905">
        <v>0</v>
      </c>
      <c r="L905">
        <v>1889.4492</v>
      </c>
    </row>
    <row r="906" spans="1:13">
      <c r="A906" t="s">
        <v>797</v>
      </c>
      <c r="B906" t="s">
        <v>803</v>
      </c>
      <c r="C906" t="s">
        <v>806</v>
      </c>
      <c r="E906" t="s">
        <v>998</v>
      </c>
      <c r="F906" t="s">
        <v>998</v>
      </c>
      <c r="G906">
        <f t="shared" si="21"/>
        <v>246.93223246671883</v>
      </c>
      <c r="H906">
        <v>-15400</v>
      </c>
      <c r="I906">
        <v>17529.824999190001</v>
      </c>
      <c r="J906">
        <v>-689</v>
      </c>
      <c r="K906">
        <v>-419</v>
      </c>
    </row>
    <row r="907" spans="1:13">
      <c r="A907" t="s">
        <v>797</v>
      </c>
      <c r="B907" t="s">
        <v>1152</v>
      </c>
      <c r="C907" t="s">
        <v>1152</v>
      </c>
      <c r="D907" t="s">
        <v>804</v>
      </c>
      <c r="E907" s="3" t="s">
        <v>2029</v>
      </c>
      <c r="F907" s="3" t="s">
        <v>2029</v>
      </c>
      <c r="G907">
        <f>$G$904+ABS($I$907-$I$904)/1000</f>
        <v>247.0019584613689</v>
      </c>
      <c r="H907">
        <v>-15000</v>
      </c>
      <c r="I907">
        <f>$I$904-1101.2222</f>
        <v>17460.099004539934</v>
      </c>
      <c r="J907">
        <v>-270</v>
      </c>
      <c r="K907">
        <v>0</v>
      </c>
    </row>
    <row r="908" spans="1:13">
      <c r="A908" t="s">
        <v>797</v>
      </c>
      <c r="B908" t="s">
        <v>805</v>
      </c>
      <c r="C908" t="s">
        <v>806</v>
      </c>
      <c r="E908" s="2" t="s">
        <v>136</v>
      </c>
      <c r="F908" s="2" t="s">
        <v>136</v>
      </c>
      <c r="G908">
        <f t="shared" si="21"/>
        <v>247.16576032236884</v>
      </c>
      <c r="H908">
        <v>-15000</v>
      </c>
      <c r="I908">
        <v>17296.29714354</v>
      </c>
      <c r="J908">
        <v>-20</v>
      </c>
      <c r="K908">
        <v>250</v>
      </c>
      <c r="L908">
        <f>_xlfn.XLOOKUP(F908,magnet_list!$A$2:$A$592,magnet_list!$M$2:$M$592,"n/a",0,1)</f>
        <v>190</v>
      </c>
      <c r="M908">
        <f>_xlfn.XLOOKUP(F908,magnet_list!$A$2:$A$592,magnet_list!$L$2:$L$592,"n/a",0,1)</f>
        <v>23</v>
      </c>
    </row>
    <row r="909" spans="1:13">
      <c r="A909" t="s">
        <v>797</v>
      </c>
      <c r="B909" t="s">
        <v>805</v>
      </c>
      <c r="C909" t="s">
        <v>1152</v>
      </c>
      <c r="D909" t="s">
        <v>804</v>
      </c>
      <c r="E909" s="2" t="s">
        <v>618</v>
      </c>
      <c r="F909" s="2" t="s">
        <v>136</v>
      </c>
      <c r="G909">
        <f t="shared" si="21"/>
        <v>247.24076032236883</v>
      </c>
      <c r="H909">
        <v>-15000</v>
      </c>
      <c r="I909">
        <v>17221.29714354</v>
      </c>
      <c r="J909">
        <v>-20</v>
      </c>
      <c r="K909">
        <v>250</v>
      </c>
      <c r="L909">
        <f>_xlfn.XLOOKUP(F909,magnet_list!$A$2:$A$592,magnet_list!$M$2:$M$592,"n/a",0,1)</f>
        <v>190</v>
      </c>
      <c r="M909">
        <f>_xlfn.XLOOKUP(F909,magnet_list!$A$2:$A$592,magnet_list!$L$2:$L$592,"n/a",0,1)</f>
        <v>23</v>
      </c>
    </row>
    <row r="910" spans="1:13">
      <c r="A910" t="s">
        <v>797</v>
      </c>
      <c r="B910" t="s">
        <v>803</v>
      </c>
      <c r="C910" t="s">
        <v>806</v>
      </c>
      <c r="E910" t="s">
        <v>808</v>
      </c>
      <c r="F910" t="s">
        <v>808</v>
      </c>
      <c r="G910">
        <f t="shared" si="21"/>
        <v>247.50699622455883</v>
      </c>
      <c r="H910">
        <v>-17480.092596710001</v>
      </c>
      <c r="I910">
        <v>16955.061241349998</v>
      </c>
      <c r="J910">
        <v>-15.518833709999999</v>
      </c>
      <c r="K910">
        <v>254.48116629</v>
      </c>
    </row>
    <row r="911" spans="1:13">
      <c r="A911" t="s">
        <v>797</v>
      </c>
      <c r="B911" t="s">
        <v>805</v>
      </c>
      <c r="C911" t="s">
        <v>1152</v>
      </c>
      <c r="D911" t="s">
        <v>804</v>
      </c>
      <c r="E911" s="2" t="s">
        <v>619</v>
      </c>
      <c r="F911" s="2" t="s">
        <v>137</v>
      </c>
      <c r="G911">
        <f t="shared" si="21"/>
        <v>247.53677569237882</v>
      </c>
      <c r="H911">
        <v>-15000</v>
      </c>
      <c r="I911">
        <v>16925.281773530001</v>
      </c>
      <c r="J911">
        <v>-20</v>
      </c>
      <c r="K911">
        <v>250</v>
      </c>
      <c r="M911">
        <f>_xlfn.XLOOKUP(F911,magnet_list!$A$2:$A$592,magnet_list!$L$2:$L$592,"n/a",0,1)</f>
        <v>23</v>
      </c>
    </row>
    <row r="912" spans="1:13">
      <c r="A912" t="s">
        <v>797</v>
      </c>
      <c r="B912" t="s">
        <v>803</v>
      </c>
      <c r="C912" t="s">
        <v>806</v>
      </c>
      <c r="E912" t="s">
        <v>809</v>
      </c>
      <c r="F912" t="s">
        <v>809</v>
      </c>
      <c r="G912">
        <f t="shared" si="21"/>
        <v>247.59382525806882</v>
      </c>
      <c r="H912">
        <v>-13536.192371700001</v>
      </c>
      <c r="I912">
        <v>16868.232207839999</v>
      </c>
      <c r="J912">
        <v>-16.88388483</v>
      </c>
      <c r="K912">
        <v>253.11611517</v>
      </c>
    </row>
    <row r="913" spans="1:13">
      <c r="A913" t="s">
        <v>797</v>
      </c>
      <c r="B913" t="s">
        <v>805</v>
      </c>
      <c r="C913" t="s">
        <v>806</v>
      </c>
      <c r="E913" s="2" t="s">
        <v>137</v>
      </c>
      <c r="F913" s="2" t="s">
        <v>137</v>
      </c>
      <c r="G913">
        <f t="shared" si="21"/>
        <v>247.61177569237881</v>
      </c>
      <c r="H913">
        <v>-15000</v>
      </c>
      <c r="I913">
        <v>16850.281773530001</v>
      </c>
      <c r="J913">
        <v>-20</v>
      </c>
      <c r="K913">
        <v>250</v>
      </c>
      <c r="L913">
        <f>_xlfn.XLOOKUP(F913,magnet_list!$A$2:$A$592,magnet_list!$M$2:$M$592,"n/a",0,1)</f>
        <v>190</v>
      </c>
      <c r="M913">
        <f>_xlfn.XLOOKUP(F913,magnet_list!$A$2:$A$592,magnet_list!$L$2:$L$592,"n/a",0,1)</f>
        <v>23</v>
      </c>
    </row>
    <row r="914" spans="1:13">
      <c r="A914" t="s">
        <v>797</v>
      </c>
      <c r="B914" t="s">
        <v>803</v>
      </c>
      <c r="C914" t="s">
        <v>806</v>
      </c>
      <c r="E914" t="s">
        <v>1001</v>
      </c>
      <c r="F914" t="s">
        <v>1001</v>
      </c>
      <c r="G914">
        <f t="shared" si="21"/>
        <v>247.80728427757882</v>
      </c>
      <c r="H914">
        <v>-15400</v>
      </c>
      <c r="I914">
        <v>16654.77318833</v>
      </c>
      <c r="J914">
        <v>-689</v>
      </c>
      <c r="K914">
        <v>-419</v>
      </c>
    </row>
    <row r="915" spans="1:13">
      <c r="A915" t="s">
        <v>797</v>
      </c>
      <c r="B915" t="s">
        <v>804</v>
      </c>
      <c r="C915" t="s">
        <v>1152</v>
      </c>
      <c r="D915" t="s">
        <v>804</v>
      </c>
      <c r="E915" s="10" t="s">
        <v>1562</v>
      </c>
      <c r="F915" s="10" t="s">
        <v>2504</v>
      </c>
      <c r="G915">
        <f>$G$920-ABS($I$920-$I$915)/1000</f>
        <v>247.94293666136889</v>
      </c>
      <c r="H915">
        <v>-15000</v>
      </c>
      <c r="I915">
        <f>$I$920+$L$915/2</f>
        <v>16519.120804539936</v>
      </c>
      <c r="J915">
        <v>-270</v>
      </c>
      <c r="K915">
        <v>0</v>
      </c>
      <c r="L915">
        <v>1889.4492</v>
      </c>
    </row>
    <row r="916" spans="1:13">
      <c r="A916" t="s">
        <v>797</v>
      </c>
      <c r="B916" t="s">
        <v>803</v>
      </c>
      <c r="C916" t="s">
        <v>806</v>
      </c>
      <c r="E916" t="s">
        <v>811</v>
      </c>
      <c r="F916" t="s">
        <v>811</v>
      </c>
      <c r="G916">
        <f t="shared" si="21"/>
        <v>248.18333498327883</v>
      </c>
      <c r="H916">
        <v>-13525.83226019</v>
      </c>
      <c r="I916">
        <v>16278.722482630001</v>
      </c>
      <c r="J916">
        <v>-17.115171839999999</v>
      </c>
      <c r="K916">
        <v>252.88482816000001</v>
      </c>
    </row>
    <row r="917" spans="1:13">
      <c r="A917" t="s">
        <v>797</v>
      </c>
      <c r="B917" t="s">
        <v>803</v>
      </c>
      <c r="C917" t="s">
        <v>806</v>
      </c>
      <c r="E917" t="s">
        <v>810</v>
      </c>
      <c r="F917" t="s">
        <v>810</v>
      </c>
      <c r="G917">
        <f t="shared" si="21"/>
        <v>248.42037138063884</v>
      </c>
      <c r="H917">
        <v>-17477.299238619999</v>
      </c>
      <c r="I917">
        <v>16041.686085269999</v>
      </c>
      <c r="J917">
        <v>-15.91366977</v>
      </c>
      <c r="K917">
        <v>254.08633022999999</v>
      </c>
    </row>
    <row r="918" spans="1:13">
      <c r="A918" t="s">
        <v>797</v>
      </c>
      <c r="B918" t="s">
        <v>3855</v>
      </c>
      <c r="C918" t="s">
        <v>1152</v>
      </c>
      <c r="D918" t="s">
        <v>804</v>
      </c>
      <c r="E918" t="s">
        <v>2282</v>
      </c>
      <c r="F918" t="s">
        <v>2282</v>
      </c>
      <c r="G918">
        <f>$G$907+ABS($I$918-$I$907)/1000</f>
        <v>248.56296746136891</v>
      </c>
      <c r="H918">
        <v>-15000</v>
      </c>
      <c r="I918">
        <f>$I$907-1561.009</f>
        <v>15899.090004539934</v>
      </c>
      <c r="J918">
        <v>-270</v>
      </c>
      <c r="K918">
        <v>0</v>
      </c>
      <c r="L918">
        <f>_xlfn.XLOOKUP(F918,magnet_list!$A$2:$A$592,magnet_list!$M$2:$M$592,"n/a",0,1)</f>
        <v>800</v>
      </c>
      <c r="M918">
        <f>_xlfn.XLOOKUP(F918,magnet_list!$A$2:$A$592,magnet_list!$L$2:$L$592,"n/a",0,1)</f>
        <v>120</v>
      </c>
    </row>
    <row r="919" spans="1:13">
      <c r="A919" t="s">
        <v>797</v>
      </c>
      <c r="B919" t="s">
        <v>3855</v>
      </c>
      <c r="C919" t="s">
        <v>1152</v>
      </c>
      <c r="D919" t="s">
        <v>804</v>
      </c>
      <c r="E919" t="s">
        <v>2283</v>
      </c>
      <c r="F919" t="s">
        <v>2283</v>
      </c>
      <c r="G919">
        <f>$G$907+ABS($I$918-$I$907)/1000</f>
        <v>248.56296746136891</v>
      </c>
      <c r="H919">
        <v>-15000</v>
      </c>
      <c r="I919">
        <f>$I$907-1561.009</f>
        <v>15899.090004539934</v>
      </c>
      <c r="J919">
        <v>-270</v>
      </c>
      <c r="K919">
        <v>0</v>
      </c>
      <c r="L919">
        <f>_xlfn.XLOOKUP(F919,magnet_list!$A$2:$A$592,magnet_list!$M$2:$M$592,"n/a",0,1)</f>
        <v>800</v>
      </c>
      <c r="M919">
        <f>_xlfn.XLOOKUP(F919,magnet_list!$A$2:$A$592,magnet_list!$L$2:$L$592,"n/a",0,1)</f>
        <v>120</v>
      </c>
    </row>
    <row r="920" spans="1:13">
      <c r="A920" t="s">
        <v>797</v>
      </c>
      <c r="B920" t="s">
        <v>804</v>
      </c>
      <c r="C920" t="s">
        <v>1152</v>
      </c>
      <c r="D920" t="s">
        <v>804</v>
      </c>
      <c r="E920" s="10" t="s">
        <v>1186</v>
      </c>
      <c r="F920" s="10" t="s">
        <v>2504</v>
      </c>
      <c r="G920">
        <f>$G$907+ABS($I$920-$I$907)/1000</f>
        <v>248.88766126136889</v>
      </c>
      <c r="H920">
        <v>-15000</v>
      </c>
      <c r="I920">
        <f>$I$907-1885.7028</f>
        <v>15574.396204539935</v>
      </c>
      <c r="J920">
        <v>-270</v>
      </c>
      <c r="K920">
        <v>0</v>
      </c>
      <c r="L920">
        <v>1889.4492</v>
      </c>
    </row>
    <row r="921" spans="1:13">
      <c r="A921" t="s">
        <v>797</v>
      </c>
      <c r="B921" t="s">
        <v>804</v>
      </c>
      <c r="C921" t="s">
        <v>1152</v>
      </c>
      <c r="D921" t="s">
        <v>804</v>
      </c>
      <c r="E921" s="10" t="s">
        <v>1563</v>
      </c>
      <c r="F921" s="10" t="s">
        <v>2504</v>
      </c>
      <c r="G921">
        <f>$G$920+ABS($I$921-$I$920)/1000</f>
        <v>249.83238586136889</v>
      </c>
      <c r="H921">
        <v>-15000</v>
      </c>
      <c r="I921">
        <f>$I$920-$L$921/2</f>
        <v>14629.671604539935</v>
      </c>
      <c r="J921">
        <v>-270</v>
      </c>
      <c r="K921">
        <v>0</v>
      </c>
      <c r="L921">
        <v>1889.4492</v>
      </c>
    </row>
    <row r="922" spans="1:13">
      <c r="A922" t="s">
        <v>797</v>
      </c>
      <c r="B922" t="s">
        <v>804</v>
      </c>
      <c r="C922" t="s">
        <v>1152</v>
      </c>
      <c r="D922" t="s">
        <v>804</v>
      </c>
      <c r="E922" s="10" t="s">
        <v>1564</v>
      </c>
      <c r="F922" s="10" t="s">
        <v>2505</v>
      </c>
      <c r="G922">
        <f>$G$923-ABS($I$923-$I$922)/1000</f>
        <v>250.04232766136889</v>
      </c>
      <c r="H922">
        <v>-15000</v>
      </c>
      <c r="I922">
        <f>$I$923+$L$922/2</f>
        <v>14419.729804539935</v>
      </c>
      <c r="J922">
        <v>-270</v>
      </c>
      <c r="K922">
        <v>0</v>
      </c>
      <c r="L922">
        <v>1889.4492</v>
      </c>
    </row>
    <row r="923" spans="1:13">
      <c r="A923" t="s">
        <v>797</v>
      </c>
      <c r="B923" t="s">
        <v>804</v>
      </c>
      <c r="C923" t="s">
        <v>1152</v>
      </c>
      <c r="D923" t="s">
        <v>804</v>
      </c>
      <c r="E923" s="10" t="s">
        <v>1242</v>
      </c>
      <c r="F923" s="10" t="s">
        <v>2505</v>
      </c>
      <c r="G923">
        <f>$G$920+ABS($I$923-$I$920)/1000</f>
        <v>250.98705226136889</v>
      </c>
      <c r="H923">
        <v>-15000</v>
      </c>
      <c r="I923">
        <f>$I$920-2099.391</f>
        <v>13475.005204539935</v>
      </c>
      <c r="J923">
        <v>-270</v>
      </c>
      <c r="K923">
        <v>0</v>
      </c>
      <c r="L923">
        <v>1889.4492</v>
      </c>
    </row>
    <row r="924" spans="1:13">
      <c r="A924" t="s">
        <v>797</v>
      </c>
      <c r="B924" t="s">
        <v>804</v>
      </c>
      <c r="C924" t="s">
        <v>1152</v>
      </c>
      <c r="D924" t="s">
        <v>804</v>
      </c>
      <c r="E924" s="10" t="s">
        <v>1565</v>
      </c>
      <c r="F924" s="10" t="s">
        <v>2505</v>
      </c>
      <c r="G924">
        <f>$G$923+ABS($I$924-$I$923)/1000</f>
        <v>251.93177686136889</v>
      </c>
      <c r="H924">
        <v>-15000</v>
      </c>
      <c r="I924">
        <f>$I$923-$L$924/2</f>
        <v>12530.280604539936</v>
      </c>
      <c r="J924">
        <v>-270</v>
      </c>
      <c r="K924">
        <v>0</v>
      </c>
      <c r="L924">
        <v>1889.4492</v>
      </c>
    </row>
    <row r="925" spans="1:13">
      <c r="A925" t="s">
        <v>797</v>
      </c>
      <c r="B925" t="s">
        <v>805</v>
      </c>
      <c r="C925" t="s">
        <v>1152</v>
      </c>
      <c r="E925" s="2" t="s">
        <v>620</v>
      </c>
      <c r="F925" s="2" t="s">
        <v>620</v>
      </c>
      <c r="G925">
        <f t="shared" si="21"/>
        <v>252.13420287757882</v>
      </c>
      <c r="H925">
        <v>-15173.5</v>
      </c>
      <c r="I925">
        <v>12327.854588330001</v>
      </c>
      <c r="J925">
        <v>-370</v>
      </c>
      <c r="K925">
        <v>-100</v>
      </c>
      <c r="L925">
        <f>_xlfn.XLOOKUP(F925,magnet_list!$A$2:$A$592,magnet_list!$M$2:$M$592,"n/a",0,1)</f>
        <v>150</v>
      </c>
      <c r="M925">
        <f>_xlfn.XLOOKUP(F925,magnet_list!$A$2:$A$592,magnet_list!$L$2:$L$592,"n/a",0,1)</f>
        <v>35</v>
      </c>
    </row>
    <row r="926" spans="1:13">
      <c r="A926" t="s">
        <v>797</v>
      </c>
      <c r="B926" t="s">
        <v>805</v>
      </c>
      <c r="C926" t="s">
        <v>1152</v>
      </c>
      <c r="D926" t="s">
        <v>804</v>
      </c>
      <c r="E926" s="2" t="s">
        <v>1388</v>
      </c>
      <c r="F926" s="2" t="s">
        <v>620</v>
      </c>
      <c r="G926">
        <f t="shared" si="21"/>
        <v>252.13420287757882</v>
      </c>
      <c r="H926">
        <v>-15000</v>
      </c>
      <c r="I926">
        <v>12327.854588330001</v>
      </c>
      <c r="J926">
        <v>-370</v>
      </c>
      <c r="K926">
        <v>-100</v>
      </c>
      <c r="L926">
        <f>_xlfn.XLOOKUP(F926,magnet_list!$A$2:$A$592,magnet_list!$M$2:$M$592,"n/a",0,1)</f>
        <v>150</v>
      </c>
      <c r="M926">
        <f>_xlfn.XLOOKUP(F926,magnet_list!$A$2:$A$592,magnet_list!$L$2:$L$592,"n/a",0,1)</f>
        <v>35</v>
      </c>
    </row>
    <row r="927" spans="1:13">
      <c r="A927" t="s">
        <v>797</v>
      </c>
      <c r="B927" t="s">
        <v>804</v>
      </c>
      <c r="C927" t="s">
        <v>1152</v>
      </c>
      <c r="D927" t="s">
        <v>804</v>
      </c>
      <c r="E927" s="10" t="s">
        <v>1566</v>
      </c>
      <c r="F927" s="10" t="s">
        <v>2506</v>
      </c>
      <c r="G927">
        <f>$G$930-ABS($I$930-$I$927)/1000</f>
        <v>252.45662066136887</v>
      </c>
      <c r="H927">
        <v>-15000</v>
      </c>
      <c r="I927">
        <f>$I$930+$L$927/2</f>
        <v>12005.436804539935</v>
      </c>
      <c r="J927">
        <v>-270</v>
      </c>
      <c r="K927">
        <v>0</v>
      </c>
      <c r="L927">
        <v>1889.4492</v>
      </c>
    </row>
    <row r="928" spans="1:13">
      <c r="A928" t="s">
        <v>797</v>
      </c>
      <c r="B928" t="s">
        <v>803</v>
      </c>
      <c r="C928" t="s">
        <v>806</v>
      </c>
      <c r="E928" t="s">
        <v>812</v>
      </c>
      <c r="F928" t="s">
        <v>812</v>
      </c>
      <c r="G928">
        <f t="shared" si="21"/>
        <v>252.51612316740881</v>
      </c>
      <c r="H928">
        <v>-17472.029641630001</v>
      </c>
      <c r="I928">
        <v>11945.9342985</v>
      </c>
      <c r="J928">
        <v>-13.522643670000001</v>
      </c>
      <c r="K928">
        <v>256.47735633000002</v>
      </c>
    </row>
    <row r="929" spans="1:13">
      <c r="A929" t="s">
        <v>797</v>
      </c>
      <c r="B929" t="s">
        <v>803</v>
      </c>
      <c r="C929" t="s">
        <v>806</v>
      </c>
      <c r="E929" t="s">
        <v>813</v>
      </c>
      <c r="F929" t="s">
        <v>813</v>
      </c>
      <c r="G929">
        <f t="shared" si="21"/>
        <v>252.60342729176881</v>
      </c>
      <c r="H929">
        <v>-13516.103184809999</v>
      </c>
      <c r="I929">
        <v>11858.63017414</v>
      </c>
      <c r="J929">
        <v>-16.0441854</v>
      </c>
      <c r="K929">
        <v>253.9558146</v>
      </c>
    </row>
    <row r="930" spans="1:13">
      <c r="A930" t="s">
        <v>797</v>
      </c>
      <c r="B930" t="s">
        <v>804</v>
      </c>
      <c r="C930" t="s">
        <v>1152</v>
      </c>
      <c r="D930" t="s">
        <v>804</v>
      </c>
      <c r="E930" s="10" t="s">
        <v>1297</v>
      </c>
      <c r="F930" s="10" t="s">
        <v>2506</v>
      </c>
      <c r="G930">
        <f>$G$923+ABS($I$930-$I$923)/1000</f>
        <v>253.40134526136887</v>
      </c>
      <c r="H930">
        <v>-15000</v>
      </c>
      <c r="I930">
        <f>$I$923-2414.293</f>
        <v>11060.712204539936</v>
      </c>
      <c r="J930">
        <v>-270</v>
      </c>
      <c r="K930">
        <v>0</v>
      </c>
      <c r="L930">
        <v>1889.4492</v>
      </c>
    </row>
    <row r="931" spans="1:13">
      <c r="A931" t="s">
        <v>797</v>
      </c>
      <c r="B931" t="s">
        <v>804</v>
      </c>
      <c r="C931" t="s">
        <v>1152</v>
      </c>
      <c r="D931" t="s">
        <v>804</v>
      </c>
      <c r="E931" s="10" t="s">
        <v>1567</v>
      </c>
      <c r="F931" s="10" t="s">
        <v>2506</v>
      </c>
      <c r="G931">
        <f>$G$930+ABS($I$931-$I$930)/1000</f>
        <v>254.34606986136887</v>
      </c>
      <c r="H931">
        <v>-15000</v>
      </c>
      <c r="I931">
        <f>$I$930-$L$931/2</f>
        <v>10115.987604539936</v>
      </c>
      <c r="J931">
        <v>-270</v>
      </c>
      <c r="K931">
        <v>0</v>
      </c>
      <c r="L931">
        <v>1889.4492</v>
      </c>
    </row>
    <row r="932" spans="1:13">
      <c r="A932" t="s">
        <v>797</v>
      </c>
      <c r="B932" t="s">
        <v>804</v>
      </c>
      <c r="C932" t="s">
        <v>1152</v>
      </c>
      <c r="D932" t="s">
        <v>804</v>
      </c>
      <c r="E932" s="10" t="s">
        <v>1568</v>
      </c>
      <c r="F932" s="10" t="s">
        <v>2507</v>
      </c>
      <c r="G932">
        <f>$G$933-ABS($I$933-$I$932)/1000</f>
        <v>254.55601166136887</v>
      </c>
      <c r="H932">
        <v>-15000</v>
      </c>
      <c r="I932">
        <f>$I$933+$L$932/2</f>
        <v>9906.0458045399355</v>
      </c>
      <c r="J932">
        <v>-270</v>
      </c>
      <c r="K932">
        <v>0</v>
      </c>
      <c r="L932">
        <v>1889.4492</v>
      </c>
    </row>
    <row r="933" spans="1:13">
      <c r="A933" t="s">
        <v>797</v>
      </c>
      <c r="B933" t="s">
        <v>804</v>
      </c>
      <c r="C933" t="s">
        <v>1152</v>
      </c>
      <c r="D933" t="s">
        <v>804</v>
      </c>
      <c r="E933" s="10" t="s">
        <v>1351</v>
      </c>
      <c r="F933" s="10" t="s">
        <v>2507</v>
      </c>
      <c r="G933">
        <f>$G$930+ABS($I$933-$I$930)/1000</f>
        <v>255.50073626136887</v>
      </c>
      <c r="H933">
        <v>-15000</v>
      </c>
      <c r="I933">
        <f>$I$930-2099.391</f>
        <v>8961.3212045399359</v>
      </c>
      <c r="J933">
        <v>-270</v>
      </c>
      <c r="K933">
        <v>0</v>
      </c>
      <c r="L933">
        <v>1889.4492</v>
      </c>
    </row>
    <row r="934" spans="1:13">
      <c r="A934" t="s">
        <v>797</v>
      </c>
      <c r="B934" t="s">
        <v>804</v>
      </c>
      <c r="C934" t="s">
        <v>1152</v>
      </c>
      <c r="D934" t="s">
        <v>804</v>
      </c>
      <c r="E934" s="10" t="s">
        <v>1569</v>
      </c>
      <c r="F934" s="10" t="s">
        <v>2507</v>
      </c>
      <c r="G934">
        <f>$G$933+ABS($I$934-$I$933)/1000</f>
        <v>256.44546086136887</v>
      </c>
      <c r="H934">
        <v>-15000</v>
      </c>
      <c r="I934">
        <f>$I$933-$L$934/2</f>
        <v>8016.5966045399364</v>
      </c>
      <c r="J934">
        <v>-270</v>
      </c>
      <c r="K934">
        <v>0</v>
      </c>
      <c r="L934">
        <v>1889.4492</v>
      </c>
    </row>
    <row r="935" spans="1:13">
      <c r="A935" t="s">
        <v>797</v>
      </c>
      <c r="B935" t="s">
        <v>803</v>
      </c>
      <c r="C935" t="s">
        <v>806</v>
      </c>
      <c r="E935" t="s">
        <v>1000</v>
      </c>
      <c r="F935" t="s">
        <v>1000</v>
      </c>
      <c r="G935">
        <f t="shared" si="21"/>
        <v>256.52147390582883</v>
      </c>
      <c r="H935">
        <v>-15400</v>
      </c>
      <c r="I935">
        <v>7940.5835600800001</v>
      </c>
      <c r="J935">
        <v>-689</v>
      </c>
      <c r="K935">
        <v>-419</v>
      </c>
    </row>
    <row r="936" spans="1:13">
      <c r="A936" t="s">
        <v>797</v>
      </c>
      <c r="B936" t="s">
        <v>1152</v>
      </c>
      <c r="C936" t="s">
        <v>1152</v>
      </c>
      <c r="D936" t="s">
        <v>804</v>
      </c>
      <c r="E936" s="3" t="s">
        <v>2030</v>
      </c>
      <c r="F936" s="3" t="s">
        <v>2030</v>
      </c>
      <c r="G936">
        <f>$G$933+ABS($I$936-$I$933)/1000</f>
        <v>256.60195846136889</v>
      </c>
      <c r="H936">
        <v>-15000</v>
      </c>
      <c r="I936">
        <f>$I$933-1101.2222</f>
        <v>7860.0990045399358</v>
      </c>
      <c r="J936">
        <v>-270</v>
      </c>
      <c r="K936">
        <v>0</v>
      </c>
    </row>
    <row r="937" spans="1:13">
      <c r="A937" t="s">
        <v>797</v>
      </c>
      <c r="B937" t="s">
        <v>805</v>
      </c>
      <c r="C937" t="s">
        <v>806</v>
      </c>
      <c r="E937" s="2" t="s">
        <v>138</v>
      </c>
      <c r="F937" s="2" t="s">
        <v>138</v>
      </c>
      <c r="G937">
        <f t="shared" si="21"/>
        <v>256.7538114854388</v>
      </c>
      <c r="H937">
        <v>-15000</v>
      </c>
      <c r="I937">
        <v>7708.2459804700002</v>
      </c>
      <c r="J937">
        <v>-20</v>
      </c>
      <c r="K937">
        <v>250</v>
      </c>
      <c r="L937">
        <f>_xlfn.XLOOKUP(F937,magnet_list!$A$2:$A$592,magnet_list!$M$2:$M$592,"n/a",0,1)</f>
        <v>190</v>
      </c>
      <c r="M937">
        <f>_xlfn.XLOOKUP(F937,magnet_list!$A$2:$A$592,magnet_list!$L$2:$L$592,"n/a",0,1)</f>
        <v>23</v>
      </c>
    </row>
    <row r="938" spans="1:13">
      <c r="A938" t="s">
        <v>797</v>
      </c>
      <c r="B938" t="s">
        <v>805</v>
      </c>
      <c r="C938" t="s">
        <v>1152</v>
      </c>
      <c r="D938" t="s">
        <v>804</v>
      </c>
      <c r="E938" s="2" t="s">
        <v>621</v>
      </c>
      <c r="F938" s="2" t="s">
        <v>138</v>
      </c>
      <c r="G938">
        <f t="shared" si="21"/>
        <v>256.82881148543879</v>
      </c>
      <c r="H938">
        <v>-15000</v>
      </c>
      <c r="I938">
        <v>7633.2459804700002</v>
      </c>
      <c r="J938">
        <v>-20</v>
      </c>
      <c r="K938">
        <v>250</v>
      </c>
      <c r="L938">
        <f>_xlfn.XLOOKUP(F938,magnet_list!$A$2:$A$592,magnet_list!$M$2:$M$592,"n/a",0,1)</f>
        <v>190</v>
      </c>
      <c r="M938">
        <f>_xlfn.XLOOKUP(F938,magnet_list!$A$2:$A$592,magnet_list!$L$2:$L$592,"n/a",0,1)</f>
        <v>23</v>
      </c>
    </row>
    <row r="939" spans="1:13">
      <c r="A939" t="s">
        <v>797</v>
      </c>
      <c r="B939" t="s">
        <v>805</v>
      </c>
      <c r="C939" t="s">
        <v>1152</v>
      </c>
      <c r="D939" t="s">
        <v>804</v>
      </c>
      <c r="E939" s="2" t="s">
        <v>622</v>
      </c>
      <c r="F939" s="2" t="s">
        <v>139</v>
      </c>
      <c r="G939">
        <f t="shared" si="21"/>
        <v>257.1241072808088</v>
      </c>
      <c r="H939">
        <v>-15000</v>
      </c>
      <c r="I939">
        <v>7337.9501851000005</v>
      </c>
      <c r="J939">
        <v>-20</v>
      </c>
      <c r="K939">
        <v>250</v>
      </c>
      <c r="L939">
        <f>_xlfn.XLOOKUP(F939,magnet_list!$A$2:$A$592,magnet_list!$M$2:$M$592,"n/a",0,1)</f>
        <v>190</v>
      </c>
      <c r="M939">
        <f>_xlfn.XLOOKUP(F939,magnet_list!$A$2:$A$592,magnet_list!$L$2:$L$592,"n/a",0,1)</f>
        <v>23</v>
      </c>
    </row>
    <row r="940" spans="1:13">
      <c r="A940" t="s">
        <v>797</v>
      </c>
      <c r="B940" t="s">
        <v>805</v>
      </c>
      <c r="C940" t="s">
        <v>806</v>
      </c>
      <c r="E940" s="2" t="s">
        <v>139</v>
      </c>
      <c r="F940" s="2" t="s">
        <v>139</v>
      </c>
      <c r="G940">
        <f t="shared" si="21"/>
        <v>257.19910728080879</v>
      </c>
      <c r="H940">
        <v>-15000</v>
      </c>
      <c r="I940">
        <v>7262.9501851000005</v>
      </c>
      <c r="J940">
        <v>-20</v>
      </c>
      <c r="K940">
        <v>250</v>
      </c>
      <c r="L940">
        <f>_xlfn.XLOOKUP(F940,magnet_list!$A$2:$A$592,magnet_list!$M$2:$M$592,"n/a",0,1)</f>
        <v>190</v>
      </c>
      <c r="M940">
        <f>_xlfn.XLOOKUP(F940,magnet_list!$A$2:$A$592,magnet_list!$L$2:$L$592,"n/a",0,1)</f>
        <v>23</v>
      </c>
    </row>
    <row r="941" spans="1:13">
      <c r="A941" t="s">
        <v>797</v>
      </c>
      <c r="B941" t="s">
        <v>2288</v>
      </c>
      <c r="C941" t="s">
        <v>1152</v>
      </c>
      <c r="D941" t="s">
        <v>804</v>
      </c>
      <c r="E941" s="8" t="s">
        <v>2321</v>
      </c>
      <c r="F941" s="8" t="s">
        <v>2321</v>
      </c>
      <c r="G941">
        <f>$G$936+ABS($I$941-$I$936)/1000</f>
        <v>257.36246746136891</v>
      </c>
      <c r="H941">
        <v>-15000</v>
      </c>
      <c r="I941">
        <f>$I$936-760.509</f>
        <v>7099.5900045399358</v>
      </c>
      <c r="J941">
        <v>-270</v>
      </c>
      <c r="K941">
        <v>0</v>
      </c>
    </row>
    <row r="942" spans="1:13">
      <c r="A942" t="s">
        <v>797</v>
      </c>
      <c r="B942" t="s">
        <v>803</v>
      </c>
      <c r="C942" t="s">
        <v>806</v>
      </c>
      <c r="E942" t="s">
        <v>1005</v>
      </c>
      <c r="F942" t="s">
        <v>1005</v>
      </c>
      <c r="G942">
        <f t="shared" si="21"/>
        <v>257.41828635073887</v>
      </c>
      <c r="H942">
        <v>-15400</v>
      </c>
      <c r="I942">
        <v>7043.7711151699996</v>
      </c>
      <c r="J942">
        <v>-689</v>
      </c>
      <c r="K942">
        <v>-419</v>
      </c>
    </row>
    <row r="943" spans="1:13">
      <c r="A943" t="s">
        <v>797</v>
      </c>
      <c r="B943" t="s">
        <v>804</v>
      </c>
      <c r="C943" t="s">
        <v>1152</v>
      </c>
      <c r="D943" t="s">
        <v>804</v>
      </c>
      <c r="E943" s="10" t="s">
        <v>1570</v>
      </c>
      <c r="F943" s="10" t="s">
        <v>2508</v>
      </c>
      <c r="G943">
        <f>$G$946-ABS($I$946-$I$943)/1000</f>
        <v>257.54293666136891</v>
      </c>
      <c r="H943">
        <v>-15000</v>
      </c>
      <c r="I943">
        <f>$I$946+$L$943/2</f>
        <v>6919.1208045399362</v>
      </c>
      <c r="J943">
        <v>-270</v>
      </c>
      <c r="K943">
        <v>0</v>
      </c>
      <c r="L943">
        <v>1889.4492</v>
      </c>
    </row>
    <row r="944" spans="1:13">
      <c r="A944" t="s">
        <v>797</v>
      </c>
      <c r="B944" t="s">
        <v>3855</v>
      </c>
      <c r="C944" t="s">
        <v>1152</v>
      </c>
      <c r="D944" t="s">
        <v>804</v>
      </c>
      <c r="E944" t="s">
        <v>3700</v>
      </c>
      <c r="F944" t="s">
        <v>3700</v>
      </c>
      <c r="G944">
        <f>$G$941+ABS($I$944-$I$941)/1000</f>
        <v>258.18043746136891</v>
      </c>
      <c r="H944">
        <v>-15000</v>
      </c>
      <c r="I944">
        <f>$I$941-817.97</f>
        <v>6281.6200045399355</v>
      </c>
      <c r="J944">
        <v>-270</v>
      </c>
      <c r="K944">
        <v>0</v>
      </c>
      <c r="L944">
        <f>_xlfn.XLOOKUP(F944,magnet_list!$A$2:$A$592,magnet_list!$M$2:$M$592,"n/a",0,1)</f>
        <v>200</v>
      </c>
      <c r="M944">
        <f>_xlfn.XLOOKUP(F944,magnet_list!$A$2:$A$592,magnet_list!$L$2:$L$592,"n/a",0,1)</f>
        <v>128</v>
      </c>
    </row>
    <row r="945" spans="1:13">
      <c r="A945" t="s">
        <v>797</v>
      </c>
      <c r="B945" t="s">
        <v>3855</v>
      </c>
      <c r="C945" t="s">
        <v>1152</v>
      </c>
      <c r="D945" t="s">
        <v>804</v>
      </c>
      <c r="E945" t="s">
        <v>3701</v>
      </c>
      <c r="F945" t="s">
        <v>3701</v>
      </c>
      <c r="G945">
        <f>$G$941+ABS($I$944-$I$941)/1000</f>
        <v>258.18043746136891</v>
      </c>
      <c r="H945">
        <v>-15000</v>
      </c>
      <c r="I945">
        <f>$I$941-817.97</f>
        <v>6281.6200045399355</v>
      </c>
      <c r="J945">
        <v>-270</v>
      </c>
      <c r="K945">
        <v>0</v>
      </c>
      <c r="L945">
        <f>_xlfn.XLOOKUP(F945,magnet_list!$A$2:$A$592,magnet_list!$M$2:$M$592,"n/a",0,1)</f>
        <v>200</v>
      </c>
      <c r="M945">
        <f>_xlfn.XLOOKUP(F945,magnet_list!$A$2:$A$592,magnet_list!$L$2:$L$592,"n/a",0,1)</f>
        <v>128</v>
      </c>
    </row>
    <row r="946" spans="1:13">
      <c r="A946" t="s">
        <v>797</v>
      </c>
      <c r="B946" t="s">
        <v>804</v>
      </c>
      <c r="C946" t="s">
        <v>1152</v>
      </c>
      <c r="D946" t="s">
        <v>804</v>
      </c>
      <c r="E946" s="10" t="s">
        <v>1187</v>
      </c>
      <c r="F946" s="10" t="s">
        <v>2508</v>
      </c>
      <c r="G946">
        <f>$G$941+ABS($I$946-$I$941)/1000</f>
        <v>258.48766126136888</v>
      </c>
      <c r="H946">
        <v>-15000</v>
      </c>
      <c r="I946">
        <f>$I$941-1125.1938</f>
        <v>5974.3962045399358</v>
      </c>
      <c r="J946">
        <v>-270</v>
      </c>
      <c r="K946">
        <v>0</v>
      </c>
      <c r="L946">
        <v>1889.4492</v>
      </c>
    </row>
    <row r="947" spans="1:13">
      <c r="A947" t="s">
        <v>797</v>
      </c>
      <c r="B947" t="s">
        <v>804</v>
      </c>
      <c r="C947" t="s">
        <v>1152</v>
      </c>
      <c r="D947" t="s">
        <v>804</v>
      </c>
      <c r="E947" s="10" t="s">
        <v>1571</v>
      </c>
      <c r="F947" s="10" t="s">
        <v>2508</v>
      </c>
      <c r="G947">
        <f>$G$946+ABS($I$947-$I$946)/1000</f>
        <v>259.43238586136886</v>
      </c>
      <c r="H947">
        <v>-15000</v>
      </c>
      <c r="I947">
        <f>$I$946-$L$947/2</f>
        <v>5029.6716045399353</v>
      </c>
      <c r="J947">
        <v>-270</v>
      </c>
      <c r="K947">
        <v>0</v>
      </c>
      <c r="L947">
        <v>1889.4492</v>
      </c>
    </row>
    <row r="948" spans="1:13">
      <c r="A948" t="s">
        <v>797</v>
      </c>
      <c r="B948" t="s">
        <v>804</v>
      </c>
      <c r="C948" t="s">
        <v>1152</v>
      </c>
      <c r="D948" t="s">
        <v>804</v>
      </c>
      <c r="E948" s="10" t="s">
        <v>1572</v>
      </c>
      <c r="F948" s="10" t="s">
        <v>2509</v>
      </c>
      <c r="G948">
        <f>$G$949-ABS($I$949-$I$948)/1000</f>
        <v>259.64232766136894</v>
      </c>
      <c r="H948">
        <v>-15000</v>
      </c>
      <c r="I948">
        <f>$I$949+$L$948/2</f>
        <v>4819.7298045399357</v>
      </c>
      <c r="J948">
        <v>-270</v>
      </c>
      <c r="K948">
        <v>0</v>
      </c>
      <c r="L948">
        <v>1889.4492</v>
      </c>
    </row>
    <row r="949" spans="1:13">
      <c r="A949" t="s">
        <v>797</v>
      </c>
      <c r="B949" t="s">
        <v>804</v>
      </c>
      <c r="C949" t="s">
        <v>1152</v>
      </c>
      <c r="D949" t="s">
        <v>804</v>
      </c>
      <c r="E949" s="10" t="s">
        <v>1243</v>
      </c>
      <c r="F949" s="10" t="s">
        <v>2509</v>
      </c>
      <c r="G949">
        <f>$G$946+ABS($I$949-$I$946)/1000</f>
        <v>260.58705226136891</v>
      </c>
      <c r="H949">
        <v>-15000</v>
      </c>
      <c r="I949">
        <f>$I$946-2099.391</f>
        <v>3875.0052045399357</v>
      </c>
      <c r="J949">
        <v>-270</v>
      </c>
      <c r="K949">
        <v>0</v>
      </c>
      <c r="L949">
        <v>1889.4492</v>
      </c>
    </row>
    <row r="950" spans="1:13">
      <c r="A950" t="s">
        <v>797</v>
      </c>
      <c r="B950" t="s">
        <v>803</v>
      </c>
      <c r="C950" t="s">
        <v>806</v>
      </c>
      <c r="E950" t="s">
        <v>815</v>
      </c>
      <c r="F950" t="s">
        <v>815</v>
      </c>
      <c r="G950">
        <f t="shared" ref="G950:G987" si="22">G949-(I950-I949)/1000</f>
        <v>261.01294134999887</v>
      </c>
      <c r="H950">
        <v>-13513.219096500001</v>
      </c>
      <c r="I950">
        <v>3449.1161159100002</v>
      </c>
      <c r="J950">
        <v>-16.08878481</v>
      </c>
      <c r="K950">
        <v>253.91121519000001</v>
      </c>
    </row>
    <row r="951" spans="1:13">
      <c r="A951" t="s">
        <v>797</v>
      </c>
      <c r="B951" t="s">
        <v>804</v>
      </c>
      <c r="C951" t="s">
        <v>1152</v>
      </c>
      <c r="D951" t="s">
        <v>804</v>
      </c>
      <c r="E951" s="10" t="s">
        <v>1573</v>
      </c>
      <c r="F951" s="10" t="s">
        <v>2509</v>
      </c>
      <c r="G951">
        <f>$G$949+ABS($I$951-$I$949)/1000</f>
        <v>261.53177686136888</v>
      </c>
      <c r="H951">
        <v>-15000</v>
      </c>
      <c r="I951">
        <f>$I$949-$L$951/2</f>
        <v>2930.2806045399357</v>
      </c>
      <c r="J951">
        <v>-270</v>
      </c>
      <c r="K951">
        <v>0</v>
      </c>
      <c r="L951">
        <v>1889.4492</v>
      </c>
    </row>
    <row r="952" spans="1:13">
      <c r="A952" t="s">
        <v>797</v>
      </c>
      <c r="B952" t="s">
        <v>803</v>
      </c>
      <c r="C952" t="s">
        <v>806</v>
      </c>
      <c r="E952" t="s">
        <v>814</v>
      </c>
      <c r="F952" t="s">
        <v>814</v>
      </c>
      <c r="G952">
        <f t="shared" si="22"/>
        <v>261.74556455325882</v>
      </c>
      <c r="H952">
        <v>-17470.126652980001</v>
      </c>
      <c r="I952">
        <v>2716.4929126500001</v>
      </c>
      <c r="J952">
        <v>-12.810653759999999</v>
      </c>
      <c r="K952">
        <v>257.18934624000002</v>
      </c>
    </row>
    <row r="953" spans="1:13">
      <c r="A953" t="s">
        <v>797</v>
      </c>
      <c r="B953" t="s">
        <v>805</v>
      </c>
      <c r="C953" t="s">
        <v>1152</v>
      </c>
      <c r="E953" s="2" t="s">
        <v>623</v>
      </c>
      <c r="F953" s="2" t="s">
        <v>623</v>
      </c>
      <c r="G953">
        <f t="shared" si="22"/>
        <v>261.75238985073884</v>
      </c>
      <c r="H953">
        <v>-15100</v>
      </c>
      <c r="I953">
        <v>2709.6676151699994</v>
      </c>
      <c r="J953">
        <v>-96.5</v>
      </c>
      <c r="K953">
        <v>173.5</v>
      </c>
      <c r="L953">
        <f>_xlfn.XLOOKUP(F953,magnet_list!$A$2:$A$592,magnet_list!$M$2:$M$592,"n/a",0,1)</f>
        <v>150</v>
      </c>
      <c r="M953">
        <f>_xlfn.XLOOKUP(F953,magnet_list!$A$2:$A$592,magnet_list!$L$2:$L$592,"n/a",0,1)</f>
        <v>35</v>
      </c>
    </row>
    <row r="954" spans="1:13">
      <c r="A954" t="s">
        <v>797</v>
      </c>
      <c r="B954" t="s">
        <v>805</v>
      </c>
      <c r="C954" t="s">
        <v>1152</v>
      </c>
      <c r="D954" t="s">
        <v>804</v>
      </c>
      <c r="E954" s="2" t="s">
        <v>1389</v>
      </c>
      <c r="F954" s="2" t="s">
        <v>623</v>
      </c>
      <c r="G954">
        <f t="shared" si="22"/>
        <v>261.75238985073884</v>
      </c>
      <c r="H954">
        <v>-15000</v>
      </c>
      <c r="I954">
        <v>2709.6676151699994</v>
      </c>
      <c r="J954">
        <v>-96.5</v>
      </c>
      <c r="K954">
        <v>173.5</v>
      </c>
      <c r="L954">
        <f>_xlfn.XLOOKUP(F954,magnet_list!$A$2:$A$592,magnet_list!$M$2:$M$592,"n/a",0,1)</f>
        <v>150</v>
      </c>
      <c r="M954">
        <f>_xlfn.XLOOKUP(F954,magnet_list!$A$2:$A$592,magnet_list!$L$2:$L$592,"n/a",0,1)</f>
        <v>35</v>
      </c>
    </row>
    <row r="955" spans="1:13">
      <c r="A955" t="s">
        <v>797</v>
      </c>
      <c r="B955" t="s">
        <v>804</v>
      </c>
      <c r="C955" t="s">
        <v>1152</v>
      </c>
      <c r="D955" t="s">
        <v>804</v>
      </c>
      <c r="E955" s="10" t="s">
        <v>1574</v>
      </c>
      <c r="F955" s="10" t="s">
        <v>2510</v>
      </c>
      <c r="G955">
        <f>$G$956-ABS($I$956-$I$955)/1000</f>
        <v>262.05662106136896</v>
      </c>
      <c r="H955">
        <v>-15000</v>
      </c>
      <c r="I955">
        <f>$I$956+$L$955/2</f>
        <v>2405.4364045399357</v>
      </c>
      <c r="J955">
        <v>-270</v>
      </c>
      <c r="K955">
        <v>0</v>
      </c>
      <c r="L955">
        <v>1889.4492</v>
      </c>
    </row>
    <row r="956" spans="1:13">
      <c r="A956" t="s">
        <v>797</v>
      </c>
      <c r="B956" t="s">
        <v>804</v>
      </c>
      <c r="C956" t="s">
        <v>1152</v>
      </c>
      <c r="D956" t="s">
        <v>804</v>
      </c>
      <c r="E956" s="10" t="s">
        <v>1298</v>
      </c>
      <c r="F956" s="10" t="s">
        <v>2510</v>
      </c>
      <c r="G956">
        <f>$G$949+ABS($I$956-$I$949)/1000</f>
        <v>263.00134566136893</v>
      </c>
      <c r="H956">
        <v>-15000</v>
      </c>
      <c r="I956">
        <f>$I$949-2414.2934</f>
        <v>1460.7118045399357</v>
      </c>
      <c r="J956">
        <v>-270</v>
      </c>
      <c r="K956">
        <v>0</v>
      </c>
      <c r="L956">
        <v>1889.4492</v>
      </c>
    </row>
    <row r="957" spans="1:13">
      <c r="A957" t="s">
        <v>797</v>
      </c>
      <c r="B957" t="s">
        <v>804</v>
      </c>
      <c r="C957" t="s">
        <v>1152</v>
      </c>
      <c r="D957" t="s">
        <v>804</v>
      </c>
      <c r="E957" s="10" t="s">
        <v>1575</v>
      </c>
      <c r="F957" s="10" t="s">
        <v>2510</v>
      </c>
      <c r="G957">
        <f>$G$956+ABS($I$957-$I$956)/1000</f>
        <v>263.9460702613689</v>
      </c>
      <c r="H957">
        <v>-15000</v>
      </c>
      <c r="I957">
        <f>$I$956-$L$957/2</f>
        <v>515.98720453993565</v>
      </c>
      <c r="J957">
        <v>-270</v>
      </c>
      <c r="K957">
        <v>0</v>
      </c>
      <c r="L957">
        <v>1889.4492</v>
      </c>
    </row>
    <row r="958" spans="1:13">
      <c r="A958" t="s">
        <v>797</v>
      </c>
      <c r="B958" t="s">
        <v>804</v>
      </c>
      <c r="C958" t="s">
        <v>1152</v>
      </c>
      <c r="D958" t="s">
        <v>804</v>
      </c>
      <c r="E958" s="10" t="s">
        <v>1576</v>
      </c>
      <c r="F958" s="10" t="s">
        <v>2511</v>
      </c>
      <c r="G958">
        <f>$G$960-ABS($I$960-$I$958)/1000</f>
        <v>264.15600906136893</v>
      </c>
      <c r="H958">
        <v>-15000</v>
      </c>
      <c r="I958">
        <f>$I$960+$L$958/2</f>
        <v>306.04840453993575</v>
      </c>
      <c r="J958">
        <v>-270</v>
      </c>
      <c r="K958">
        <v>0</v>
      </c>
      <c r="L958">
        <v>1889.4492</v>
      </c>
    </row>
    <row r="959" spans="1:13">
      <c r="A959" t="s">
        <v>797</v>
      </c>
      <c r="B959" t="s">
        <v>803</v>
      </c>
      <c r="C959" t="s">
        <v>806</v>
      </c>
      <c r="E959" t="s">
        <v>935</v>
      </c>
      <c r="F959" t="s">
        <v>935</v>
      </c>
      <c r="G959">
        <f t="shared" si="22"/>
        <v>264.28240644224888</v>
      </c>
      <c r="H959">
        <v>-8346.1238080599996</v>
      </c>
      <c r="I959">
        <v>179.65102365999999</v>
      </c>
      <c r="J959">
        <v>-14.97571591</v>
      </c>
      <c r="K959">
        <v>255.02428409000001</v>
      </c>
    </row>
    <row r="960" spans="1:13">
      <c r="A960" t="s">
        <v>797</v>
      </c>
      <c r="B960" t="s">
        <v>804</v>
      </c>
      <c r="C960" t="s">
        <v>1152</v>
      </c>
      <c r="D960" t="s">
        <v>804</v>
      </c>
      <c r="E960" s="10" t="s">
        <v>1352</v>
      </c>
      <c r="F960" s="10" t="s">
        <v>2511</v>
      </c>
      <c r="G960">
        <f>$G$956+ABS($I$960-$I$956)/1000</f>
        <v>265.10073366136891</v>
      </c>
      <c r="H960">
        <v>-15000</v>
      </c>
      <c r="I960">
        <f>$I$956-2099.388</f>
        <v>-638.67619546006426</v>
      </c>
      <c r="J960">
        <v>-270</v>
      </c>
      <c r="K960">
        <v>0</v>
      </c>
      <c r="L960">
        <v>1889.4492</v>
      </c>
    </row>
    <row r="961" spans="1:13">
      <c r="A961" t="s">
        <v>797</v>
      </c>
      <c r="B961" t="s">
        <v>804</v>
      </c>
      <c r="C961" t="s">
        <v>1152</v>
      </c>
      <c r="D961" t="s">
        <v>804</v>
      </c>
      <c r="E961" s="10" t="s">
        <v>1577</v>
      </c>
      <c r="F961" s="10" t="s">
        <v>2511</v>
      </c>
      <c r="G961">
        <f>$G$960+ABS($I$961-$I$960)/1000</f>
        <v>266.04545826136888</v>
      </c>
      <c r="H961">
        <v>-15000</v>
      </c>
      <c r="I961">
        <f>$I$960-$L$961/2</f>
        <v>-1583.4007954600643</v>
      </c>
      <c r="J961">
        <v>-270</v>
      </c>
      <c r="K961">
        <v>0</v>
      </c>
      <c r="L961">
        <v>1889.4492</v>
      </c>
    </row>
    <row r="962" spans="1:13">
      <c r="A962" t="s">
        <v>797</v>
      </c>
      <c r="B962" t="s">
        <v>803</v>
      </c>
      <c r="C962" t="s">
        <v>806</v>
      </c>
      <c r="E962" t="s">
        <v>1004</v>
      </c>
      <c r="F962" t="s">
        <v>1004</v>
      </c>
      <c r="G962">
        <f t="shared" si="22"/>
        <v>266.13302813331882</v>
      </c>
      <c r="H962">
        <v>-15400</v>
      </c>
      <c r="I962">
        <v>-1670.97066741</v>
      </c>
      <c r="J962">
        <v>-689</v>
      </c>
      <c r="K962">
        <v>-419</v>
      </c>
    </row>
    <row r="963" spans="1:13">
      <c r="A963" t="s">
        <v>797</v>
      </c>
      <c r="B963" t="s">
        <v>803</v>
      </c>
      <c r="C963" t="s">
        <v>806</v>
      </c>
      <c r="E963" t="s">
        <v>1003</v>
      </c>
      <c r="F963" t="s">
        <v>1003</v>
      </c>
      <c r="G963">
        <f t="shared" si="22"/>
        <v>266.43038695764881</v>
      </c>
      <c r="H963">
        <v>-15400</v>
      </c>
      <c r="I963">
        <v>-1968.3294917400001</v>
      </c>
      <c r="J963">
        <v>-689</v>
      </c>
      <c r="K963">
        <v>-419</v>
      </c>
    </row>
    <row r="964" spans="1:13">
      <c r="A964" t="s">
        <v>797</v>
      </c>
      <c r="B964" t="s">
        <v>803</v>
      </c>
      <c r="C964" t="s">
        <v>806</v>
      </c>
      <c r="E964" t="s">
        <v>816</v>
      </c>
      <c r="F964" t="s">
        <v>816</v>
      </c>
      <c r="G964">
        <f t="shared" si="22"/>
        <v>266.68342746705883</v>
      </c>
      <c r="H964">
        <v>-13521.226798899999</v>
      </c>
      <c r="I964">
        <v>-2221.37000115</v>
      </c>
      <c r="J964">
        <v>-15.352735129999999</v>
      </c>
      <c r="K964">
        <v>254.64726487000001</v>
      </c>
    </row>
    <row r="965" spans="1:13">
      <c r="A965" t="s">
        <v>797</v>
      </c>
      <c r="B965" t="s">
        <v>805</v>
      </c>
      <c r="C965" t="s">
        <v>806</v>
      </c>
      <c r="E965" s="2" t="s">
        <v>140</v>
      </c>
      <c r="F965" s="2" t="s">
        <v>2512</v>
      </c>
      <c r="G965">
        <f t="shared" si="22"/>
        <v>267.24822166600882</v>
      </c>
      <c r="H965">
        <v>-15000</v>
      </c>
      <c r="I965">
        <v>-2786.1642001</v>
      </c>
      <c r="J965">
        <v>-50</v>
      </c>
      <c r="K965">
        <v>220</v>
      </c>
      <c r="L965">
        <f>_xlfn.XLOOKUP(F965,magnet_list!$A$2:$A$592,magnet_list!$M$2:$M$592,"n/a",0,1)</f>
        <v>200</v>
      </c>
      <c r="M965">
        <f>_xlfn.XLOOKUP(F965,magnet_list!$A$2:$A$592,magnet_list!$L$2:$L$592,"n/a",0,1)</f>
        <v>20</v>
      </c>
    </row>
    <row r="966" spans="1:13">
      <c r="A966" t="s">
        <v>797</v>
      </c>
      <c r="B966" t="s">
        <v>805</v>
      </c>
      <c r="C966" t="s">
        <v>1152</v>
      </c>
      <c r="D966" t="s">
        <v>804</v>
      </c>
      <c r="E966" s="2" t="s">
        <v>624</v>
      </c>
      <c r="F966" s="2" t="s">
        <v>2512</v>
      </c>
      <c r="G966">
        <f t="shared" si="22"/>
        <v>267.32321266600883</v>
      </c>
      <c r="H966">
        <v>-15000</v>
      </c>
      <c r="I966">
        <v>-2861.1552001</v>
      </c>
      <c r="J966">
        <v>-50</v>
      </c>
      <c r="K966">
        <v>220</v>
      </c>
      <c r="L966">
        <f>_xlfn.XLOOKUP(F966,magnet_list!$A$2:$A$592,magnet_list!$M$2:$M$592,"n/a",0,1)</f>
        <v>200</v>
      </c>
      <c r="M966">
        <f>_xlfn.XLOOKUP(F966,magnet_list!$A$2:$A$592,magnet_list!$L$2:$L$592,"n/a",0,1)</f>
        <v>20</v>
      </c>
    </row>
    <row r="967" spans="1:13">
      <c r="A967" t="s">
        <v>797</v>
      </c>
      <c r="B967" t="s">
        <v>805</v>
      </c>
      <c r="C967" t="s">
        <v>806</v>
      </c>
      <c r="E967" s="2" t="s">
        <v>141</v>
      </c>
      <c r="F967" s="2" t="s">
        <v>2512</v>
      </c>
      <c r="G967">
        <f t="shared" si="22"/>
        <v>267.39824508100884</v>
      </c>
      <c r="H967">
        <v>-15000</v>
      </c>
      <c r="I967">
        <v>-2936.1876151000001</v>
      </c>
      <c r="J967">
        <v>-50</v>
      </c>
      <c r="K967">
        <v>220</v>
      </c>
      <c r="L967">
        <f>_xlfn.XLOOKUP(F967,magnet_list!$A$2:$A$592,magnet_list!$M$2:$M$592,"n/a",0,1)</f>
        <v>200</v>
      </c>
      <c r="M967">
        <f>_xlfn.XLOOKUP(F967,magnet_list!$A$2:$A$592,magnet_list!$L$2:$L$592,"n/a",0,1)</f>
        <v>20</v>
      </c>
    </row>
    <row r="968" spans="1:13">
      <c r="A968" t="s">
        <v>797</v>
      </c>
      <c r="B968" t="s">
        <v>1152</v>
      </c>
      <c r="C968" t="s">
        <v>1152</v>
      </c>
      <c r="D968" t="s">
        <v>804</v>
      </c>
      <c r="E968" s="3" t="s">
        <v>2031</v>
      </c>
      <c r="F968" s="3" t="s">
        <v>2031</v>
      </c>
      <c r="G968">
        <f>$G$960+ABS($I$968-$I$960)/1000</f>
        <v>267.62903756136893</v>
      </c>
      <c r="H968">
        <v>-15000</v>
      </c>
      <c r="I968">
        <f>$I$960-2528.3039</f>
        <v>-3166.9800954600641</v>
      </c>
      <c r="J968">
        <v>-270</v>
      </c>
      <c r="K968">
        <v>0</v>
      </c>
    </row>
    <row r="969" spans="1:13">
      <c r="A969" t="s">
        <v>797</v>
      </c>
      <c r="B969" t="s">
        <v>803</v>
      </c>
      <c r="C969" t="s">
        <v>806</v>
      </c>
      <c r="E969" t="s">
        <v>934</v>
      </c>
      <c r="F969" t="s">
        <v>934</v>
      </c>
      <c r="G969">
        <f t="shared" si="22"/>
        <v>267.84989159438885</v>
      </c>
      <c r="H969">
        <v>-10383.563615360001</v>
      </c>
      <c r="I969">
        <v>-3387.8341284799999</v>
      </c>
      <c r="J969">
        <v>-15.3782573</v>
      </c>
      <c r="K969">
        <v>254.6217427</v>
      </c>
    </row>
    <row r="970" spans="1:13">
      <c r="A970" t="s">
        <v>797</v>
      </c>
      <c r="B970" t="s">
        <v>803</v>
      </c>
      <c r="C970" t="s">
        <v>806</v>
      </c>
      <c r="E970" t="s">
        <v>819</v>
      </c>
      <c r="F970" t="s">
        <v>819</v>
      </c>
      <c r="G970">
        <f t="shared" si="22"/>
        <v>267.99261368055886</v>
      </c>
      <c r="H970">
        <v>-13526.348948049999</v>
      </c>
      <c r="I970">
        <v>-3530.5562146500001</v>
      </c>
      <c r="J970">
        <v>-20.275017500000001</v>
      </c>
      <c r="K970">
        <v>249.72498250000001</v>
      </c>
    </row>
    <row r="971" spans="1:13">
      <c r="A971" t="s">
        <v>797</v>
      </c>
      <c r="B971" t="s">
        <v>803</v>
      </c>
      <c r="C971" t="s">
        <v>806</v>
      </c>
      <c r="E971" t="s">
        <v>820</v>
      </c>
      <c r="F971" t="s">
        <v>820</v>
      </c>
      <c r="G971">
        <f t="shared" si="22"/>
        <v>268.11481994868888</v>
      </c>
      <c r="H971">
        <v>-13384.85332806</v>
      </c>
      <c r="I971">
        <v>-3652.76248278</v>
      </c>
      <c r="J971">
        <v>290.49690853999999</v>
      </c>
      <c r="K971">
        <v>560.49690854000005</v>
      </c>
    </row>
    <row r="972" spans="1:13">
      <c r="A972" t="s">
        <v>797</v>
      </c>
      <c r="B972" t="s">
        <v>803</v>
      </c>
      <c r="C972" t="s">
        <v>806</v>
      </c>
      <c r="E972" t="s">
        <v>818</v>
      </c>
      <c r="F972" t="s">
        <v>818</v>
      </c>
      <c r="G972">
        <f t="shared" si="22"/>
        <v>268.1153230487289</v>
      </c>
      <c r="H972">
        <v>-12048.40081904</v>
      </c>
      <c r="I972">
        <v>-3653.26558282</v>
      </c>
      <c r="J972">
        <v>-15.90929019</v>
      </c>
      <c r="K972">
        <v>254.09070980999999</v>
      </c>
    </row>
    <row r="973" spans="1:13">
      <c r="A973" t="s">
        <v>797</v>
      </c>
      <c r="B973" t="s">
        <v>805</v>
      </c>
      <c r="C973" t="s">
        <v>806</v>
      </c>
      <c r="E973" s="2" t="s">
        <v>142</v>
      </c>
      <c r="F973" s="2" t="s">
        <v>2513</v>
      </c>
      <c r="G973">
        <f t="shared" si="22"/>
        <v>268.4700542090589</v>
      </c>
      <c r="H973">
        <v>-15000</v>
      </c>
      <c r="I973">
        <v>-4007.9967431499999</v>
      </c>
      <c r="J973">
        <v>-50</v>
      </c>
      <c r="K973">
        <v>220</v>
      </c>
      <c r="L973">
        <f>_xlfn.XLOOKUP(F973,magnet_list!$A$2:$A$592,magnet_list!$M$2:$M$592,"n/a",0,1)</f>
        <v>200</v>
      </c>
      <c r="M973">
        <f>_xlfn.XLOOKUP(F973,magnet_list!$A$2:$A$592,magnet_list!$L$2:$L$592,"n/a",0,1)</f>
        <v>20</v>
      </c>
    </row>
    <row r="974" spans="1:13">
      <c r="A974" t="s">
        <v>797</v>
      </c>
      <c r="B974" t="s">
        <v>805</v>
      </c>
      <c r="C974" t="s">
        <v>1152</v>
      </c>
      <c r="D974" t="s">
        <v>804</v>
      </c>
      <c r="E974" s="2" t="s">
        <v>625</v>
      </c>
      <c r="F974" s="2" t="s">
        <v>2513</v>
      </c>
      <c r="G974">
        <f t="shared" si="22"/>
        <v>268.54504520905891</v>
      </c>
      <c r="H974">
        <v>-15000</v>
      </c>
      <c r="I974">
        <v>-4082.9877431499995</v>
      </c>
      <c r="J974">
        <v>-50</v>
      </c>
      <c r="K974">
        <v>220</v>
      </c>
      <c r="L974">
        <f>_xlfn.XLOOKUP(F974,magnet_list!$A$2:$A$592,magnet_list!$M$2:$M$592,"n/a",0,1)</f>
        <v>200</v>
      </c>
      <c r="M974">
        <f>_xlfn.XLOOKUP(F974,magnet_list!$A$2:$A$592,magnet_list!$L$2:$L$592,"n/a",0,1)</f>
        <v>20</v>
      </c>
    </row>
    <row r="975" spans="1:13">
      <c r="A975" t="s">
        <v>797</v>
      </c>
      <c r="B975" t="s">
        <v>805</v>
      </c>
      <c r="C975" t="s">
        <v>806</v>
      </c>
      <c r="E975" s="2" t="s">
        <v>143</v>
      </c>
      <c r="F975" s="2" t="s">
        <v>2513</v>
      </c>
      <c r="G975">
        <f t="shared" si="22"/>
        <v>268.6200164100689</v>
      </c>
      <c r="H975">
        <v>-15000</v>
      </c>
      <c r="I975">
        <v>-4157.9589441600001</v>
      </c>
      <c r="J975">
        <v>-50</v>
      </c>
      <c r="K975">
        <v>220</v>
      </c>
      <c r="L975">
        <f>_xlfn.XLOOKUP(F975,magnet_list!$A$2:$A$592,magnet_list!$M$2:$M$592,"n/a",0,1)</f>
        <v>200</v>
      </c>
      <c r="M975">
        <f>_xlfn.XLOOKUP(F975,magnet_list!$A$2:$A$592,magnet_list!$L$2:$L$592,"n/a",0,1)</f>
        <v>20</v>
      </c>
    </row>
    <row r="976" spans="1:13">
      <c r="A976" t="s">
        <v>797</v>
      </c>
      <c r="B976" t="s">
        <v>805</v>
      </c>
      <c r="C976" t="s">
        <v>1152</v>
      </c>
      <c r="D976" t="s">
        <v>804</v>
      </c>
      <c r="E976" s="2" t="s">
        <v>2032</v>
      </c>
      <c r="F976" s="2" t="s">
        <v>2514</v>
      </c>
      <c r="G976">
        <f t="shared" si="22"/>
        <v>268.8763942090589</v>
      </c>
      <c r="H976">
        <v>-15000</v>
      </c>
      <c r="I976">
        <f>$I$974-331.349</f>
        <v>-4414.3367431499992</v>
      </c>
      <c r="J976">
        <v>-270</v>
      </c>
      <c r="K976">
        <v>0</v>
      </c>
      <c r="L976">
        <f>_xlfn.XLOOKUP(F976,magnet_list!$A$2:$A$592,magnet_list!$M$2:$M$592,"n/a",0,1)</f>
        <v>150</v>
      </c>
      <c r="M976">
        <f>_xlfn.XLOOKUP(F976,magnet_list!$A$2:$A$592,magnet_list!$L$2:$L$592,"n/a",0,1)</f>
        <v>35</v>
      </c>
    </row>
    <row r="977" spans="1:13">
      <c r="A977" t="s">
        <v>797</v>
      </c>
      <c r="B977" t="s">
        <v>803</v>
      </c>
      <c r="C977" t="s">
        <v>806</v>
      </c>
      <c r="E977" t="s">
        <v>932</v>
      </c>
      <c r="F977" t="s">
        <v>932</v>
      </c>
      <c r="G977">
        <f t="shared" si="22"/>
        <v>268.89922770348892</v>
      </c>
      <c r="H977">
        <v>-8752.1982941599999</v>
      </c>
      <c r="I977">
        <v>-4437.1702375799996</v>
      </c>
      <c r="J977">
        <v>183.12887053</v>
      </c>
      <c r="K977">
        <v>453.12887052999997</v>
      </c>
    </row>
    <row r="978" spans="1:13">
      <c r="A978" t="s">
        <v>797</v>
      </c>
      <c r="B978" t="s">
        <v>1152</v>
      </c>
      <c r="C978" t="s">
        <v>1152</v>
      </c>
      <c r="D978" t="s">
        <v>804</v>
      </c>
      <c r="E978" s="3" t="s">
        <v>2033</v>
      </c>
      <c r="F978" s="3" t="s">
        <v>2033</v>
      </c>
      <c r="G978">
        <f>$G$968+ABS($I$978-$I$968)/1000</f>
        <v>269.16553756136892</v>
      </c>
      <c r="H978">
        <v>-15000</v>
      </c>
      <c r="I978">
        <f>$I$968-1536.5</f>
        <v>-4703.4800954600641</v>
      </c>
      <c r="J978">
        <v>-270</v>
      </c>
      <c r="K978">
        <v>0</v>
      </c>
    </row>
    <row r="979" spans="1:13">
      <c r="A979" t="s">
        <v>797</v>
      </c>
      <c r="B979" t="s">
        <v>805</v>
      </c>
      <c r="C979" t="s">
        <v>1152</v>
      </c>
      <c r="D979" t="s">
        <v>804</v>
      </c>
      <c r="E979" s="2" t="s">
        <v>3709</v>
      </c>
      <c r="F979" s="2" t="s">
        <v>3710</v>
      </c>
      <c r="G979">
        <f t="shared" si="22"/>
        <v>269.39653756136892</v>
      </c>
      <c r="H979">
        <v>-15000</v>
      </c>
      <c r="I979">
        <f>$I$978-231</f>
        <v>-4934.4800954600641</v>
      </c>
      <c r="J979">
        <v>-270</v>
      </c>
      <c r="K979">
        <v>0</v>
      </c>
      <c r="L979">
        <f>_xlfn.XLOOKUP(F979,magnet_list!$A$2:$A$592,magnet_list!$M$2:$M$592,"n/a",0,1)</f>
        <v>150</v>
      </c>
      <c r="M979">
        <f>_xlfn.XLOOKUP(F979,magnet_list!$A$2:$A$592,magnet_list!$L$2:$L$592,"n/a",0,1)</f>
        <v>35</v>
      </c>
    </row>
    <row r="980" spans="1:13">
      <c r="A980" t="s">
        <v>797</v>
      </c>
      <c r="B980" t="s">
        <v>805</v>
      </c>
      <c r="C980" t="s">
        <v>1152</v>
      </c>
      <c r="D980" t="s">
        <v>804</v>
      </c>
      <c r="E980" s="2" t="s">
        <v>2034</v>
      </c>
      <c r="F980" s="2" t="s">
        <v>2515</v>
      </c>
      <c r="G980">
        <f t="shared" si="22"/>
        <v>269.6786705613689</v>
      </c>
      <c r="H980">
        <v>-15000</v>
      </c>
      <c r="I980">
        <f>$I$979-282.133</f>
        <v>-5216.613095460064</v>
      </c>
      <c r="J980">
        <v>-270</v>
      </c>
      <c r="K980">
        <v>0</v>
      </c>
      <c r="L980">
        <f>_xlfn.XLOOKUP(F980,magnet_list!$A$2:$A$592,magnet_list!$M$2:$M$592,"n/a",0,1)</f>
        <v>150</v>
      </c>
      <c r="M980">
        <f>_xlfn.XLOOKUP(F980,magnet_list!$A$2:$A$592,magnet_list!$L$2:$L$592,"n/a",0,1)</f>
        <v>35</v>
      </c>
    </row>
    <row r="981" spans="1:13">
      <c r="A981" t="s">
        <v>797</v>
      </c>
      <c r="B981" t="s">
        <v>803</v>
      </c>
      <c r="C981" t="s">
        <v>806</v>
      </c>
      <c r="E981" t="s">
        <v>817</v>
      </c>
      <c r="F981" t="s">
        <v>817</v>
      </c>
      <c r="G981">
        <f t="shared" si="22"/>
        <v>269.71596645562886</v>
      </c>
      <c r="H981">
        <v>-17468.073540369998</v>
      </c>
      <c r="I981">
        <v>-5253.9089897200001</v>
      </c>
      <c r="J981">
        <v>-14.90399459</v>
      </c>
      <c r="K981">
        <v>255.09600541</v>
      </c>
    </row>
    <row r="982" spans="1:13">
      <c r="A982" t="s">
        <v>797</v>
      </c>
      <c r="B982" t="s">
        <v>803</v>
      </c>
      <c r="C982" t="s">
        <v>806</v>
      </c>
      <c r="E982" t="s">
        <v>1002</v>
      </c>
      <c r="F982" t="s">
        <v>1002</v>
      </c>
      <c r="G982">
        <f t="shared" si="22"/>
        <v>270.48126762732886</v>
      </c>
      <c r="H982">
        <v>-15400</v>
      </c>
      <c r="I982">
        <v>-6019.2101614200001</v>
      </c>
      <c r="J982">
        <v>-689</v>
      </c>
      <c r="K982">
        <v>-419</v>
      </c>
    </row>
    <row r="983" spans="1:13">
      <c r="A983" t="s">
        <v>797</v>
      </c>
      <c r="B983" t="s">
        <v>2288</v>
      </c>
      <c r="C983" t="s">
        <v>1152</v>
      </c>
      <c r="D983" t="s">
        <v>804</v>
      </c>
      <c r="E983" s="8" t="s">
        <v>2322</v>
      </c>
      <c r="F983" s="8" t="s">
        <v>2322</v>
      </c>
      <c r="G983">
        <f>$G$978+ABS($I$983-$I$978)/1000</f>
        <v>270.63853756136893</v>
      </c>
      <c r="H983">
        <v>-15000</v>
      </c>
      <c r="I983">
        <f>$I$978-1473</f>
        <v>-6176.4800954600641</v>
      </c>
      <c r="J983">
        <v>-270</v>
      </c>
      <c r="K983">
        <v>0</v>
      </c>
    </row>
    <row r="984" spans="1:13">
      <c r="A984" t="s">
        <v>797</v>
      </c>
      <c r="B984" t="s">
        <v>803</v>
      </c>
      <c r="C984" t="s">
        <v>806</v>
      </c>
      <c r="E984" t="s">
        <v>933</v>
      </c>
      <c r="F984" t="s">
        <v>933</v>
      </c>
      <c r="G984">
        <f t="shared" si="22"/>
        <v>270.94616305320886</v>
      </c>
      <c r="H984">
        <v>-9945.0420233599998</v>
      </c>
      <c r="I984">
        <v>-6484.1055872999996</v>
      </c>
      <c r="J984">
        <v>183.98731316000001</v>
      </c>
      <c r="K984">
        <v>453.98731315999999</v>
      </c>
    </row>
    <row r="985" spans="1:13">
      <c r="A985" t="s">
        <v>797</v>
      </c>
      <c r="B985" t="s">
        <v>1152</v>
      </c>
      <c r="C985" t="s">
        <v>1152</v>
      </c>
      <c r="D985" t="s">
        <v>804</v>
      </c>
      <c r="E985" s="3" t="s">
        <v>2035</v>
      </c>
      <c r="F985" s="3" t="s">
        <v>2035</v>
      </c>
      <c r="G985">
        <f>$G$983+ABS($I$985-$I$983)/1000</f>
        <v>271.04653756136895</v>
      </c>
      <c r="H985">
        <v>-15000</v>
      </c>
      <c r="I985">
        <f>$I$983-408</f>
        <v>-6584.4800954600641</v>
      </c>
      <c r="J985">
        <v>-270</v>
      </c>
      <c r="K985">
        <v>0</v>
      </c>
    </row>
    <row r="986" spans="1:13">
      <c r="A986" t="s">
        <v>797</v>
      </c>
      <c r="B986" t="s">
        <v>1152</v>
      </c>
      <c r="C986" t="s">
        <v>1152</v>
      </c>
      <c r="D986" t="s">
        <v>804</v>
      </c>
      <c r="E986" s="3" t="s">
        <v>2036</v>
      </c>
      <c r="F986" s="3" t="s">
        <v>2036</v>
      </c>
      <c r="G986">
        <f>$G$985+ABS($I$986-$I$985)/1000</f>
        <v>271.32403756136893</v>
      </c>
      <c r="H986">
        <v>-15000</v>
      </c>
      <c r="I986">
        <f>$I$985-277.5</f>
        <v>-6861.9800954600641</v>
      </c>
      <c r="J986">
        <v>-270</v>
      </c>
      <c r="K986">
        <v>0</v>
      </c>
    </row>
    <row r="987" spans="1:13">
      <c r="A987" t="s">
        <v>797</v>
      </c>
      <c r="B987" t="s">
        <v>803</v>
      </c>
      <c r="C987" t="s">
        <v>806</v>
      </c>
      <c r="E987" t="s">
        <v>821</v>
      </c>
      <c r="F987" t="s">
        <v>821</v>
      </c>
      <c r="G987">
        <f t="shared" si="22"/>
        <v>272.06773684856887</v>
      </c>
      <c r="H987">
        <v>-17467.899075099998</v>
      </c>
      <c r="I987">
        <v>-7605.6793826599996</v>
      </c>
      <c r="J987">
        <v>-16.837507299999999</v>
      </c>
      <c r="K987">
        <v>253.1624927</v>
      </c>
    </row>
    <row r="988" spans="1:13">
      <c r="A988" t="s">
        <v>797</v>
      </c>
      <c r="B988" t="s">
        <v>3832</v>
      </c>
      <c r="C988" t="s">
        <v>1152</v>
      </c>
      <c r="D988" t="s">
        <v>804</v>
      </c>
      <c r="E988" t="s">
        <v>3866</v>
      </c>
      <c r="F988" t="s">
        <v>3866</v>
      </c>
      <c r="G988">
        <f>$G$986+990.75/1000</f>
        <v>272.31478756136892</v>
      </c>
      <c r="H988">
        <v>-15000</v>
      </c>
      <c r="I988">
        <f>$I$986-990.75</f>
        <v>-7852.7300954600641</v>
      </c>
      <c r="J988">
        <v>-270</v>
      </c>
      <c r="K988">
        <v>0</v>
      </c>
      <c r="M988">
        <v>4</v>
      </c>
    </row>
    <row r="989" spans="1:13">
      <c r="A989" t="s">
        <v>797</v>
      </c>
      <c r="B989" t="s">
        <v>804</v>
      </c>
      <c r="C989" t="s">
        <v>1152</v>
      </c>
      <c r="D989" t="s">
        <v>804</v>
      </c>
      <c r="E989" s="10" t="s">
        <v>1578</v>
      </c>
      <c r="F989" s="10" t="s">
        <v>2516</v>
      </c>
      <c r="G989">
        <f>$G$992-ABS($I$992-$I$989)/1000</f>
        <v>272.70930796136895</v>
      </c>
      <c r="H989">
        <v>-15000</v>
      </c>
      <c r="I989">
        <f>$I$992+$L$989/2</f>
        <v>-8247.2504954600645</v>
      </c>
      <c r="J989">
        <v>-270</v>
      </c>
      <c r="K989">
        <v>0</v>
      </c>
      <c r="L989">
        <v>1889.4492</v>
      </c>
    </row>
    <row r="990" spans="1:13">
      <c r="A990" t="s">
        <v>797</v>
      </c>
      <c r="B990" t="s">
        <v>3855</v>
      </c>
      <c r="C990" t="s">
        <v>1152</v>
      </c>
      <c r="D990" t="s">
        <v>804</v>
      </c>
      <c r="E990" t="s">
        <v>2037</v>
      </c>
      <c r="F990" t="s">
        <v>2518</v>
      </c>
      <c r="G990">
        <f>$G$986+ABS($I$990-$I$986)/1000</f>
        <v>272.90433756136895</v>
      </c>
      <c r="H990">
        <v>-15000</v>
      </c>
      <c r="I990">
        <f>$I$986-1580.3</f>
        <v>-8442.2800954600643</v>
      </c>
      <c r="J990">
        <v>-270</v>
      </c>
      <c r="K990">
        <v>0</v>
      </c>
      <c r="L990">
        <f>_xlfn.XLOOKUP(F990,magnet_list!$A$2:$A$592,magnet_list!$M$2:$M$592,"n/a",0,1)</f>
        <v>427</v>
      </c>
      <c r="M990">
        <f>_xlfn.XLOOKUP(F990,magnet_list!$A$2:$A$592,magnet_list!$L$2:$L$592,"n/a",0,1)</f>
        <v>260</v>
      </c>
    </row>
    <row r="991" spans="1:13">
      <c r="A991" t="s">
        <v>797</v>
      </c>
      <c r="B991" t="s">
        <v>3855</v>
      </c>
      <c r="C991" t="s">
        <v>1152</v>
      </c>
      <c r="D991" t="s">
        <v>804</v>
      </c>
      <c r="E991" t="s">
        <v>2038</v>
      </c>
      <c r="F991" t="s">
        <v>2519</v>
      </c>
      <c r="G991">
        <f>$G$990+ABS($I$991-$I$990)/1000</f>
        <v>273.40889756136897</v>
      </c>
      <c r="H991">
        <v>-15000</v>
      </c>
      <c r="I991">
        <f>$I$990-504.56</f>
        <v>-8946.8400954600638</v>
      </c>
      <c r="J991">
        <v>-270</v>
      </c>
      <c r="K991">
        <v>0</v>
      </c>
      <c r="L991">
        <f>_xlfn.XLOOKUP(F991,magnet_list!$A$2:$A$592,magnet_list!$M$2:$M$592,"n/a",0,1)</f>
        <v>427</v>
      </c>
      <c r="M991">
        <f>_xlfn.XLOOKUP(F991,magnet_list!$A$2:$A$592,magnet_list!$L$2:$L$592,"n/a",0,1)</f>
        <v>260</v>
      </c>
    </row>
    <row r="992" spans="1:13">
      <c r="A992" t="s">
        <v>797</v>
      </c>
      <c r="B992" t="s">
        <v>804</v>
      </c>
      <c r="C992" t="s">
        <v>1152</v>
      </c>
      <c r="D992" t="s">
        <v>804</v>
      </c>
      <c r="E992" s="10" t="s">
        <v>1188</v>
      </c>
      <c r="F992" s="10" t="s">
        <v>2516</v>
      </c>
      <c r="G992">
        <f>$G$986+ABS($I$992-$I$986)/1000</f>
        <v>273.65403256136892</v>
      </c>
      <c r="H992">
        <v>-15000</v>
      </c>
      <c r="I992">
        <f>$I$986-2329.995</f>
        <v>-9191.975095460064</v>
      </c>
      <c r="J992">
        <v>-270</v>
      </c>
      <c r="K992">
        <v>0</v>
      </c>
      <c r="L992">
        <v>1889.4492</v>
      </c>
    </row>
    <row r="993" spans="1:13">
      <c r="A993" t="s">
        <v>797</v>
      </c>
      <c r="B993" t="s">
        <v>3855</v>
      </c>
      <c r="C993" t="s">
        <v>1152</v>
      </c>
      <c r="D993" t="s">
        <v>804</v>
      </c>
      <c r="E993" t="s">
        <v>2039</v>
      </c>
      <c r="F993" t="s">
        <v>2520</v>
      </c>
      <c r="G993">
        <f>$G$991+ABS($I$993-$I$991)/1000</f>
        <v>273.913457561369</v>
      </c>
      <c r="H993">
        <v>-15000</v>
      </c>
      <c r="I993">
        <f>$I$991-504.56</f>
        <v>-9451.4000954600633</v>
      </c>
      <c r="J993">
        <v>-270</v>
      </c>
      <c r="K993">
        <v>0</v>
      </c>
      <c r="L993">
        <f>_xlfn.XLOOKUP(F993,magnet_list!$A$2:$A$592,magnet_list!$M$2:$M$592,"n/a",0,1)</f>
        <v>427</v>
      </c>
      <c r="M993">
        <f>_xlfn.XLOOKUP(F993,magnet_list!$A$2:$A$592,magnet_list!$L$2:$L$592,"n/a",0,1)</f>
        <v>260</v>
      </c>
    </row>
    <row r="994" spans="1:13">
      <c r="A994" t="s">
        <v>797</v>
      </c>
      <c r="B994" t="s">
        <v>3855</v>
      </c>
      <c r="C994" t="s">
        <v>1152</v>
      </c>
      <c r="D994" t="s">
        <v>804</v>
      </c>
      <c r="E994" t="s">
        <v>2040</v>
      </c>
      <c r="F994" t="s">
        <v>2521</v>
      </c>
      <c r="G994">
        <f>$G$993+ABS($I$994-$I$993)/1000</f>
        <v>274.41801756136903</v>
      </c>
      <c r="H994">
        <v>-15000</v>
      </c>
      <c r="I994">
        <f>$I$993-504.56</f>
        <v>-9955.9600954600628</v>
      </c>
      <c r="J994">
        <v>-270</v>
      </c>
      <c r="K994">
        <v>0</v>
      </c>
      <c r="L994">
        <f>_xlfn.XLOOKUP(F994,magnet_list!$A$2:$A$592,magnet_list!$M$2:$M$592,"n/a",0,1)</f>
        <v>427</v>
      </c>
      <c r="M994">
        <f>_xlfn.XLOOKUP(F994,magnet_list!$A$2:$A$592,magnet_list!$L$2:$L$592,"n/a",0,1)</f>
        <v>260</v>
      </c>
    </row>
    <row r="995" spans="1:13">
      <c r="A995" t="s">
        <v>797</v>
      </c>
      <c r="B995" t="s">
        <v>804</v>
      </c>
      <c r="C995" t="s">
        <v>1152</v>
      </c>
      <c r="D995" t="s">
        <v>804</v>
      </c>
      <c r="E995" s="10" t="s">
        <v>1579</v>
      </c>
      <c r="F995" s="10" t="s">
        <v>2516</v>
      </c>
      <c r="G995">
        <f>$G$992+ABS($I$995-$I$992)/1000</f>
        <v>274.59875716136889</v>
      </c>
      <c r="H995">
        <v>-15000</v>
      </c>
      <c r="I995">
        <f>$I$992-$L$995/2</f>
        <v>-10136.699695460064</v>
      </c>
      <c r="J995">
        <v>-270</v>
      </c>
      <c r="K995">
        <v>0</v>
      </c>
      <c r="L995">
        <v>1889.4492</v>
      </c>
    </row>
    <row r="996" spans="1:13">
      <c r="A996" t="s">
        <v>797</v>
      </c>
      <c r="B996" t="s">
        <v>1152</v>
      </c>
      <c r="C996" t="s">
        <v>1152</v>
      </c>
      <c r="D996" t="s">
        <v>804</v>
      </c>
      <c r="E996" s="3" t="s">
        <v>2041</v>
      </c>
      <c r="F996" s="3" t="s">
        <v>2041</v>
      </c>
      <c r="G996">
        <f>$G$994+ABS($I$996-$I$994)/1000</f>
        <v>274.82918306136901</v>
      </c>
      <c r="H996">
        <v>-15000</v>
      </c>
      <c r="I996">
        <f>$I$994-411.1655</f>
        <v>-10367.125595460062</v>
      </c>
      <c r="J996">
        <v>-270</v>
      </c>
      <c r="K996">
        <v>0</v>
      </c>
    </row>
    <row r="997" spans="1:13">
      <c r="A997" t="s">
        <v>797</v>
      </c>
      <c r="B997" t="s">
        <v>3855</v>
      </c>
      <c r="C997" t="s">
        <v>1152</v>
      </c>
      <c r="D997" t="s">
        <v>804</v>
      </c>
      <c r="E997" s="1" t="s">
        <v>2042</v>
      </c>
      <c r="F997" s="1" t="s">
        <v>2522</v>
      </c>
      <c r="G997">
        <f>$G$994+ABS($I$997-$I$994)/1000</f>
        <v>274.97518256136902</v>
      </c>
      <c r="H997">
        <v>-15000</v>
      </c>
      <c r="I997">
        <f>$I$994-557.165</f>
        <v>-10513.125095460062</v>
      </c>
      <c r="J997">
        <v>-270</v>
      </c>
      <c r="K997">
        <v>0</v>
      </c>
      <c r="L997">
        <f>_xlfn.XLOOKUP(F997,magnet_list!$A$2:$A$592,magnet_list!$M$2:$M$592,"n/a",0,1)</f>
        <v>427</v>
      </c>
      <c r="M997">
        <f>_xlfn.XLOOKUP(F997,magnet_list!$A$2:$A$592,magnet_list!$L$2:$L$592,"n/a",0,1)</f>
        <v>260</v>
      </c>
    </row>
    <row r="998" spans="1:13">
      <c r="A998" t="s">
        <v>797</v>
      </c>
      <c r="B998" t="s">
        <v>3857</v>
      </c>
      <c r="C998" t="s">
        <v>1152</v>
      </c>
      <c r="D998" t="s">
        <v>804</v>
      </c>
      <c r="E998" s="1" t="s">
        <v>2284</v>
      </c>
      <c r="F998" s="1" t="s">
        <v>2284</v>
      </c>
      <c r="G998">
        <f>$G$997+ABS($I$998-$I$997)/1000</f>
        <v>274.99538256136901</v>
      </c>
      <c r="H998">
        <v>-15000</v>
      </c>
      <c r="I998">
        <f>$I$997-20.2</f>
        <v>-10533.325095460063</v>
      </c>
      <c r="J998">
        <v>-270</v>
      </c>
      <c r="K998">
        <v>0</v>
      </c>
      <c r="L998">
        <f>_xlfn.XLOOKUP(F998,magnet_list!$A$2:$A$592,magnet_list!$M$2:$M$592,"n/a",0,1)</f>
        <v>305</v>
      </c>
      <c r="M998">
        <f>_xlfn.XLOOKUP(F998,magnet_list!$A$2:$A$592,magnet_list!$L$2:$L$592,"n/a",0,1)</f>
        <v>70</v>
      </c>
    </row>
    <row r="999" spans="1:13">
      <c r="A999" t="s">
        <v>797</v>
      </c>
      <c r="B999" t="s">
        <v>804</v>
      </c>
      <c r="C999" t="s">
        <v>1152</v>
      </c>
      <c r="D999" t="s">
        <v>804</v>
      </c>
      <c r="E999" s="10" t="s">
        <v>1580</v>
      </c>
      <c r="F999" s="10" t="s">
        <v>2517</v>
      </c>
      <c r="G999">
        <f>$G$1002-ABS($I$1002-$I$999)/1000</f>
        <v>275.33731796136897</v>
      </c>
      <c r="H999">
        <v>-15000</v>
      </c>
      <c r="I999">
        <f>$I$1002+$L$999/2</f>
        <v>-10875.260495460065</v>
      </c>
      <c r="J999">
        <v>-270</v>
      </c>
      <c r="K999">
        <v>0</v>
      </c>
      <c r="L999">
        <v>1889.4492</v>
      </c>
    </row>
    <row r="1000" spans="1:13">
      <c r="A1000" t="s">
        <v>797</v>
      </c>
      <c r="B1000" t="s">
        <v>3855</v>
      </c>
      <c r="C1000" t="s">
        <v>1152</v>
      </c>
      <c r="D1000" t="s">
        <v>804</v>
      </c>
      <c r="E1000" t="s">
        <v>2043</v>
      </c>
      <c r="F1000" t="s">
        <v>2523</v>
      </c>
      <c r="G1000">
        <f>$G$997+ABS($I$1000-$I$997)/1000</f>
        <v>275.53234756136902</v>
      </c>
      <c r="H1000">
        <v>-15000</v>
      </c>
      <c r="I1000">
        <f>$I$997-557.165</f>
        <v>-11070.290095460063</v>
      </c>
      <c r="J1000">
        <v>-270</v>
      </c>
      <c r="K1000">
        <v>0</v>
      </c>
      <c r="L1000">
        <f>_xlfn.XLOOKUP(F1000,magnet_list!$A$2:$A$592,magnet_list!$M$2:$M$592,"n/a",0,1)</f>
        <v>427</v>
      </c>
      <c r="M1000">
        <f>_xlfn.XLOOKUP(F1000,magnet_list!$A$2:$A$592,magnet_list!$L$2:$L$592,"n/a",0,1)</f>
        <v>260</v>
      </c>
    </row>
    <row r="1001" spans="1:13">
      <c r="A1001" t="s">
        <v>797</v>
      </c>
      <c r="B1001" t="s">
        <v>3855</v>
      </c>
      <c r="C1001" t="s">
        <v>1152</v>
      </c>
      <c r="D1001" t="s">
        <v>804</v>
      </c>
      <c r="E1001" t="s">
        <v>2044</v>
      </c>
      <c r="F1001" t="s">
        <v>2524</v>
      </c>
      <c r="G1001">
        <f>$G$1000+ABS($I$1001-$I$1000)/1000</f>
        <v>276.03690756136905</v>
      </c>
      <c r="H1001">
        <v>-15000</v>
      </c>
      <c r="I1001">
        <f>$I$1000-504.56</f>
        <v>-11574.850095460062</v>
      </c>
      <c r="J1001">
        <v>-270</v>
      </c>
      <c r="K1001">
        <v>0</v>
      </c>
      <c r="L1001">
        <f>_xlfn.XLOOKUP(F1001,magnet_list!$A$2:$A$592,magnet_list!$M$2:$M$592,"n/a",0,1)</f>
        <v>427</v>
      </c>
      <c r="M1001">
        <f>_xlfn.XLOOKUP(F1001,magnet_list!$A$2:$A$592,magnet_list!$L$2:$L$592,"n/a",0,1)</f>
        <v>260</v>
      </c>
    </row>
    <row r="1002" spans="1:13">
      <c r="A1002" t="s">
        <v>797</v>
      </c>
      <c r="B1002" t="s">
        <v>804</v>
      </c>
      <c r="C1002" t="s">
        <v>1152</v>
      </c>
      <c r="D1002" t="s">
        <v>804</v>
      </c>
      <c r="E1002" s="10" t="s">
        <v>1244</v>
      </c>
      <c r="F1002" s="10" t="s">
        <v>2517</v>
      </c>
      <c r="G1002">
        <f>$G$986+ABS($I$1002-$I$986)/1000</f>
        <v>276.28204256136894</v>
      </c>
      <c r="H1002">
        <v>-15000</v>
      </c>
      <c r="I1002">
        <f>$I$986-4958.005</f>
        <v>-11819.985095460064</v>
      </c>
      <c r="J1002">
        <v>-270</v>
      </c>
      <c r="K1002">
        <v>0</v>
      </c>
      <c r="L1002">
        <v>1889.4492</v>
      </c>
    </row>
    <row r="1003" spans="1:13">
      <c r="A1003" t="s">
        <v>797</v>
      </c>
      <c r="B1003" t="s">
        <v>3855</v>
      </c>
      <c r="C1003" t="s">
        <v>1152</v>
      </c>
      <c r="D1003" t="s">
        <v>804</v>
      </c>
      <c r="E1003" t="s">
        <v>2045</v>
      </c>
      <c r="F1003" t="s">
        <v>2525</v>
      </c>
      <c r="G1003">
        <f>$G$1001+ABS($I$1003-$I$1001)/1000</f>
        <v>276.54146756136907</v>
      </c>
      <c r="H1003">
        <v>-15000</v>
      </c>
      <c r="I1003">
        <f>$I$1001-504.56</f>
        <v>-12079.410095460062</v>
      </c>
      <c r="J1003">
        <v>-270</v>
      </c>
      <c r="K1003">
        <v>0</v>
      </c>
      <c r="L1003">
        <f>_xlfn.XLOOKUP(F1003,magnet_list!$A$2:$A$592,magnet_list!$M$2:$M$592,"n/a",0,1)</f>
        <v>427</v>
      </c>
      <c r="M1003">
        <f>_xlfn.XLOOKUP(F1003,magnet_list!$A$2:$A$592,magnet_list!$L$2:$L$592,"n/a",0,1)</f>
        <v>260</v>
      </c>
    </row>
    <row r="1004" spans="1:13">
      <c r="A1004" t="s">
        <v>797</v>
      </c>
      <c r="B1004" t="s">
        <v>3855</v>
      </c>
      <c r="C1004" t="s">
        <v>1152</v>
      </c>
      <c r="D1004" t="s">
        <v>804</v>
      </c>
      <c r="E1004" t="s">
        <v>2046</v>
      </c>
      <c r="F1004" t="s">
        <v>2526</v>
      </c>
      <c r="G1004">
        <f>$G$1003+ABS($I$1004-$I$1003)/1000</f>
        <v>277.0460275613691</v>
      </c>
      <c r="H1004">
        <v>-15000</v>
      </c>
      <c r="I1004">
        <f>$I$1003-504.56</f>
        <v>-12583.970095460061</v>
      </c>
      <c r="J1004">
        <v>-270</v>
      </c>
      <c r="K1004">
        <v>0</v>
      </c>
      <c r="L1004">
        <f>_xlfn.XLOOKUP(F1004,magnet_list!$A$2:$A$592,magnet_list!$M$2:$M$592,"n/a",0,1)</f>
        <v>427</v>
      </c>
      <c r="M1004">
        <f>_xlfn.XLOOKUP(F1004,magnet_list!$A$2:$A$592,magnet_list!$L$2:$L$592,"n/a",0,1)</f>
        <v>260</v>
      </c>
    </row>
    <row r="1005" spans="1:13">
      <c r="A1005" t="s">
        <v>797</v>
      </c>
      <c r="B1005" t="s">
        <v>804</v>
      </c>
      <c r="C1005" t="s">
        <v>1152</v>
      </c>
      <c r="D1005" t="s">
        <v>804</v>
      </c>
      <c r="E1005" s="10" t="s">
        <v>1581</v>
      </c>
      <c r="F1005" s="10" t="s">
        <v>2517</v>
      </c>
      <c r="G1005">
        <f>$G$1002+ABS($I$1005-$I$1002)/1000</f>
        <v>277.22676716136891</v>
      </c>
      <c r="H1005">
        <v>-15000</v>
      </c>
      <c r="I1005">
        <f>$I$1002-$L$1005/2</f>
        <v>-12764.709695460064</v>
      </c>
      <c r="J1005">
        <v>-270</v>
      </c>
      <c r="K1005">
        <v>0</v>
      </c>
      <c r="L1005">
        <v>1889.4492</v>
      </c>
    </row>
    <row r="1006" spans="1:13">
      <c r="A1006" t="s">
        <v>797</v>
      </c>
      <c r="B1006" t="s">
        <v>1152</v>
      </c>
      <c r="C1006" t="s">
        <v>1152</v>
      </c>
      <c r="D1006" t="s">
        <v>804</v>
      </c>
      <c r="E1006" s="3" t="s">
        <v>2047</v>
      </c>
      <c r="F1006" s="3" t="s">
        <v>2047</v>
      </c>
      <c r="G1006">
        <f>$G$1004+ABS($I$1006-$I$1004)/1000</f>
        <v>277.45080806136912</v>
      </c>
      <c r="H1006">
        <v>-15000</v>
      </c>
      <c r="I1006">
        <f>$I$1004-404.7805</f>
        <v>-12988.750595460062</v>
      </c>
      <c r="J1006">
        <v>-270</v>
      </c>
      <c r="K1006">
        <v>0</v>
      </c>
    </row>
    <row r="1007" spans="1:13">
      <c r="A1007" t="s">
        <v>797</v>
      </c>
      <c r="B1007" t="s">
        <v>3855</v>
      </c>
      <c r="C1007" t="s">
        <v>1152</v>
      </c>
      <c r="D1007" t="s">
        <v>804</v>
      </c>
      <c r="E1007" s="1" t="s">
        <v>2069</v>
      </c>
      <c r="F1007" s="1" t="s">
        <v>2527</v>
      </c>
      <c r="G1007">
        <f>$G$1004+ABS($I$1007-$I$1004)/1000</f>
        <v>277.59680756136908</v>
      </c>
      <c r="H1007">
        <v>-15000</v>
      </c>
      <c r="I1007">
        <f>$I$1004-550.78</f>
        <v>-13134.750095460062</v>
      </c>
      <c r="J1007">
        <v>-270</v>
      </c>
      <c r="K1007">
        <v>0</v>
      </c>
      <c r="L1007">
        <f>_xlfn.XLOOKUP(F1007,magnet_list!$A$2:$A$592,magnet_list!$M$2:$M$592,"n/a",0,1)</f>
        <v>427</v>
      </c>
      <c r="M1007">
        <f>_xlfn.XLOOKUP(F1007,magnet_list!$A$2:$A$592,magnet_list!$L$2:$L$592,"n/a",0,1)</f>
        <v>260</v>
      </c>
    </row>
    <row r="1008" spans="1:13">
      <c r="A1008" t="s">
        <v>797</v>
      </c>
      <c r="B1008" t="s">
        <v>3857</v>
      </c>
      <c r="C1008" t="s">
        <v>1152</v>
      </c>
      <c r="D1008" t="s">
        <v>804</v>
      </c>
      <c r="E1008" s="1" t="s">
        <v>2285</v>
      </c>
      <c r="F1008" s="1" t="s">
        <v>2285</v>
      </c>
      <c r="G1008">
        <f>$G$1007+ABS($I$1008-$I$1007)/1000</f>
        <v>277.61700756136906</v>
      </c>
      <c r="H1008">
        <v>-15000</v>
      </c>
      <c r="I1008">
        <f>$I$1007-20.2</f>
        <v>-13154.950095460063</v>
      </c>
      <c r="J1008">
        <v>-270</v>
      </c>
      <c r="K1008">
        <v>0</v>
      </c>
      <c r="L1008">
        <f>_xlfn.XLOOKUP(F1008,magnet_list!$A$2:$A$592,magnet_list!$M$2:$M$592,"n/a",0,1)</f>
        <v>305</v>
      </c>
      <c r="M1008">
        <f>_xlfn.XLOOKUP(F1008,magnet_list!$A$2:$A$592,magnet_list!$L$2:$L$592,"n/a",0,1)</f>
        <v>70</v>
      </c>
    </row>
    <row r="1009" spans="1:13">
      <c r="A1009" t="s">
        <v>797</v>
      </c>
      <c r="B1009" t="s">
        <v>804</v>
      </c>
      <c r="C1009" t="s">
        <v>1152</v>
      </c>
      <c r="D1009" t="s">
        <v>804</v>
      </c>
      <c r="E1009" s="10" t="s">
        <v>1832</v>
      </c>
      <c r="F1009" s="10" t="s">
        <v>2528</v>
      </c>
      <c r="G1009">
        <f>$G$1013-ABS($I$1013-$I$1009)/1000</f>
        <v>277.96534996136893</v>
      </c>
      <c r="H1009">
        <v>-15000</v>
      </c>
      <c r="I1009">
        <f>$I$1013+$L$1009/2</f>
        <v>-13503.292495460066</v>
      </c>
      <c r="J1009">
        <v>-270</v>
      </c>
      <c r="K1009">
        <v>0</v>
      </c>
      <c r="L1009">
        <v>1889.4492</v>
      </c>
    </row>
    <row r="1010" spans="1:13">
      <c r="A1010" t="s">
        <v>797</v>
      </c>
      <c r="B1010" t="s">
        <v>803</v>
      </c>
      <c r="C1010" t="s">
        <v>806</v>
      </c>
      <c r="E1010" t="s">
        <v>1007</v>
      </c>
      <c r="F1010" t="s">
        <v>1007</v>
      </c>
      <c r="G1010">
        <f t="shared" ref="G1010:G1073" si="23">G1009-(I1010-I1009)/1000</f>
        <v>277.93985429020887</v>
      </c>
      <c r="H1010">
        <v>-15400</v>
      </c>
      <c r="I1010">
        <v>-13477.7968243</v>
      </c>
      <c r="J1010">
        <v>-689</v>
      </c>
      <c r="K1010">
        <v>-419</v>
      </c>
    </row>
    <row r="1011" spans="1:13">
      <c r="A1011" t="s">
        <v>797</v>
      </c>
      <c r="B1011" t="s">
        <v>3855</v>
      </c>
      <c r="C1011" t="s">
        <v>1152</v>
      </c>
      <c r="D1011" t="s">
        <v>804</v>
      </c>
      <c r="E1011" t="s">
        <v>2048</v>
      </c>
      <c r="F1011" t="s">
        <v>2529</v>
      </c>
      <c r="G1011">
        <f>$G$1007+ABS($I$1011-$I$1007)/1000</f>
        <v>278.1603795613691</v>
      </c>
      <c r="H1011">
        <v>-15000</v>
      </c>
      <c r="I1011">
        <f>$I$1007-563.572</f>
        <v>-13698.322095460062</v>
      </c>
      <c r="J1011">
        <v>-270</v>
      </c>
      <c r="K1011">
        <v>0</v>
      </c>
      <c r="L1011">
        <f>_xlfn.XLOOKUP(F1011,magnet_list!$A$2:$A$592,magnet_list!$M$2:$M$592,"n/a",0,1)</f>
        <v>428</v>
      </c>
      <c r="M1011">
        <f>_xlfn.XLOOKUP(F1011,magnet_list!$A$2:$A$592,magnet_list!$L$2:$L$592,"n/a",0,1)</f>
        <v>200</v>
      </c>
    </row>
    <row r="1012" spans="1:13">
      <c r="A1012" t="s">
        <v>797</v>
      </c>
      <c r="B1012" t="s">
        <v>3855</v>
      </c>
      <c r="C1012" t="s">
        <v>1152</v>
      </c>
      <c r="D1012" t="s">
        <v>804</v>
      </c>
      <c r="E1012" t="s">
        <v>2049</v>
      </c>
      <c r="F1012" t="s">
        <v>2530</v>
      </c>
      <c r="G1012">
        <f>$G$1011+ABS($I$1012-$I$1011)/1000</f>
        <v>278.66160656136913</v>
      </c>
      <c r="H1012">
        <v>-15000</v>
      </c>
      <c r="I1012">
        <f>$I$1011-501.227</f>
        <v>-14199.549095460063</v>
      </c>
      <c r="J1012">
        <v>-270</v>
      </c>
      <c r="K1012">
        <v>0</v>
      </c>
      <c r="L1012">
        <f>_xlfn.XLOOKUP(F1012,magnet_list!$A$2:$A$592,magnet_list!$M$2:$M$592,"n/a",0,1)</f>
        <v>447</v>
      </c>
      <c r="M1012">
        <f>_xlfn.XLOOKUP(F1012,magnet_list!$A$2:$A$592,magnet_list!$L$2:$L$592,"n/a",0,1)</f>
        <v>200</v>
      </c>
    </row>
    <row r="1013" spans="1:13">
      <c r="A1013" t="s">
        <v>797</v>
      </c>
      <c r="B1013" t="s">
        <v>804</v>
      </c>
      <c r="C1013" t="s">
        <v>1152</v>
      </c>
      <c r="D1013" t="s">
        <v>804</v>
      </c>
      <c r="E1013" s="10" t="s">
        <v>1189</v>
      </c>
      <c r="F1013" s="10" t="s">
        <v>2528</v>
      </c>
      <c r="G1013">
        <f>$G$986+ABS($I$1013-$I$986)/1000</f>
        <v>278.9100745613689</v>
      </c>
      <c r="H1013">
        <v>-15000</v>
      </c>
      <c r="I1013">
        <f>$I$986-7586.037</f>
        <v>-14448.017095460065</v>
      </c>
      <c r="J1013">
        <v>-270</v>
      </c>
      <c r="K1013">
        <v>0</v>
      </c>
      <c r="L1013">
        <v>1889.4492</v>
      </c>
    </row>
    <row r="1014" spans="1:13">
      <c r="A1014" t="s">
        <v>797</v>
      </c>
      <c r="B1014" t="s">
        <v>803</v>
      </c>
      <c r="C1014" t="s">
        <v>806</v>
      </c>
      <c r="E1014" t="s">
        <v>822</v>
      </c>
      <c r="F1014" t="s">
        <v>822</v>
      </c>
      <c r="G1014">
        <f t="shared" si="23"/>
        <v>279.04374846488884</v>
      </c>
      <c r="H1014">
        <v>-17467.653742819999</v>
      </c>
      <c r="I1014">
        <v>-14581.690998980001</v>
      </c>
      <c r="J1014">
        <v>-16.27985803</v>
      </c>
      <c r="K1014">
        <v>253.72014196999999</v>
      </c>
    </row>
    <row r="1015" spans="1:13">
      <c r="A1015" t="s">
        <v>797</v>
      </c>
      <c r="B1015" t="s">
        <v>3855</v>
      </c>
      <c r="C1015" t="s">
        <v>1152</v>
      </c>
      <c r="D1015" t="s">
        <v>804</v>
      </c>
      <c r="E1015" t="s">
        <v>2050</v>
      </c>
      <c r="F1015" t="s">
        <v>2531</v>
      </c>
      <c r="G1015">
        <f>$G$1012+ABS($I$1015-$I$1012)/1000</f>
        <v>279.17283256136915</v>
      </c>
      <c r="H1015">
        <v>-15000</v>
      </c>
      <c r="I1015">
        <f>$I$1012-511.226</f>
        <v>-14710.775095460063</v>
      </c>
      <c r="J1015">
        <v>-270</v>
      </c>
      <c r="K1015">
        <v>0</v>
      </c>
      <c r="L1015">
        <f>_xlfn.XLOOKUP(F1015,magnet_list!$A$2:$A$592,magnet_list!$M$2:$M$592,"n/a",0,1)</f>
        <v>447</v>
      </c>
      <c r="M1015">
        <f>_xlfn.XLOOKUP(F1015,magnet_list!$A$2:$A$592,magnet_list!$L$2:$L$592,"n/a",0,1)</f>
        <v>200</v>
      </c>
    </row>
    <row r="1016" spans="1:13">
      <c r="A1016" t="s">
        <v>797</v>
      </c>
      <c r="B1016" t="s">
        <v>3855</v>
      </c>
      <c r="C1016" t="s">
        <v>1152</v>
      </c>
      <c r="D1016" t="s">
        <v>804</v>
      </c>
      <c r="E1016" t="s">
        <v>2051</v>
      </c>
      <c r="F1016" t="s">
        <v>2532</v>
      </c>
      <c r="G1016">
        <f>$G$1015+ABS($I$1016-$I$1015)/1000</f>
        <v>279.67405956136918</v>
      </c>
      <c r="H1016">
        <v>-15000</v>
      </c>
      <c r="I1016">
        <f>$I$1015-501.227</f>
        <v>-15212.002095460064</v>
      </c>
      <c r="J1016">
        <v>-270</v>
      </c>
      <c r="K1016">
        <v>0</v>
      </c>
      <c r="L1016">
        <f>_xlfn.XLOOKUP(F1016,magnet_list!$A$2:$A$592,magnet_list!$M$2:$M$592,"n/a",0,1)</f>
        <v>428</v>
      </c>
      <c r="M1016">
        <f>_xlfn.XLOOKUP(F1016,magnet_list!$A$2:$A$592,magnet_list!$L$2:$L$592,"n/a",0,1)</f>
        <v>200</v>
      </c>
    </row>
    <row r="1017" spans="1:13">
      <c r="A1017" t="s">
        <v>797</v>
      </c>
      <c r="B1017" t="s">
        <v>804</v>
      </c>
      <c r="C1017" t="s">
        <v>1152</v>
      </c>
      <c r="D1017" t="s">
        <v>804</v>
      </c>
      <c r="E1017" s="10" t="s">
        <v>1833</v>
      </c>
      <c r="F1017" s="10" t="s">
        <v>2528</v>
      </c>
      <c r="G1017">
        <f>$G$1013+ABS($I$1017-$I$1013)/1000</f>
        <v>279.85479916136887</v>
      </c>
      <c r="H1017">
        <v>-15000</v>
      </c>
      <c r="I1017">
        <f>$I$1013-$L$1017/2</f>
        <v>-15392.741695460065</v>
      </c>
      <c r="J1017">
        <v>-270</v>
      </c>
      <c r="K1017">
        <v>0</v>
      </c>
      <c r="L1017">
        <v>1889.4492</v>
      </c>
    </row>
    <row r="1018" spans="1:13">
      <c r="A1018" t="s">
        <v>797</v>
      </c>
      <c r="B1018" t="s">
        <v>1152</v>
      </c>
      <c r="C1018" t="s">
        <v>1152</v>
      </c>
      <c r="D1018" t="s">
        <v>804</v>
      </c>
      <c r="E1018" s="3" t="s">
        <v>2052</v>
      </c>
      <c r="F1018" s="3" t="s">
        <v>2052</v>
      </c>
      <c r="G1018">
        <f>$G$1016+ABS($I$1018-$I$1016)/1000</f>
        <v>280.0702150613692</v>
      </c>
      <c r="H1018">
        <v>-15000</v>
      </c>
      <c r="I1018">
        <f>$I$1016-396.1555</f>
        <v>-15608.157595460065</v>
      </c>
      <c r="J1018">
        <v>-270</v>
      </c>
      <c r="K1018">
        <v>0</v>
      </c>
    </row>
    <row r="1019" spans="1:13">
      <c r="A1019" t="s">
        <v>797</v>
      </c>
      <c r="B1019" t="s">
        <v>3855</v>
      </c>
      <c r="C1019" t="s">
        <v>1152</v>
      </c>
      <c r="D1019" t="s">
        <v>804</v>
      </c>
      <c r="E1019" t="s">
        <v>2053</v>
      </c>
      <c r="F1019" t="s">
        <v>2533</v>
      </c>
      <c r="G1019">
        <f>$G$1016+ABS($I$1019-$I$1016)/1000</f>
        <v>280.21621456136916</v>
      </c>
      <c r="H1019">
        <v>-15000</v>
      </c>
      <c r="I1019">
        <f>$I$1016-542.155</f>
        <v>-15754.157095460065</v>
      </c>
      <c r="J1019">
        <v>-270</v>
      </c>
      <c r="K1019">
        <v>0</v>
      </c>
      <c r="L1019">
        <f>_xlfn.XLOOKUP(F1019,magnet_list!$A$2:$A$592,magnet_list!$M$2:$M$592,"n/a",0,1)</f>
        <v>427</v>
      </c>
      <c r="M1019">
        <f>_xlfn.XLOOKUP(F1019,magnet_list!$A$2:$A$592,magnet_list!$L$2:$L$592,"n/a",0,1)</f>
        <v>200</v>
      </c>
    </row>
    <row r="1020" spans="1:13">
      <c r="A1020" t="s">
        <v>797</v>
      </c>
      <c r="B1020" t="s">
        <v>3857</v>
      </c>
      <c r="C1020" t="s">
        <v>1152</v>
      </c>
      <c r="D1020" t="s">
        <v>804</v>
      </c>
      <c r="E1020" t="s">
        <v>2286</v>
      </c>
      <c r="F1020" t="s">
        <v>2286</v>
      </c>
      <c r="G1020">
        <f>$G$1019+ABS($I$1020-$I$1019)/1000</f>
        <v>280.23641456136914</v>
      </c>
      <c r="H1020">
        <v>-15000</v>
      </c>
      <c r="I1020">
        <f>$I$1019-20.2</f>
        <v>-15774.357095460065</v>
      </c>
      <c r="J1020">
        <v>-270</v>
      </c>
      <c r="K1020">
        <v>0</v>
      </c>
      <c r="L1020">
        <f>_xlfn.XLOOKUP(F1020,magnet_list!$A$2:$A$592,magnet_list!$M$2:$M$592,"n/a",0,1)</f>
        <v>305</v>
      </c>
      <c r="M1020">
        <f>_xlfn.XLOOKUP(F1020,magnet_list!$A$2:$A$592,magnet_list!$L$2:$L$592,"n/a",0,1)</f>
        <v>70</v>
      </c>
    </row>
    <row r="1021" spans="1:13">
      <c r="A1021" t="s">
        <v>797</v>
      </c>
      <c r="B1021" t="s">
        <v>803</v>
      </c>
      <c r="C1021" t="s">
        <v>806</v>
      </c>
      <c r="E1021" t="s">
        <v>825</v>
      </c>
      <c r="F1021" t="s">
        <v>825</v>
      </c>
      <c r="G1021">
        <f t="shared" si="23"/>
        <v>280.47312965950908</v>
      </c>
      <c r="H1021">
        <v>-13515.16937793</v>
      </c>
      <c r="I1021">
        <v>-16011.072193600001</v>
      </c>
      <c r="J1021">
        <v>285.95358378999998</v>
      </c>
      <c r="K1021">
        <v>555.95358379000004</v>
      </c>
    </row>
    <row r="1022" spans="1:13">
      <c r="A1022" t="s">
        <v>797</v>
      </c>
      <c r="B1022" t="s">
        <v>804</v>
      </c>
      <c r="C1022" t="s">
        <v>1152</v>
      </c>
      <c r="D1022" t="s">
        <v>804</v>
      </c>
      <c r="E1022" s="10" t="s">
        <v>1582</v>
      </c>
      <c r="F1022" s="10" t="s">
        <v>2534</v>
      </c>
      <c r="G1022">
        <f>$G$1025-ABS($I$1025-$I$1022)/1000</f>
        <v>280.56334096136897</v>
      </c>
      <c r="H1022">
        <v>-15000</v>
      </c>
      <c r="I1022">
        <f>$I$1025+$L$1022/2</f>
        <v>-16101.283495460064</v>
      </c>
      <c r="J1022">
        <v>-270</v>
      </c>
      <c r="K1022">
        <v>0</v>
      </c>
      <c r="L1022">
        <v>1889.4492</v>
      </c>
    </row>
    <row r="1023" spans="1:13">
      <c r="A1023" t="s">
        <v>797</v>
      </c>
      <c r="B1023" t="s">
        <v>3855</v>
      </c>
      <c r="C1023" t="s">
        <v>1152</v>
      </c>
      <c r="D1023" t="s">
        <v>804</v>
      </c>
      <c r="E1023" t="s">
        <v>2054</v>
      </c>
      <c r="F1023" t="s">
        <v>2535</v>
      </c>
      <c r="G1023">
        <f>$G$1019+ABS($I$1023-$I$1019)/1000</f>
        <v>280.75837056136913</v>
      </c>
      <c r="H1023">
        <v>-15000</v>
      </c>
      <c r="I1023">
        <f>$I$1019-542.156</f>
        <v>-16296.313095460064</v>
      </c>
      <c r="J1023">
        <v>-270</v>
      </c>
      <c r="K1023">
        <v>0</v>
      </c>
      <c r="L1023">
        <f>_xlfn.XLOOKUP(F1023,magnet_list!$A$2:$A$592,magnet_list!$M$2:$M$592,"n/a",0,1)</f>
        <v>428</v>
      </c>
      <c r="M1023">
        <f>_xlfn.XLOOKUP(F1023,magnet_list!$A$2:$A$592,magnet_list!$L$2:$L$592,"n/a",0,1)</f>
        <v>200</v>
      </c>
    </row>
    <row r="1024" spans="1:13">
      <c r="A1024" t="s">
        <v>797</v>
      </c>
      <c r="B1024" t="s">
        <v>3855</v>
      </c>
      <c r="C1024" t="s">
        <v>1152</v>
      </c>
      <c r="D1024" t="s">
        <v>804</v>
      </c>
      <c r="E1024" t="s">
        <v>2055</v>
      </c>
      <c r="F1024" t="s">
        <v>2536</v>
      </c>
      <c r="G1024">
        <f>$G$1023+ABS($I$1024-$I$1023)/1000</f>
        <v>281.25959756136911</v>
      </c>
      <c r="H1024">
        <v>-15000</v>
      </c>
      <c r="I1024">
        <f>$I$1023-501.227</f>
        <v>-16797.540095460063</v>
      </c>
      <c r="J1024">
        <v>-270</v>
      </c>
      <c r="K1024">
        <v>0</v>
      </c>
      <c r="L1024">
        <f>_xlfn.XLOOKUP(F1024,magnet_list!$A$2:$A$592,magnet_list!$M$2:$M$592,"n/a",0,1)</f>
        <v>447</v>
      </c>
      <c r="M1024">
        <f>_xlfn.XLOOKUP(F1024,magnet_list!$A$2:$A$592,magnet_list!$L$2:$L$592,"n/a",0,1)</f>
        <v>200</v>
      </c>
    </row>
    <row r="1025" spans="1:13">
      <c r="A1025" t="s">
        <v>797</v>
      </c>
      <c r="B1025" t="s">
        <v>804</v>
      </c>
      <c r="C1025" t="s">
        <v>1152</v>
      </c>
      <c r="D1025" t="s">
        <v>804</v>
      </c>
      <c r="E1025" s="10" t="s">
        <v>1245</v>
      </c>
      <c r="F1025" s="10" t="s">
        <v>2534</v>
      </c>
      <c r="G1025">
        <f>$G$986+ABS($I$1025-$I$986)/1000</f>
        <v>281.50806556136894</v>
      </c>
      <c r="H1025">
        <v>-15000</v>
      </c>
      <c r="I1025">
        <f>$I$986-10184.028</f>
        <v>-17046.008095460063</v>
      </c>
      <c r="J1025">
        <v>-270</v>
      </c>
      <c r="K1025">
        <v>0</v>
      </c>
      <c r="L1025">
        <v>1889.4492</v>
      </c>
    </row>
    <row r="1026" spans="1:13">
      <c r="A1026" t="s">
        <v>797</v>
      </c>
      <c r="B1026" t="s">
        <v>3855</v>
      </c>
      <c r="C1026" t="s">
        <v>1152</v>
      </c>
      <c r="D1026" t="s">
        <v>804</v>
      </c>
      <c r="E1026" t="s">
        <v>2056</v>
      </c>
      <c r="F1026" t="s">
        <v>2537</v>
      </c>
      <c r="G1026">
        <f>$G$1024+ABS($I$1026-$I$1024)/1000</f>
        <v>281.77082356136913</v>
      </c>
      <c r="H1026">
        <v>-15000</v>
      </c>
      <c r="I1026">
        <f>$I$1024-511.226</f>
        <v>-17308.766095460061</v>
      </c>
      <c r="J1026">
        <v>-270</v>
      </c>
      <c r="K1026">
        <v>0</v>
      </c>
      <c r="L1026">
        <f>_xlfn.XLOOKUP(F1026,magnet_list!$A$2:$A$592,magnet_list!$M$2:$M$592,"n/a",0,1)</f>
        <v>447</v>
      </c>
      <c r="M1026">
        <f>_xlfn.XLOOKUP(F1026,magnet_list!$A$2:$A$592,magnet_list!$L$2:$L$592,"n/a",0,1)</f>
        <v>200</v>
      </c>
    </row>
    <row r="1027" spans="1:13">
      <c r="A1027" t="s">
        <v>797</v>
      </c>
      <c r="B1027" t="s">
        <v>3855</v>
      </c>
      <c r="C1027" t="s">
        <v>1152</v>
      </c>
      <c r="D1027" t="s">
        <v>804</v>
      </c>
      <c r="E1027" t="s">
        <v>2057</v>
      </c>
      <c r="F1027" t="s">
        <v>2538</v>
      </c>
      <c r="G1027">
        <f>$G$1026+ABS($I$1027-$I$1026)/1000</f>
        <v>282.2720505613691</v>
      </c>
      <c r="H1027">
        <v>-15000</v>
      </c>
      <c r="I1027">
        <f>$I$1026-501.227</f>
        <v>-17809.99309546006</v>
      </c>
      <c r="J1027">
        <v>-270</v>
      </c>
      <c r="K1027">
        <v>0</v>
      </c>
      <c r="L1027">
        <f>_xlfn.XLOOKUP(F1027,magnet_list!$A$2:$A$592,magnet_list!$M$2:$M$592,"n/a",0,1)</f>
        <v>428</v>
      </c>
      <c r="M1027">
        <f>_xlfn.XLOOKUP(F1027,magnet_list!$A$2:$A$592,magnet_list!$L$2:$L$592,"n/a",0,1)</f>
        <v>200</v>
      </c>
    </row>
    <row r="1028" spans="1:13">
      <c r="A1028" t="s">
        <v>797</v>
      </c>
      <c r="B1028" t="s">
        <v>804</v>
      </c>
      <c r="C1028" t="s">
        <v>1152</v>
      </c>
      <c r="D1028" t="s">
        <v>804</v>
      </c>
      <c r="E1028" s="10" t="s">
        <v>1583</v>
      </c>
      <c r="F1028" s="10" t="s">
        <v>2534</v>
      </c>
      <c r="G1028">
        <f>$G$1025+ABS($I$1028-$I$1025)/1000</f>
        <v>282.45279016136897</v>
      </c>
      <c r="H1028">
        <v>-15000</v>
      </c>
      <c r="I1028">
        <f>$I$1025-$L$1028/2</f>
        <v>-17990.732695460065</v>
      </c>
      <c r="J1028">
        <v>-270</v>
      </c>
      <c r="K1028">
        <v>0</v>
      </c>
      <c r="L1028">
        <v>1889.4492</v>
      </c>
    </row>
    <row r="1029" spans="1:13">
      <c r="A1029" t="s">
        <v>797</v>
      </c>
      <c r="B1029" t="s">
        <v>1152</v>
      </c>
      <c r="C1029" t="s">
        <v>1152</v>
      </c>
      <c r="D1029" t="s">
        <v>804</v>
      </c>
      <c r="E1029" s="3" t="s">
        <v>2058</v>
      </c>
      <c r="F1029" s="3" t="s">
        <v>2058</v>
      </c>
      <c r="G1029">
        <f>$G$1027+ABS($I$1029-$I$1027)/1000</f>
        <v>282.66820606136912</v>
      </c>
      <c r="H1029">
        <v>-15000</v>
      </c>
      <c r="I1029">
        <f>$I$1027-396.1555</f>
        <v>-18206.148595460061</v>
      </c>
      <c r="J1029">
        <v>-270</v>
      </c>
      <c r="K1029">
        <v>0</v>
      </c>
    </row>
    <row r="1030" spans="1:13">
      <c r="A1030" t="s">
        <v>797</v>
      </c>
      <c r="B1030" t="s">
        <v>3855</v>
      </c>
      <c r="C1030" t="s">
        <v>1152</v>
      </c>
      <c r="D1030" t="s">
        <v>804</v>
      </c>
      <c r="E1030" t="s">
        <v>2059</v>
      </c>
      <c r="F1030" t="s">
        <v>2539</v>
      </c>
      <c r="G1030">
        <f>$G$1027+ABS($I$1030-$I$1027)/1000</f>
        <v>282.81420556136908</v>
      </c>
      <c r="H1030">
        <v>-15000</v>
      </c>
      <c r="I1030">
        <f>$I$1027-542.155</f>
        <v>-18352.148095460059</v>
      </c>
      <c r="J1030">
        <v>-270</v>
      </c>
      <c r="K1030">
        <v>0</v>
      </c>
      <c r="L1030">
        <f>_xlfn.XLOOKUP(F1030,magnet_list!$A$2:$A$592,magnet_list!$M$2:$M$592,"n/a",0,1)</f>
        <v>427</v>
      </c>
      <c r="M1030">
        <f>_xlfn.XLOOKUP(F1030,magnet_list!$A$2:$A$592,magnet_list!$L$2:$L$592,"n/a",0,1)</f>
        <v>200</v>
      </c>
    </row>
    <row r="1031" spans="1:13">
      <c r="A1031" t="s">
        <v>797</v>
      </c>
      <c r="B1031" t="s">
        <v>3857</v>
      </c>
      <c r="C1031" t="s">
        <v>1152</v>
      </c>
      <c r="D1031" t="s">
        <v>804</v>
      </c>
      <c r="E1031" t="s">
        <v>3875</v>
      </c>
      <c r="F1031" t="s">
        <v>3875</v>
      </c>
      <c r="G1031">
        <f>$G$1030+20.2/1000</f>
        <v>282.83440556136907</v>
      </c>
      <c r="H1031">
        <v>-15000</v>
      </c>
      <c r="I1031">
        <f>$I$1030-20.2</f>
        <v>-18372.34809546006</v>
      </c>
      <c r="J1031">
        <v>-270</v>
      </c>
      <c r="K1031">
        <v>0</v>
      </c>
      <c r="L1031">
        <f>_xlfn.XLOOKUP(F1031,magnet_list!$A$2:$A$592,magnet_list!$M$2:$M$592,"n/a",0,1)</f>
        <v>305</v>
      </c>
      <c r="M1031">
        <f>_xlfn.XLOOKUP(F1031,magnet_list!$A$2:$A$592,magnet_list!$L$2:$L$592,"n/a",0,1)</f>
        <v>70</v>
      </c>
    </row>
    <row r="1032" spans="1:13">
      <c r="A1032" t="s">
        <v>797</v>
      </c>
      <c r="B1032" t="s">
        <v>804</v>
      </c>
      <c r="C1032" t="s">
        <v>1152</v>
      </c>
      <c r="D1032" t="s">
        <v>804</v>
      </c>
      <c r="E1032" s="10" t="s">
        <v>1584</v>
      </c>
      <c r="F1032" s="10" t="s">
        <v>2540</v>
      </c>
      <c r="G1032">
        <f>$G$1035-ABS($I$1035-$I$1032)/1000</f>
        <v>283.16133196136889</v>
      </c>
      <c r="H1032">
        <v>-15000</v>
      </c>
      <c r="I1032">
        <f>$I$1035+$L$1032/2</f>
        <v>-18699.274495460064</v>
      </c>
      <c r="J1032">
        <v>-270</v>
      </c>
      <c r="K1032">
        <v>0</v>
      </c>
      <c r="L1032">
        <v>1889.4492</v>
      </c>
    </row>
    <row r="1033" spans="1:13">
      <c r="A1033" t="s">
        <v>797</v>
      </c>
      <c r="B1033" t="s">
        <v>3855</v>
      </c>
      <c r="C1033" t="s">
        <v>1152</v>
      </c>
      <c r="D1033" t="s">
        <v>804</v>
      </c>
      <c r="E1033" t="s">
        <v>2060</v>
      </c>
      <c r="F1033" t="s">
        <v>2541</v>
      </c>
      <c r="G1033">
        <f>$G$1030+ABS($I$1033-$I$1030)/1000</f>
        <v>283.35636156136906</v>
      </c>
      <c r="H1033">
        <v>-15000</v>
      </c>
      <c r="I1033">
        <f>$I$1030-542.156</f>
        <v>-18894.304095460058</v>
      </c>
      <c r="J1033">
        <v>-270</v>
      </c>
      <c r="K1033">
        <v>0</v>
      </c>
      <c r="L1033">
        <f>_xlfn.XLOOKUP(F1033,magnet_list!$A$2:$A$592,magnet_list!$M$2:$M$592,"n/a",0,1)</f>
        <v>428</v>
      </c>
      <c r="M1033">
        <f>_xlfn.XLOOKUP(F1033,magnet_list!$A$2:$A$592,magnet_list!$L$2:$L$592,"n/a",0,1)</f>
        <v>200</v>
      </c>
    </row>
    <row r="1034" spans="1:13">
      <c r="A1034" t="s">
        <v>797</v>
      </c>
      <c r="B1034" t="s">
        <v>3855</v>
      </c>
      <c r="C1034" t="s">
        <v>1152</v>
      </c>
      <c r="D1034" t="s">
        <v>804</v>
      </c>
      <c r="E1034" t="s">
        <v>2061</v>
      </c>
      <c r="F1034" t="s">
        <v>2542</v>
      </c>
      <c r="G1034">
        <f>$G$1033+ABS($I$1034-$I$1033)/1000</f>
        <v>283.85758856136903</v>
      </c>
      <c r="H1034">
        <v>-15000</v>
      </c>
      <c r="I1034">
        <f>$I$1033-501.227</f>
        <v>-19395.531095460057</v>
      </c>
      <c r="J1034">
        <v>-270</v>
      </c>
      <c r="K1034">
        <v>0</v>
      </c>
      <c r="L1034">
        <f>_xlfn.XLOOKUP(F1034,magnet_list!$A$2:$A$592,magnet_list!$M$2:$M$592,"n/a",0,1)</f>
        <v>447</v>
      </c>
      <c r="M1034">
        <f>_xlfn.XLOOKUP(F1034,magnet_list!$A$2:$A$592,magnet_list!$L$2:$L$592,"n/a",0,1)</f>
        <v>200</v>
      </c>
    </row>
    <row r="1035" spans="1:13">
      <c r="A1035" t="s">
        <v>797</v>
      </c>
      <c r="B1035" t="s">
        <v>804</v>
      </c>
      <c r="C1035" t="s">
        <v>1152</v>
      </c>
      <c r="D1035" t="s">
        <v>804</v>
      </c>
      <c r="E1035" s="10" t="s">
        <v>1299</v>
      </c>
      <c r="F1035" s="10" t="s">
        <v>2540</v>
      </c>
      <c r="G1035">
        <f>$G$986+ABS($I$1035-$I$986)/1000</f>
        <v>284.10605656136892</v>
      </c>
      <c r="H1035">
        <v>-15000</v>
      </c>
      <c r="I1035">
        <f>$I$986-12782.019</f>
        <v>-19643.999095460065</v>
      </c>
      <c r="J1035">
        <v>-270</v>
      </c>
      <c r="K1035">
        <v>0</v>
      </c>
      <c r="L1035">
        <v>1889.4492</v>
      </c>
    </row>
    <row r="1036" spans="1:13">
      <c r="A1036" t="s">
        <v>797</v>
      </c>
      <c r="B1036" t="s">
        <v>3855</v>
      </c>
      <c r="C1036" t="s">
        <v>1152</v>
      </c>
      <c r="D1036" t="s">
        <v>804</v>
      </c>
      <c r="E1036" t="s">
        <v>2062</v>
      </c>
      <c r="F1036" t="s">
        <v>2543</v>
      </c>
      <c r="G1036">
        <f>$G$1034+ABS($I$1036-$I$1034)/1000</f>
        <v>284.36881456136905</v>
      </c>
      <c r="H1036">
        <v>-15000</v>
      </c>
      <c r="I1036">
        <f>$I$1034-511.226</f>
        <v>-19906.757095460056</v>
      </c>
      <c r="J1036">
        <v>-270</v>
      </c>
      <c r="K1036">
        <v>0</v>
      </c>
      <c r="L1036">
        <f>_xlfn.XLOOKUP(F1036,magnet_list!$A$2:$A$592,magnet_list!$M$2:$M$592,"n/a",0,1)</f>
        <v>447</v>
      </c>
      <c r="M1036">
        <f>_xlfn.XLOOKUP(F1036,magnet_list!$A$2:$A$592,magnet_list!$L$2:$L$592,"n/a",0,1)</f>
        <v>200</v>
      </c>
    </row>
    <row r="1037" spans="1:13">
      <c r="A1037" t="s">
        <v>797</v>
      </c>
      <c r="B1037" t="s">
        <v>3855</v>
      </c>
      <c r="C1037" t="s">
        <v>1152</v>
      </c>
      <c r="D1037" t="s">
        <v>804</v>
      </c>
      <c r="E1037" t="s">
        <v>2063</v>
      </c>
      <c r="F1037" t="s">
        <v>2544</v>
      </c>
      <c r="G1037">
        <f>$G$1036+ABS($I$1037-$I$1036)/1000</f>
        <v>284.87004156136902</v>
      </c>
      <c r="H1037">
        <v>-15000</v>
      </c>
      <c r="I1037">
        <f>$I$1036-501.227</f>
        <v>-20407.984095460055</v>
      </c>
      <c r="J1037">
        <v>-270</v>
      </c>
      <c r="K1037">
        <v>0</v>
      </c>
      <c r="L1037">
        <f>_xlfn.XLOOKUP(F1037,magnet_list!$A$2:$A$592,magnet_list!$M$2:$M$592,"n/a",0,1)</f>
        <v>428</v>
      </c>
      <c r="M1037">
        <f>_xlfn.XLOOKUP(F1037,magnet_list!$A$2:$A$592,magnet_list!$L$2:$L$592,"n/a",0,1)</f>
        <v>200</v>
      </c>
    </row>
    <row r="1038" spans="1:13">
      <c r="A1038" t="s">
        <v>797</v>
      </c>
      <c r="B1038" t="s">
        <v>804</v>
      </c>
      <c r="C1038" t="s">
        <v>1152</v>
      </c>
      <c r="D1038" t="s">
        <v>804</v>
      </c>
      <c r="E1038" s="10" t="s">
        <v>1585</v>
      </c>
      <c r="F1038" s="10" t="s">
        <v>2540</v>
      </c>
      <c r="G1038">
        <f>$G$1035+ABS($I$1038-$I$1035)/1000</f>
        <v>285.05078116136895</v>
      </c>
      <c r="H1038">
        <v>-15000</v>
      </c>
      <c r="I1038">
        <f>$I$1035-$L$1038/2</f>
        <v>-20588.723695460067</v>
      </c>
      <c r="J1038">
        <v>-270</v>
      </c>
      <c r="K1038">
        <v>0</v>
      </c>
      <c r="L1038">
        <v>1889.4492</v>
      </c>
    </row>
    <row r="1039" spans="1:13">
      <c r="A1039" t="s">
        <v>797</v>
      </c>
      <c r="B1039" t="s">
        <v>3855</v>
      </c>
      <c r="C1039" t="s">
        <v>1152</v>
      </c>
      <c r="D1039" t="s">
        <v>804</v>
      </c>
      <c r="E1039" t="s">
        <v>2064</v>
      </c>
      <c r="F1039" t="s">
        <v>2545</v>
      </c>
      <c r="G1039">
        <f>$G$1037+ABS($I$1039-$I$1037)/1000</f>
        <v>285.412196561369</v>
      </c>
      <c r="H1039">
        <v>-15000</v>
      </c>
      <c r="I1039">
        <f>$I$1037-542.155</f>
        <v>-20950.139095460054</v>
      </c>
      <c r="J1039">
        <v>-270</v>
      </c>
      <c r="K1039">
        <v>0</v>
      </c>
      <c r="L1039">
        <f>_xlfn.XLOOKUP(F1039,magnet_list!$A$2:$A$592,magnet_list!$M$2:$M$592,"n/a",0,1)</f>
        <v>427</v>
      </c>
    </row>
    <row r="1040" spans="1:13">
      <c r="A1040" t="s">
        <v>797</v>
      </c>
      <c r="B1040" t="s">
        <v>803</v>
      </c>
      <c r="C1040" t="s">
        <v>806</v>
      </c>
      <c r="E1040" t="s">
        <v>823</v>
      </c>
      <c r="F1040" t="s">
        <v>823</v>
      </c>
      <c r="G1040">
        <f t="shared" si="23"/>
        <v>285.70444489953894</v>
      </c>
      <c r="H1040">
        <v>-17474.324999119999</v>
      </c>
      <c r="I1040">
        <v>-21242.38743363</v>
      </c>
      <c r="J1040">
        <v>-18.193575460000002</v>
      </c>
      <c r="K1040">
        <v>251.80642453999999</v>
      </c>
    </row>
    <row r="1041" spans="1:13">
      <c r="A1041" t="s">
        <v>797</v>
      </c>
      <c r="B1041" t="s">
        <v>804</v>
      </c>
      <c r="C1041" t="s">
        <v>1152</v>
      </c>
      <c r="D1041" t="s">
        <v>804</v>
      </c>
      <c r="E1041" s="10" t="s">
        <v>1586</v>
      </c>
      <c r="F1041" s="10" t="s">
        <v>2546</v>
      </c>
      <c r="G1041">
        <f>$G$1045-ABS($I$1045-$I$1041)/1000</f>
        <v>285.75932296136892</v>
      </c>
      <c r="H1041">
        <v>-15000</v>
      </c>
      <c r="I1041">
        <f>$I$1045+$L$1041/2</f>
        <v>-21297.265495460062</v>
      </c>
      <c r="J1041">
        <v>-270</v>
      </c>
      <c r="K1041">
        <v>0</v>
      </c>
      <c r="L1041">
        <v>1889.4492</v>
      </c>
    </row>
    <row r="1042" spans="1:13">
      <c r="A1042" t="s">
        <v>797</v>
      </c>
      <c r="B1042" t="s">
        <v>3855</v>
      </c>
      <c r="C1042" t="s">
        <v>1152</v>
      </c>
      <c r="D1042" t="s">
        <v>804</v>
      </c>
      <c r="E1042" t="s">
        <v>2065</v>
      </c>
      <c r="F1042" t="s">
        <v>2547</v>
      </c>
      <c r="G1042">
        <f>$G$1039+ABS($I$1042-$I$1039)/1000</f>
        <v>285.95435256136898</v>
      </c>
      <c r="H1042">
        <v>-15000</v>
      </c>
      <c r="I1042">
        <f>$I$1039-542.156</f>
        <v>-21492.295095460053</v>
      </c>
      <c r="J1042">
        <v>-270</v>
      </c>
      <c r="K1042">
        <v>0</v>
      </c>
      <c r="L1042">
        <f>_xlfn.XLOOKUP(F1042,magnet_list!$A$2:$A$592,magnet_list!$M$2:$M$592,"n/a",0,1)</f>
        <v>428</v>
      </c>
      <c r="M1042">
        <f>_xlfn.XLOOKUP(F1042,magnet_list!$A$2:$A$592,magnet_list!$L$2:$L$592,"n/a",0,1)</f>
        <v>200</v>
      </c>
    </row>
    <row r="1043" spans="1:13">
      <c r="A1043" t="s">
        <v>797</v>
      </c>
      <c r="B1043" t="s">
        <v>803</v>
      </c>
      <c r="C1043" t="s">
        <v>806</v>
      </c>
      <c r="E1043" t="s">
        <v>826</v>
      </c>
      <c r="F1043" t="s">
        <v>826</v>
      </c>
      <c r="G1043">
        <f t="shared" si="23"/>
        <v>286.21070533882892</v>
      </c>
      <c r="H1043">
        <v>-13520.393617289999</v>
      </c>
      <c r="I1043">
        <v>-21748.647872919999</v>
      </c>
      <c r="J1043">
        <v>280.13934090999999</v>
      </c>
      <c r="K1043">
        <v>550.13934090999999</v>
      </c>
    </row>
    <row r="1044" spans="1:13">
      <c r="A1044" t="s">
        <v>797</v>
      </c>
      <c r="B1044" t="s">
        <v>3855</v>
      </c>
      <c r="C1044" t="s">
        <v>1152</v>
      </c>
      <c r="D1044" t="s">
        <v>804</v>
      </c>
      <c r="E1044" t="s">
        <v>2066</v>
      </c>
      <c r="F1044" t="s">
        <v>2548</v>
      </c>
      <c r="G1044">
        <f>$G$1042+ABS($I$1044-$I$1042)/1000</f>
        <v>286.440745561369</v>
      </c>
      <c r="H1044">
        <v>-15000</v>
      </c>
      <c r="I1044">
        <f>$I$1042-486.393</f>
        <v>-21978.688095460053</v>
      </c>
      <c r="J1044">
        <v>-270</v>
      </c>
      <c r="K1044">
        <v>0</v>
      </c>
      <c r="L1044">
        <f>_xlfn.XLOOKUP(F1044,magnet_list!$A$2:$A$592,magnet_list!$M$2:$M$592,"n/a",0,1)</f>
        <v>447</v>
      </c>
      <c r="M1044">
        <f>_xlfn.XLOOKUP(F1044,magnet_list!$A$2:$A$592,magnet_list!$L$2:$L$592,"n/a",0,1)</f>
        <v>200</v>
      </c>
    </row>
    <row r="1045" spans="1:13">
      <c r="A1045" t="s">
        <v>797</v>
      </c>
      <c r="B1045" t="s">
        <v>804</v>
      </c>
      <c r="C1045" t="s">
        <v>1152</v>
      </c>
      <c r="D1045" t="s">
        <v>804</v>
      </c>
      <c r="E1045" s="10" t="s">
        <v>1353</v>
      </c>
      <c r="F1045" s="10" t="s">
        <v>2546</v>
      </c>
      <c r="G1045">
        <f>$G$986+ABS($I$1045-$I$986)/1000</f>
        <v>286.70404756136895</v>
      </c>
      <c r="H1045">
        <v>-15000</v>
      </c>
      <c r="I1045">
        <f>$I$986-15380.01</f>
        <v>-22241.990095460063</v>
      </c>
      <c r="J1045">
        <v>-270</v>
      </c>
      <c r="K1045">
        <v>0</v>
      </c>
      <c r="L1045">
        <v>1889.4492</v>
      </c>
    </row>
    <row r="1046" spans="1:13">
      <c r="A1046" t="s">
        <v>797</v>
      </c>
      <c r="B1046" t="s">
        <v>3855</v>
      </c>
      <c r="C1046" t="s">
        <v>1152</v>
      </c>
      <c r="D1046" t="s">
        <v>804</v>
      </c>
      <c r="E1046" t="s">
        <v>2067</v>
      </c>
      <c r="F1046" t="s">
        <v>2549</v>
      </c>
      <c r="G1046">
        <f>$G$1044+ABS($I$1046-$I$1044)/1000</f>
        <v>286.93713956136901</v>
      </c>
      <c r="H1046">
        <v>-15000</v>
      </c>
      <c r="I1046">
        <f>$I$1044-496.394</f>
        <v>-22475.082095460053</v>
      </c>
      <c r="J1046">
        <v>-270</v>
      </c>
      <c r="K1046">
        <v>0</v>
      </c>
      <c r="L1046">
        <f>_xlfn.XLOOKUP(F1046,magnet_list!$A$2:$A$592,magnet_list!$M$2:$M$592,"n/a",0,1)</f>
        <v>447</v>
      </c>
      <c r="M1046">
        <f>_xlfn.XLOOKUP(F1046,magnet_list!$A$2:$A$592,magnet_list!$L$2:$L$592,"n/a",0,1)</f>
        <v>200</v>
      </c>
    </row>
    <row r="1047" spans="1:13">
      <c r="A1047" t="s">
        <v>797</v>
      </c>
      <c r="B1047" t="s">
        <v>3855</v>
      </c>
      <c r="C1047" t="s">
        <v>1152</v>
      </c>
      <c r="D1047" t="s">
        <v>804</v>
      </c>
      <c r="E1047" t="s">
        <v>2068</v>
      </c>
      <c r="F1047" t="s">
        <v>2550</v>
      </c>
      <c r="G1047">
        <f>$G$1046+ABS($I$1047-$I$1046)/1000</f>
        <v>287.43353256136902</v>
      </c>
      <c r="H1047">
        <v>-15000</v>
      </c>
      <c r="I1047">
        <f>$I$1046-496.393</f>
        <v>-22971.475095460053</v>
      </c>
      <c r="J1047">
        <v>-270</v>
      </c>
      <c r="K1047">
        <v>0</v>
      </c>
      <c r="L1047">
        <f>_xlfn.XLOOKUP(F1047,magnet_list!$A$2:$A$592,magnet_list!$M$2:$M$592,"n/a",0,1)</f>
        <v>473</v>
      </c>
      <c r="M1047">
        <f>_xlfn.XLOOKUP(F1047,magnet_list!$A$2:$A$592,magnet_list!$L$2:$L$592,"n/a",0,1)</f>
        <v>200</v>
      </c>
    </row>
    <row r="1048" spans="1:13">
      <c r="A1048" t="s">
        <v>797</v>
      </c>
      <c r="B1048" t="s">
        <v>803</v>
      </c>
      <c r="C1048" t="s">
        <v>806</v>
      </c>
      <c r="E1048" t="s">
        <v>1006</v>
      </c>
      <c r="F1048" t="s">
        <v>1006</v>
      </c>
      <c r="G1048">
        <f t="shared" si="23"/>
        <v>287.59899679993896</v>
      </c>
      <c r="H1048">
        <v>-15400</v>
      </c>
      <c r="I1048">
        <v>-23136.939334030001</v>
      </c>
      <c r="J1048">
        <v>-689</v>
      </c>
      <c r="K1048">
        <v>-419</v>
      </c>
    </row>
    <row r="1049" spans="1:13">
      <c r="A1049" t="s">
        <v>797</v>
      </c>
      <c r="B1049" t="s">
        <v>804</v>
      </c>
      <c r="C1049" t="s">
        <v>1152</v>
      </c>
      <c r="D1049" t="s">
        <v>804</v>
      </c>
      <c r="E1049" s="10" t="s">
        <v>1587</v>
      </c>
      <c r="F1049" s="10" t="s">
        <v>2546</v>
      </c>
      <c r="G1049">
        <f>$G$1045+ABS($I$1049-$I$1045)/1000</f>
        <v>287.64877216136898</v>
      </c>
      <c r="H1049">
        <v>-15000</v>
      </c>
      <c r="I1049">
        <f>$I$1045-$L$1049/2</f>
        <v>-23186.714695460065</v>
      </c>
      <c r="J1049">
        <v>-270</v>
      </c>
      <c r="K1049">
        <v>0</v>
      </c>
      <c r="L1049">
        <v>1889.4492</v>
      </c>
    </row>
    <row r="1050" spans="1:13">
      <c r="A1050" t="s">
        <v>797</v>
      </c>
      <c r="B1050" t="s">
        <v>803</v>
      </c>
      <c r="C1050" t="s">
        <v>806</v>
      </c>
      <c r="E1050" t="s">
        <v>1009</v>
      </c>
      <c r="F1050" t="s">
        <v>1009</v>
      </c>
      <c r="G1050">
        <f t="shared" si="23"/>
        <v>287.9227494953289</v>
      </c>
      <c r="H1050">
        <v>-15400</v>
      </c>
      <c r="I1050">
        <v>-23460.692029419999</v>
      </c>
      <c r="J1050">
        <v>-689</v>
      </c>
      <c r="K1050">
        <v>-419</v>
      </c>
    </row>
    <row r="1051" spans="1:13">
      <c r="A1051" t="s">
        <v>797</v>
      </c>
      <c r="B1051" t="s">
        <v>2288</v>
      </c>
      <c r="C1051" t="s">
        <v>1152</v>
      </c>
      <c r="D1051" t="s">
        <v>804</v>
      </c>
      <c r="E1051" s="8" t="s">
        <v>2336</v>
      </c>
      <c r="F1051" s="8" t="s">
        <v>2336</v>
      </c>
      <c r="G1051">
        <f>$G$986+ABS($I$1051-$I$986)/1000</f>
        <v>287.93831256136895</v>
      </c>
      <c r="H1051">
        <v>-15000</v>
      </c>
      <c r="I1051">
        <f>$I$986-16614.275</f>
        <v>-23476.255095460067</v>
      </c>
      <c r="J1051">
        <v>-270</v>
      </c>
      <c r="K1051">
        <v>0</v>
      </c>
    </row>
    <row r="1052" spans="1:13">
      <c r="A1052" t="s">
        <v>797</v>
      </c>
      <c r="B1052" t="s">
        <v>1152</v>
      </c>
      <c r="C1052" t="s">
        <v>1152</v>
      </c>
      <c r="D1052" t="s">
        <v>804</v>
      </c>
      <c r="E1052" s="3" t="s">
        <v>2070</v>
      </c>
      <c r="F1052" s="3" t="s">
        <v>2070</v>
      </c>
      <c r="G1052">
        <f>$G$1051+ABS($I$1052-$I$1051)/1000</f>
        <v>288.13081256136894</v>
      </c>
      <c r="H1052">
        <v>-15000</v>
      </c>
      <c r="I1052">
        <f>$I$1051-192.5</f>
        <v>-23668.755095460067</v>
      </c>
      <c r="J1052">
        <v>-270</v>
      </c>
      <c r="K1052">
        <v>0</v>
      </c>
    </row>
    <row r="1053" spans="1:13">
      <c r="A1053" t="s">
        <v>797</v>
      </c>
      <c r="B1053" t="s">
        <v>805</v>
      </c>
      <c r="C1053" t="s">
        <v>806</v>
      </c>
      <c r="E1053" s="2" t="s">
        <v>144</v>
      </c>
      <c r="F1053" s="2" t="s">
        <v>2551</v>
      </c>
      <c r="G1053">
        <f t="shared" si="23"/>
        <v>288.31595931308885</v>
      </c>
      <c r="H1053">
        <v>-15000</v>
      </c>
      <c r="I1053">
        <v>-23853.901847180001</v>
      </c>
      <c r="J1053">
        <v>15</v>
      </c>
      <c r="K1053">
        <v>285</v>
      </c>
      <c r="L1053">
        <f>_xlfn.XLOOKUP(F1053,magnet_list!$A$2:$A$592,magnet_list!$M$2:$M$592,"n/a",0,1)</f>
        <v>160</v>
      </c>
      <c r="M1053">
        <f>_xlfn.XLOOKUP(F1053,magnet_list!$A$2:$A$592,magnet_list!$L$2:$L$592,"n/a",0,1)</f>
        <v>68</v>
      </c>
    </row>
    <row r="1054" spans="1:13">
      <c r="A1054" t="s">
        <v>797</v>
      </c>
      <c r="B1054" t="s">
        <v>805</v>
      </c>
      <c r="C1054" t="s">
        <v>1152</v>
      </c>
      <c r="D1054" t="s">
        <v>804</v>
      </c>
      <c r="E1054" s="2" t="s">
        <v>626</v>
      </c>
      <c r="F1054" s="2" t="s">
        <v>2551</v>
      </c>
      <c r="G1054">
        <f t="shared" si="23"/>
        <v>288.38596031308884</v>
      </c>
      <c r="H1054">
        <v>-15000</v>
      </c>
      <c r="I1054">
        <v>-23923.902847180001</v>
      </c>
      <c r="J1054">
        <v>15</v>
      </c>
      <c r="K1054">
        <v>285</v>
      </c>
      <c r="L1054">
        <f>_xlfn.XLOOKUP(F1054,magnet_list!$A$2:$A$592,magnet_list!$M$2:$M$592,"n/a",0,1)</f>
        <v>160</v>
      </c>
      <c r="M1054">
        <f>_xlfn.XLOOKUP(F1054,magnet_list!$A$2:$A$592,magnet_list!$L$2:$L$592,"n/a",0,1)</f>
        <v>68</v>
      </c>
    </row>
    <row r="1055" spans="1:13">
      <c r="A1055" t="s">
        <v>797</v>
      </c>
      <c r="B1055" t="s">
        <v>805</v>
      </c>
      <c r="C1055" t="s">
        <v>806</v>
      </c>
      <c r="E1055" s="2" t="s">
        <v>145</v>
      </c>
      <c r="F1055" s="2" t="s">
        <v>2551</v>
      </c>
      <c r="G1055">
        <f t="shared" si="23"/>
        <v>288.45592222698883</v>
      </c>
      <c r="H1055">
        <v>-15000</v>
      </c>
      <c r="I1055">
        <v>-23993.86476108</v>
      </c>
      <c r="J1055">
        <v>15</v>
      </c>
      <c r="K1055">
        <v>285</v>
      </c>
      <c r="L1055">
        <f>_xlfn.XLOOKUP(F1055,magnet_list!$A$2:$A$592,magnet_list!$M$2:$M$592,"n/a",0,1)</f>
        <v>160</v>
      </c>
      <c r="M1055">
        <f>_xlfn.XLOOKUP(F1055,magnet_list!$A$2:$A$592,magnet_list!$L$2:$L$592,"n/a",0,1)</f>
        <v>68</v>
      </c>
    </row>
    <row r="1056" spans="1:13">
      <c r="A1056" t="s">
        <v>797</v>
      </c>
      <c r="B1056" t="s">
        <v>805</v>
      </c>
      <c r="C1056" t="s">
        <v>806</v>
      </c>
      <c r="E1056" s="2" t="s">
        <v>146</v>
      </c>
      <c r="F1056" s="2" t="s">
        <v>2552</v>
      </c>
      <c r="G1056">
        <f t="shared" si="23"/>
        <v>288.65485945271882</v>
      </c>
      <c r="H1056">
        <v>-15000</v>
      </c>
      <c r="I1056">
        <v>-24192.801986809998</v>
      </c>
      <c r="J1056">
        <v>15</v>
      </c>
      <c r="K1056">
        <v>285</v>
      </c>
      <c r="L1056">
        <f>_xlfn.XLOOKUP(F1056,magnet_list!$A$2:$A$592,magnet_list!$M$2:$M$592,"n/a",0,1)</f>
        <v>160</v>
      </c>
      <c r="M1056">
        <f>_xlfn.XLOOKUP(F1056,magnet_list!$A$2:$A$592,magnet_list!$L$2:$L$592,"n/a",0,1)</f>
        <v>68</v>
      </c>
    </row>
    <row r="1057" spans="1:13">
      <c r="A1057" t="s">
        <v>797</v>
      </c>
      <c r="B1057" t="s">
        <v>805</v>
      </c>
      <c r="C1057" t="s">
        <v>1152</v>
      </c>
      <c r="D1057" t="s">
        <v>804</v>
      </c>
      <c r="E1057" s="2" t="s">
        <v>627</v>
      </c>
      <c r="F1057" s="2" t="s">
        <v>2552</v>
      </c>
      <c r="G1057">
        <f t="shared" si="23"/>
        <v>288.72485045271884</v>
      </c>
      <c r="H1057">
        <v>-15000</v>
      </c>
      <c r="I1057">
        <v>-24262.792986809996</v>
      </c>
      <c r="J1057">
        <v>15</v>
      </c>
      <c r="K1057">
        <v>285</v>
      </c>
      <c r="L1057">
        <f>_xlfn.XLOOKUP(F1057,magnet_list!$A$2:$A$592,magnet_list!$M$2:$M$592,"n/a",0,1)</f>
        <v>160</v>
      </c>
      <c r="M1057">
        <f>_xlfn.XLOOKUP(F1057,magnet_list!$A$2:$A$592,magnet_list!$L$2:$L$592,"n/a",0,1)</f>
        <v>68</v>
      </c>
    </row>
    <row r="1058" spans="1:13">
      <c r="A1058" t="s">
        <v>797</v>
      </c>
      <c r="B1058" t="s">
        <v>805</v>
      </c>
      <c r="C1058" t="s">
        <v>806</v>
      </c>
      <c r="E1058" s="2" t="s">
        <v>147</v>
      </c>
      <c r="F1058" s="2" t="s">
        <v>2552</v>
      </c>
      <c r="G1058">
        <f t="shared" si="23"/>
        <v>288.79482137664883</v>
      </c>
      <c r="H1058">
        <v>-15000</v>
      </c>
      <c r="I1058">
        <v>-24332.763910739999</v>
      </c>
      <c r="J1058">
        <v>15</v>
      </c>
      <c r="K1058">
        <v>285</v>
      </c>
      <c r="L1058">
        <f>_xlfn.XLOOKUP(F1058,magnet_list!$A$2:$A$592,magnet_list!$M$2:$M$592,"n/a",0,1)</f>
        <v>160</v>
      </c>
      <c r="M1058">
        <f>_xlfn.XLOOKUP(F1058,magnet_list!$A$2:$A$592,magnet_list!$L$2:$L$592,"n/a",0,1)</f>
        <v>68</v>
      </c>
    </row>
    <row r="1059" spans="1:13">
      <c r="A1059" t="s">
        <v>797</v>
      </c>
      <c r="B1059" t="s">
        <v>805</v>
      </c>
      <c r="C1059" t="s">
        <v>806</v>
      </c>
      <c r="E1059" s="2" t="s">
        <v>148</v>
      </c>
      <c r="F1059" s="2" t="s">
        <v>2553</v>
      </c>
      <c r="G1059">
        <f t="shared" si="23"/>
        <v>288.99531909130883</v>
      </c>
      <c r="H1059">
        <v>-15000</v>
      </c>
      <c r="I1059">
        <v>-24533.261625399999</v>
      </c>
      <c r="J1059">
        <v>15</v>
      </c>
      <c r="K1059">
        <v>285</v>
      </c>
      <c r="L1059">
        <f>_xlfn.XLOOKUP(F1059,magnet_list!$A$2:$A$592,magnet_list!$M$2:$M$592,"n/a",0,1)</f>
        <v>160</v>
      </c>
      <c r="M1059">
        <f>_xlfn.XLOOKUP(F1059,magnet_list!$A$2:$A$592,magnet_list!$L$2:$L$592,"n/a",0,1)</f>
        <v>68</v>
      </c>
    </row>
    <row r="1060" spans="1:13">
      <c r="A1060" t="s">
        <v>797</v>
      </c>
      <c r="B1060" t="s">
        <v>805</v>
      </c>
      <c r="C1060" t="s">
        <v>1152</v>
      </c>
      <c r="D1060" t="s">
        <v>804</v>
      </c>
      <c r="E1060" s="2" t="s">
        <v>628</v>
      </c>
      <c r="F1060" s="2" t="s">
        <v>2553</v>
      </c>
      <c r="G1060">
        <f t="shared" si="23"/>
        <v>289.06535209130885</v>
      </c>
      <c r="H1060">
        <v>-15000</v>
      </c>
      <c r="I1060">
        <v>-24603.294625399998</v>
      </c>
      <c r="J1060">
        <v>15</v>
      </c>
      <c r="K1060">
        <v>285</v>
      </c>
      <c r="L1060">
        <f>_xlfn.XLOOKUP(F1060,magnet_list!$A$2:$A$592,magnet_list!$M$2:$M$592,"n/a",0,1)</f>
        <v>160</v>
      </c>
      <c r="M1060">
        <f>_xlfn.XLOOKUP(F1060,magnet_list!$A$2:$A$592,magnet_list!$L$2:$L$592,"n/a",0,1)</f>
        <v>68</v>
      </c>
    </row>
    <row r="1061" spans="1:13">
      <c r="A1061" t="s">
        <v>797</v>
      </c>
      <c r="B1061" t="s">
        <v>805</v>
      </c>
      <c r="C1061" t="s">
        <v>806</v>
      </c>
      <c r="E1061" s="2" t="s">
        <v>149</v>
      </c>
      <c r="F1061" s="2" t="s">
        <v>2553</v>
      </c>
      <c r="G1061">
        <f t="shared" si="23"/>
        <v>289.13528845555885</v>
      </c>
      <c r="H1061">
        <v>-15000</v>
      </c>
      <c r="I1061">
        <v>-24673.230989650001</v>
      </c>
      <c r="J1061">
        <v>15</v>
      </c>
      <c r="K1061">
        <v>285</v>
      </c>
      <c r="L1061">
        <f>_xlfn.XLOOKUP(F1061,magnet_list!$A$2:$A$592,magnet_list!$M$2:$M$592,"n/a",0,1)</f>
        <v>160</v>
      </c>
      <c r="M1061">
        <f>_xlfn.XLOOKUP(F1061,magnet_list!$A$2:$A$592,magnet_list!$L$2:$L$592,"n/a",0,1)</f>
        <v>68</v>
      </c>
    </row>
    <row r="1062" spans="1:13">
      <c r="A1062" t="s">
        <v>797</v>
      </c>
      <c r="B1062" t="s">
        <v>805</v>
      </c>
      <c r="C1062" t="s">
        <v>806</v>
      </c>
      <c r="E1062" s="2" t="s">
        <v>150</v>
      </c>
      <c r="F1062" s="2" t="s">
        <v>2554</v>
      </c>
      <c r="G1062">
        <f t="shared" si="23"/>
        <v>289.33533733844882</v>
      </c>
      <c r="H1062">
        <v>-15000</v>
      </c>
      <c r="I1062">
        <v>-24873.279872539999</v>
      </c>
      <c r="J1062">
        <v>15</v>
      </c>
      <c r="K1062">
        <v>285</v>
      </c>
      <c r="L1062">
        <f>_xlfn.XLOOKUP(F1062,magnet_list!$A$2:$A$592,magnet_list!$M$2:$M$592,"n/a",0,1)</f>
        <v>160</v>
      </c>
      <c r="M1062">
        <f>_xlfn.XLOOKUP(F1062,magnet_list!$A$2:$A$592,magnet_list!$L$2:$L$592,"n/a",0,1)</f>
        <v>68</v>
      </c>
    </row>
    <row r="1063" spans="1:13">
      <c r="A1063" t="s">
        <v>797</v>
      </c>
      <c r="B1063" t="s">
        <v>805</v>
      </c>
      <c r="C1063" t="s">
        <v>1152</v>
      </c>
      <c r="D1063" t="s">
        <v>804</v>
      </c>
      <c r="E1063" s="2" t="s">
        <v>629</v>
      </c>
      <c r="F1063" s="2" t="s">
        <v>2554</v>
      </c>
      <c r="G1063">
        <f t="shared" si="23"/>
        <v>289.40532783844884</v>
      </c>
      <c r="H1063">
        <v>-15000</v>
      </c>
      <c r="I1063">
        <v>-24943.270372539999</v>
      </c>
      <c r="J1063">
        <v>15</v>
      </c>
      <c r="K1063">
        <v>285</v>
      </c>
      <c r="L1063">
        <f>_xlfn.XLOOKUP(F1063,magnet_list!$A$2:$A$592,magnet_list!$M$2:$M$592,"n/a",0,1)</f>
        <v>160</v>
      </c>
      <c r="M1063">
        <f>_xlfn.XLOOKUP(F1063,magnet_list!$A$2:$A$592,magnet_list!$L$2:$L$592,"n/a",0,1)</f>
        <v>68</v>
      </c>
    </row>
    <row r="1064" spans="1:13">
      <c r="A1064" t="s">
        <v>797</v>
      </c>
      <c r="B1064" t="s">
        <v>805</v>
      </c>
      <c r="C1064" t="s">
        <v>806</v>
      </c>
      <c r="E1064" s="2" t="s">
        <v>151</v>
      </c>
      <c r="F1064" s="2" t="s">
        <v>2554</v>
      </c>
      <c r="G1064">
        <f t="shared" si="23"/>
        <v>289.47531509900887</v>
      </c>
      <c r="H1064">
        <v>-15000</v>
      </c>
      <c r="I1064">
        <v>-25013.257633099998</v>
      </c>
      <c r="J1064">
        <v>15</v>
      </c>
      <c r="K1064">
        <v>285</v>
      </c>
      <c r="L1064">
        <f>_xlfn.XLOOKUP(F1064,magnet_list!$A$2:$A$592,magnet_list!$M$2:$M$592,"n/a",0,1)</f>
        <v>160</v>
      </c>
      <c r="M1064">
        <f>_xlfn.XLOOKUP(F1064,magnet_list!$A$2:$A$592,magnet_list!$L$2:$L$592,"n/a",0,1)</f>
        <v>68</v>
      </c>
    </row>
    <row r="1065" spans="1:13">
      <c r="A1065" t="s">
        <v>797</v>
      </c>
      <c r="B1065" t="s">
        <v>805</v>
      </c>
      <c r="C1065" t="s">
        <v>806</v>
      </c>
      <c r="E1065" s="2" t="s">
        <v>152</v>
      </c>
      <c r="F1065" s="2" t="s">
        <v>2555</v>
      </c>
      <c r="G1065">
        <f t="shared" si="23"/>
        <v>289.73496594527887</v>
      </c>
      <c r="H1065">
        <v>-15000</v>
      </c>
      <c r="I1065">
        <v>-25272.908479369999</v>
      </c>
      <c r="J1065">
        <v>15</v>
      </c>
      <c r="K1065">
        <v>285</v>
      </c>
      <c r="L1065">
        <f>_xlfn.XLOOKUP(F1065,magnet_list!$A$2:$A$592,magnet_list!$M$2:$M$592,"n/a",0,1)</f>
        <v>180</v>
      </c>
      <c r="M1065">
        <f>_xlfn.XLOOKUP(F1065,magnet_list!$A$2:$A$592,magnet_list!$L$2:$L$592,"n/a",0,1)</f>
        <v>76</v>
      </c>
    </row>
    <row r="1066" spans="1:13">
      <c r="A1066" t="s">
        <v>797</v>
      </c>
      <c r="B1066" t="s">
        <v>805</v>
      </c>
      <c r="C1066" t="s">
        <v>1152</v>
      </c>
      <c r="D1066" t="s">
        <v>804</v>
      </c>
      <c r="E1066" s="2" t="s">
        <v>1876</v>
      </c>
      <c r="F1066" s="2" t="s">
        <v>2555</v>
      </c>
      <c r="G1066">
        <f t="shared" si="23"/>
        <v>289.79496594527888</v>
      </c>
      <c r="H1066">
        <v>-15000</v>
      </c>
      <c r="I1066">
        <v>-25332.908479369999</v>
      </c>
      <c r="J1066">
        <v>15</v>
      </c>
      <c r="K1066">
        <v>285</v>
      </c>
      <c r="L1066">
        <f>_xlfn.XLOOKUP(F1066,magnet_list!$A$2:$A$592,magnet_list!$M$2:$M$592,"n/a",0,1)</f>
        <v>180</v>
      </c>
      <c r="M1066">
        <f>_xlfn.XLOOKUP(F1066,magnet_list!$A$2:$A$592,magnet_list!$L$2:$L$592,"n/a",0,1)</f>
        <v>76</v>
      </c>
    </row>
    <row r="1067" spans="1:13">
      <c r="A1067" t="s">
        <v>797</v>
      </c>
      <c r="B1067" t="s">
        <v>805</v>
      </c>
      <c r="C1067" t="s">
        <v>806</v>
      </c>
      <c r="E1067" s="2" t="s">
        <v>153</v>
      </c>
      <c r="F1067" s="2" t="s">
        <v>2555</v>
      </c>
      <c r="G1067">
        <f t="shared" si="23"/>
        <v>289.85498515126886</v>
      </c>
      <c r="H1067">
        <v>-15000</v>
      </c>
      <c r="I1067">
        <v>-25392.927685359999</v>
      </c>
      <c r="J1067">
        <v>15</v>
      </c>
      <c r="K1067">
        <v>285</v>
      </c>
      <c r="L1067">
        <f>_xlfn.XLOOKUP(F1067,magnet_list!$A$2:$A$592,magnet_list!$M$2:$M$592,"n/a",0,1)</f>
        <v>180</v>
      </c>
      <c r="M1067">
        <f>_xlfn.XLOOKUP(F1067,magnet_list!$A$2:$A$592,magnet_list!$L$2:$L$592,"n/a",0,1)</f>
        <v>76</v>
      </c>
    </row>
    <row r="1068" spans="1:13">
      <c r="A1068" t="s">
        <v>797</v>
      </c>
      <c r="B1068" t="s">
        <v>805</v>
      </c>
      <c r="C1068" t="s">
        <v>806</v>
      </c>
      <c r="E1068" s="2" t="s">
        <v>154</v>
      </c>
      <c r="F1068" s="2" t="s">
        <v>2556</v>
      </c>
      <c r="G1068">
        <f t="shared" si="23"/>
        <v>290.04027491587885</v>
      </c>
      <c r="H1068">
        <v>-15000</v>
      </c>
      <c r="I1068">
        <v>-25578.217449970001</v>
      </c>
      <c r="J1068">
        <v>15</v>
      </c>
      <c r="K1068">
        <v>285</v>
      </c>
      <c r="L1068">
        <f>_xlfn.XLOOKUP(F1068,magnet_list!$A$2:$A$592,magnet_list!$M$2:$M$592,"n/a",0,1)</f>
        <v>180</v>
      </c>
      <c r="M1068">
        <f>_xlfn.XLOOKUP(F1068,magnet_list!$A$2:$A$592,magnet_list!$L$2:$L$592,"n/a",0,1)</f>
        <v>76</v>
      </c>
    </row>
    <row r="1069" spans="1:13">
      <c r="A1069" t="s">
        <v>797</v>
      </c>
      <c r="B1069" t="s">
        <v>805</v>
      </c>
      <c r="C1069" t="s">
        <v>1152</v>
      </c>
      <c r="D1069" t="s">
        <v>804</v>
      </c>
      <c r="E1069" s="2" t="s">
        <v>1877</v>
      </c>
      <c r="F1069" s="2" t="s">
        <v>2556</v>
      </c>
      <c r="G1069">
        <f t="shared" si="23"/>
        <v>290.10027491587886</v>
      </c>
      <c r="H1069">
        <v>-15000</v>
      </c>
      <c r="I1069">
        <v>-25638.217449970001</v>
      </c>
      <c r="J1069">
        <v>15</v>
      </c>
      <c r="K1069">
        <v>285</v>
      </c>
      <c r="L1069">
        <f>_xlfn.XLOOKUP(F1069,magnet_list!$A$2:$A$592,magnet_list!$M$2:$M$592,"n/a",0,1)</f>
        <v>180</v>
      </c>
      <c r="M1069">
        <f>_xlfn.XLOOKUP(F1069,magnet_list!$A$2:$A$592,magnet_list!$L$2:$L$592,"n/a",0,1)</f>
        <v>76</v>
      </c>
    </row>
    <row r="1070" spans="1:13">
      <c r="A1070" t="s">
        <v>797</v>
      </c>
      <c r="B1070" t="s">
        <v>805</v>
      </c>
      <c r="C1070" t="s">
        <v>806</v>
      </c>
      <c r="E1070" s="2" t="s">
        <v>155</v>
      </c>
      <c r="F1070" s="2" t="s">
        <v>2556</v>
      </c>
      <c r="G1070">
        <f t="shared" si="23"/>
        <v>290.16030255990887</v>
      </c>
      <c r="H1070">
        <v>-15000</v>
      </c>
      <c r="I1070">
        <v>-25698.245094000002</v>
      </c>
      <c r="J1070">
        <v>15</v>
      </c>
      <c r="K1070">
        <v>285</v>
      </c>
      <c r="L1070">
        <f>_xlfn.XLOOKUP(F1070,magnet_list!$A$2:$A$592,magnet_list!$M$2:$M$592,"n/a",0,1)</f>
        <v>180</v>
      </c>
      <c r="M1070">
        <f>_xlfn.XLOOKUP(F1070,magnet_list!$A$2:$A$592,magnet_list!$L$2:$L$592,"n/a",0,1)</f>
        <v>76</v>
      </c>
    </row>
    <row r="1071" spans="1:13">
      <c r="A1071" t="s">
        <v>797</v>
      </c>
      <c r="B1071" t="s">
        <v>2288</v>
      </c>
      <c r="C1071" t="s">
        <v>1152</v>
      </c>
      <c r="D1071" t="s">
        <v>804</v>
      </c>
      <c r="E1071" s="8" t="s">
        <v>3704</v>
      </c>
      <c r="F1071" s="8" t="s">
        <v>3704</v>
      </c>
      <c r="G1071">
        <f>$G$1052+ABS($I$1071-$I$1052)/1000</f>
        <v>290.39081226136892</v>
      </c>
      <c r="H1071">
        <v>-15000</v>
      </c>
      <c r="I1071">
        <f>I1052-2259.9997</f>
        <v>-25928.754795460067</v>
      </c>
      <c r="J1071">
        <v>-270</v>
      </c>
      <c r="K1071">
        <v>0</v>
      </c>
      <c r="L1071">
        <v>76</v>
      </c>
      <c r="M1071">
        <v>74.75</v>
      </c>
    </row>
    <row r="1072" spans="1:13">
      <c r="A1072" t="s">
        <v>797</v>
      </c>
      <c r="B1072" t="s">
        <v>805</v>
      </c>
      <c r="C1072" t="s">
        <v>806</v>
      </c>
      <c r="E1072" s="2" t="s">
        <v>156</v>
      </c>
      <c r="F1072" s="2" t="s">
        <v>2557</v>
      </c>
      <c r="G1072">
        <f>G1070-(I1072-I1070)/1000</f>
        <v>290.54049251593887</v>
      </c>
      <c r="H1072">
        <v>-15000</v>
      </c>
      <c r="I1072">
        <v>-26078.435050029999</v>
      </c>
      <c r="J1072">
        <v>15</v>
      </c>
      <c r="K1072">
        <v>285</v>
      </c>
      <c r="L1072">
        <f>_xlfn.XLOOKUP(F1072,magnet_list!$A$2:$A$592,magnet_list!$M$2:$M$592,"n/a",0,1)</f>
        <v>180</v>
      </c>
      <c r="M1072">
        <f>_xlfn.XLOOKUP(F1072,magnet_list!$A$2:$A$592,magnet_list!$L$2:$L$592,"n/a",0,1)</f>
        <v>76</v>
      </c>
    </row>
    <row r="1073" spans="1:13">
      <c r="A1073" t="s">
        <v>797</v>
      </c>
      <c r="B1073" t="s">
        <v>805</v>
      </c>
      <c r="C1073" t="s">
        <v>1152</v>
      </c>
      <c r="D1073" t="s">
        <v>804</v>
      </c>
      <c r="E1073" s="2" t="s">
        <v>1878</v>
      </c>
      <c r="F1073" s="2" t="s">
        <v>2557</v>
      </c>
      <c r="G1073">
        <f t="shared" si="23"/>
        <v>290.60049251593887</v>
      </c>
      <c r="H1073">
        <v>-15000</v>
      </c>
      <c r="I1073">
        <v>-26138.435050029999</v>
      </c>
      <c r="J1073">
        <v>15</v>
      </c>
      <c r="K1073">
        <v>285</v>
      </c>
      <c r="L1073">
        <f>_xlfn.XLOOKUP(F1073,magnet_list!$A$2:$A$592,magnet_list!$M$2:$M$592,"n/a",0,1)</f>
        <v>180</v>
      </c>
      <c r="M1073">
        <f>_xlfn.XLOOKUP(F1073,magnet_list!$A$2:$A$592,magnet_list!$L$2:$L$592,"n/a",0,1)</f>
        <v>76</v>
      </c>
    </row>
    <row r="1074" spans="1:13">
      <c r="A1074" t="s">
        <v>797</v>
      </c>
      <c r="B1074" t="s">
        <v>805</v>
      </c>
      <c r="C1074" t="s">
        <v>806</v>
      </c>
      <c r="E1074" s="2" t="s">
        <v>157</v>
      </c>
      <c r="F1074" s="2" t="s">
        <v>2557</v>
      </c>
      <c r="G1074">
        <f t="shared" ref="G1074:G1140" si="24">G1073-(I1074-I1073)/1000</f>
        <v>290.66046266625887</v>
      </c>
      <c r="H1074">
        <v>-15000</v>
      </c>
      <c r="I1074">
        <v>-26198.40520035</v>
      </c>
      <c r="J1074">
        <v>15</v>
      </c>
      <c r="K1074">
        <v>285</v>
      </c>
      <c r="L1074">
        <f>_xlfn.XLOOKUP(F1074,magnet_list!$A$2:$A$592,magnet_list!$M$2:$M$592,"n/a",0,1)</f>
        <v>180</v>
      </c>
      <c r="M1074">
        <f>_xlfn.XLOOKUP(F1074,magnet_list!$A$2:$A$592,magnet_list!$L$2:$L$592,"n/a",0,1)</f>
        <v>76</v>
      </c>
    </row>
    <row r="1075" spans="1:13">
      <c r="A1075" t="s">
        <v>797</v>
      </c>
      <c r="B1075" t="s">
        <v>805</v>
      </c>
      <c r="C1075" t="s">
        <v>806</v>
      </c>
      <c r="E1075" s="2" t="s">
        <v>158</v>
      </c>
      <c r="F1075" s="2" t="s">
        <v>2558</v>
      </c>
      <c r="G1075">
        <f t="shared" si="24"/>
        <v>290.84531819284888</v>
      </c>
      <c r="H1075">
        <v>-15000</v>
      </c>
      <c r="I1075">
        <v>-26383.26072694</v>
      </c>
      <c r="J1075">
        <v>15</v>
      </c>
      <c r="K1075">
        <v>285</v>
      </c>
      <c r="L1075">
        <f>_xlfn.XLOOKUP(F1075,magnet_list!$A$2:$A$592,magnet_list!$M$2:$M$592,"n/a",0,1)</f>
        <v>180</v>
      </c>
      <c r="M1075">
        <f>_xlfn.XLOOKUP(F1075,magnet_list!$A$2:$A$592,magnet_list!$L$2:$L$592,"n/a",0,1)</f>
        <v>76</v>
      </c>
    </row>
    <row r="1076" spans="1:13">
      <c r="A1076" t="s">
        <v>797</v>
      </c>
      <c r="B1076" t="s">
        <v>805</v>
      </c>
      <c r="C1076" t="s">
        <v>1152</v>
      </c>
      <c r="D1076" t="s">
        <v>804</v>
      </c>
      <c r="E1076" s="2" t="s">
        <v>1879</v>
      </c>
      <c r="F1076" s="2" t="s">
        <v>2558</v>
      </c>
      <c r="G1076">
        <f t="shared" si="24"/>
        <v>290.90531819284888</v>
      </c>
      <c r="H1076">
        <v>-15000</v>
      </c>
      <c r="I1076">
        <v>-26443.26072694</v>
      </c>
      <c r="J1076">
        <v>15</v>
      </c>
      <c r="K1076">
        <v>285</v>
      </c>
      <c r="L1076">
        <f>_xlfn.XLOOKUP(F1076,magnet_list!$A$2:$A$592,magnet_list!$M$2:$M$592,"n/a",0,1)</f>
        <v>180</v>
      </c>
      <c r="M1076">
        <f>_xlfn.XLOOKUP(F1076,magnet_list!$A$2:$A$592,magnet_list!$L$2:$L$592,"n/a",0,1)</f>
        <v>76</v>
      </c>
    </row>
    <row r="1077" spans="1:13">
      <c r="A1077" t="s">
        <v>797</v>
      </c>
      <c r="B1077" t="s">
        <v>805</v>
      </c>
      <c r="C1077" t="s">
        <v>806</v>
      </c>
      <c r="E1077" s="2" t="s">
        <v>159</v>
      </c>
      <c r="F1077" s="2" t="s">
        <v>2558</v>
      </c>
      <c r="G1077">
        <f t="shared" si="24"/>
        <v>290.96531190005891</v>
      </c>
      <c r="H1077">
        <v>-15000</v>
      </c>
      <c r="I1077">
        <v>-26503.25443415</v>
      </c>
      <c r="J1077">
        <v>15</v>
      </c>
      <c r="K1077">
        <v>285</v>
      </c>
      <c r="L1077">
        <f>_xlfn.XLOOKUP(F1077,magnet_list!$A$2:$A$592,magnet_list!$M$2:$M$592,"n/a",0,1)</f>
        <v>180</v>
      </c>
      <c r="M1077">
        <f>_xlfn.XLOOKUP(F1077,magnet_list!$A$2:$A$592,magnet_list!$L$2:$L$592,"n/a",0,1)</f>
        <v>76</v>
      </c>
    </row>
    <row r="1078" spans="1:13">
      <c r="A1078" t="s">
        <v>797</v>
      </c>
      <c r="B1078" t="s">
        <v>805</v>
      </c>
      <c r="C1078" t="s">
        <v>806</v>
      </c>
      <c r="E1078" s="2" t="s">
        <v>160</v>
      </c>
      <c r="F1078" s="2" t="s">
        <v>2559</v>
      </c>
      <c r="G1078">
        <f t="shared" si="24"/>
        <v>291.22644994539888</v>
      </c>
      <c r="H1078">
        <v>-15000</v>
      </c>
      <c r="I1078">
        <v>-26764.392479490001</v>
      </c>
      <c r="J1078">
        <v>15</v>
      </c>
      <c r="K1078">
        <v>285</v>
      </c>
      <c r="L1078">
        <f>_xlfn.XLOOKUP(F1078,magnet_list!$A$2:$A$592,magnet_list!$M$2:$M$592,"n/a",0,1)</f>
        <v>160</v>
      </c>
      <c r="M1078">
        <f>_xlfn.XLOOKUP(F1078,magnet_list!$A$2:$A$592,magnet_list!$L$2:$L$592,"n/a",0,1)</f>
        <v>68</v>
      </c>
    </row>
    <row r="1079" spans="1:13">
      <c r="A1079" t="s">
        <v>797</v>
      </c>
      <c r="B1079" t="s">
        <v>805</v>
      </c>
      <c r="C1079" t="s">
        <v>1152</v>
      </c>
      <c r="D1079" t="s">
        <v>804</v>
      </c>
      <c r="E1079" s="2" t="s">
        <v>630</v>
      </c>
      <c r="F1079" s="2" t="s">
        <v>2559</v>
      </c>
      <c r="G1079">
        <f t="shared" si="24"/>
        <v>291.29645144539887</v>
      </c>
      <c r="H1079">
        <v>-15000</v>
      </c>
      <c r="I1079">
        <v>-26834.393979490003</v>
      </c>
      <c r="J1079">
        <v>15</v>
      </c>
      <c r="K1079">
        <v>285</v>
      </c>
      <c r="L1079">
        <f>_xlfn.XLOOKUP(F1079,magnet_list!$A$2:$A$592,magnet_list!$M$2:$M$592,"n/a",0,1)</f>
        <v>160</v>
      </c>
      <c r="M1079">
        <f>_xlfn.XLOOKUP(F1079,magnet_list!$A$2:$A$592,magnet_list!$L$2:$L$592,"n/a",0,1)</f>
        <v>68</v>
      </c>
    </row>
    <row r="1080" spans="1:13">
      <c r="A1080" t="s">
        <v>797</v>
      </c>
      <c r="B1080" t="s">
        <v>805</v>
      </c>
      <c r="C1080" t="s">
        <v>806</v>
      </c>
      <c r="E1080" s="2" t="s">
        <v>161</v>
      </c>
      <c r="F1080" s="2" t="s">
        <v>2559</v>
      </c>
      <c r="G1080">
        <f t="shared" si="24"/>
        <v>291.36643421781889</v>
      </c>
      <c r="H1080">
        <v>-15000</v>
      </c>
      <c r="I1080">
        <v>-26904.37675191</v>
      </c>
      <c r="J1080">
        <v>15</v>
      </c>
      <c r="K1080">
        <v>285</v>
      </c>
      <c r="L1080">
        <f>_xlfn.XLOOKUP(F1080,magnet_list!$A$2:$A$592,magnet_list!$M$2:$M$592,"n/a",0,1)</f>
        <v>160</v>
      </c>
      <c r="M1080">
        <f>_xlfn.XLOOKUP(F1080,magnet_list!$A$2:$A$592,magnet_list!$L$2:$L$592,"n/a",0,1)</f>
        <v>68</v>
      </c>
    </row>
    <row r="1081" spans="1:13">
      <c r="A1081" t="s">
        <v>797</v>
      </c>
      <c r="B1081" t="s">
        <v>805</v>
      </c>
      <c r="C1081" t="s">
        <v>806</v>
      </c>
      <c r="E1081" s="2" t="s">
        <v>162</v>
      </c>
      <c r="F1081" s="2" t="s">
        <v>2560</v>
      </c>
      <c r="G1081">
        <f t="shared" si="24"/>
        <v>291.56459949813888</v>
      </c>
      <c r="H1081">
        <v>-15000</v>
      </c>
      <c r="I1081">
        <v>-27102.542032230001</v>
      </c>
      <c r="J1081">
        <v>15</v>
      </c>
      <c r="K1081">
        <v>285</v>
      </c>
      <c r="L1081">
        <f>_xlfn.XLOOKUP(F1081,magnet_list!$A$2:$A$592,magnet_list!$M$2:$M$592,"n/a",0,1)</f>
        <v>160</v>
      </c>
      <c r="M1081">
        <f>_xlfn.XLOOKUP(F1081,magnet_list!$A$2:$A$592,magnet_list!$L$2:$L$592,"n/a",0,1)</f>
        <v>68</v>
      </c>
    </row>
    <row r="1082" spans="1:13">
      <c r="A1082" t="s">
        <v>797</v>
      </c>
      <c r="B1082" t="s">
        <v>805</v>
      </c>
      <c r="C1082" t="s">
        <v>1152</v>
      </c>
      <c r="D1082" t="s">
        <v>804</v>
      </c>
      <c r="E1082" s="2" t="s">
        <v>631</v>
      </c>
      <c r="F1082" s="2" t="s">
        <v>2560</v>
      </c>
      <c r="G1082">
        <f t="shared" si="24"/>
        <v>291.63459949813887</v>
      </c>
      <c r="H1082">
        <v>-15000</v>
      </c>
      <c r="I1082">
        <v>-27172.542032230001</v>
      </c>
      <c r="J1082">
        <v>15</v>
      </c>
      <c r="K1082">
        <v>285</v>
      </c>
      <c r="L1082">
        <f>_xlfn.XLOOKUP(F1082,magnet_list!$A$2:$A$592,magnet_list!$M$2:$M$592,"n/a",0,1)</f>
        <v>160</v>
      </c>
      <c r="M1082">
        <f>_xlfn.XLOOKUP(F1082,magnet_list!$A$2:$A$592,magnet_list!$L$2:$L$592,"n/a",0,1)</f>
        <v>68</v>
      </c>
    </row>
    <row r="1083" spans="1:13">
      <c r="A1083" t="s">
        <v>797</v>
      </c>
      <c r="B1083" t="s">
        <v>805</v>
      </c>
      <c r="C1083" t="s">
        <v>806</v>
      </c>
      <c r="E1083" s="2" t="s">
        <v>163</v>
      </c>
      <c r="F1083" s="2" t="s">
        <v>2560</v>
      </c>
      <c r="G1083">
        <f t="shared" si="24"/>
        <v>291.70458536214886</v>
      </c>
      <c r="H1083">
        <v>-15000</v>
      </c>
      <c r="I1083">
        <v>-27242.527896240001</v>
      </c>
      <c r="J1083">
        <v>15</v>
      </c>
      <c r="K1083">
        <v>285</v>
      </c>
      <c r="L1083">
        <f>_xlfn.XLOOKUP(F1083,magnet_list!$A$2:$A$592,magnet_list!$M$2:$M$592,"n/a",0,1)</f>
        <v>160</v>
      </c>
      <c r="M1083">
        <f>_xlfn.XLOOKUP(F1083,magnet_list!$A$2:$A$592,magnet_list!$L$2:$L$592,"n/a",0,1)</f>
        <v>68</v>
      </c>
    </row>
    <row r="1084" spans="1:13">
      <c r="A1084" t="s">
        <v>797</v>
      </c>
      <c r="B1084" t="s">
        <v>805</v>
      </c>
      <c r="C1084" t="s">
        <v>806</v>
      </c>
      <c r="E1084" s="2" t="s">
        <v>164</v>
      </c>
      <c r="F1084" s="2" t="s">
        <v>2561</v>
      </c>
      <c r="G1084">
        <f t="shared" si="24"/>
        <v>291.90418268395888</v>
      </c>
      <c r="H1084">
        <v>-15000</v>
      </c>
      <c r="I1084">
        <v>-27442.125218050001</v>
      </c>
      <c r="J1084">
        <v>15</v>
      </c>
      <c r="K1084">
        <v>285</v>
      </c>
      <c r="L1084">
        <f>_xlfn.XLOOKUP(F1084,magnet_list!$A$2:$A$592,magnet_list!$M$2:$M$592,"n/a",0,1)</f>
        <v>160</v>
      </c>
      <c r="M1084">
        <f>_xlfn.XLOOKUP(F1084,magnet_list!$A$2:$A$592,magnet_list!$L$2:$L$592,"n/a",0,1)</f>
        <v>68</v>
      </c>
    </row>
    <row r="1085" spans="1:13">
      <c r="A1085" t="s">
        <v>797</v>
      </c>
      <c r="B1085" t="s">
        <v>805</v>
      </c>
      <c r="C1085" t="s">
        <v>1152</v>
      </c>
      <c r="D1085" t="s">
        <v>804</v>
      </c>
      <c r="E1085" s="2" t="s">
        <v>632</v>
      </c>
      <c r="F1085" s="2" t="s">
        <v>2561</v>
      </c>
      <c r="G1085">
        <f t="shared" si="24"/>
        <v>291.97417418395889</v>
      </c>
      <c r="H1085">
        <v>-15000</v>
      </c>
      <c r="I1085">
        <v>-27512.116718050002</v>
      </c>
      <c r="J1085">
        <v>15</v>
      </c>
      <c r="K1085">
        <v>285</v>
      </c>
      <c r="L1085">
        <f>_xlfn.XLOOKUP(F1085,magnet_list!$A$2:$A$592,magnet_list!$M$2:$M$592,"n/a",0,1)</f>
        <v>160</v>
      </c>
      <c r="M1085">
        <f>_xlfn.XLOOKUP(F1085,magnet_list!$A$2:$A$592,magnet_list!$L$2:$L$592,"n/a",0,1)</f>
        <v>68</v>
      </c>
    </row>
    <row r="1086" spans="1:13">
      <c r="A1086" t="s">
        <v>797</v>
      </c>
      <c r="B1086" t="s">
        <v>805</v>
      </c>
      <c r="C1086" t="s">
        <v>806</v>
      </c>
      <c r="E1086" s="2" t="s">
        <v>165</v>
      </c>
      <c r="F1086" s="2" t="s">
        <v>2561</v>
      </c>
      <c r="G1086">
        <f t="shared" si="24"/>
        <v>292.04415787221888</v>
      </c>
      <c r="H1086">
        <v>-15000</v>
      </c>
      <c r="I1086">
        <v>-27582.100406310001</v>
      </c>
      <c r="J1086">
        <v>15</v>
      </c>
      <c r="K1086">
        <v>285</v>
      </c>
      <c r="L1086">
        <f>_xlfn.XLOOKUP(F1086,magnet_list!$A$2:$A$592,magnet_list!$M$2:$M$592,"n/a",0,1)</f>
        <v>160</v>
      </c>
      <c r="M1086">
        <f>_xlfn.XLOOKUP(F1086,magnet_list!$A$2:$A$592,magnet_list!$L$2:$L$592,"n/a",0,1)</f>
        <v>68</v>
      </c>
    </row>
    <row r="1087" spans="1:13">
      <c r="A1087" t="s">
        <v>797</v>
      </c>
      <c r="B1087" t="s">
        <v>805</v>
      </c>
      <c r="C1087" t="s">
        <v>806</v>
      </c>
      <c r="E1087" s="2" t="s">
        <v>166</v>
      </c>
      <c r="F1087" s="2" t="s">
        <v>2562</v>
      </c>
      <c r="G1087">
        <f t="shared" si="24"/>
        <v>292.24465878503889</v>
      </c>
      <c r="H1087">
        <v>-15000</v>
      </c>
      <c r="I1087">
        <v>-27782.601319130001</v>
      </c>
      <c r="J1087">
        <v>15</v>
      </c>
      <c r="K1087">
        <v>285</v>
      </c>
      <c r="L1087">
        <f>_xlfn.XLOOKUP(F1087,magnet_list!$A$2:$A$592,magnet_list!$M$2:$M$592,"n/a",0,1)</f>
        <v>160</v>
      </c>
      <c r="M1087">
        <f>_xlfn.XLOOKUP(F1087,magnet_list!$A$2:$A$592,magnet_list!$L$2:$L$592,"n/a",0,1)</f>
        <v>68</v>
      </c>
    </row>
    <row r="1088" spans="1:13">
      <c r="A1088" t="s">
        <v>797</v>
      </c>
      <c r="B1088" t="s">
        <v>805</v>
      </c>
      <c r="C1088" t="s">
        <v>1152</v>
      </c>
      <c r="D1088" t="s">
        <v>804</v>
      </c>
      <c r="E1088" s="2" t="s">
        <v>633</v>
      </c>
      <c r="F1088" s="2" t="s">
        <v>2562</v>
      </c>
      <c r="G1088">
        <f t="shared" si="24"/>
        <v>292.31465678503889</v>
      </c>
      <c r="H1088">
        <v>-15000</v>
      </c>
      <c r="I1088">
        <v>-27852.59931913</v>
      </c>
      <c r="J1088">
        <v>15</v>
      </c>
      <c r="K1088">
        <v>285</v>
      </c>
      <c r="L1088">
        <f>_xlfn.XLOOKUP(F1088,magnet_list!$A$2:$A$592,magnet_list!$M$2:$M$592,"n/a",0,1)</f>
        <v>160</v>
      </c>
      <c r="M1088">
        <f>_xlfn.XLOOKUP(F1088,magnet_list!$A$2:$A$592,magnet_list!$L$2:$L$592,"n/a",0,1)</f>
        <v>68</v>
      </c>
    </row>
    <row r="1089" spans="1:15">
      <c r="A1089" t="s">
        <v>797</v>
      </c>
      <c r="B1089" t="s">
        <v>805</v>
      </c>
      <c r="C1089" t="s">
        <v>806</v>
      </c>
      <c r="E1089" s="2" t="s">
        <v>167</v>
      </c>
      <c r="F1089" s="2" t="s">
        <v>2562</v>
      </c>
      <c r="G1089">
        <f t="shared" si="24"/>
        <v>292.38463370749889</v>
      </c>
      <c r="H1089">
        <v>-15000</v>
      </c>
      <c r="I1089">
        <v>-27922.576241589999</v>
      </c>
      <c r="J1089">
        <v>15</v>
      </c>
      <c r="K1089">
        <v>285</v>
      </c>
      <c r="L1089">
        <f>_xlfn.XLOOKUP(F1089,magnet_list!$A$2:$A$592,magnet_list!$M$2:$M$592,"n/a",0,1)</f>
        <v>160</v>
      </c>
      <c r="M1089">
        <f>_xlfn.XLOOKUP(F1089,magnet_list!$A$2:$A$592,magnet_list!$L$2:$L$592,"n/a",0,1)</f>
        <v>68</v>
      </c>
    </row>
    <row r="1090" spans="1:15">
      <c r="A1090" t="s">
        <v>797</v>
      </c>
      <c r="B1090" t="s">
        <v>1152</v>
      </c>
      <c r="C1090" t="s">
        <v>1152</v>
      </c>
      <c r="D1090" t="s">
        <v>804</v>
      </c>
      <c r="E1090" s="3" t="s">
        <v>2071</v>
      </c>
      <c r="F1090" s="3" t="s">
        <v>2071</v>
      </c>
      <c r="G1090">
        <f>$G$1052+ABS($I$1090-$I$1052)/1000</f>
        <v>292.63581256136894</v>
      </c>
      <c r="H1090">
        <v>-15000</v>
      </c>
      <c r="I1090">
        <f>$I$1052-4505</f>
        <v>-28173.755095460067</v>
      </c>
      <c r="J1090">
        <v>-270</v>
      </c>
      <c r="K1090">
        <v>0</v>
      </c>
    </row>
    <row r="1091" spans="1:15">
      <c r="A1091" t="s">
        <v>797</v>
      </c>
      <c r="B1091" t="s">
        <v>805</v>
      </c>
      <c r="C1091" t="s">
        <v>806</v>
      </c>
      <c r="E1091" s="2" t="s">
        <v>168</v>
      </c>
      <c r="F1091" s="2" t="s">
        <v>2563</v>
      </c>
      <c r="G1091">
        <f t="shared" si="24"/>
        <v>292.78500549195888</v>
      </c>
      <c r="H1091">
        <v>-15000</v>
      </c>
      <c r="I1091">
        <v>-28322.948026049999</v>
      </c>
      <c r="J1091">
        <v>15</v>
      </c>
      <c r="K1091">
        <v>285</v>
      </c>
      <c r="L1091">
        <f>_xlfn.XLOOKUP(F1091,magnet_list!$A$2:$A$592,magnet_list!$M$2:$M$592,"n/a",0,1)</f>
        <v>160</v>
      </c>
      <c r="M1091">
        <f>_xlfn.XLOOKUP(F1091,magnet_list!$A$2:$A$592,magnet_list!$L$2:$L$592,"n/a",0,1)</f>
        <v>68</v>
      </c>
    </row>
    <row r="1092" spans="1:15">
      <c r="A1092" t="s">
        <v>797</v>
      </c>
      <c r="B1092" t="s">
        <v>805</v>
      </c>
      <c r="C1092" t="s">
        <v>1152</v>
      </c>
      <c r="D1092" t="s">
        <v>804</v>
      </c>
      <c r="E1092" s="2" t="s">
        <v>634</v>
      </c>
      <c r="F1092" s="2" t="s">
        <v>2563</v>
      </c>
      <c r="G1092">
        <f t="shared" si="24"/>
        <v>292.85500299195888</v>
      </c>
      <c r="H1092">
        <v>-15000</v>
      </c>
      <c r="I1092">
        <v>-28392.945526049996</v>
      </c>
      <c r="J1092">
        <v>15</v>
      </c>
      <c r="K1092">
        <v>285</v>
      </c>
      <c r="L1092">
        <f>_xlfn.XLOOKUP(F1092,magnet_list!$A$2:$A$592,magnet_list!$M$2:$M$592,"n/a",0,1)</f>
        <v>160</v>
      </c>
      <c r="M1092">
        <f>_xlfn.XLOOKUP(F1092,magnet_list!$A$2:$A$592,magnet_list!$L$2:$L$592,"n/a",0,1)</f>
        <v>68</v>
      </c>
    </row>
    <row r="1093" spans="1:15">
      <c r="A1093" t="s">
        <v>797</v>
      </c>
      <c r="B1093" t="s">
        <v>805</v>
      </c>
      <c r="C1093" t="s">
        <v>806</v>
      </c>
      <c r="E1093" s="2" t="s">
        <v>169</v>
      </c>
      <c r="F1093" s="2" t="s">
        <v>2563</v>
      </c>
      <c r="G1093">
        <f t="shared" si="24"/>
        <v>292.92499704372887</v>
      </c>
      <c r="H1093">
        <v>-15000</v>
      </c>
      <c r="I1093">
        <v>-28462.939577820001</v>
      </c>
      <c r="J1093">
        <v>15</v>
      </c>
      <c r="K1093">
        <v>285</v>
      </c>
      <c r="L1093">
        <f>_xlfn.XLOOKUP(F1093,magnet_list!$A$2:$A$592,magnet_list!$M$2:$M$592,"n/a",0,1)</f>
        <v>160</v>
      </c>
      <c r="M1093">
        <f>_xlfn.XLOOKUP(F1093,magnet_list!$A$2:$A$592,magnet_list!$L$2:$L$592,"n/a",0,1)</f>
        <v>68</v>
      </c>
    </row>
    <row r="1094" spans="1:15">
      <c r="A1094" t="s">
        <v>797</v>
      </c>
      <c r="B1094" t="s">
        <v>805</v>
      </c>
      <c r="C1094" t="s">
        <v>806</v>
      </c>
      <c r="E1094" s="2" t="s">
        <v>170</v>
      </c>
      <c r="F1094" s="2" t="s">
        <v>3880</v>
      </c>
      <c r="G1094">
        <f>$G$1093+ABS($I$1094-$I$1093)/1000</f>
        <v>293.13709574039888</v>
      </c>
      <c r="H1094">
        <v>-15000</v>
      </c>
      <c r="I1094">
        <v>-28675.038274490002</v>
      </c>
      <c r="J1094">
        <v>40</v>
      </c>
      <c r="K1094">
        <v>310</v>
      </c>
      <c r="L1094">
        <v>150</v>
      </c>
      <c r="M1094">
        <v>72</v>
      </c>
    </row>
    <row r="1095" spans="1:15">
      <c r="A1095" t="s">
        <v>797</v>
      </c>
      <c r="B1095" t="s">
        <v>805</v>
      </c>
      <c r="C1095" t="s">
        <v>1152</v>
      </c>
      <c r="D1095" t="s">
        <v>804</v>
      </c>
      <c r="E1095" s="2" t="s">
        <v>3879</v>
      </c>
      <c r="F1095" s="2" t="s">
        <v>3880</v>
      </c>
      <c r="G1095">
        <f>$G$1093+ABS($I$1095-$I$1093)/1000</f>
        <v>293.18710198734885</v>
      </c>
      <c r="H1095">
        <v>-15000</v>
      </c>
      <c r="I1095">
        <f>($I$1096+$I$1094)/2</f>
        <v>-28725.044521440002</v>
      </c>
      <c r="J1095">
        <v>40</v>
      </c>
      <c r="K1095">
        <v>310</v>
      </c>
      <c r="L1095">
        <v>150</v>
      </c>
      <c r="M1095">
        <v>72</v>
      </c>
    </row>
    <row r="1096" spans="1:15">
      <c r="A1096" t="s">
        <v>797</v>
      </c>
      <c r="B1096" t="s">
        <v>805</v>
      </c>
      <c r="C1096" t="s">
        <v>806</v>
      </c>
      <c r="E1096" s="2" t="s">
        <v>171</v>
      </c>
      <c r="F1096" s="2" t="s">
        <v>3880</v>
      </c>
      <c r="G1096">
        <f>$G$1093+ABS($I$1096-$I$1093)/1000</f>
        <v>293.23710823429889</v>
      </c>
      <c r="H1096">
        <v>-15000</v>
      </c>
      <c r="I1096">
        <v>-28775.05076839</v>
      </c>
      <c r="J1096">
        <v>40</v>
      </c>
      <c r="K1096">
        <v>310</v>
      </c>
      <c r="L1096">
        <v>150</v>
      </c>
      <c r="M1096">
        <v>72</v>
      </c>
    </row>
    <row r="1097" spans="1:15">
      <c r="A1097" t="s">
        <v>797</v>
      </c>
      <c r="B1097" t="s">
        <v>805</v>
      </c>
      <c r="C1097" t="s">
        <v>806</v>
      </c>
      <c r="E1097" s="2" t="s">
        <v>172</v>
      </c>
      <c r="F1097" s="2" t="s">
        <v>2564</v>
      </c>
      <c r="G1097">
        <f>G1093-(I1097-I1093)/1000</f>
        <v>293.45040623272888</v>
      </c>
      <c r="H1097">
        <v>-15000</v>
      </c>
      <c r="I1097">
        <v>-28988.34876682</v>
      </c>
      <c r="J1097">
        <v>15</v>
      </c>
      <c r="K1097">
        <v>285</v>
      </c>
      <c r="L1097">
        <f>_xlfn.XLOOKUP(F1097,magnet_list!$A$2:$A$592,magnet_list!$M$2:$M$592,"n/a",0,1)</f>
        <v>160</v>
      </c>
      <c r="M1097">
        <f>_xlfn.XLOOKUP(F1097,magnet_list!$A$2:$A$592,magnet_list!$L$2:$L$592,"n/a",0,1)</f>
        <v>68</v>
      </c>
    </row>
    <row r="1098" spans="1:15">
      <c r="A1098" t="s">
        <v>797</v>
      </c>
      <c r="B1098" t="s">
        <v>805</v>
      </c>
      <c r="C1098" t="s">
        <v>1152</v>
      </c>
      <c r="D1098" t="s">
        <v>804</v>
      </c>
      <c r="E1098" s="2" t="s">
        <v>635</v>
      </c>
      <c r="F1098" s="2" t="s">
        <v>2564</v>
      </c>
      <c r="G1098">
        <f t="shared" si="24"/>
        <v>293.5079527170389</v>
      </c>
      <c r="H1098">
        <v>-15000</v>
      </c>
      <c r="I1098">
        <v>-29045.895251129998</v>
      </c>
      <c r="J1098">
        <v>15</v>
      </c>
      <c r="K1098">
        <v>285</v>
      </c>
      <c r="L1098">
        <f>_xlfn.XLOOKUP(F1098,magnet_list!$A$2:$A$592,magnet_list!$M$2:$M$592,"n/a",0,1)</f>
        <v>160</v>
      </c>
      <c r="M1098">
        <f>_xlfn.XLOOKUP(F1098,magnet_list!$A$2:$A$592,magnet_list!$L$2:$L$592,"n/a",0,1)</f>
        <v>68</v>
      </c>
    </row>
    <row r="1099" spans="1:15">
      <c r="A1099" t="s">
        <v>797</v>
      </c>
      <c r="B1099" t="s">
        <v>2288</v>
      </c>
      <c r="C1099" t="s">
        <v>1152</v>
      </c>
      <c r="D1099" t="s">
        <v>804</v>
      </c>
      <c r="E1099" s="8" t="s">
        <v>2072</v>
      </c>
      <c r="F1099" s="8" t="s">
        <v>2072</v>
      </c>
      <c r="G1099">
        <f>$G$1090+ABS($I$1099-$I$1090)/1000</f>
        <v>293.56581256136894</v>
      </c>
      <c r="H1099">
        <v>-15000</v>
      </c>
      <c r="I1099">
        <f>$I$1090-930</f>
        <v>-29103.755095460067</v>
      </c>
      <c r="J1099">
        <v>-270</v>
      </c>
      <c r="K1099">
        <v>0</v>
      </c>
      <c r="L1099">
        <v>313</v>
      </c>
      <c r="M1099">
        <v>30</v>
      </c>
      <c r="O1099" t="s">
        <v>3706</v>
      </c>
    </row>
    <row r="1100" spans="1:15">
      <c r="A1100" t="s">
        <v>797</v>
      </c>
      <c r="B1100" t="s">
        <v>803</v>
      </c>
      <c r="C1100" t="s">
        <v>806</v>
      </c>
      <c r="E1100" t="s">
        <v>827</v>
      </c>
      <c r="F1100" t="s">
        <v>827</v>
      </c>
      <c r="G1100">
        <f t="shared" si="24"/>
        <v>293.57481743452888</v>
      </c>
      <c r="H1100">
        <v>-13535.28470256</v>
      </c>
      <c r="I1100">
        <v>-29112.759968620001</v>
      </c>
      <c r="J1100">
        <v>288.60350421999999</v>
      </c>
      <c r="K1100">
        <v>558.60350421999999</v>
      </c>
    </row>
    <row r="1101" spans="1:15">
      <c r="A1101" t="s">
        <v>797</v>
      </c>
      <c r="B1101" t="s">
        <v>805</v>
      </c>
      <c r="C1101" t="s">
        <v>806</v>
      </c>
      <c r="E1101" s="2" t="s">
        <v>173</v>
      </c>
      <c r="F1101" s="2" t="s">
        <v>2564</v>
      </c>
      <c r="G1101">
        <f t="shared" si="24"/>
        <v>293.59040019712887</v>
      </c>
      <c r="H1101">
        <v>-15000</v>
      </c>
      <c r="I1101">
        <v>-29128.34273122</v>
      </c>
      <c r="J1101">
        <v>15</v>
      </c>
      <c r="K1101">
        <v>285</v>
      </c>
      <c r="L1101">
        <f>_xlfn.XLOOKUP(F1101,magnet_list!$A$2:$A$592,magnet_list!$M$2:$M$592,"n/a",0,1)</f>
        <v>160</v>
      </c>
      <c r="M1101">
        <f>_xlfn.XLOOKUP(F1101,magnet_list!$A$2:$A$592,magnet_list!$L$2:$L$592,"n/a",0,1)</f>
        <v>68</v>
      </c>
    </row>
    <row r="1102" spans="1:15">
      <c r="A1102" t="s">
        <v>797</v>
      </c>
      <c r="B1102" t="s">
        <v>805</v>
      </c>
      <c r="C1102" t="s">
        <v>806</v>
      </c>
      <c r="E1102" s="2" t="s">
        <v>174</v>
      </c>
      <c r="F1102" s="2" t="s">
        <v>2565</v>
      </c>
      <c r="G1102">
        <f t="shared" si="24"/>
        <v>293.80501698335888</v>
      </c>
      <c r="H1102">
        <v>-15000</v>
      </c>
      <c r="I1102">
        <v>-29342.959517449999</v>
      </c>
      <c r="J1102">
        <v>70</v>
      </c>
      <c r="K1102">
        <v>340</v>
      </c>
      <c r="L1102">
        <f>_xlfn.XLOOKUP(F1102,magnet_list!$A$2:$A$592,magnet_list!$M$2:$M$592,"n/a",0,1)</f>
        <v>150</v>
      </c>
      <c r="M1102">
        <f>_xlfn.XLOOKUP(F1102,magnet_list!$A$2:$A$592,magnet_list!$L$2:$L$592,"n/a",0,1)</f>
        <v>72</v>
      </c>
    </row>
    <row r="1103" spans="1:15">
      <c r="A1103" t="s">
        <v>797</v>
      </c>
      <c r="B1103" t="s">
        <v>805</v>
      </c>
      <c r="C1103" t="s">
        <v>1152</v>
      </c>
      <c r="D1103" t="s">
        <v>804</v>
      </c>
      <c r="E1103" s="2" t="s">
        <v>636</v>
      </c>
      <c r="F1103" s="2" t="s">
        <v>2565</v>
      </c>
      <c r="G1103">
        <f t="shared" si="24"/>
        <v>293.85501998335889</v>
      </c>
      <c r="H1103">
        <v>-15000</v>
      </c>
      <c r="I1103">
        <v>-29392.96251745</v>
      </c>
      <c r="J1103">
        <v>70</v>
      </c>
      <c r="K1103">
        <v>340</v>
      </c>
      <c r="L1103">
        <f>_xlfn.XLOOKUP(F1103,magnet_list!$A$2:$A$592,magnet_list!$M$2:$M$592,"n/a",0,1)</f>
        <v>150</v>
      </c>
      <c r="M1103">
        <f>_xlfn.XLOOKUP(F1103,magnet_list!$A$2:$A$592,magnet_list!$L$2:$L$592,"n/a",0,1)</f>
        <v>72</v>
      </c>
    </row>
    <row r="1104" spans="1:15">
      <c r="A1104" t="s">
        <v>797</v>
      </c>
      <c r="B1104" t="s">
        <v>805</v>
      </c>
      <c r="C1104" t="s">
        <v>806</v>
      </c>
      <c r="E1104" s="2" t="s">
        <v>175</v>
      </c>
      <c r="F1104" s="2" t="s">
        <v>2565</v>
      </c>
      <c r="G1104">
        <f t="shared" si="24"/>
        <v>293.90501354647887</v>
      </c>
      <c r="H1104">
        <v>-15000</v>
      </c>
      <c r="I1104">
        <v>-29442.956080569998</v>
      </c>
      <c r="J1104">
        <v>70</v>
      </c>
      <c r="K1104">
        <v>340</v>
      </c>
      <c r="L1104">
        <f>_xlfn.XLOOKUP(F1104,magnet_list!$A$2:$A$592,magnet_list!$M$2:$M$592,"n/a",0,1)</f>
        <v>150</v>
      </c>
      <c r="M1104">
        <f>_xlfn.XLOOKUP(F1104,magnet_list!$A$2:$A$592,magnet_list!$L$2:$L$592,"n/a",0,1)</f>
        <v>72</v>
      </c>
    </row>
    <row r="1105" spans="1:13">
      <c r="A1105" t="s">
        <v>797</v>
      </c>
      <c r="B1105" t="s">
        <v>1152</v>
      </c>
      <c r="C1105" t="s">
        <v>1152</v>
      </c>
      <c r="D1105" t="s">
        <v>804</v>
      </c>
      <c r="E1105" s="3" t="s">
        <v>2073</v>
      </c>
      <c r="F1105" s="3" t="s">
        <v>2073</v>
      </c>
      <c r="G1105">
        <f>$G$1099+ABS($I$1105-$I$1099)/1000</f>
        <v>294.11081256136896</v>
      </c>
      <c r="H1105">
        <v>-15000</v>
      </c>
      <c r="I1105">
        <f>$I$1099-545</f>
        <v>-29648.755095460067</v>
      </c>
      <c r="J1105">
        <v>-270</v>
      </c>
      <c r="K1105">
        <v>0</v>
      </c>
    </row>
    <row r="1106" spans="1:13">
      <c r="A1106" t="s">
        <v>797</v>
      </c>
      <c r="B1106" t="s">
        <v>805</v>
      </c>
      <c r="C1106" t="s">
        <v>806</v>
      </c>
      <c r="E1106" s="2" t="s">
        <v>176</v>
      </c>
      <c r="F1106" s="2" t="s">
        <v>2566</v>
      </c>
      <c r="G1106">
        <f t="shared" si="24"/>
        <v>294.12032166190892</v>
      </c>
      <c r="H1106">
        <v>-15000</v>
      </c>
      <c r="I1106">
        <v>-29658.264196</v>
      </c>
      <c r="J1106">
        <v>15</v>
      </c>
      <c r="K1106">
        <v>285</v>
      </c>
      <c r="L1106">
        <f>_xlfn.XLOOKUP(F1106,magnet_list!$A$2:$A$592,magnet_list!$M$2:$M$592,"n/a",0,1)</f>
        <v>160</v>
      </c>
      <c r="M1106">
        <f>_xlfn.XLOOKUP(F1106,magnet_list!$A$2:$A$592,magnet_list!$L$2:$L$592,"n/a",0,1)</f>
        <v>68</v>
      </c>
    </row>
    <row r="1107" spans="1:13">
      <c r="A1107" t="s">
        <v>797</v>
      </c>
      <c r="B1107" t="s">
        <v>805</v>
      </c>
      <c r="C1107" t="s">
        <v>1152</v>
      </c>
      <c r="D1107" t="s">
        <v>804</v>
      </c>
      <c r="E1107" s="2" t="s">
        <v>637</v>
      </c>
      <c r="F1107" s="2" t="s">
        <v>2566</v>
      </c>
      <c r="G1107">
        <f t="shared" si="24"/>
        <v>294.19032166190891</v>
      </c>
      <c r="H1107">
        <v>-15000</v>
      </c>
      <c r="I1107">
        <v>-29728.264196</v>
      </c>
      <c r="J1107">
        <v>15</v>
      </c>
      <c r="K1107">
        <v>285</v>
      </c>
      <c r="L1107">
        <f>_xlfn.XLOOKUP(F1107,magnet_list!$A$2:$A$592,magnet_list!$M$2:$M$592,"n/a",0,1)</f>
        <v>160</v>
      </c>
      <c r="M1107">
        <f>_xlfn.XLOOKUP(F1107,magnet_list!$A$2:$A$592,magnet_list!$L$2:$L$592,"n/a",0,1)</f>
        <v>68</v>
      </c>
    </row>
    <row r="1108" spans="1:13">
      <c r="A1108" t="s">
        <v>797</v>
      </c>
      <c r="B1108" t="s">
        <v>805</v>
      </c>
      <c r="C1108" t="s">
        <v>806</v>
      </c>
      <c r="E1108" s="2" t="s">
        <v>177</v>
      </c>
      <c r="F1108" s="2" t="s">
        <v>2566</v>
      </c>
      <c r="G1108">
        <f t="shared" si="24"/>
        <v>294.26031675297889</v>
      </c>
      <c r="H1108">
        <v>-15000</v>
      </c>
      <c r="I1108">
        <v>-29798.259287069999</v>
      </c>
      <c r="J1108">
        <v>15</v>
      </c>
      <c r="K1108">
        <v>285</v>
      </c>
      <c r="L1108">
        <f>_xlfn.XLOOKUP(F1108,magnet_list!$A$2:$A$592,magnet_list!$M$2:$M$592,"n/a",0,1)</f>
        <v>160</v>
      </c>
      <c r="M1108">
        <f>_xlfn.XLOOKUP(F1108,magnet_list!$A$2:$A$592,magnet_list!$L$2:$L$592,"n/a",0,1)</f>
        <v>68</v>
      </c>
    </row>
    <row r="1109" spans="1:13">
      <c r="A1109" t="s">
        <v>797</v>
      </c>
      <c r="B1109" t="s">
        <v>803</v>
      </c>
      <c r="C1109" t="s">
        <v>806</v>
      </c>
      <c r="E1109" t="s">
        <v>1008</v>
      </c>
      <c r="F1109" t="s">
        <v>1008</v>
      </c>
      <c r="G1109">
        <f t="shared" si="24"/>
        <v>294.29950320137891</v>
      </c>
      <c r="H1109">
        <v>-15400</v>
      </c>
      <c r="I1109">
        <v>-29837.445735469999</v>
      </c>
      <c r="J1109">
        <v>-689</v>
      </c>
      <c r="K1109">
        <v>-419</v>
      </c>
    </row>
    <row r="1110" spans="1:13">
      <c r="A1110" t="s">
        <v>797</v>
      </c>
      <c r="B1110" t="s">
        <v>803</v>
      </c>
      <c r="C1110" t="s">
        <v>806</v>
      </c>
      <c r="E1110" t="s">
        <v>1011</v>
      </c>
      <c r="F1110" t="s">
        <v>1011</v>
      </c>
      <c r="G1110">
        <f t="shared" si="24"/>
        <v>294.62294742017889</v>
      </c>
      <c r="H1110">
        <v>-15400</v>
      </c>
      <c r="I1110">
        <v>-30160.889954269998</v>
      </c>
      <c r="J1110">
        <v>-689</v>
      </c>
      <c r="K1110">
        <v>-419</v>
      </c>
    </row>
    <row r="1111" spans="1:13">
      <c r="A1111" t="s">
        <v>797</v>
      </c>
      <c r="B1111" t="s">
        <v>804</v>
      </c>
      <c r="C1111" t="s">
        <v>1152</v>
      </c>
      <c r="D1111" t="s">
        <v>804</v>
      </c>
      <c r="E1111" s="10" t="s">
        <v>178</v>
      </c>
      <c r="F1111" s="10" t="s">
        <v>2567</v>
      </c>
      <c r="G1111">
        <f>$G$1118-ABS($I$1118-$I$1111)/1000</f>
        <v>294.65033296136892</v>
      </c>
      <c r="H1111">
        <v>-15000</v>
      </c>
      <c r="I1111">
        <f>$I$1118+$L$1111/2</f>
        <v>-30188.275495460064</v>
      </c>
      <c r="J1111">
        <v>-270</v>
      </c>
      <c r="K1111">
        <v>0</v>
      </c>
      <c r="L1111">
        <v>1889.4492</v>
      </c>
    </row>
    <row r="1112" spans="1:13">
      <c r="A1112" t="s">
        <v>797</v>
      </c>
      <c r="B1112" t="s">
        <v>805</v>
      </c>
      <c r="C1112" t="s">
        <v>806</v>
      </c>
      <c r="E1112" s="2" t="s">
        <v>179</v>
      </c>
      <c r="F1112" s="2" t="s">
        <v>2568</v>
      </c>
      <c r="G1112">
        <f t="shared" si="24"/>
        <v>294.77200167405886</v>
      </c>
      <c r="H1112">
        <v>-15000</v>
      </c>
      <c r="I1112">
        <v>-30309.944208149998</v>
      </c>
      <c r="J1112">
        <v>75</v>
      </c>
      <c r="K1112">
        <v>345</v>
      </c>
      <c r="L1112">
        <f>_xlfn.XLOOKUP(F1112,magnet_list!$A$2:$A$592,magnet_list!$M$2:$M$592,"n/a",0,1)</f>
        <v>300</v>
      </c>
      <c r="M1112">
        <f>_xlfn.XLOOKUP(F1112,magnet_list!$A$2:$A$592,magnet_list!$L$2:$L$592,"n/a",0,1)</f>
        <v>140</v>
      </c>
    </row>
    <row r="1113" spans="1:13">
      <c r="A1113" t="s">
        <v>797</v>
      </c>
      <c r="B1113" t="s">
        <v>805</v>
      </c>
      <c r="C1113" t="s">
        <v>1152</v>
      </c>
      <c r="D1113" t="s">
        <v>804</v>
      </c>
      <c r="E1113" s="2" t="s">
        <v>638</v>
      </c>
      <c r="F1113" s="2" t="s">
        <v>2568</v>
      </c>
      <c r="G1113">
        <f t="shared" si="24"/>
        <v>294.90701167405888</v>
      </c>
      <c r="H1113">
        <v>-15000</v>
      </c>
      <c r="I1113">
        <v>-30444.95420815</v>
      </c>
      <c r="J1113">
        <v>75</v>
      </c>
      <c r="K1113">
        <v>345</v>
      </c>
      <c r="L1113">
        <f>_xlfn.XLOOKUP(F1113,magnet_list!$A$2:$A$592,magnet_list!$M$2:$M$592,"n/a",0,1)</f>
        <v>300</v>
      </c>
      <c r="M1113">
        <f>_xlfn.XLOOKUP(F1113,magnet_list!$A$2:$A$592,magnet_list!$L$2:$L$592,"n/a",0,1)</f>
        <v>140</v>
      </c>
    </row>
    <row r="1114" spans="1:13">
      <c r="A1114" t="s">
        <v>797</v>
      </c>
      <c r="B1114" t="s">
        <v>805</v>
      </c>
      <c r="C1114" t="s">
        <v>806</v>
      </c>
      <c r="E1114" s="2" t="s">
        <v>180</v>
      </c>
      <c r="F1114" s="2" t="s">
        <v>2568</v>
      </c>
      <c r="G1114">
        <f t="shared" si="24"/>
        <v>295.04199819697885</v>
      </c>
      <c r="H1114">
        <v>-15000</v>
      </c>
      <c r="I1114">
        <v>-30579.940731070001</v>
      </c>
      <c r="J1114">
        <v>75</v>
      </c>
      <c r="K1114">
        <v>345</v>
      </c>
      <c r="L1114">
        <f>_xlfn.XLOOKUP(F1114,magnet_list!$A$2:$A$592,magnet_list!$M$2:$M$592,"n/a",0,1)</f>
        <v>300</v>
      </c>
      <c r="M1114">
        <f>_xlfn.XLOOKUP(F1114,magnet_list!$A$2:$A$592,magnet_list!$L$2:$L$592,"n/a",0,1)</f>
        <v>140</v>
      </c>
    </row>
    <row r="1115" spans="1:13">
      <c r="A1115" t="s">
        <v>797</v>
      </c>
      <c r="B1115" t="s">
        <v>803</v>
      </c>
      <c r="C1115" t="s">
        <v>806</v>
      </c>
      <c r="E1115" t="s">
        <v>824</v>
      </c>
      <c r="F1115" t="s">
        <v>824</v>
      </c>
      <c r="G1115">
        <f t="shared" si="24"/>
        <v>295.23119781337886</v>
      </c>
      <c r="H1115">
        <v>-17475.218439460001</v>
      </c>
      <c r="I1115">
        <v>-30769.140347469998</v>
      </c>
      <c r="J1115">
        <v>-20.84617909</v>
      </c>
      <c r="K1115">
        <v>249.15382091000001</v>
      </c>
    </row>
    <row r="1116" spans="1:13">
      <c r="A1116" t="s">
        <v>797</v>
      </c>
      <c r="B1116" t="s">
        <v>805</v>
      </c>
      <c r="C1116" t="s">
        <v>806</v>
      </c>
      <c r="E1116" s="2" t="s">
        <v>181</v>
      </c>
      <c r="F1116" s="2" t="s">
        <v>2569</v>
      </c>
      <c r="G1116">
        <f t="shared" si="24"/>
        <v>295.42195891256887</v>
      </c>
      <c r="H1116">
        <v>-15000</v>
      </c>
      <c r="I1116">
        <v>-30959.901446659998</v>
      </c>
      <c r="J1116">
        <v>75</v>
      </c>
      <c r="K1116">
        <v>345</v>
      </c>
      <c r="L1116">
        <f>_xlfn.XLOOKUP(F1116,magnet_list!$A$2:$A$592,magnet_list!$M$2:$M$592,"n/a",0,1)</f>
        <v>300</v>
      </c>
      <c r="M1116">
        <f>_xlfn.XLOOKUP(F1116,magnet_list!$A$2:$A$592,magnet_list!$L$2:$L$592,"n/a",0,1)</f>
        <v>140</v>
      </c>
    </row>
    <row r="1117" spans="1:13">
      <c r="A1117" t="s">
        <v>797</v>
      </c>
      <c r="B1117" t="s">
        <v>805</v>
      </c>
      <c r="C1117" t="s">
        <v>1152</v>
      </c>
      <c r="D1117" t="s">
        <v>804</v>
      </c>
      <c r="E1117" s="2" t="s">
        <v>639</v>
      </c>
      <c r="F1117" s="2" t="s">
        <v>2569</v>
      </c>
      <c r="G1117">
        <f t="shared" si="24"/>
        <v>295.55696141256885</v>
      </c>
      <c r="H1117">
        <v>-15000</v>
      </c>
      <c r="I1117">
        <v>-31094.903946659997</v>
      </c>
      <c r="J1117">
        <v>75</v>
      </c>
      <c r="K1117">
        <v>345</v>
      </c>
      <c r="L1117">
        <f>_xlfn.XLOOKUP(F1117,magnet_list!$A$2:$A$592,magnet_list!$M$2:$M$592,"n/a",0,1)</f>
        <v>300</v>
      </c>
      <c r="M1117">
        <f>_xlfn.XLOOKUP(F1117,magnet_list!$A$2:$A$592,magnet_list!$L$2:$L$592,"n/a",0,1)</f>
        <v>140</v>
      </c>
    </row>
    <row r="1118" spans="1:13">
      <c r="A1118" t="s">
        <v>797</v>
      </c>
      <c r="B1118" t="s">
        <v>804</v>
      </c>
      <c r="C1118" t="s">
        <v>1152</v>
      </c>
      <c r="D1118" t="s">
        <v>804</v>
      </c>
      <c r="E1118" s="10" t="s">
        <v>1190</v>
      </c>
      <c r="F1118" s="10" t="s">
        <v>2567</v>
      </c>
      <c r="G1118">
        <f>$G$1105+ABS($I$1118-$I$1105)/1000</f>
        <v>295.59505756136895</v>
      </c>
      <c r="H1118">
        <v>-15000</v>
      </c>
      <c r="I1118">
        <f>$I$1105-1484.245</f>
        <v>-31133.000095460065</v>
      </c>
      <c r="J1118">
        <v>-270</v>
      </c>
      <c r="K1118">
        <v>0</v>
      </c>
      <c r="L1118">
        <v>1889.4492</v>
      </c>
    </row>
    <row r="1119" spans="1:13">
      <c r="A1119" t="s">
        <v>797</v>
      </c>
      <c r="B1119" t="s">
        <v>805</v>
      </c>
      <c r="C1119" t="s">
        <v>806</v>
      </c>
      <c r="E1119" s="2" t="s">
        <v>182</v>
      </c>
      <c r="F1119" s="2" t="s">
        <v>2569</v>
      </c>
      <c r="G1119">
        <f t="shared" si="24"/>
        <v>295.6919429948889</v>
      </c>
      <c r="H1119">
        <v>-15000</v>
      </c>
      <c r="I1119">
        <v>-31229.885528980001</v>
      </c>
      <c r="J1119">
        <v>75</v>
      </c>
      <c r="K1119">
        <v>345</v>
      </c>
      <c r="L1119">
        <f>_xlfn.XLOOKUP(F1119,magnet_list!$A$2:$A$592,magnet_list!$M$2:$M$592,"n/a",0,1)</f>
        <v>300</v>
      </c>
      <c r="M1119">
        <f>_xlfn.XLOOKUP(F1119,magnet_list!$A$2:$A$592,magnet_list!$L$2:$L$592,"n/a",0,1)</f>
        <v>140</v>
      </c>
    </row>
    <row r="1120" spans="1:13">
      <c r="A1120" t="s">
        <v>797</v>
      </c>
      <c r="B1120" t="s">
        <v>805</v>
      </c>
      <c r="C1120" t="s">
        <v>806</v>
      </c>
      <c r="E1120" s="2" t="s">
        <v>183</v>
      </c>
      <c r="F1120" s="2" t="s">
        <v>2570</v>
      </c>
      <c r="G1120">
        <f t="shared" si="24"/>
        <v>296.07198190062888</v>
      </c>
      <c r="H1120">
        <v>-15000</v>
      </c>
      <c r="I1120">
        <v>-31609.92443472</v>
      </c>
      <c r="J1120">
        <v>75</v>
      </c>
      <c r="K1120">
        <v>345</v>
      </c>
      <c r="L1120">
        <f>_xlfn.XLOOKUP(F1120,magnet_list!$A$2:$A$592,magnet_list!$M$2:$M$592,"n/a",0,1)</f>
        <v>300</v>
      </c>
      <c r="M1120">
        <f>_xlfn.XLOOKUP(F1120,magnet_list!$A$2:$A$592,magnet_list!$L$2:$L$592,"n/a",0,1)</f>
        <v>140</v>
      </c>
    </row>
    <row r="1121" spans="1:13">
      <c r="A1121" t="s">
        <v>797</v>
      </c>
      <c r="B1121" t="s">
        <v>805</v>
      </c>
      <c r="C1121" t="s">
        <v>1152</v>
      </c>
      <c r="D1121" t="s">
        <v>804</v>
      </c>
      <c r="E1121" s="2" t="s">
        <v>640</v>
      </c>
      <c r="F1121" s="2" t="s">
        <v>2570</v>
      </c>
      <c r="G1121">
        <f t="shared" si="24"/>
        <v>296.2069729006289</v>
      </c>
      <c r="H1121">
        <v>-15000</v>
      </c>
      <c r="I1121">
        <v>-31744.915434719998</v>
      </c>
      <c r="J1121">
        <v>75</v>
      </c>
      <c r="K1121">
        <v>345</v>
      </c>
      <c r="L1121">
        <f>_xlfn.XLOOKUP(F1121,magnet_list!$A$2:$A$592,magnet_list!$M$2:$M$592,"n/a",0,1)</f>
        <v>300</v>
      </c>
      <c r="M1121">
        <f>_xlfn.XLOOKUP(F1121,magnet_list!$A$2:$A$592,magnet_list!$L$2:$L$592,"n/a",0,1)</f>
        <v>140</v>
      </c>
    </row>
    <row r="1122" spans="1:13">
      <c r="A1122" t="s">
        <v>797</v>
      </c>
      <c r="B1122" t="s">
        <v>805</v>
      </c>
      <c r="C1122" t="s">
        <v>806</v>
      </c>
      <c r="E1122" s="2" t="s">
        <v>184</v>
      </c>
      <c r="F1122" s="2" t="s">
        <v>2570</v>
      </c>
      <c r="G1122">
        <f t="shared" si="24"/>
        <v>296.34193304116889</v>
      </c>
      <c r="H1122">
        <v>-15000</v>
      </c>
      <c r="I1122">
        <v>-31879.875575260001</v>
      </c>
      <c r="J1122">
        <v>75</v>
      </c>
      <c r="K1122">
        <v>345</v>
      </c>
      <c r="L1122">
        <f>_xlfn.XLOOKUP(F1122,magnet_list!$A$2:$A$592,magnet_list!$M$2:$M$592,"n/a",0,1)</f>
        <v>300</v>
      </c>
      <c r="M1122">
        <f>_xlfn.XLOOKUP(F1122,magnet_list!$A$2:$A$592,magnet_list!$L$2:$L$592,"n/a",0,1)</f>
        <v>140</v>
      </c>
    </row>
    <row r="1123" spans="1:13">
      <c r="A1123" t="s">
        <v>797</v>
      </c>
      <c r="B1123" t="s">
        <v>804</v>
      </c>
      <c r="C1123" t="s">
        <v>1152</v>
      </c>
      <c r="D1123" t="s">
        <v>804</v>
      </c>
      <c r="E1123" s="10" t="s">
        <v>185</v>
      </c>
      <c r="F1123" s="10" t="s">
        <v>2567</v>
      </c>
      <c r="G1123">
        <f>$G$1118+ABS($I$1123-$I$1118)/1000</f>
        <v>296.53978216136898</v>
      </c>
      <c r="H1123">
        <v>-15000</v>
      </c>
      <c r="I1123">
        <f>$I$1118-$L$1123/2</f>
        <v>-32077.724695460067</v>
      </c>
      <c r="J1123">
        <v>-270</v>
      </c>
      <c r="K1123">
        <v>0</v>
      </c>
      <c r="L1123">
        <v>1889.4492</v>
      </c>
    </row>
    <row r="1124" spans="1:13">
      <c r="A1124" t="s">
        <v>797</v>
      </c>
      <c r="B1124" t="s">
        <v>805</v>
      </c>
      <c r="C1124" t="s">
        <v>806</v>
      </c>
      <c r="E1124" s="2" t="s">
        <v>186</v>
      </c>
      <c r="F1124" s="2" t="s">
        <v>2571</v>
      </c>
      <c r="G1124">
        <f t="shared" si="24"/>
        <v>296.78604560581891</v>
      </c>
      <c r="H1124">
        <v>-15000</v>
      </c>
      <c r="I1124">
        <v>-32323.988139910001</v>
      </c>
      <c r="J1124">
        <v>90</v>
      </c>
      <c r="K1124">
        <v>360</v>
      </c>
      <c r="L1124">
        <f>_xlfn.XLOOKUP(F1124,magnet_list!$A$2:$A$592,magnet_list!$M$2:$M$592,"n/a",0,1)</f>
        <v>160</v>
      </c>
      <c r="M1124">
        <f>_xlfn.XLOOKUP(F1124,magnet_list!$A$2:$A$592,magnet_list!$L$2:$L$592,"n/a",0,1)</f>
        <v>44</v>
      </c>
    </row>
    <row r="1125" spans="1:13">
      <c r="A1125" t="s">
        <v>797</v>
      </c>
      <c r="B1125" t="s">
        <v>805</v>
      </c>
      <c r="C1125" t="s">
        <v>1152</v>
      </c>
      <c r="D1125" t="s">
        <v>804</v>
      </c>
      <c r="E1125" s="2" t="s">
        <v>641</v>
      </c>
      <c r="F1125" s="2" t="s">
        <v>2571</v>
      </c>
      <c r="G1125">
        <f t="shared" si="24"/>
        <v>296.85605310581889</v>
      </c>
      <c r="H1125">
        <v>-15000</v>
      </c>
      <c r="I1125">
        <v>-32393.995639910001</v>
      </c>
      <c r="J1125">
        <v>90</v>
      </c>
      <c r="K1125">
        <v>360</v>
      </c>
      <c r="L1125">
        <f>_xlfn.XLOOKUP(F1125,magnet_list!$A$2:$A$592,magnet_list!$M$2:$M$592,"n/a",0,1)</f>
        <v>160</v>
      </c>
      <c r="M1125">
        <f>_xlfn.XLOOKUP(F1125,magnet_list!$A$2:$A$592,magnet_list!$L$2:$L$592,"n/a",0,1)</f>
        <v>44</v>
      </c>
    </row>
    <row r="1126" spans="1:13">
      <c r="A1126" t="s">
        <v>797</v>
      </c>
      <c r="B1126" t="s">
        <v>805</v>
      </c>
      <c r="C1126" t="s">
        <v>806</v>
      </c>
      <c r="E1126" s="2" t="s">
        <v>187</v>
      </c>
      <c r="F1126" s="2" t="s">
        <v>2571</v>
      </c>
      <c r="G1126">
        <f t="shared" si="24"/>
        <v>296.92600326556891</v>
      </c>
      <c r="H1126">
        <v>-15000</v>
      </c>
      <c r="I1126">
        <v>-32463.945799659999</v>
      </c>
      <c r="J1126">
        <v>90</v>
      </c>
      <c r="K1126">
        <v>360</v>
      </c>
      <c r="L1126">
        <f>_xlfn.XLOOKUP(F1126,magnet_list!$A$2:$A$592,magnet_list!$M$2:$M$592,"n/a",0,1)</f>
        <v>160</v>
      </c>
      <c r="M1126">
        <f>_xlfn.XLOOKUP(F1126,magnet_list!$A$2:$A$592,magnet_list!$L$2:$L$592,"n/a",0,1)</f>
        <v>44</v>
      </c>
    </row>
    <row r="1127" spans="1:13">
      <c r="A1127" t="s">
        <v>797</v>
      </c>
      <c r="B1127" t="s">
        <v>804</v>
      </c>
      <c r="C1127" t="s">
        <v>1152</v>
      </c>
      <c r="D1127" t="s">
        <v>804</v>
      </c>
      <c r="E1127" s="10" t="s">
        <v>188</v>
      </c>
      <c r="F1127" s="10" t="s">
        <v>2572</v>
      </c>
      <c r="G1127">
        <f>$G$1133-ABS($I$1133-$I$1127)/1000</f>
        <v>297.2483239613689</v>
      </c>
      <c r="H1127">
        <v>-15000</v>
      </c>
      <c r="I1127">
        <f>$I$1133+$L$1127/2</f>
        <v>-32786.266495460062</v>
      </c>
      <c r="J1127">
        <v>-270</v>
      </c>
      <c r="K1127">
        <v>0</v>
      </c>
      <c r="L1127">
        <v>1889.4492</v>
      </c>
    </row>
    <row r="1128" spans="1:13">
      <c r="A1128" t="s">
        <v>797</v>
      </c>
      <c r="B1128" t="s">
        <v>805</v>
      </c>
      <c r="C1128" t="s">
        <v>806</v>
      </c>
      <c r="E1128" s="2" t="s">
        <v>189</v>
      </c>
      <c r="F1128" s="2" t="s">
        <v>2573</v>
      </c>
      <c r="G1128">
        <f t="shared" si="24"/>
        <v>297.36996055490886</v>
      </c>
      <c r="H1128">
        <v>-15000</v>
      </c>
      <c r="I1128">
        <v>-32907.903088999999</v>
      </c>
      <c r="J1128">
        <v>75</v>
      </c>
      <c r="K1128">
        <v>345</v>
      </c>
      <c r="L1128">
        <f>_xlfn.XLOOKUP(F1128,magnet_list!$A$2:$A$592,magnet_list!$M$2:$M$592,"n/a",0,1)</f>
        <v>300</v>
      </c>
      <c r="M1128">
        <f>_xlfn.XLOOKUP(F1128,magnet_list!$A$2:$A$592,magnet_list!$L$2:$L$592,"n/a",0,1)</f>
        <v>140</v>
      </c>
    </row>
    <row r="1129" spans="1:13">
      <c r="A1129" t="s">
        <v>797</v>
      </c>
      <c r="B1129" t="s">
        <v>805</v>
      </c>
      <c r="C1129" t="s">
        <v>1152</v>
      </c>
      <c r="D1129" t="s">
        <v>804</v>
      </c>
      <c r="E1129" s="2" t="s">
        <v>642</v>
      </c>
      <c r="F1129" s="2" t="s">
        <v>2573</v>
      </c>
      <c r="G1129">
        <f t="shared" si="24"/>
        <v>297.50496105490885</v>
      </c>
      <c r="H1129">
        <v>-15000</v>
      </c>
      <c r="I1129">
        <v>-33042.903588999994</v>
      </c>
      <c r="J1129">
        <v>75</v>
      </c>
      <c r="K1129">
        <v>345</v>
      </c>
      <c r="L1129">
        <f>_xlfn.XLOOKUP(F1129,magnet_list!$A$2:$A$592,magnet_list!$M$2:$M$592,"n/a",0,1)</f>
        <v>300</v>
      </c>
      <c r="M1129">
        <f>_xlfn.XLOOKUP(F1129,magnet_list!$A$2:$A$592,magnet_list!$L$2:$L$592,"n/a",0,1)</f>
        <v>140</v>
      </c>
    </row>
    <row r="1130" spans="1:13">
      <c r="A1130" t="s">
        <v>797</v>
      </c>
      <c r="B1130" t="s">
        <v>805</v>
      </c>
      <c r="C1130" t="s">
        <v>806</v>
      </c>
      <c r="E1130" s="2" t="s">
        <v>190</v>
      </c>
      <c r="F1130" s="2" t="s">
        <v>2573</v>
      </c>
      <c r="G1130">
        <f t="shared" si="24"/>
        <v>297.63993491547888</v>
      </c>
      <c r="H1130">
        <v>-15000</v>
      </c>
      <c r="I1130">
        <v>-33177.877449569998</v>
      </c>
      <c r="J1130">
        <v>75</v>
      </c>
      <c r="K1130">
        <v>345</v>
      </c>
      <c r="L1130">
        <f>_xlfn.XLOOKUP(F1130,magnet_list!$A$2:$A$592,magnet_list!$M$2:$M$592,"n/a",0,1)</f>
        <v>300</v>
      </c>
      <c r="M1130">
        <f>_xlfn.XLOOKUP(F1130,magnet_list!$A$2:$A$592,magnet_list!$L$2:$L$592,"n/a",0,1)</f>
        <v>140</v>
      </c>
    </row>
    <row r="1131" spans="1:13">
      <c r="A1131" t="s">
        <v>797</v>
      </c>
      <c r="B1131" t="s">
        <v>805</v>
      </c>
      <c r="C1131" t="s">
        <v>806</v>
      </c>
      <c r="E1131" s="2" t="s">
        <v>191</v>
      </c>
      <c r="F1131" s="2" t="s">
        <v>2574</v>
      </c>
      <c r="G1131">
        <f t="shared" si="24"/>
        <v>298.02012117440887</v>
      </c>
      <c r="H1131">
        <v>-15000</v>
      </c>
      <c r="I1131">
        <v>-33558.063708499998</v>
      </c>
      <c r="J1131">
        <v>75</v>
      </c>
      <c r="K1131">
        <v>345</v>
      </c>
      <c r="L1131">
        <f>_xlfn.XLOOKUP(F1131,magnet_list!$A$2:$A$592,magnet_list!$M$2:$M$592,"n/a",0,1)</f>
        <v>300</v>
      </c>
      <c r="M1131">
        <f>_xlfn.XLOOKUP(F1131,magnet_list!$A$2:$A$592,magnet_list!$L$2:$L$592,"n/a",0,1)</f>
        <v>140</v>
      </c>
    </row>
    <row r="1132" spans="1:13">
      <c r="A1132" t="s">
        <v>797</v>
      </c>
      <c r="B1132" t="s">
        <v>805</v>
      </c>
      <c r="C1132" t="s">
        <v>1152</v>
      </c>
      <c r="D1132" t="s">
        <v>804</v>
      </c>
      <c r="E1132" s="2" t="s">
        <v>643</v>
      </c>
      <c r="F1132" s="2" t="s">
        <v>2574</v>
      </c>
      <c r="G1132">
        <f t="shared" si="24"/>
        <v>298.1551291744089</v>
      </c>
      <c r="H1132">
        <v>-15000</v>
      </c>
      <c r="I1132">
        <v>-33693.0717085</v>
      </c>
      <c r="J1132">
        <v>75</v>
      </c>
      <c r="K1132">
        <v>345</v>
      </c>
      <c r="L1132">
        <f>_xlfn.XLOOKUP(F1132,magnet_list!$A$2:$A$592,magnet_list!$M$2:$M$592,"n/a",0,1)</f>
        <v>300</v>
      </c>
      <c r="M1132">
        <f>_xlfn.XLOOKUP(F1132,magnet_list!$A$2:$A$592,magnet_list!$L$2:$L$592,"n/a",0,1)</f>
        <v>140</v>
      </c>
    </row>
    <row r="1133" spans="1:13">
      <c r="A1133" t="s">
        <v>797</v>
      </c>
      <c r="B1133" t="s">
        <v>804</v>
      </c>
      <c r="C1133" t="s">
        <v>1152</v>
      </c>
      <c r="D1133" t="s">
        <v>804</v>
      </c>
      <c r="E1133" s="10" t="s">
        <v>1246</v>
      </c>
      <c r="F1133" s="10" t="s">
        <v>2572</v>
      </c>
      <c r="G1133">
        <f>$G$1118+ABS($I$1133-$I$1118)/1000</f>
        <v>298.19304856136893</v>
      </c>
      <c r="H1133">
        <v>-15000</v>
      </c>
      <c r="I1133">
        <f>$I$1118-2597.991</f>
        <v>-33730.991095460064</v>
      </c>
      <c r="J1133">
        <v>-270</v>
      </c>
      <c r="K1133">
        <v>0</v>
      </c>
      <c r="L1133">
        <v>1889.4492</v>
      </c>
    </row>
    <row r="1134" spans="1:13">
      <c r="A1134" t="s">
        <v>797</v>
      </c>
      <c r="B1134" t="s">
        <v>805</v>
      </c>
      <c r="C1134" t="s">
        <v>806</v>
      </c>
      <c r="E1134" s="2" t="s">
        <v>192</v>
      </c>
      <c r="F1134" s="2" t="s">
        <v>2574</v>
      </c>
      <c r="G1134">
        <f t="shared" si="24"/>
        <v>298.29011215598888</v>
      </c>
      <c r="H1134">
        <v>-15000</v>
      </c>
      <c r="I1134">
        <v>-33828.054690079996</v>
      </c>
      <c r="J1134">
        <v>75</v>
      </c>
      <c r="K1134">
        <v>345</v>
      </c>
      <c r="L1134">
        <f>_xlfn.XLOOKUP(F1134,magnet_list!$A$2:$A$592,magnet_list!$M$2:$M$592,"n/a",0,1)</f>
        <v>300</v>
      </c>
      <c r="M1134">
        <f>_xlfn.XLOOKUP(F1134,magnet_list!$A$2:$A$592,magnet_list!$L$2:$L$592,"n/a",0,1)</f>
        <v>140</v>
      </c>
    </row>
    <row r="1135" spans="1:13">
      <c r="A1135" t="s">
        <v>797</v>
      </c>
      <c r="B1135" t="s">
        <v>805</v>
      </c>
      <c r="C1135" t="s">
        <v>806</v>
      </c>
      <c r="E1135" s="2" t="s">
        <v>193</v>
      </c>
      <c r="F1135" s="2" t="s">
        <v>2575</v>
      </c>
      <c r="G1135">
        <f t="shared" si="24"/>
        <v>298.67004913893891</v>
      </c>
      <c r="H1135">
        <v>-15000</v>
      </c>
      <c r="I1135">
        <v>-34207.991673030003</v>
      </c>
      <c r="J1135">
        <v>75</v>
      </c>
      <c r="K1135">
        <v>345</v>
      </c>
      <c r="L1135">
        <f>_xlfn.XLOOKUP(F1135,magnet_list!$A$2:$A$592,magnet_list!$M$2:$M$592,"n/a",0,1)</f>
        <v>300</v>
      </c>
      <c r="M1135">
        <f>_xlfn.XLOOKUP(F1135,magnet_list!$A$2:$A$592,magnet_list!$L$2:$L$592,"n/a",0,1)</f>
        <v>140</v>
      </c>
    </row>
    <row r="1136" spans="1:13">
      <c r="A1136" t="s">
        <v>797</v>
      </c>
      <c r="B1136" t="s">
        <v>805</v>
      </c>
      <c r="C1136" t="s">
        <v>1152</v>
      </c>
      <c r="D1136" t="s">
        <v>804</v>
      </c>
      <c r="E1136" s="2" t="s">
        <v>644</v>
      </c>
      <c r="F1136" s="2" t="s">
        <v>2575</v>
      </c>
      <c r="G1136">
        <f t="shared" si="24"/>
        <v>298.80504263893891</v>
      </c>
      <c r="H1136">
        <v>-15000</v>
      </c>
      <c r="I1136">
        <v>-34342.985173030007</v>
      </c>
      <c r="J1136">
        <v>75</v>
      </c>
      <c r="K1136">
        <v>345</v>
      </c>
      <c r="L1136">
        <f>_xlfn.XLOOKUP(F1136,magnet_list!$A$2:$A$592,magnet_list!$M$2:$M$592,"n/a",0,1)</f>
        <v>300</v>
      </c>
      <c r="M1136">
        <f>_xlfn.XLOOKUP(F1136,magnet_list!$A$2:$A$592,magnet_list!$L$2:$L$592,"n/a",0,1)</f>
        <v>140</v>
      </c>
    </row>
    <row r="1137" spans="1:13">
      <c r="A1137" t="s">
        <v>797</v>
      </c>
      <c r="B1137" t="s">
        <v>805</v>
      </c>
      <c r="C1137" t="s">
        <v>806</v>
      </c>
      <c r="E1137" s="2" t="s">
        <v>194</v>
      </c>
      <c r="F1137" s="2" t="s">
        <v>2575</v>
      </c>
      <c r="G1137">
        <f t="shared" si="24"/>
        <v>298.94001922123891</v>
      </c>
      <c r="H1137">
        <v>-15000</v>
      </c>
      <c r="I1137">
        <v>-34477.961755329998</v>
      </c>
      <c r="J1137">
        <v>75</v>
      </c>
      <c r="K1137">
        <v>345</v>
      </c>
      <c r="L1137">
        <f>_xlfn.XLOOKUP(F1137,magnet_list!$A$2:$A$592,magnet_list!$M$2:$M$592,"n/a",0,1)</f>
        <v>300</v>
      </c>
      <c r="M1137">
        <f>_xlfn.XLOOKUP(F1137,magnet_list!$A$2:$A$592,magnet_list!$L$2:$L$592,"n/a",0,1)</f>
        <v>140</v>
      </c>
    </row>
    <row r="1138" spans="1:13">
      <c r="A1138" t="s">
        <v>797</v>
      </c>
      <c r="B1138" t="s">
        <v>804</v>
      </c>
      <c r="C1138" t="s">
        <v>1152</v>
      </c>
      <c r="D1138" t="s">
        <v>804</v>
      </c>
      <c r="E1138" s="10" t="s">
        <v>195</v>
      </c>
      <c r="F1138" s="10" t="s">
        <v>2572</v>
      </c>
      <c r="G1138">
        <f>$G$1133+ABS($I$1138-$I$1133)/1000</f>
        <v>299.13777316136895</v>
      </c>
      <c r="H1138">
        <v>-15000</v>
      </c>
      <c r="I1138">
        <f>$I$1133-$L$1138/2</f>
        <v>-34675.715695460065</v>
      </c>
      <c r="J1138">
        <v>-270</v>
      </c>
      <c r="K1138">
        <v>0</v>
      </c>
      <c r="L1138">
        <v>1889.4492</v>
      </c>
    </row>
    <row r="1139" spans="1:13">
      <c r="A1139" t="s">
        <v>797</v>
      </c>
      <c r="B1139" t="s">
        <v>1152</v>
      </c>
      <c r="C1139" t="s">
        <v>1152</v>
      </c>
      <c r="D1139" t="s">
        <v>804</v>
      </c>
      <c r="E1139" s="3" t="s">
        <v>2074</v>
      </c>
      <c r="F1139" s="3" t="s">
        <v>2074</v>
      </c>
      <c r="G1139">
        <f>$G$1133+ABS($I$1139-$I$1133)/1000</f>
        <v>299.33731356136894</v>
      </c>
      <c r="H1139">
        <v>-15000</v>
      </c>
      <c r="I1139">
        <f>$I$1133-1144.265</f>
        <v>-34875.256095460063</v>
      </c>
      <c r="J1139">
        <v>-270</v>
      </c>
      <c r="K1139">
        <v>0</v>
      </c>
    </row>
    <row r="1140" spans="1:13">
      <c r="A1140" t="s">
        <v>797</v>
      </c>
      <c r="B1140" t="s">
        <v>805</v>
      </c>
      <c r="C1140" t="s">
        <v>806</v>
      </c>
      <c r="E1140" s="2" t="s">
        <v>196</v>
      </c>
      <c r="F1140" s="2" t="s">
        <v>2576</v>
      </c>
      <c r="G1140">
        <f t="shared" si="24"/>
        <v>299.3550339614489</v>
      </c>
      <c r="H1140">
        <v>-15000</v>
      </c>
      <c r="I1140">
        <v>-34892.976495540002</v>
      </c>
      <c r="J1140">
        <v>90</v>
      </c>
      <c r="K1140">
        <v>360</v>
      </c>
      <c r="L1140">
        <f>_xlfn.XLOOKUP(F1140,magnet_list!$A$2:$A$592,magnet_list!$M$2:$M$592,"n/a",0,1)</f>
        <v>160</v>
      </c>
      <c r="M1140">
        <f>_xlfn.XLOOKUP(F1140,magnet_list!$A$2:$A$592,magnet_list!$L$2:$L$592,"n/a",0,1)</f>
        <v>44</v>
      </c>
    </row>
    <row r="1141" spans="1:13">
      <c r="A1141" t="s">
        <v>797</v>
      </c>
      <c r="B1141" t="s">
        <v>805</v>
      </c>
      <c r="C1141" t="s">
        <v>1152</v>
      </c>
      <c r="D1141" t="s">
        <v>804</v>
      </c>
      <c r="E1141" s="2" t="s">
        <v>645</v>
      </c>
      <c r="F1141" s="2" t="s">
        <v>2576</v>
      </c>
      <c r="G1141">
        <f t="shared" ref="G1141:G1204" si="25">G1140-(I1141-I1140)/1000</f>
        <v>299.4250304614489</v>
      </c>
      <c r="H1141">
        <v>-15000</v>
      </c>
      <c r="I1141">
        <v>-34962.972995540003</v>
      </c>
      <c r="J1141">
        <v>90</v>
      </c>
      <c r="K1141">
        <v>360</v>
      </c>
      <c r="L1141">
        <f>_xlfn.XLOOKUP(F1141,magnet_list!$A$2:$A$592,magnet_list!$M$2:$M$592,"n/a",0,1)</f>
        <v>160</v>
      </c>
      <c r="M1141">
        <f>_xlfn.XLOOKUP(F1141,magnet_list!$A$2:$A$592,magnet_list!$L$2:$L$592,"n/a",0,1)</f>
        <v>44</v>
      </c>
    </row>
    <row r="1142" spans="1:13">
      <c r="A1142" t="s">
        <v>797</v>
      </c>
      <c r="B1142" t="s">
        <v>805</v>
      </c>
      <c r="C1142" t="s">
        <v>806</v>
      </c>
      <c r="E1142" s="2" t="s">
        <v>197</v>
      </c>
      <c r="F1142" s="2" t="s">
        <v>2576</v>
      </c>
      <c r="G1142">
        <f t="shared" si="25"/>
        <v>299.49498399659888</v>
      </c>
      <c r="H1142">
        <v>-15000</v>
      </c>
      <c r="I1142">
        <v>-35032.926530689998</v>
      </c>
      <c r="J1142">
        <v>90</v>
      </c>
      <c r="K1142">
        <v>360</v>
      </c>
      <c r="L1142">
        <f>_xlfn.XLOOKUP(F1142,magnet_list!$A$2:$A$592,magnet_list!$M$2:$M$592,"n/a",0,1)</f>
        <v>160</v>
      </c>
      <c r="M1142">
        <f>_xlfn.XLOOKUP(F1142,magnet_list!$A$2:$A$592,magnet_list!$L$2:$L$592,"n/a",0,1)</f>
        <v>44</v>
      </c>
    </row>
    <row r="1143" spans="1:13">
      <c r="A1143" t="s">
        <v>797</v>
      </c>
      <c r="B1143" t="s">
        <v>805</v>
      </c>
      <c r="C1143" t="s">
        <v>806</v>
      </c>
      <c r="E1143" s="2" t="s">
        <v>198</v>
      </c>
      <c r="F1143" s="2" t="s">
        <v>198</v>
      </c>
      <c r="G1143">
        <f t="shared" si="25"/>
        <v>299.70764919772887</v>
      </c>
      <c r="H1143">
        <v>-15000</v>
      </c>
      <c r="I1143">
        <v>-35245.591731820001</v>
      </c>
      <c r="J1143">
        <v>5</v>
      </c>
      <c r="K1143">
        <v>275</v>
      </c>
      <c r="L1143">
        <f>_xlfn.XLOOKUP(F1143,magnet_list!$A$2:$A$592,magnet_list!$M$2:$M$592,"n/a",0,1)</f>
        <v>80</v>
      </c>
      <c r="M1143">
        <f>_xlfn.XLOOKUP(F1143,magnet_list!$A$2:$A$592,magnet_list!$L$2:$L$592,"n/a",0,1)</f>
        <v>39</v>
      </c>
    </row>
    <row r="1144" spans="1:13">
      <c r="A1144" t="s">
        <v>797</v>
      </c>
      <c r="B1144" t="s">
        <v>805</v>
      </c>
      <c r="C1144" t="s">
        <v>1152</v>
      </c>
      <c r="D1144" t="s">
        <v>804</v>
      </c>
      <c r="E1144" s="2" t="s">
        <v>1880</v>
      </c>
      <c r="F1144" s="2" t="s">
        <v>198</v>
      </c>
      <c r="G1144">
        <f t="shared" si="25"/>
        <v>299.70764919772887</v>
      </c>
      <c r="H1144">
        <v>-15000</v>
      </c>
      <c r="I1144">
        <v>-35245.591731820001</v>
      </c>
      <c r="J1144">
        <v>5</v>
      </c>
      <c r="K1144">
        <v>275</v>
      </c>
      <c r="L1144">
        <f>_xlfn.XLOOKUP(F1144,magnet_list!$A$2:$A$592,magnet_list!$M$2:$M$592,"n/a",0,1)</f>
        <v>80</v>
      </c>
      <c r="M1144">
        <f>_xlfn.XLOOKUP(F1144,magnet_list!$A$2:$A$592,magnet_list!$L$2:$L$592,"n/a",0,1)</f>
        <v>39</v>
      </c>
    </row>
    <row r="1145" spans="1:13">
      <c r="A1145" t="s">
        <v>797</v>
      </c>
      <c r="B1145" t="s">
        <v>805</v>
      </c>
      <c r="C1145" t="s">
        <v>806</v>
      </c>
      <c r="E1145" s="2" t="s">
        <v>199</v>
      </c>
      <c r="F1145" s="2" t="s">
        <v>199</v>
      </c>
      <c r="G1145">
        <f t="shared" si="25"/>
        <v>299.89449905291889</v>
      </c>
      <c r="H1145">
        <v>-15000</v>
      </c>
      <c r="I1145">
        <v>-35432.441587009998</v>
      </c>
      <c r="J1145">
        <v>5</v>
      </c>
      <c r="K1145">
        <v>275</v>
      </c>
      <c r="L1145">
        <f>_xlfn.XLOOKUP(F1145,magnet_list!$A$2:$A$592,magnet_list!$M$2:$M$592,"n/a",0,1)</f>
        <v>80</v>
      </c>
      <c r="M1145">
        <f>_xlfn.XLOOKUP(F1145,magnet_list!$A$2:$A$592,magnet_list!$L$2:$L$592,"n/a",0,1)</f>
        <v>39</v>
      </c>
    </row>
    <row r="1146" spans="1:13">
      <c r="A1146" t="s">
        <v>797</v>
      </c>
      <c r="B1146" t="s">
        <v>805</v>
      </c>
      <c r="C1146" t="s">
        <v>1152</v>
      </c>
      <c r="D1146" t="s">
        <v>804</v>
      </c>
      <c r="E1146" s="2" t="s">
        <v>1881</v>
      </c>
      <c r="F1146" s="2" t="s">
        <v>199</v>
      </c>
      <c r="G1146">
        <f t="shared" si="25"/>
        <v>299.89449905291889</v>
      </c>
      <c r="H1146">
        <v>-15000</v>
      </c>
      <c r="I1146">
        <v>-35432.441587009998</v>
      </c>
      <c r="J1146">
        <v>5</v>
      </c>
      <c r="K1146">
        <v>275</v>
      </c>
      <c r="L1146">
        <f>_xlfn.XLOOKUP(F1146,magnet_list!$A$2:$A$592,magnet_list!$M$2:$M$592,"n/a",0,1)</f>
        <v>80</v>
      </c>
      <c r="M1146">
        <f>_xlfn.XLOOKUP(F1146,magnet_list!$A$2:$A$592,magnet_list!$L$2:$L$592,"n/a",0,1)</f>
        <v>39</v>
      </c>
    </row>
    <row r="1147" spans="1:13">
      <c r="A1147" t="s">
        <v>797</v>
      </c>
      <c r="B1147" t="s">
        <v>805</v>
      </c>
      <c r="C1147" t="s">
        <v>806</v>
      </c>
      <c r="E1147" s="2" t="s">
        <v>200</v>
      </c>
      <c r="F1147" s="2" t="s">
        <v>2577</v>
      </c>
      <c r="G1147">
        <f t="shared" si="25"/>
        <v>300.12100975988886</v>
      </c>
      <c r="H1147">
        <v>-15000</v>
      </c>
      <c r="I1147">
        <v>-35658.952293980001</v>
      </c>
      <c r="J1147">
        <v>90</v>
      </c>
      <c r="K1147">
        <v>360</v>
      </c>
      <c r="L1147">
        <f>_xlfn.XLOOKUP(F1147,magnet_list!$A$2:$A$592,magnet_list!$M$2:$M$592,"n/a",0,1)</f>
        <v>160</v>
      </c>
      <c r="M1147">
        <f>_xlfn.XLOOKUP(F1147,magnet_list!$A$2:$A$592,magnet_list!$L$2:$L$592,"n/a",0,1)</f>
        <v>44</v>
      </c>
    </row>
    <row r="1148" spans="1:13">
      <c r="A1148" t="s">
        <v>797</v>
      </c>
      <c r="B1148" t="s">
        <v>805</v>
      </c>
      <c r="C1148" t="s">
        <v>1152</v>
      </c>
      <c r="D1148" t="s">
        <v>804</v>
      </c>
      <c r="E1148" s="2" t="s">
        <v>646</v>
      </c>
      <c r="F1148" s="2" t="s">
        <v>2577</v>
      </c>
      <c r="G1148">
        <f t="shared" si="25"/>
        <v>300.19099625988889</v>
      </c>
      <c r="H1148">
        <v>-15000</v>
      </c>
      <c r="I1148">
        <v>-35728.93879398</v>
      </c>
      <c r="J1148">
        <v>90</v>
      </c>
      <c r="K1148">
        <v>360</v>
      </c>
      <c r="L1148">
        <f>_xlfn.XLOOKUP(F1148,magnet_list!$A$2:$A$592,magnet_list!$M$2:$M$592,"n/a",0,1)</f>
        <v>160</v>
      </c>
      <c r="M1148">
        <f>_xlfn.XLOOKUP(F1148,magnet_list!$A$2:$A$592,magnet_list!$L$2:$L$592,"n/a",0,1)</f>
        <v>44</v>
      </c>
    </row>
    <row r="1149" spans="1:13">
      <c r="A1149" t="s">
        <v>797</v>
      </c>
      <c r="B1149" t="s">
        <v>805</v>
      </c>
      <c r="C1149" t="s">
        <v>806</v>
      </c>
      <c r="E1149" s="2" t="s">
        <v>201</v>
      </c>
      <c r="F1149" s="2" t="s">
        <v>2577</v>
      </c>
      <c r="G1149">
        <f t="shared" si="25"/>
        <v>300.26095055832889</v>
      </c>
      <c r="H1149">
        <v>-15000</v>
      </c>
      <c r="I1149">
        <v>-35798.893092420003</v>
      </c>
      <c r="J1149">
        <v>90</v>
      </c>
      <c r="K1149">
        <v>360</v>
      </c>
      <c r="L1149">
        <f>_xlfn.XLOOKUP(F1149,magnet_list!$A$2:$A$592,magnet_list!$M$2:$M$592,"n/a",0,1)</f>
        <v>160</v>
      </c>
      <c r="M1149">
        <f>_xlfn.XLOOKUP(F1149,magnet_list!$A$2:$A$592,magnet_list!$L$2:$L$592,"n/a",0,1)</f>
        <v>44</v>
      </c>
    </row>
    <row r="1150" spans="1:13">
      <c r="A1150" t="s">
        <v>797</v>
      </c>
      <c r="B1150" t="s">
        <v>804</v>
      </c>
      <c r="C1150" t="s">
        <v>1152</v>
      </c>
      <c r="D1150" t="s">
        <v>804</v>
      </c>
      <c r="E1150" s="10" t="s">
        <v>202</v>
      </c>
      <c r="F1150" s="10" t="s">
        <v>2578</v>
      </c>
      <c r="G1150">
        <f>$G$1156-ABS($I$1156-$I$1150)/1000</f>
        <v>300.5548579613689</v>
      </c>
      <c r="H1150">
        <v>-15000</v>
      </c>
      <c r="I1150">
        <f>$I$1156+$L$1150/2</f>
        <v>-36092.800495460062</v>
      </c>
      <c r="J1150">
        <v>-270</v>
      </c>
      <c r="K1150">
        <v>0</v>
      </c>
      <c r="L1150">
        <v>1889.4492</v>
      </c>
    </row>
    <row r="1151" spans="1:13">
      <c r="A1151" t="s">
        <v>797</v>
      </c>
      <c r="B1151" t="s">
        <v>805</v>
      </c>
      <c r="C1151" t="s">
        <v>806</v>
      </c>
      <c r="E1151" s="2" t="s">
        <v>203</v>
      </c>
      <c r="F1151" s="2" t="s">
        <v>2579</v>
      </c>
      <c r="G1151">
        <f t="shared" si="25"/>
        <v>300.67664362040881</v>
      </c>
      <c r="H1151">
        <v>-15000</v>
      </c>
      <c r="I1151">
        <v>-36214.586154500001</v>
      </c>
      <c r="J1151">
        <v>75</v>
      </c>
      <c r="K1151">
        <v>345</v>
      </c>
      <c r="L1151">
        <f>_xlfn.XLOOKUP(F1151,magnet_list!$A$2:$A$592,magnet_list!$M$2:$M$592,"n/a",0,1)</f>
        <v>300</v>
      </c>
      <c r="M1151">
        <f>_xlfn.XLOOKUP(F1151,magnet_list!$A$2:$A$592,magnet_list!$L$2:$L$592,"n/a",0,1)</f>
        <v>140</v>
      </c>
    </row>
    <row r="1152" spans="1:13">
      <c r="A1152" t="s">
        <v>797</v>
      </c>
      <c r="B1152" t="s">
        <v>805</v>
      </c>
      <c r="C1152" t="s">
        <v>1152</v>
      </c>
      <c r="D1152" t="s">
        <v>804</v>
      </c>
      <c r="E1152" s="2" t="s">
        <v>647</v>
      </c>
      <c r="F1152" s="2" t="s">
        <v>2579</v>
      </c>
      <c r="G1152">
        <f t="shared" si="25"/>
        <v>300.81166262040881</v>
      </c>
      <c r="H1152">
        <v>-15000</v>
      </c>
      <c r="I1152">
        <v>-36349.605154500001</v>
      </c>
      <c r="J1152">
        <v>75</v>
      </c>
      <c r="K1152">
        <v>345</v>
      </c>
      <c r="L1152">
        <f>_xlfn.XLOOKUP(F1152,magnet_list!$A$2:$A$592,magnet_list!$M$2:$M$592,"n/a",0,1)</f>
        <v>300</v>
      </c>
      <c r="M1152">
        <f>_xlfn.XLOOKUP(F1152,magnet_list!$A$2:$A$592,magnet_list!$L$2:$L$592,"n/a",0,1)</f>
        <v>140</v>
      </c>
    </row>
    <row r="1153" spans="1:13">
      <c r="A1153" t="s">
        <v>797</v>
      </c>
      <c r="B1153" t="s">
        <v>805</v>
      </c>
      <c r="C1153" t="s">
        <v>806</v>
      </c>
      <c r="E1153" s="2" t="s">
        <v>204</v>
      </c>
      <c r="F1153" s="2" t="s">
        <v>2579</v>
      </c>
      <c r="G1153">
        <f t="shared" si="25"/>
        <v>300.94663766792883</v>
      </c>
      <c r="H1153">
        <v>-15000</v>
      </c>
      <c r="I1153">
        <v>-36484.580202019999</v>
      </c>
      <c r="J1153">
        <v>75</v>
      </c>
      <c r="K1153">
        <v>345</v>
      </c>
      <c r="L1153">
        <f>_xlfn.XLOOKUP(F1153,magnet_list!$A$2:$A$592,magnet_list!$M$2:$M$592,"n/a",0,1)</f>
        <v>300</v>
      </c>
      <c r="M1153">
        <f>_xlfn.XLOOKUP(F1153,magnet_list!$A$2:$A$592,magnet_list!$L$2:$L$592,"n/a",0,1)</f>
        <v>140</v>
      </c>
    </row>
    <row r="1154" spans="1:13">
      <c r="A1154" t="s">
        <v>797</v>
      </c>
      <c r="B1154" t="s">
        <v>805</v>
      </c>
      <c r="C1154" t="s">
        <v>806</v>
      </c>
      <c r="E1154" s="2" t="s">
        <v>205</v>
      </c>
      <c r="F1154" s="2" t="s">
        <v>2580</v>
      </c>
      <c r="G1154">
        <f t="shared" si="25"/>
        <v>301.32656019530884</v>
      </c>
      <c r="H1154">
        <v>-15000</v>
      </c>
      <c r="I1154">
        <v>-36864.502729400003</v>
      </c>
      <c r="J1154">
        <v>75</v>
      </c>
      <c r="K1154">
        <v>345</v>
      </c>
      <c r="L1154">
        <f>_xlfn.XLOOKUP(F1154,magnet_list!$A$2:$A$592,magnet_list!$M$2:$M$592,"n/a",0,1)</f>
        <v>300</v>
      </c>
      <c r="M1154">
        <f>_xlfn.XLOOKUP(F1154,magnet_list!$A$2:$A$592,magnet_list!$L$2:$L$592,"n/a",0,1)</f>
        <v>140</v>
      </c>
    </row>
    <row r="1155" spans="1:13">
      <c r="A1155" t="s">
        <v>797</v>
      </c>
      <c r="B1155" t="s">
        <v>805</v>
      </c>
      <c r="C1155" t="s">
        <v>1152</v>
      </c>
      <c r="D1155" t="s">
        <v>804</v>
      </c>
      <c r="E1155" s="2" t="s">
        <v>648</v>
      </c>
      <c r="F1155" s="2" t="s">
        <v>2580</v>
      </c>
      <c r="G1155">
        <f t="shared" si="25"/>
        <v>301.46157719530885</v>
      </c>
      <c r="H1155">
        <v>-15000</v>
      </c>
      <c r="I1155">
        <v>-36999.519729400003</v>
      </c>
      <c r="J1155">
        <v>75</v>
      </c>
      <c r="K1155">
        <v>345</v>
      </c>
      <c r="L1155">
        <f>_xlfn.XLOOKUP(F1155,magnet_list!$A$2:$A$592,magnet_list!$M$2:$M$592,"n/a",0,1)</f>
        <v>300</v>
      </c>
      <c r="M1155">
        <f>_xlfn.XLOOKUP(F1155,magnet_list!$A$2:$A$592,magnet_list!$L$2:$L$592,"n/a",0,1)</f>
        <v>140</v>
      </c>
    </row>
    <row r="1156" spans="1:13">
      <c r="A1156" t="s">
        <v>797</v>
      </c>
      <c r="B1156" t="s">
        <v>804</v>
      </c>
      <c r="C1156" t="s">
        <v>1152</v>
      </c>
      <c r="D1156" t="s">
        <v>804</v>
      </c>
      <c r="E1156" s="10" t="s">
        <v>1300</v>
      </c>
      <c r="F1156" s="10" t="s">
        <v>2578</v>
      </c>
      <c r="G1156">
        <f>$G$1133+ABS($I$1156-$I$1133)/1000</f>
        <v>301.49958256136892</v>
      </c>
      <c r="H1156">
        <v>-15000</v>
      </c>
      <c r="I1156">
        <f>$I$1133-3306.534</f>
        <v>-37037.525095460063</v>
      </c>
      <c r="J1156">
        <v>-270</v>
      </c>
      <c r="K1156">
        <v>0</v>
      </c>
      <c r="L1156">
        <v>1889.4492</v>
      </c>
    </row>
    <row r="1157" spans="1:13">
      <c r="A1157" t="s">
        <v>797</v>
      </c>
      <c r="B1157" t="s">
        <v>805</v>
      </c>
      <c r="C1157" t="s">
        <v>806</v>
      </c>
      <c r="E1157" s="2" t="s">
        <v>206</v>
      </c>
      <c r="F1157" s="2" t="s">
        <v>2580</v>
      </c>
      <c r="G1157">
        <f t="shared" si="25"/>
        <v>301.59655554589887</v>
      </c>
      <c r="H1157">
        <v>-15000</v>
      </c>
      <c r="I1157">
        <v>-37134.49807999</v>
      </c>
      <c r="J1157">
        <v>75</v>
      </c>
      <c r="K1157">
        <v>345</v>
      </c>
      <c r="L1157">
        <f>_xlfn.XLOOKUP(F1157,magnet_list!$A$2:$A$592,magnet_list!$M$2:$M$592,"n/a",0,1)</f>
        <v>300</v>
      </c>
      <c r="M1157">
        <f>_xlfn.XLOOKUP(F1157,magnet_list!$A$2:$A$592,magnet_list!$L$2:$L$592,"n/a",0,1)</f>
        <v>140</v>
      </c>
    </row>
    <row r="1158" spans="1:13">
      <c r="A1158" t="s">
        <v>797</v>
      </c>
      <c r="B1158" t="s">
        <v>805</v>
      </c>
      <c r="C1158" t="s">
        <v>806</v>
      </c>
      <c r="E1158" s="2" t="s">
        <v>207</v>
      </c>
      <c r="F1158" s="2" t="s">
        <v>2581</v>
      </c>
      <c r="G1158">
        <f t="shared" si="25"/>
        <v>301.97663243380885</v>
      </c>
      <c r="H1158">
        <v>-15000</v>
      </c>
      <c r="I1158">
        <v>-37514.5749679</v>
      </c>
      <c r="J1158">
        <v>75</v>
      </c>
      <c r="K1158">
        <v>345</v>
      </c>
      <c r="L1158">
        <f>_xlfn.XLOOKUP(F1158,magnet_list!$A$2:$A$592,magnet_list!$M$2:$M$592,"n/a",0,1)</f>
        <v>300</v>
      </c>
      <c r="M1158">
        <f>_xlfn.XLOOKUP(F1158,magnet_list!$A$2:$A$592,magnet_list!$L$2:$L$592,"n/a",0,1)</f>
        <v>140</v>
      </c>
    </row>
    <row r="1159" spans="1:13">
      <c r="A1159" t="s">
        <v>797</v>
      </c>
      <c r="B1159" t="s">
        <v>805</v>
      </c>
      <c r="C1159" t="s">
        <v>1152</v>
      </c>
      <c r="D1159" t="s">
        <v>804</v>
      </c>
      <c r="E1159" s="2" t="s">
        <v>649</v>
      </c>
      <c r="F1159" s="2" t="s">
        <v>2581</v>
      </c>
      <c r="G1159">
        <f t="shared" si="25"/>
        <v>302.11163743380882</v>
      </c>
      <c r="H1159">
        <v>-15000</v>
      </c>
      <c r="I1159">
        <v>-37649.579967899997</v>
      </c>
      <c r="J1159">
        <v>75</v>
      </c>
      <c r="K1159">
        <v>345</v>
      </c>
      <c r="L1159">
        <f>_xlfn.XLOOKUP(F1159,magnet_list!$A$2:$A$592,magnet_list!$M$2:$M$592,"n/a",0,1)</f>
        <v>300</v>
      </c>
      <c r="M1159">
        <f>_xlfn.XLOOKUP(F1159,magnet_list!$A$2:$A$592,magnet_list!$L$2:$L$592,"n/a",0,1)</f>
        <v>140</v>
      </c>
    </row>
    <row r="1160" spans="1:13">
      <c r="A1160" t="s">
        <v>797</v>
      </c>
      <c r="B1160" t="s">
        <v>805</v>
      </c>
      <c r="C1160" t="s">
        <v>806</v>
      </c>
      <c r="E1160" s="2" t="s">
        <v>208</v>
      </c>
      <c r="F1160" s="2" t="s">
        <v>2581</v>
      </c>
      <c r="G1160">
        <f t="shared" si="25"/>
        <v>302.24661296026881</v>
      </c>
      <c r="H1160">
        <v>-15000</v>
      </c>
      <c r="I1160">
        <v>-37784.55549436</v>
      </c>
      <c r="J1160">
        <v>75</v>
      </c>
      <c r="K1160">
        <v>345</v>
      </c>
      <c r="L1160">
        <f>_xlfn.XLOOKUP(F1160,magnet_list!$A$2:$A$592,magnet_list!$M$2:$M$592,"n/a",0,1)</f>
        <v>300</v>
      </c>
      <c r="M1160">
        <f>_xlfn.XLOOKUP(F1160,magnet_list!$A$2:$A$592,magnet_list!$L$2:$L$592,"n/a",0,1)</f>
        <v>140</v>
      </c>
    </row>
    <row r="1161" spans="1:13">
      <c r="A1161" t="s">
        <v>797</v>
      </c>
      <c r="B1161" t="s">
        <v>804</v>
      </c>
      <c r="C1161" t="s">
        <v>1152</v>
      </c>
      <c r="D1161" t="s">
        <v>804</v>
      </c>
      <c r="E1161" s="10" t="s">
        <v>1588</v>
      </c>
      <c r="F1161" s="10" t="s">
        <v>2578</v>
      </c>
      <c r="G1161">
        <f>$G$1156+ABS($I$1161-$I$1156)/1000</f>
        <v>302.44430716136895</v>
      </c>
      <c r="H1161">
        <v>-15000</v>
      </c>
      <c r="I1161">
        <f>$I$1156-$L$1161/2</f>
        <v>-37982.249695460065</v>
      </c>
      <c r="J1161">
        <v>-270</v>
      </c>
      <c r="K1161">
        <v>0</v>
      </c>
      <c r="L1161">
        <v>1889.4492</v>
      </c>
    </row>
    <row r="1162" spans="1:13">
      <c r="A1162" t="s">
        <v>797</v>
      </c>
      <c r="B1162" t="s">
        <v>805</v>
      </c>
      <c r="C1162" t="s">
        <v>806</v>
      </c>
      <c r="E1162" s="2" t="s">
        <v>209</v>
      </c>
      <c r="F1162" s="2" t="s">
        <v>2582</v>
      </c>
      <c r="G1162">
        <f t="shared" si="25"/>
        <v>302.69066361183889</v>
      </c>
      <c r="H1162">
        <v>-15000</v>
      </c>
      <c r="I1162">
        <v>-38228.606145930004</v>
      </c>
      <c r="J1162">
        <v>90</v>
      </c>
      <c r="K1162">
        <v>360</v>
      </c>
      <c r="L1162">
        <f>_xlfn.XLOOKUP(F1162,magnet_list!$A$2:$A$592,magnet_list!$M$2:$M$592,"n/a",0,1)</f>
        <v>160</v>
      </c>
      <c r="M1162">
        <f>_xlfn.XLOOKUP(F1162,magnet_list!$A$2:$A$592,magnet_list!$L$2:$L$592,"n/a",0,1)</f>
        <v>44</v>
      </c>
    </row>
    <row r="1163" spans="1:13">
      <c r="A1163" t="s">
        <v>797</v>
      </c>
      <c r="B1163" t="s">
        <v>805</v>
      </c>
      <c r="C1163" t="s">
        <v>1152</v>
      </c>
      <c r="D1163" t="s">
        <v>804</v>
      </c>
      <c r="E1163" s="2" t="s">
        <v>650</v>
      </c>
      <c r="F1163" s="2" t="s">
        <v>2582</v>
      </c>
      <c r="G1163">
        <f t="shared" si="25"/>
        <v>302.76068361183889</v>
      </c>
      <c r="H1163">
        <v>-15000</v>
      </c>
      <c r="I1163">
        <v>-38298.626145930008</v>
      </c>
      <c r="J1163">
        <v>90</v>
      </c>
      <c r="K1163">
        <v>360</v>
      </c>
      <c r="L1163">
        <f>_xlfn.XLOOKUP(F1163,magnet_list!$A$2:$A$592,magnet_list!$M$2:$M$592,"n/a",0,1)</f>
        <v>160</v>
      </c>
      <c r="M1163">
        <f>_xlfn.XLOOKUP(F1163,magnet_list!$A$2:$A$592,magnet_list!$L$2:$L$592,"n/a",0,1)</f>
        <v>44</v>
      </c>
    </row>
    <row r="1164" spans="1:13">
      <c r="A1164" t="s">
        <v>797</v>
      </c>
      <c r="B1164" t="s">
        <v>805</v>
      </c>
      <c r="C1164" t="s">
        <v>806</v>
      </c>
      <c r="E1164" s="2" t="s">
        <v>210</v>
      </c>
      <c r="F1164" s="2" t="s">
        <v>2582</v>
      </c>
      <c r="G1164">
        <f t="shared" si="25"/>
        <v>302.83062588863891</v>
      </c>
      <c r="H1164">
        <v>-15000</v>
      </c>
      <c r="I1164">
        <v>-38368.568422730001</v>
      </c>
      <c r="J1164">
        <v>90</v>
      </c>
      <c r="K1164">
        <v>360</v>
      </c>
      <c r="L1164">
        <f>_xlfn.XLOOKUP(F1164,magnet_list!$A$2:$A$592,magnet_list!$M$2:$M$592,"n/a",0,1)</f>
        <v>160</v>
      </c>
      <c r="M1164">
        <f>_xlfn.XLOOKUP(F1164,magnet_list!$A$2:$A$592,magnet_list!$L$2:$L$592,"n/a",0,1)</f>
        <v>44</v>
      </c>
    </row>
    <row r="1165" spans="1:13">
      <c r="A1165" t="s">
        <v>797</v>
      </c>
      <c r="B1165" t="s">
        <v>804</v>
      </c>
      <c r="C1165" t="s">
        <v>1152</v>
      </c>
      <c r="D1165" t="s">
        <v>804</v>
      </c>
      <c r="E1165" s="10" t="s">
        <v>211</v>
      </c>
      <c r="F1165" s="10" t="s">
        <v>2583</v>
      </c>
      <c r="G1165">
        <f>$G$1173-ABS($I$1173-$I$1165)/1000</f>
        <v>303.15284896136887</v>
      </c>
      <c r="H1165">
        <v>-15000</v>
      </c>
      <c r="I1165">
        <f>$I$1173+$L$1165/2</f>
        <v>-38690.791495460064</v>
      </c>
      <c r="J1165">
        <v>-270</v>
      </c>
      <c r="K1165">
        <v>0</v>
      </c>
      <c r="L1165">
        <v>1889.4492</v>
      </c>
    </row>
    <row r="1166" spans="1:13">
      <c r="A1166" t="s">
        <v>797</v>
      </c>
      <c r="B1166" t="s">
        <v>805</v>
      </c>
      <c r="C1166" t="s">
        <v>806</v>
      </c>
      <c r="E1166" s="2" t="s">
        <v>212</v>
      </c>
      <c r="F1166" s="2" t="s">
        <v>2584</v>
      </c>
      <c r="G1166">
        <f t="shared" si="25"/>
        <v>303.27456661562883</v>
      </c>
      <c r="H1166">
        <v>-15000</v>
      </c>
      <c r="I1166">
        <v>-38812.509149719997</v>
      </c>
      <c r="J1166">
        <v>75</v>
      </c>
      <c r="K1166">
        <v>345</v>
      </c>
      <c r="L1166">
        <f>_xlfn.XLOOKUP(F1166,magnet_list!$A$2:$A$592,magnet_list!$M$2:$M$592,"n/a",0,1)</f>
        <v>300</v>
      </c>
      <c r="M1166">
        <f>_xlfn.XLOOKUP(F1166,magnet_list!$A$2:$A$592,magnet_list!$L$2:$L$592,"n/a",0,1)</f>
        <v>140</v>
      </c>
    </row>
    <row r="1167" spans="1:13">
      <c r="A1167" t="s">
        <v>797</v>
      </c>
      <c r="B1167" t="s">
        <v>805</v>
      </c>
      <c r="C1167" t="s">
        <v>1152</v>
      </c>
      <c r="D1167" t="s">
        <v>804</v>
      </c>
      <c r="E1167" s="2" t="s">
        <v>651</v>
      </c>
      <c r="F1167" s="2" t="s">
        <v>2584</v>
      </c>
      <c r="G1167">
        <f t="shared" si="25"/>
        <v>303.40956361562883</v>
      </c>
      <c r="H1167">
        <v>-15000</v>
      </c>
      <c r="I1167">
        <v>-38947.506149719993</v>
      </c>
      <c r="J1167">
        <v>75</v>
      </c>
      <c r="K1167">
        <v>345</v>
      </c>
      <c r="L1167">
        <f>_xlfn.XLOOKUP(F1167,magnet_list!$A$2:$A$592,magnet_list!$M$2:$M$592,"n/a",0,1)</f>
        <v>300</v>
      </c>
      <c r="M1167">
        <f>_xlfn.XLOOKUP(F1167,magnet_list!$A$2:$A$592,magnet_list!$L$2:$L$592,"n/a",0,1)</f>
        <v>140</v>
      </c>
    </row>
    <row r="1168" spans="1:13">
      <c r="A1168" t="s">
        <v>797</v>
      </c>
      <c r="B1168" t="s">
        <v>805</v>
      </c>
      <c r="C1168" t="s">
        <v>806</v>
      </c>
      <c r="E1168" s="2" t="s">
        <v>213</v>
      </c>
      <c r="F1168" s="2" t="s">
        <v>2584</v>
      </c>
      <c r="G1168">
        <f t="shared" si="25"/>
        <v>303.54454130620883</v>
      </c>
      <c r="H1168">
        <v>-15000</v>
      </c>
      <c r="I1168">
        <v>-39082.483840300003</v>
      </c>
      <c r="J1168">
        <v>75</v>
      </c>
      <c r="K1168">
        <v>345</v>
      </c>
      <c r="L1168">
        <f>_xlfn.XLOOKUP(F1168,magnet_list!$A$2:$A$592,magnet_list!$M$2:$M$592,"n/a",0,1)</f>
        <v>300</v>
      </c>
      <c r="M1168">
        <f>_xlfn.XLOOKUP(F1168,magnet_list!$A$2:$A$592,magnet_list!$L$2:$L$592,"n/a",0,1)</f>
        <v>140</v>
      </c>
    </row>
    <row r="1169" spans="1:13">
      <c r="A1169" t="s">
        <v>797</v>
      </c>
      <c r="B1169" t="s">
        <v>803</v>
      </c>
      <c r="C1169" t="s">
        <v>806</v>
      </c>
      <c r="E1169" t="s">
        <v>830</v>
      </c>
      <c r="F1169" t="s">
        <v>830</v>
      </c>
      <c r="G1169">
        <f t="shared" si="25"/>
        <v>303.7192780567288</v>
      </c>
      <c r="H1169">
        <v>-13510.17750285</v>
      </c>
      <c r="I1169">
        <v>-39257.220590819998</v>
      </c>
      <c r="J1169">
        <v>291.74833529</v>
      </c>
      <c r="K1169">
        <v>561.74833529</v>
      </c>
    </row>
    <row r="1170" spans="1:13">
      <c r="A1170" t="s">
        <v>797</v>
      </c>
      <c r="B1170" t="s">
        <v>803</v>
      </c>
      <c r="C1170" t="s">
        <v>806</v>
      </c>
      <c r="E1170" t="s">
        <v>828</v>
      </c>
      <c r="F1170" t="s">
        <v>828</v>
      </c>
      <c r="G1170">
        <f t="shared" si="25"/>
        <v>303.7192690551588</v>
      </c>
      <c r="H1170">
        <v>-13510.13128998</v>
      </c>
      <c r="I1170">
        <v>-39257.211589250001</v>
      </c>
      <c r="J1170">
        <v>291.76863100999998</v>
      </c>
      <c r="K1170">
        <v>561.76863101000004</v>
      </c>
    </row>
    <row r="1171" spans="1:13">
      <c r="A1171" t="s">
        <v>797</v>
      </c>
      <c r="B1171" t="s">
        <v>805</v>
      </c>
      <c r="C1171" t="s">
        <v>806</v>
      </c>
      <c r="E1171" s="2" t="s">
        <v>214</v>
      </c>
      <c r="F1171" s="2" t="s">
        <v>2585</v>
      </c>
      <c r="G1171">
        <f t="shared" si="25"/>
        <v>303.9246000466988</v>
      </c>
      <c r="H1171">
        <v>-15000</v>
      </c>
      <c r="I1171">
        <v>-39462.542580790003</v>
      </c>
      <c r="J1171">
        <v>75</v>
      </c>
      <c r="K1171">
        <v>345</v>
      </c>
      <c r="L1171">
        <f>_xlfn.XLOOKUP(F1171,magnet_list!$A$2:$A$592,magnet_list!$M$2:$M$592,"n/a",0,1)</f>
        <v>300</v>
      </c>
      <c r="M1171">
        <f>_xlfn.XLOOKUP(F1171,magnet_list!$A$2:$A$592,magnet_list!$L$2:$L$592,"n/a",0,1)</f>
        <v>140</v>
      </c>
    </row>
    <row r="1172" spans="1:13">
      <c r="A1172" t="s">
        <v>797</v>
      </c>
      <c r="B1172" t="s">
        <v>805</v>
      </c>
      <c r="C1172" t="s">
        <v>1152</v>
      </c>
      <c r="D1172" t="s">
        <v>804</v>
      </c>
      <c r="E1172" s="2" t="s">
        <v>652</v>
      </c>
      <c r="F1172" s="2" t="s">
        <v>2585</v>
      </c>
      <c r="G1172">
        <f t="shared" si="25"/>
        <v>304.05962104669879</v>
      </c>
      <c r="H1172">
        <v>-15000</v>
      </c>
      <c r="I1172">
        <v>-39597.563580790003</v>
      </c>
      <c r="J1172">
        <v>75</v>
      </c>
      <c r="K1172">
        <v>345</v>
      </c>
      <c r="L1172">
        <f>_xlfn.XLOOKUP(F1172,magnet_list!$A$2:$A$592,magnet_list!$M$2:$M$592,"n/a",0,1)</f>
        <v>300</v>
      </c>
      <c r="M1172">
        <f>_xlfn.XLOOKUP(F1172,magnet_list!$A$2:$A$592,magnet_list!$L$2:$L$592,"n/a",0,1)</f>
        <v>140</v>
      </c>
    </row>
    <row r="1173" spans="1:13">
      <c r="A1173" t="s">
        <v>797</v>
      </c>
      <c r="B1173" t="s">
        <v>804</v>
      </c>
      <c r="C1173" t="s">
        <v>1152</v>
      </c>
      <c r="D1173" t="s">
        <v>804</v>
      </c>
      <c r="E1173" s="10" t="s">
        <v>1354</v>
      </c>
      <c r="F1173" s="10" t="s">
        <v>2583</v>
      </c>
      <c r="G1173">
        <f>$G$1156+ABS($I$1173-$I$1156)/1000</f>
        <v>304.0975735613689</v>
      </c>
      <c r="H1173">
        <v>-15000</v>
      </c>
      <c r="I1173">
        <f>$I$1156-2597.991</f>
        <v>-39635.516095460065</v>
      </c>
      <c r="J1173">
        <v>-270</v>
      </c>
      <c r="K1173">
        <v>0</v>
      </c>
      <c r="L1173">
        <v>1889.4492</v>
      </c>
    </row>
    <row r="1174" spans="1:13">
      <c r="A1174" t="s">
        <v>797</v>
      </c>
      <c r="B1174" t="s">
        <v>805</v>
      </c>
      <c r="C1174" t="s">
        <v>806</v>
      </c>
      <c r="E1174" s="2" t="s">
        <v>215</v>
      </c>
      <c r="F1174" s="2" t="s">
        <v>2585</v>
      </c>
      <c r="G1174">
        <f t="shared" si="25"/>
        <v>304.19461247992882</v>
      </c>
      <c r="H1174">
        <v>-15000</v>
      </c>
      <c r="I1174">
        <v>-39732.555014019999</v>
      </c>
      <c r="J1174">
        <v>75</v>
      </c>
      <c r="K1174">
        <v>345</v>
      </c>
      <c r="L1174">
        <f>_xlfn.XLOOKUP(F1174,magnet_list!$A$2:$A$592,magnet_list!$M$2:$M$592,"n/a",0,1)</f>
        <v>300</v>
      </c>
      <c r="M1174">
        <f>_xlfn.XLOOKUP(F1174,magnet_list!$A$2:$A$592,magnet_list!$L$2:$L$592,"n/a",0,1)</f>
        <v>140</v>
      </c>
    </row>
    <row r="1175" spans="1:13">
      <c r="A1175" t="s">
        <v>797</v>
      </c>
      <c r="B1175" t="s">
        <v>805</v>
      </c>
      <c r="C1175" t="s">
        <v>806</v>
      </c>
      <c r="E1175" s="2" t="s">
        <v>216</v>
      </c>
      <c r="F1175" s="2" t="s">
        <v>2586</v>
      </c>
      <c r="G1175">
        <f t="shared" si="25"/>
        <v>304.57486427389881</v>
      </c>
      <c r="H1175">
        <v>-15000</v>
      </c>
      <c r="I1175">
        <v>-40112.806807989997</v>
      </c>
      <c r="J1175">
        <v>75</v>
      </c>
      <c r="K1175">
        <v>345</v>
      </c>
      <c r="L1175">
        <f>_xlfn.XLOOKUP(F1175,magnet_list!$A$2:$A$592,magnet_list!$M$2:$M$592,"n/a",0,1)</f>
        <v>300</v>
      </c>
      <c r="M1175">
        <f>_xlfn.XLOOKUP(F1175,magnet_list!$A$2:$A$592,magnet_list!$L$2:$L$592,"n/a",0,1)</f>
        <v>140</v>
      </c>
    </row>
    <row r="1176" spans="1:13">
      <c r="A1176" t="s">
        <v>797</v>
      </c>
      <c r="B1176" t="s">
        <v>805</v>
      </c>
      <c r="C1176" t="s">
        <v>1152</v>
      </c>
      <c r="D1176" t="s">
        <v>804</v>
      </c>
      <c r="E1176" s="2" t="s">
        <v>653</v>
      </c>
      <c r="F1176" s="2" t="s">
        <v>2586</v>
      </c>
      <c r="G1176">
        <f t="shared" si="25"/>
        <v>304.70986777389879</v>
      </c>
      <c r="H1176">
        <v>-15000</v>
      </c>
      <c r="I1176">
        <v>-40247.810307989996</v>
      </c>
      <c r="J1176">
        <v>75</v>
      </c>
      <c r="K1176">
        <v>345</v>
      </c>
      <c r="L1176">
        <f>_xlfn.XLOOKUP(F1176,magnet_list!$A$2:$A$592,magnet_list!$M$2:$M$592,"n/a",0,1)</f>
        <v>300</v>
      </c>
      <c r="M1176">
        <f>_xlfn.XLOOKUP(F1176,magnet_list!$A$2:$A$592,magnet_list!$L$2:$L$592,"n/a",0,1)</f>
        <v>140</v>
      </c>
    </row>
    <row r="1177" spans="1:13">
      <c r="A1177" t="s">
        <v>797</v>
      </c>
      <c r="B1177" t="s">
        <v>805</v>
      </c>
      <c r="C1177" t="s">
        <v>806</v>
      </c>
      <c r="E1177" s="2" t="s">
        <v>217</v>
      </c>
      <c r="F1177" s="2" t="s">
        <v>2586</v>
      </c>
      <c r="G1177">
        <f t="shared" si="25"/>
        <v>304.84484391519879</v>
      </c>
      <c r="H1177">
        <v>-15000</v>
      </c>
      <c r="I1177">
        <v>-40382.786449289997</v>
      </c>
      <c r="J1177">
        <v>75</v>
      </c>
      <c r="K1177">
        <v>345</v>
      </c>
      <c r="L1177">
        <f>_xlfn.XLOOKUP(F1177,magnet_list!$A$2:$A$592,magnet_list!$M$2:$M$592,"n/a",0,1)</f>
        <v>300</v>
      </c>
      <c r="M1177">
        <f>_xlfn.XLOOKUP(F1177,magnet_list!$A$2:$A$592,magnet_list!$L$2:$L$592,"n/a",0,1)</f>
        <v>140</v>
      </c>
    </row>
    <row r="1178" spans="1:13">
      <c r="A1178" t="s">
        <v>797</v>
      </c>
      <c r="B1178" t="s">
        <v>803</v>
      </c>
      <c r="C1178" t="s">
        <v>806</v>
      </c>
      <c r="E1178" t="s">
        <v>1010</v>
      </c>
      <c r="F1178" t="s">
        <v>1010</v>
      </c>
      <c r="G1178">
        <f t="shared" si="25"/>
        <v>304.99279239024878</v>
      </c>
      <c r="H1178">
        <v>-15400</v>
      </c>
      <c r="I1178">
        <v>-40530.734924340002</v>
      </c>
      <c r="J1178">
        <v>-689</v>
      </c>
      <c r="K1178">
        <v>-419</v>
      </c>
    </row>
    <row r="1179" spans="1:13">
      <c r="A1179" t="s">
        <v>797</v>
      </c>
      <c r="B1179" t="s">
        <v>804</v>
      </c>
      <c r="C1179" t="s">
        <v>1152</v>
      </c>
      <c r="D1179" t="s">
        <v>804</v>
      </c>
      <c r="E1179" s="10" t="s">
        <v>1589</v>
      </c>
      <c r="F1179" s="10" t="s">
        <v>2583</v>
      </c>
      <c r="G1179">
        <f>$G$1173+ABS($I$1179-$I$1173)/1000</f>
        <v>305.04229816136893</v>
      </c>
      <c r="H1179">
        <v>-15000</v>
      </c>
      <c r="I1179">
        <f>$I$1173-$L$1179/2</f>
        <v>-40580.240695460066</v>
      </c>
      <c r="J1179">
        <v>-270</v>
      </c>
      <c r="K1179">
        <v>0</v>
      </c>
      <c r="L1179">
        <v>1889.4492</v>
      </c>
    </row>
    <row r="1180" spans="1:13">
      <c r="A1180" t="s">
        <v>797</v>
      </c>
      <c r="B1180" t="s">
        <v>803</v>
      </c>
      <c r="C1180" t="s">
        <v>806</v>
      </c>
      <c r="E1180" t="s">
        <v>829</v>
      </c>
      <c r="F1180" t="s">
        <v>829</v>
      </c>
      <c r="G1180">
        <f t="shared" si="25"/>
        <v>305.17031838878887</v>
      </c>
      <c r="H1180">
        <v>-17478.83876844</v>
      </c>
      <c r="I1180">
        <v>-40708.260922879999</v>
      </c>
      <c r="J1180">
        <v>-22.894522569999999</v>
      </c>
      <c r="K1180">
        <v>247.10547743000001</v>
      </c>
    </row>
    <row r="1181" spans="1:13">
      <c r="A1181" t="s">
        <v>797</v>
      </c>
      <c r="B1181" t="s">
        <v>1152</v>
      </c>
      <c r="C1181" t="s">
        <v>1152</v>
      </c>
      <c r="D1181" t="s">
        <v>804</v>
      </c>
      <c r="E1181" s="3" t="s">
        <v>2075</v>
      </c>
      <c r="F1181" s="3" t="s">
        <v>2075</v>
      </c>
      <c r="G1181">
        <f>$G$1173+ABS($I$1181-$I$1173)/1000</f>
        <v>305.30933826136891</v>
      </c>
      <c r="H1181">
        <v>-15000</v>
      </c>
      <c r="I1181">
        <f>$I$1173-1211.7647</f>
        <v>-40847.280795460065</v>
      </c>
      <c r="J1181">
        <v>-270</v>
      </c>
      <c r="K1181">
        <v>0</v>
      </c>
    </row>
    <row r="1182" spans="1:13">
      <c r="A1182" t="s">
        <v>797</v>
      </c>
      <c r="B1182" t="s">
        <v>1152</v>
      </c>
      <c r="C1182" t="s">
        <v>1152</v>
      </c>
      <c r="D1182" t="s">
        <v>804</v>
      </c>
      <c r="E1182" s="3" t="s">
        <v>2076</v>
      </c>
      <c r="F1182" s="3" t="s">
        <v>2076</v>
      </c>
      <c r="G1182">
        <f>$G$1181+ABS($I$1182-$I$1181)/1000</f>
        <v>305.41183856136888</v>
      </c>
      <c r="H1182">
        <v>-15000</v>
      </c>
      <c r="I1182">
        <f>$I$1181-102.5003</f>
        <v>-40949.781095460065</v>
      </c>
      <c r="J1182">
        <v>-270</v>
      </c>
      <c r="K1182">
        <v>0</v>
      </c>
    </row>
    <row r="1183" spans="1:13">
      <c r="A1183" t="s">
        <v>797</v>
      </c>
      <c r="B1183" t="s">
        <v>805</v>
      </c>
      <c r="C1183" t="s">
        <v>806</v>
      </c>
      <c r="E1183" s="2" t="s">
        <v>218</v>
      </c>
      <c r="F1183" s="2" t="s">
        <v>2587</v>
      </c>
      <c r="G1183">
        <f t="shared" si="25"/>
        <v>305.42103352165884</v>
      </c>
      <c r="H1183">
        <v>-15000</v>
      </c>
      <c r="I1183">
        <v>-40958.976055749998</v>
      </c>
      <c r="J1183">
        <v>90</v>
      </c>
      <c r="K1183">
        <v>360</v>
      </c>
      <c r="L1183">
        <f>_xlfn.XLOOKUP(F1183,magnet_list!$A$2:$A$592,magnet_list!$M$2:$M$592,"n/a",0,1)</f>
        <v>160</v>
      </c>
      <c r="M1183">
        <f>_xlfn.XLOOKUP(F1183,magnet_list!$A$2:$A$592,magnet_list!$L$2:$L$592,"n/a",0,1)</f>
        <v>44</v>
      </c>
    </row>
    <row r="1184" spans="1:13">
      <c r="A1184" t="s">
        <v>797</v>
      </c>
      <c r="B1184" t="s">
        <v>805</v>
      </c>
      <c r="C1184" t="s">
        <v>1152</v>
      </c>
      <c r="D1184" t="s">
        <v>804</v>
      </c>
      <c r="E1184" s="2" t="s">
        <v>654</v>
      </c>
      <c r="F1184" s="2" t="s">
        <v>2587</v>
      </c>
      <c r="G1184">
        <f t="shared" si="25"/>
        <v>305.49102102165887</v>
      </c>
      <c r="H1184">
        <v>-15000</v>
      </c>
      <c r="I1184">
        <v>-41028.963555750001</v>
      </c>
      <c r="J1184">
        <v>90</v>
      </c>
      <c r="K1184">
        <v>360</v>
      </c>
      <c r="L1184">
        <f>_xlfn.XLOOKUP(F1184,magnet_list!$A$2:$A$592,magnet_list!$M$2:$M$592,"n/a",0,1)</f>
        <v>160</v>
      </c>
      <c r="M1184">
        <f>_xlfn.XLOOKUP(F1184,magnet_list!$A$2:$A$592,magnet_list!$L$2:$L$592,"n/a",0,1)</f>
        <v>44</v>
      </c>
    </row>
    <row r="1185" spans="1:13">
      <c r="A1185" t="s">
        <v>797</v>
      </c>
      <c r="B1185" t="s">
        <v>805</v>
      </c>
      <c r="C1185" t="s">
        <v>806</v>
      </c>
      <c r="E1185" s="2" t="s">
        <v>219</v>
      </c>
      <c r="F1185" s="2" t="s">
        <v>2587</v>
      </c>
      <c r="G1185">
        <f t="shared" si="25"/>
        <v>305.56099941691889</v>
      </c>
      <c r="H1185">
        <v>-15000</v>
      </c>
      <c r="I1185">
        <v>-41098.941951009998</v>
      </c>
      <c r="J1185">
        <v>90</v>
      </c>
      <c r="K1185">
        <v>360</v>
      </c>
      <c r="L1185">
        <f>_xlfn.XLOOKUP(F1185,magnet_list!$A$2:$A$592,magnet_list!$M$2:$M$592,"n/a",0,1)</f>
        <v>160</v>
      </c>
      <c r="M1185">
        <f>_xlfn.XLOOKUP(F1185,magnet_list!$A$2:$A$592,magnet_list!$L$2:$L$592,"n/a",0,1)</f>
        <v>44</v>
      </c>
    </row>
    <row r="1186" spans="1:13">
      <c r="A1186" t="s">
        <v>797</v>
      </c>
      <c r="B1186" t="s">
        <v>805</v>
      </c>
      <c r="C1186" t="s">
        <v>1152</v>
      </c>
      <c r="D1186" t="s">
        <v>804</v>
      </c>
      <c r="E1186" s="2" t="s">
        <v>2083</v>
      </c>
      <c r="F1186" s="2" t="s">
        <v>2588</v>
      </c>
      <c r="G1186">
        <f t="shared" si="25"/>
        <v>305.78102102165889</v>
      </c>
      <c r="H1186">
        <v>-15000</v>
      </c>
      <c r="I1186">
        <f>$I$1184-290</f>
        <v>-41318.963555750001</v>
      </c>
      <c r="J1186">
        <v>-270</v>
      </c>
      <c r="K1186">
        <v>0</v>
      </c>
      <c r="L1186">
        <f>_xlfn.XLOOKUP(F1186,magnet_list!$A$2:$A$592,magnet_list!$M$2:$M$592,"n/a",0,1)</f>
        <v>150</v>
      </c>
      <c r="M1186">
        <f>_xlfn.XLOOKUP(F1186,magnet_list!$A$2:$A$592,magnet_list!$L$2:$L$592,"n/a",0,1)</f>
        <v>35</v>
      </c>
    </row>
    <row r="1187" spans="1:13">
      <c r="A1187" t="s">
        <v>797</v>
      </c>
      <c r="B1187" t="s">
        <v>805</v>
      </c>
      <c r="C1187" t="s">
        <v>806</v>
      </c>
      <c r="E1187" s="2" t="s">
        <v>220</v>
      </c>
      <c r="F1187" s="2" t="s">
        <v>2589</v>
      </c>
      <c r="G1187">
        <f t="shared" si="25"/>
        <v>306.0210502173889</v>
      </c>
      <c r="H1187">
        <v>-15000</v>
      </c>
      <c r="I1187">
        <v>-41558.99275148</v>
      </c>
      <c r="J1187">
        <v>90</v>
      </c>
      <c r="K1187">
        <v>360</v>
      </c>
      <c r="L1187">
        <f>_xlfn.XLOOKUP(F1187,magnet_list!$A$2:$A$592,magnet_list!$M$2:$M$592,"n/a",0,1)</f>
        <v>160</v>
      </c>
      <c r="M1187">
        <f>_xlfn.XLOOKUP(F1187,magnet_list!$A$2:$A$592,magnet_list!$L$2:$L$592,"n/a",0,1)</f>
        <v>44</v>
      </c>
    </row>
    <row r="1188" spans="1:13">
      <c r="A1188" t="s">
        <v>797</v>
      </c>
      <c r="B1188" t="s">
        <v>805</v>
      </c>
      <c r="C1188" t="s">
        <v>1152</v>
      </c>
      <c r="D1188" t="s">
        <v>804</v>
      </c>
      <c r="E1188" s="2" t="s">
        <v>655</v>
      </c>
      <c r="F1188" s="2" t="s">
        <v>2589</v>
      </c>
      <c r="G1188">
        <f t="shared" si="25"/>
        <v>306.09104221738892</v>
      </c>
      <c r="H1188">
        <v>-15000</v>
      </c>
      <c r="I1188">
        <v>-41628.984751479999</v>
      </c>
      <c r="J1188">
        <v>90</v>
      </c>
      <c r="K1188">
        <v>360</v>
      </c>
      <c r="L1188">
        <f>_xlfn.XLOOKUP(F1188,magnet_list!$A$2:$A$592,magnet_list!$M$2:$M$592,"n/a",0,1)</f>
        <v>160</v>
      </c>
      <c r="M1188">
        <f>_xlfn.XLOOKUP(F1188,magnet_list!$A$2:$A$592,magnet_list!$L$2:$L$592,"n/a",0,1)</f>
        <v>44</v>
      </c>
    </row>
    <row r="1189" spans="1:13">
      <c r="A1189" t="s">
        <v>797</v>
      </c>
      <c r="B1189" t="s">
        <v>805</v>
      </c>
      <c r="C1189" t="s">
        <v>806</v>
      </c>
      <c r="E1189" s="2" t="s">
        <v>221</v>
      </c>
      <c r="F1189" s="2" t="s">
        <v>2589</v>
      </c>
      <c r="G1189">
        <f t="shared" si="25"/>
        <v>306.16098274024893</v>
      </c>
      <c r="H1189">
        <v>-15000</v>
      </c>
      <c r="I1189">
        <v>-41698.925274339999</v>
      </c>
      <c r="J1189">
        <v>90</v>
      </c>
      <c r="K1189">
        <v>360</v>
      </c>
      <c r="L1189">
        <f>_xlfn.XLOOKUP(F1189,magnet_list!$A$2:$A$592,magnet_list!$M$2:$M$592,"n/a",0,1)</f>
        <v>160</v>
      </c>
      <c r="M1189">
        <f>_xlfn.XLOOKUP(F1189,magnet_list!$A$2:$A$592,magnet_list!$L$2:$L$592,"n/a",0,1)</f>
        <v>44</v>
      </c>
    </row>
    <row r="1190" spans="1:13">
      <c r="A1190" t="s">
        <v>797</v>
      </c>
      <c r="B1190" t="s">
        <v>805</v>
      </c>
      <c r="C1190" t="s">
        <v>1152</v>
      </c>
      <c r="D1190" t="s">
        <v>804</v>
      </c>
      <c r="E1190" s="2" t="s">
        <v>2084</v>
      </c>
      <c r="F1190" s="2" t="s">
        <v>2590</v>
      </c>
      <c r="G1190">
        <f t="shared" si="25"/>
        <v>306.40604221738892</v>
      </c>
      <c r="H1190">
        <v>-15000</v>
      </c>
      <c r="I1190">
        <f>$I$1188-315</f>
        <v>-41943.984751479999</v>
      </c>
      <c r="J1190">
        <v>-270</v>
      </c>
      <c r="K1190">
        <v>0</v>
      </c>
      <c r="L1190">
        <f>_xlfn.XLOOKUP(F1190,magnet_list!$A$2:$A$592,magnet_list!$M$2:$M$592,"n/a",0,1)</f>
        <v>150</v>
      </c>
      <c r="M1190">
        <f>_xlfn.XLOOKUP(F1190,magnet_list!$A$2:$A$592,magnet_list!$L$2:$L$592,"n/a",0,1)</f>
        <v>35</v>
      </c>
    </row>
    <row r="1191" spans="1:13">
      <c r="A1191" t="s">
        <v>797</v>
      </c>
      <c r="B1191" t="s">
        <v>805</v>
      </c>
      <c r="C1191" t="s">
        <v>806</v>
      </c>
      <c r="E1191" s="2" t="s">
        <v>222</v>
      </c>
      <c r="F1191" s="2" t="s">
        <v>2591</v>
      </c>
      <c r="G1191">
        <f t="shared" si="25"/>
        <v>306.62103127385893</v>
      </c>
      <c r="H1191">
        <v>-15000</v>
      </c>
      <c r="I1191">
        <v>-42158.973807950002</v>
      </c>
      <c r="J1191">
        <v>90</v>
      </c>
      <c r="K1191">
        <v>360</v>
      </c>
      <c r="L1191">
        <f>_xlfn.XLOOKUP(F1191,magnet_list!$A$2:$A$592,magnet_list!$M$2:$M$592,"n/a",0,1)</f>
        <v>160</v>
      </c>
      <c r="M1191">
        <f>_xlfn.XLOOKUP(F1191,magnet_list!$A$2:$A$592,magnet_list!$L$2:$L$592,"n/a",0,1)</f>
        <v>44</v>
      </c>
    </row>
    <row r="1192" spans="1:13">
      <c r="A1192" t="s">
        <v>797</v>
      </c>
      <c r="B1192" t="s">
        <v>805</v>
      </c>
      <c r="C1192" t="s">
        <v>1152</v>
      </c>
      <c r="D1192" t="s">
        <v>804</v>
      </c>
      <c r="E1192" s="2" t="s">
        <v>656</v>
      </c>
      <c r="F1192" s="2" t="s">
        <v>2591</v>
      </c>
      <c r="G1192">
        <f t="shared" si="25"/>
        <v>306.69102977385893</v>
      </c>
      <c r="H1192">
        <v>-15000</v>
      </c>
      <c r="I1192">
        <v>-42228.972307950004</v>
      </c>
      <c r="J1192">
        <v>90</v>
      </c>
      <c r="K1192">
        <v>360</v>
      </c>
      <c r="L1192">
        <f>_xlfn.XLOOKUP(F1192,magnet_list!$A$2:$A$592,magnet_list!$M$2:$M$592,"n/a",0,1)</f>
        <v>160</v>
      </c>
      <c r="M1192">
        <f>_xlfn.XLOOKUP(F1192,magnet_list!$A$2:$A$592,magnet_list!$L$2:$L$592,"n/a",0,1)</f>
        <v>44</v>
      </c>
    </row>
    <row r="1193" spans="1:13">
      <c r="A1193" t="s">
        <v>797</v>
      </c>
      <c r="B1193" t="s">
        <v>805</v>
      </c>
      <c r="C1193" t="s">
        <v>806</v>
      </c>
      <c r="E1193" s="2" t="s">
        <v>223</v>
      </c>
      <c r="F1193" s="2" t="s">
        <v>2591</v>
      </c>
      <c r="G1193">
        <f t="shared" si="25"/>
        <v>306.76097700699893</v>
      </c>
      <c r="H1193">
        <v>-15000</v>
      </c>
      <c r="I1193">
        <v>-42298.919541089999</v>
      </c>
      <c r="J1193">
        <v>90</v>
      </c>
      <c r="K1193">
        <v>360</v>
      </c>
      <c r="L1193">
        <f>_xlfn.XLOOKUP(F1193,magnet_list!$A$2:$A$592,magnet_list!$M$2:$M$592,"n/a",0,1)</f>
        <v>160</v>
      </c>
      <c r="M1193">
        <f>_xlfn.XLOOKUP(F1193,magnet_list!$A$2:$A$592,magnet_list!$L$2:$L$592,"n/a",0,1)</f>
        <v>44</v>
      </c>
    </row>
    <row r="1194" spans="1:13">
      <c r="A1194" t="s">
        <v>797</v>
      </c>
      <c r="B1194" t="s">
        <v>803</v>
      </c>
      <c r="C1194" t="s">
        <v>806</v>
      </c>
      <c r="E1194" t="s">
        <v>1012</v>
      </c>
      <c r="F1194" t="s">
        <v>1012</v>
      </c>
      <c r="G1194">
        <f t="shared" si="25"/>
        <v>306.88275791601893</v>
      </c>
      <c r="H1194">
        <v>-15400</v>
      </c>
      <c r="I1194">
        <v>-42420.700450110002</v>
      </c>
      <c r="J1194">
        <v>-689</v>
      </c>
      <c r="K1194">
        <v>-419</v>
      </c>
    </row>
    <row r="1195" spans="1:13">
      <c r="A1195" t="s">
        <v>797</v>
      </c>
      <c r="B1195" t="s">
        <v>2288</v>
      </c>
      <c r="C1195" t="s">
        <v>1152</v>
      </c>
      <c r="D1195" t="s">
        <v>804</v>
      </c>
      <c r="E1195" s="8" t="s">
        <v>2337</v>
      </c>
      <c r="F1195" s="8" t="s">
        <v>2337</v>
      </c>
      <c r="G1195">
        <f>$G$1182+ABS($I$1195-$I$1182)/1000</f>
        <v>306.96663756136888</v>
      </c>
      <c r="H1195">
        <v>-15000</v>
      </c>
      <c r="I1195">
        <f>$I$1182-1554.799</f>
        <v>-42504.580095460064</v>
      </c>
      <c r="J1195">
        <v>-270</v>
      </c>
      <c r="K1195">
        <v>0</v>
      </c>
    </row>
    <row r="1196" spans="1:13">
      <c r="A1196" t="s">
        <v>797</v>
      </c>
      <c r="B1196" t="s">
        <v>804</v>
      </c>
      <c r="C1196" t="s">
        <v>1152</v>
      </c>
      <c r="D1196" t="s">
        <v>804</v>
      </c>
      <c r="E1196" s="10" t="s">
        <v>1590</v>
      </c>
      <c r="F1196" s="10" t="s">
        <v>2592</v>
      </c>
      <c r="G1196">
        <f>$G$1202-ABS($I$1202-$I$1196)/1000</f>
        <v>307.09663716136885</v>
      </c>
      <c r="H1196">
        <v>-15000</v>
      </c>
      <c r="I1196">
        <f>$I$1202+$L$1196/2</f>
        <v>-42634.579695460059</v>
      </c>
      <c r="J1196">
        <v>-270</v>
      </c>
      <c r="K1196">
        <v>0</v>
      </c>
      <c r="L1196">
        <v>1889.4492</v>
      </c>
    </row>
    <row r="1197" spans="1:13">
      <c r="A1197" t="s">
        <v>797</v>
      </c>
      <c r="B1197" t="s">
        <v>805</v>
      </c>
      <c r="C1197" t="s">
        <v>806</v>
      </c>
      <c r="E1197" s="2" t="s">
        <v>224</v>
      </c>
      <c r="F1197" s="2" t="s">
        <v>2593</v>
      </c>
      <c r="G1197">
        <f t="shared" si="25"/>
        <v>307.26956178818881</v>
      </c>
      <c r="H1197">
        <v>-15000</v>
      </c>
      <c r="I1197">
        <v>-42807.504322280001</v>
      </c>
      <c r="J1197">
        <v>75</v>
      </c>
      <c r="K1197">
        <v>345</v>
      </c>
      <c r="L1197">
        <f>_xlfn.XLOOKUP(F1197,magnet_list!$A$2:$A$592,magnet_list!$M$2:$M$592,"n/a",0,1)</f>
        <v>300</v>
      </c>
      <c r="M1197">
        <f>_xlfn.XLOOKUP(F1197,magnet_list!$A$2:$A$592,magnet_list!$L$2:$L$592,"n/a",0,1)</f>
        <v>140</v>
      </c>
    </row>
    <row r="1198" spans="1:13">
      <c r="A1198" t="s">
        <v>797</v>
      </c>
      <c r="B1198" t="s">
        <v>805</v>
      </c>
      <c r="C1198" t="s">
        <v>1152</v>
      </c>
      <c r="D1198" t="s">
        <v>804</v>
      </c>
      <c r="E1198" s="2" t="s">
        <v>657</v>
      </c>
      <c r="F1198" s="2" t="s">
        <v>2593</v>
      </c>
      <c r="G1198">
        <f t="shared" si="25"/>
        <v>307.4045632881888</v>
      </c>
      <c r="H1198">
        <v>-15000</v>
      </c>
      <c r="I1198">
        <v>-42942.505822280007</v>
      </c>
      <c r="J1198">
        <v>75</v>
      </c>
      <c r="K1198">
        <v>345</v>
      </c>
      <c r="L1198">
        <f>_xlfn.XLOOKUP(F1198,magnet_list!$A$2:$A$592,magnet_list!$M$2:$M$592,"n/a",0,1)</f>
        <v>300</v>
      </c>
      <c r="M1198">
        <f>_xlfn.XLOOKUP(F1198,magnet_list!$A$2:$A$592,magnet_list!$L$2:$L$592,"n/a",0,1)</f>
        <v>140</v>
      </c>
    </row>
    <row r="1199" spans="1:13">
      <c r="A1199" t="s">
        <v>797</v>
      </c>
      <c r="B1199" t="s">
        <v>805</v>
      </c>
      <c r="C1199" t="s">
        <v>806</v>
      </c>
      <c r="E1199" s="2" t="s">
        <v>225</v>
      </c>
      <c r="F1199" s="2" t="s">
        <v>2593</v>
      </c>
      <c r="G1199">
        <f t="shared" si="25"/>
        <v>307.53956028868879</v>
      </c>
      <c r="H1199">
        <v>-15000</v>
      </c>
      <c r="I1199">
        <v>-43077.502822779999</v>
      </c>
      <c r="J1199">
        <v>75</v>
      </c>
      <c r="K1199">
        <v>345</v>
      </c>
      <c r="L1199">
        <f>_xlfn.XLOOKUP(F1199,magnet_list!$A$2:$A$592,magnet_list!$M$2:$M$592,"n/a",0,1)</f>
        <v>300</v>
      </c>
      <c r="M1199">
        <f>_xlfn.XLOOKUP(F1199,magnet_list!$A$2:$A$592,magnet_list!$L$2:$L$592,"n/a",0,1)</f>
        <v>140</v>
      </c>
    </row>
    <row r="1200" spans="1:13">
      <c r="A1200" t="s">
        <v>797</v>
      </c>
      <c r="B1200" t="s">
        <v>805</v>
      </c>
      <c r="C1200" t="s">
        <v>806</v>
      </c>
      <c r="E1200" s="2" t="s">
        <v>226</v>
      </c>
      <c r="F1200" s="2" t="s">
        <v>2594</v>
      </c>
      <c r="G1200">
        <f t="shared" si="25"/>
        <v>307.86940090017879</v>
      </c>
      <c r="H1200">
        <v>-15000</v>
      </c>
      <c r="I1200">
        <v>-43407.343434269998</v>
      </c>
      <c r="J1200">
        <v>75</v>
      </c>
      <c r="K1200">
        <v>345</v>
      </c>
      <c r="L1200">
        <f>_xlfn.XLOOKUP(F1200,magnet_list!$A$2:$A$592,magnet_list!$M$2:$M$592,"n/a",0,1)</f>
        <v>300</v>
      </c>
      <c r="M1200">
        <f>_xlfn.XLOOKUP(F1200,magnet_list!$A$2:$A$592,magnet_list!$L$2:$L$592,"n/a",0,1)</f>
        <v>140</v>
      </c>
    </row>
    <row r="1201" spans="1:13">
      <c r="A1201" t="s">
        <v>797</v>
      </c>
      <c r="B1201" t="s">
        <v>805</v>
      </c>
      <c r="C1201" t="s">
        <v>1152</v>
      </c>
      <c r="D1201" t="s">
        <v>804</v>
      </c>
      <c r="E1201" s="2" t="s">
        <v>658</v>
      </c>
      <c r="F1201" s="2" t="s">
        <v>2594</v>
      </c>
      <c r="G1201">
        <f t="shared" si="25"/>
        <v>308.00440440017877</v>
      </c>
      <c r="H1201">
        <v>-15000</v>
      </c>
      <c r="I1201">
        <v>-43542.346934269997</v>
      </c>
      <c r="J1201">
        <v>75</v>
      </c>
      <c r="K1201">
        <v>345</v>
      </c>
      <c r="L1201">
        <f>_xlfn.XLOOKUP(F1201,magnet_list!$A$2:$A$592,magnet_list!$M$2:$M$592,"n/a",0,1)</f>
        <v>300</v>
      </c>
      <c r="M1201">
        <f>_xlfn.XLOOKUP(F1201,magnet_list!$A$2:$A$592,magnet_list!$L$2:$L$592,"n/a",0,1)</f>
        <v>140</v>
      </c>
    </row>
    <row r="1202" spans="1:13">
      <c r="A1202" t="s">
        <v>797</v>
      </c>
      <c r="B1202" t="s">
        <v>804</v>
      </c>
      <c r="C1202" t="s">
        <v>1152</v>
      </c>
      <c r="D1202" t="s">
        <v>804</v>
      </c>
      <c r="E1202" s="10" t="s">
        <v>1191</v>
      </c>
      <c r="F1202" s="10" t="s">
        <v>2592</v>
      </c>
      <c r="G1202">
        <f>$G$1195+ABS($I$1202-$I$1195)/1000</f>
        <v>308.04136176136888</v>
      </c>
      <c r="H1202">
        <v>-15000</v>
      </c>
      <c r="I1202">
        <f>$I$1195-1074.7242</f>
        <v>-43579.304295460061</v>
      </c>
      <c r="J1202">
        <v>-270</v>
      </c>
      <c r="K1202">
        <v>0</v>
      </c>
      <c r="L1202">
        <v>1889.4492</v>
      </c>
    </row>
    <row r="1203" spans="1:13">
      <c r="A1203" t="s">
        <v>797</v>
      </c>
      <c r="B1203" t="s">
        <v>805</v>
      </c>
      <c r="C1203" t="s">
        <v>806</v>
      </c>
      <c r="E1203" s="2" t="s">
        <v>227</v>
      </c>
      <c r="F1203" s="2" t="s">
        <v>2594</v>
      </c>
      <c r="G1203">
        <f t="shared" si="25"/>
        <v>308.13938669850882</v>
      </c>
      <c r="H1203">
        <v>-15000</v>
      </c>
      <c r="I1203">
        <v>-43677.329232600001</v>
      </c>
      <c r="J1203">
        <v>75</v>
      </c>
      <c r="K1203">
        <v>345</v>
      </c>
      <c r="L1203">
        <f>_xlfn.XLOOKUP(F1203,magnet_list!$A$2:$A$592,magnet_list!$M$2:$M$592,"n/a",0,1)</f>
        <v>300</v>
      </c>
      <c r="M1203">
        <f>_xlfn.XLOOKUP(F1203,magnet_list!$A$2:$A$592,magnet_list!$L$2:$L$592,"n/a",0,1)</f>
        <v>140</v>
      </c>
    </row>
    <row r="1204" spans="1:13">
      <c r="A1204" t="s">
        <v>797</v>
      </c>
      <c r="B1204" t="s">
        <v>805</v>
      </c>
      <c r="C1204" t="s">
        <v>806</v>
      </c>
      <c r="E1204" s="2" t="s">
        <v>228</v>
      </c>
      <c r="F1204" s="2" t="s">
        <v>2595</v>
      </c>
      <c r="G1204">
        <f t="shared" si="25"/>
        <v>308.47011273781879</v>
      </c>
      <c r="H1204">
        <v>-15000</v>
      </c>
      <c r="I1204">
        <v>-44008.055271910001</v>
      </c>
      <c r="J1204">
        <v>75</v>
      </c>
      <c r="K1204">
        <v>345</v>
      </c>
      <c r="L1204">
        <f>_xlfn.XLOOKUP(F1204,magnet_list!$A$2:$A$592,magnet_list!$M$2:$M$592,"n/a",0,1)</f>
        <v>300</v>
      </c>
      <c r="M1204">
        <f>_xlfn.XLOOKUP(F1204,magnet_list!$A$2:$A$592,magnet_list!$L$2:$L$592,"n/a",0,1)</f>
        <v>140</v>
      </c>
    </row>
    <row r="1205" spans="1:13">
      <c r="A1205" t="s">
        <v>797</v>
      </c>
      <c r="B1205" t="s">
        <v>805</v>
      </c>
      <c r="C1205" t="s">
        <v>1152</v>
      </c>
      <c r="D1205" t="s">
        <v>804</v>
      </c>
      <c r="E1205" s="2" t="s">
        <v>659</v>
      </c>
      <c r="F1205" s="2" t="s">
        <v>2595</v>
      </c>
      <c r="G1205">
        <f t="shared" ref="G1205:G1268" si="26">G1204-(I1205-I1204)/1000</f>
        <v>308.60511523781878</v>
      </c>
      <c r="H1205">
        <v>-15000</v>
      </c>
      <c r="I1205">
        <v>-44143.057771910004</v>
      </c>
      <c r="J1205">
        <v>75</v>
      </c>
      <c r="K1205">
        <v>345</v>
      </c>
      <c r="L1205">
        <f>_xlfn.XLOOKUP(F1205,magnet_list!$A$2:$A$592,magnet_list!$M$2:$M$592,"n/a",0,1)</f>
        <v>300</v>
      </c>
      <c r="M1205">
        <f>_xlfn.XLOOKUP(F1205,magnet_list!$A$2:$A$592,magnet_list!$L$2:$L$592,"n/a",0,1)</f>
        <v>140</v>
      </c>
    </row>
    <row r="1206" spans="1:13">
      <c r="A1206" t="s">
        <v>797</v>
      </c>
      <c r="B1206" t="s">
        <v>805</v>
      </c>
      <c r="C1206" t="s">
        <v>806</v>
      </c>
      <c r="E1206" s="2" t="s">
        <v>229</v>
      </c>
      <c r="F1206" s="2" t="s">
        <v>2595</v>
      </c>
      <c r="G1206">
        <f t="shared" si="26"/>
        <v>308.74007643561879</v>
      </c>
      <c r="H1206">
        <v>-15000</v>
      </c>
      <c r="I1206">
        <v>-44278.01896971</v>
      </c>
      <c r="J1206">
        <v>75</v>
      </c>
      <c r="K1206">
        <v>345</v>
      </c>
      <c r="L1206">
        <f>_xlfn.XLOOKUP(F1206,magnet_list!$A$2:$A$592,magnet_list!$M$2:$M$592,"n/a",0,1)</f>
        <v>300</v>
      </c>
      <c r="M1206">
        <f>_xlfn.XLOOKUP(F1206,magnet_list!$A$2:$A$592,magnet_list!$L$2:$L$592,"n/a",0,1)</f>
        <v>140</v>
      </c>
    </row>
    <row r="1207" spans="1:13">
      <c r="A1207" t="s">
        <v>797</v>
      </c>
      <c r="B1207" t="s">
        <v>804</v>
      </c>
      <c r="C1207" t="s">
        <v>1152</v>
      </c>
      <c r="D1207" t="s">
        <v>804</v>
      </c>
      <c r="E1207" s="10" t="s">
        <v>1591</v>
      </c>
      <c r="F1207" s="10" t="s">
        <v>2592</v>
      </c>
      <c r="G1207">
        <f>$G$1202+ABS($I$1207-$I$1202)/1000</f>
        <v>308.9860863613689</v>
      </c>
      <c r="H1207">
        <v>-15000</v>
      </c>
      <c r="I1207">
        <f>$I$1202-$L$1207/2</f>
        <v>-44524.028895460062</v>
      </c>
      <c r="J1207">
        <v>-270</v>
      </c>
      <c r="K1207">
        <v>0</v>
      </c>
      <c r="L1207">
        <v>1889.4492</v>
      </c>
    </row>
    <row r="1208" spans="1:13">
      <c r="A1208" t="s">
        <v>797</v>
      </c>
      <c r="B1208" t="s">
        <v>805</v>
      </c>
      <c r="C1208" t="s">
        <v>806</v>
      </c>
      <c r="E1208" s="2" t="s">
        <v>230</v>
      </c>
      <c r="F1208" s="2" t="s">
        <v>2596</v>
      </c>
      <c r="G1208">
        <f t="shared" si="26"/>
        <v>309.23033531461886</v>
      </c>
      <c r="H1208">
        <v>-15000</v>
      </c>
      <c r="I1208">
        <v>-44768.27784871</v>
      </c>
      <c r="J1208">
        <v>90</v>
      </c>
      <c r="K1208">
        <v>360</v>
      </c>
      <c r="L1208">
        <f>_xlfn.XLOOKUP(F1208,magnet_list!$A$2:$A$592,magnet_list!$M$2:$M$592,"n/a",0,1)</f>
        <v>160</v>
      </c>
      <c r="M1208">
        <f>_xlfn.XLOOKUP(F1208,magnet_list!$A$2:$A$592,magnet_list!$L$2:$L$592,"n/a",0,1)</f>
        <v>44</v>
      </c>
    </row>
    <row r="1209" spans="1:13">
      <c r="A1209" t="s">
        <v>797</v>
      </c>
      <c r="B1209" t="s">
        <v>805</v>
      </c>
      <c r="C1209" t="s">
        <v>1152</v>
      </c>
      <c r="D1209" t="s">
        <v>804</v>
      </c>
      <c r="E1209" s="2" t="s">
        <v>660</v>
      </c>
      <c r="F1209" s="2" t="s">
        <v>2596</v>
      </c>
      <c r="G1209">
        <f t="shared" si="26"/>
        <v>309.30033281461886</v>
      </c>
      <c r="H1209">
        <v>-15000</v>
      </c>
      <c r="I1209">
        <v>-44838.275348709998</v>
      </c>
      <c r="J1209">
        <v>90</v>
      </c>
      <c r="K1209">
        <v>360</v>
      </c>
      <c r="L1209">
        <f>_xlfn.XLOOKUP(F1209,magnet_list!$A$2:$A$592,magnet_list!$M$2:$M$592,"n/a",0,1)</f>
        <v>160</v>
      </c>
      <c r="M1209">
        <f>_xlfn.XLOOKUP(F1209,magnet_list!$A$2:$A$592,magnet_list!$L$2:$L$592,"n/a",0,1)</f>
        <v>44</v>
      </c>
    </row>
    <row r="1210" spans="1:13">
      <c r="A1210" t="s">
        <v>797</v>
      </c>
      <c r="B1210" t="s">
        <v>805</v>
      </c>
      <c r="C1210" t="s">
        <v>806</v>
      </c>
      <c r="E1210" s="2" t="s">
        <v>231</v>
      </c>
      <c r="F1210" s="2" t="s">
        <v>2596</v>
      </c>
      <c r="G1210">
        <f t="shared" si="26"/>
        <v>309.37029985819885</v>
      </c>
      <c r="H1210">
        <v>-15000</v>
      </c>
      <c r="I1210">
        <v>-44908.242392289998</v>
      </c>
      <c r="J1210">
        <v>90</v>
      </c>
      <c r="K1210">
        <v>360</v>
      </c>
      <c r="L1210">
        <f>_xlfn.XLOOKUP(F1210,magnet_list!$A$2:$A$592,magnet_list!$M$2:$M$592,"n/a",0,1)</f>
        <v>160</v>
      </c>
      <c r="M1210">
        <f>_xlfn.XLOOKUP(F1210,magnet_list!$A$2:$A$592,magnet_list!$L$2:$L$592,"n/a",0,1)</f>
        <v>44</v>
      </c>
    </row>
    <row r="1211" spans="1:13">
      <c r="A1211" t="s">
        <v>797</v>
      </c>
      <c r="B1211" t="s">
        <v>804</v>
      </c>
      <c r="C1211" t="s">
        <v>1152</v>
      </c>
      <c r="D1211" t="s">
        <v>804</v>
      </c>
      <c r="E1211" s="10" t="s">
        <v>1592</v>
      </c>
      <c r="F1211" s="10" t="s">
        <v>2597</v>
      </c>
      <c r="G1211">
        <f>$G$1217-ABS($I$1217-$I$1211)/1000</f>
        <v>309.69462816136883</v>
      </c>
      <c r="H1211">
        <v>-15000</v>
      </c>
      <c r="I1211">
        <f>$I$1217+$L$1211/2</f>
        <v>-45232.570695460061</v>
      </c>
      <c r="J1211">
        <v>-270</v>
      </c>
      <c r="K1211">
        <v>0</v>
      </c>
      <c r="L1211">
        <v>1889.4492</v>
      </c>
    </row>
    <row r="1212" spans="1:13">
      <c r="A1212" t="s">
        <v>797</v>
      </c>
      <c r="B1212" t="s">
        <v>805</v>
      </c>
      <c r="C1212" t="s">
        <v>806</v>
      </c>
      <c r="E1212" s="2" t="s">
        <v>232</v>
      </c>
      <c r="F1212" s="2" t="s">
        <v>2598</v>
      </c>
      <c r="G1212">
        <f t="shared" si="26"/>
        <v>309.86238648081877</v>
      </c>
      <c r="H1212">
        <v>-15000</v>
      </c>
      <c r="I1212">
        <v>-45400.329014909999</v>
      </c>
      <c r="J1212">
        <v>75</v>
      </c>
      <c r="K1212">
        <v>345</v>
      </c>
      <c r="L1212">
        <f>_xlfn.XLOOKUP(F1212,magnet_list!$A$2:$A$592,magnet_list!$M$2:$M$592,"n/a",0,1)</f>
        <v>300</v>
      </c>
      <c r="M1212">
        <f>_xlfn.XLOOKUP(F1212,magnet_list!$A$2:$A$592,magnet_list!$L$2:$L$592,"n/a",0,1)</f>
        <v>140</v>
      </c>
    </row>
    <row r="1213" spans="1:13">
      <c r="A1213" t="s">
        <v>797</v>
      </c>
      <c r="B1213" t="s">
        <v>805</v>
      </c>
      <c r="C1213" t="s">
        <v>1152</v>
      </c>
      <c r="D1213" t="s">
        <v>804</v>
      </c>
      <c r="E1213" s="2" t="s">
        <v>661</v>
      </c>
      <c r="F1213" s="2" t="s">
        <v>2598</v>
      </c>
      <c r="G1213">
        <f t="shared" si="26"/>
        <v>309.99738948081875</v>
      </c>
      <c r="H1213">
        <v>-15000</v>
      </c>
      <c r="I1213">
        <v>-45535.332014910004</v>
      </c>
      <c r="J1213">
        <v>75</v>
      </c>
      <c r="K1213">
        <v>345</v>
      </c>
      <c r="L1213">
        <f>_xlfn.XLOOKUP(F1213,magnet_list!$A$2:$A$592,magnet_list!$M$2:$M$592,"n/a",0,1)</f>
        <v>300</v>
      </c>
      <c r="M1213">
        <f>_xlfn.XLOOKUP(F1213,magnet_list!$A$2:$A$592,magnet_list!$L$2:$L$592,"n/a",0,1)</f>
        <v>140</v>
      </c>
    </row>
    <row r="1214" spans="1:13">
      <c r="A1214" t="s">
        <v>797</v>
      </c>
      <c r="B1214" t="s">
        <v>805</v>
      </c>
      <c r="C1214" t="s">
        <v>806</v>
      </c>
      <c r="E1214" s="2" t="s">
        <v>233</v>
      </c>
      <c r="F1214" s="2" t="s">
        <v>2598</v>
      </c>
      <c r="G1214">
        <f t="shared" si="26"/>
        <v>310.13239183841876</v>
      </c>
      <c r="H1214">
        <v>-15000</v>
      </c>
      <c r="I1214">
        <v>-45670.334372509999</v>
      </c>
      <c r="J1214">
        <v>75</v>
      </c>
      <c r="K1214">
        <v>345</v>
      </c>
      <c r="L1214">
        <f>_xlfn.XLOOKUP(F1214,magnet_list!$A$2:$A$592,magnet_list!$M$2:$M$592,"n/a",0,1)</f>
        <v>300</v>
      </c>
      <c r="M1214">
        <f>_xlfn.XLOOKUP(F1214,magnet_list!$A$2:$A$592,magnet_list!$L$2:$L$592,"n/a",0,1)</f>
        <v>140</v>
      </c>
    </row>
    <row r="1215" spans="1:13">
      <c r="A1215" t="s">
        <v>797</v>
      </c>
      <c r="B1215" t="s">
        <v>805</v>
      </c>
      <c r="C1215" t="s">
        <v>806</v>
      </c>
      <c r="E1215" s="2" t="s">
        <v>234</v>
      </c>
      <c r="F1215" s="2" t="s">
        <v>2599</v>
      </c>
      <c r="G1215">
        <f t="shared" si="26"/>
        <v>310.46243176845877</v>
      </c>
      <c r="H1215">
        <v>-15000</v>
      </c>
      <c r="I1215">
        <v>-46000.374302550001</v>
      </c>
      <c r="J1215">
        <v>75</v>
      </c>
      <c r="K1215">
        <v>345</v>
      </c>
      <c r="L1215">
        <f>_xlfn.XLOOKUP(F1215,magnet_list!$A$2:$A$592,magnet_list!$M$2:$M$592,"n/a",0,1)</f>
        <v>300</v>
      </c>
      <c r="M1215">
        <f>_xlfn.XLOOKUP(F1215,magnet_list!$A$2:$A$592,magnet_list!$L$2:$L$592,"n/a",0,1)</f>
        <v>140</v>
      </c>
    </row>
    <row r="1216" spans="1:13">
      <c r="A1216" t="s">
        <v>797</v>
      </c>
      <c r="B1216" t="s">
        <v>805</v>
      </c>
      <c r="C1216" t="s">
        <v>1152</v>
      </c>
      <c r="D1216" t="s">
        <v>804</v>
      </c>
      <c r="E1216" s="2" t="s">
        <v>662</v>
      </c>
      <c r="F1216" s="2" t="s">
        <v>2599</v>
      </c>
      <c r="G1216">
        <f t="shared" si="26"/>
        <v>310.59744426845879</v>
      </c>
      <c r="H1216">
        <v>-15000</v>
      </c>
      <c r="I1216">
        <v>-46135.386802550005</v>
      </c>
      <c r="J1216">
        <v>75</v>
      </c>
      <c r="K1216">
        <v>345</v>
      </c>
      <c r="L1216">
        <f>_xlfn.XLOOKUP(F1216,magnet_list!$A$2:$A$592,magnet_list!$M$2:$M$592,"n/a",0,1)</f>
        <v>300</v>
      </c>
      <c r="M1216">
        <f>_xlfn.XLOOKUP(F1216,magnet_list!$A$2:$A$592,magnet_list!$L$2:$L$592,"n/a",0,1)</f>
        <v>140</v>
      </c>
    </row>
    <row r="1217" spans="1:13">
      <c r="A1217" t="s">
        <v>797</v>
      </c>
      <c r="B1217" t="s">
        <v>804</v>
      </c>
      <c r="C1217" t="s">
        <v>1152</v>
      </c>
      <c r="D1217" t="s">
        <v>804</v>
      </c>
      <c r="E1217" s="10" t="s">
        <v>1247</v>
      </c>
      <c r="F1217" s="10" t="s">
        <v>2597</v>
      </c>
      <c r="G1217">
        <f>$G$1202+ABS($I$1217-$I$1202)/1000</f>
        <v>310.63935276136885</v>
      </c>
      <c r="H1217">
        <v>-15000</v>
      </c>
      <c r="I1217">
        <f>$I$1202-2597.991</f>
        <v>-46177.295295460062</v>
      </c>
      <c r="J1217">
        <v>-270</v>
      </c>
      <c r="K1217">
        <v>0</v>
      </c>
      <c r="L1217">
        <v>1889.4492</v>
      </c>
    </row>
    <row r="1218" spans="1:13">
      <c r="A1218" t="s">
        <v>797</v>
      </c>
      <c r="B1218" t="s">
        <v>805</v>
      </c>
      <c r="C1218" t="s">
        <v>806</v>
      </c>
      <c r="E1218" s="2" t="s">
        <v>235</v>
      </c>
      <c r="F1218" s="2" t="s">
        <v>2599</v>
      </c>
      <c r="G1218">
        <f t="shared" si="26"/>
        <v>310.73243050040878</v>
      </c>
      <c r="H1218">
        <v>-15000</v>
      </c>
      <c r="I1218">
        <v>-46270.3730345</v>
      </c>
      <c r="J1218">
        <v>75</v>
      </c>
      <c r="K1218">
        <v>345</v>
      </c>
      <c r="L1218">
        <f>_xlfn.XLOOKUP(F1218,magnet_list!$A$2:$A$592,magnet_list!$M$2:$M$592,"n/a",0,1)</f>
        <v>300</v>
      </c>
      <c r="M1218">
        <f>_xlfn.XLOOKUP(F1218,magnet_list!$A$2:$A$592,magnet_list!$L$2:$L$592,"n/a",0,1)</f>
        <v>140</v>
      </c>
    </row>
    <row r="1219" spans="1:13">
      <c r="A1219" t="s">
        <v>797</v>
      </c>
      <c r="B1219" t="s">
        <v>805</v>
      </c>
      <c r="C1219" t="s">
        <v>806</v>
      </c>
      <c r="E1219" s="2" t="s">
        <v>236</v>
      </c>
      <c r="F1219" s="2" t="s">
        <v>2600</v>
      </c>
      <c r="G1219">
        <f t="shared" si="26"/>
        <v>311.06242676055876</v>
      </c>
      <c r="H1219">
        <v>-15000</v>
      </c>
      <c r="I1219">
        <v>-46600.369294650001</v>
      </c>
      <c r="J1219">
        <v>75</v>
      </c>
      <c r="K1219">
        <v>345</v>
      </c>
      <c r="L1219">
        <f>_xlfn.XLOOKUP(F1219,magnet_list!$A$2:$A$592,magnet_list!$M$2:$M$592,"n/a",0,1)</f>
        <v>300</v>
      </c>
      <c r="M1219">
        <f>_xlfn.XLOOKUP(F1219,magnet_list!$A$2:$A$592,magnet_list!$L$2:$L$592,"n/a",0,1)</f>
        <v>140</v>
      </c>
    </row>
    <row r="1220" spans="1:13">
      <c r="A1220" t="s">
        <v>797</v>
      </c>
      <c r="B1220" t="s">
        <v>805</v>
      </c>
      <c r="C1220" t="s">
        <v>1152</v>
      </c>
      <c r="D1220" t="s">
        <v>804</v>
      </c>
      <c r="E1220" s="2" t="s">
        <v>663</v>
      </c>
      <c r="F1220" s="2" t="s">
        <v>2600</v>
      </c>
      <c r="G1220">
        <f t="shared" si="26"/>
        <v>311.19743826055878</v>
      </c>
      <c r="H1220">
        <v>-15000</v>
      </c>
      <c r="I1220">
        <v>-46735.380794650002</v>
      </c>
      <c r="J1220">
        <v>75</v>
      </c>
      <c r="K1220">
        <v>345</v>
      </c>
      <c r="L1220">
        <f>_xlfn.XLOOKUP(F1220,magnet_list!$A$2:$A$592,magnet_list!$M$2:$M$592,"n/a",0,1)</f>
        <v>300</v>
      </c>
      <c r="M1220">
        <f>_xlfn.XLOOKUP(F1220,magnet_list!$A$2:$A$592,magnet_list!$L$2:$L$592,"n/a",0,1)</f>
        <v>140</v>
      </c>
    </row>
    <row r="1221" spans="1:13">
      <c r="A1221" t="s">
        <v>797</v>
      </c>
      <c r="B1221" t="s">
        <v>805</v>
      </c>
      <c r="C1221" t="s">
        <v>806</v>
      </c>
      <c r="E1221" s="2" t="s">
        <v>237</v>
      </c>
      <c r="F1221" s="2" t="s">
        <v>2600</v>
      </c>
      <c r="G1221">
        <f t="shared" si="26"/>
        <v>311.33241503615881</v>
      </c>
      <c r="H1221">
        <v>-15000</v>
      </c>
      <c r="I1221">
        <v>-46870.357570250002</v>
      </c>
      <c r="J1221">
        <v>75</v>
      </c>
      <c r="K1221">
        <v>345</v>
      </c>
      <c r="L1221">
        <f>_xlfn.XLOOKUP(F1221,magnet_list!$A$2:$A$592,magnet_list!$M$2:$M$592,"n/a",0,1)</f>
        <v>300</v>
      </c>
      <c r="M1221">
        <f>_xlfn.XLOOKUP(F1221,magnet_list!$A$2:$A$592,magnet_list!$L$2:$L$592,"n/a",0,1)</f>
        <v>140</v>
      </c>
    </row>
    <row r="1222" spans="1:13">
      <c r="A1222" t="s">
        <v>797</v>
      </c>
      <c r="B1222" t="s">
        <v>804</v>
      </c>
      <c r="C1222" t="s">
        <v>1152</v>
      </c>
      <c r="D1222" t="s">
        <v>804</v>
      </c>
      <c r="E1222" s="10" t="s">
        <v>1593</v>
      </c>
      <c r="F1222" s="10" t="s">
        <v>2597</v>
      </c>
      <c r="G1222">
        <f>$G$1217+ABS($I$1222-$I$1217)/1000</f>
        <v>311.58407736136888</v>
      </c>
      <c r="H1222">
        <v>-15000</v>
      </c>
      <c r="I1222">
        <f>$I$1217-$L$1222/2</f>
        <v>-47122.019895460064</v>
      </c>
      <c r="J1222">
        <v>-270</v>
      </c>
      <c r="K1222">
        <v>0</v>
      </c>
      <c r="L1222">
        <v>1889.4492</v>
      </c>
    </row>
    <row r="1223" spans="1:13">
      <c r="A1223" t="s">
        <v>797</v>
      </c>
      <c r="B1223" t="s">
        <v>1152</v>
      </c>
      <c r="C1223" t="s">
        <v>1152</v>
      </c>
      <c r="D1223" t="s">
        <v>804</v>
      </c>
      <c r="E1223" s="3" t="s">
        <v>2077</v>
      </c>
      <c r="F1223" s="3" t="s">
        <v>2077</v>
      </c>
      <c r="G1223">
        <f>$G$1217+ABS($I$1223-$I$1217)/1000</f>
        <v>311.77807786136884</v>
      </c>
      <c r="H1223">
        <v>-15000</v>
      </c>
      <c r="I1223">
        <f>$I$1217-1138.7251</f>
        <v>-47316.020395460066</v>
      </c>
      <c r="J1223">
        <v>-270</v>
      </c>
      <c r="K1223">
        <v>0</v>
      </c>
    </row>
    <row r="1224" spans="1:13">
      <c r="A1224" t="s">
        <v>797</v>
      </c>
      <c r="B1224" t="s">
        <v>805</v>
      </c>
      <c r="C1224" t="s">
        <v>806</v>
      </c>
      <c r="E1224" s="2" t="s">
        <v>238</v>
      </c>
      <c r="F1224" s="2" t="s">
        <v>2601</v>
      </c>
      <c r="G1224">
        <f t="shared" si="26"/>
        <v>311.80746091532876</v>
      </c>
      <c r="H1224">
        <v>-15000</v>
      </c>
      <c r="I1224">
        <v>-47345.403449420002</v>
      </c>
      <c r="J1224">
        <v>90</v>
      </c>
      <c r="K1224">
        <v>360</v>
      </c>
      <c r="L1224">
        <f>_xlfn.XLOOKUP(F1224,magnet_list!$A$2:$A$592,magnet_list!$M$2:$M$592,"n/a",0,1)</f>
        <v>160</v>
      </c>
      <c r="M1224">
        <f>_xlfn.XLOOKUP(F1224,magnet_list!$A$2:$A$592,magnet_list!$L$2:$L$592,"n/a",0,1)</f>
        <v>44</v>
      </c>
    </row>
    <row r="1225" spans="1:13">
      <c r="A1225" t="s">
        <v>797</v>
      </c>
      <c r="B1225" t="s">
        <v>805</v>
      </c>
      <c r="C1225" t="s">
        <v>1152</v>
      </c>
      <c r="D1225" t="s">
        <v>804</v>
      </c>
      <c r="E1225" s="2" t="s">
        <v>664</v>
      </c>
      <c r="F1225" s="2" t="s">
        <v>2601</v>
      </c>
      <c r="G1225">
        <f t="shared" si="26"/>
        <v>311.87744691532873</v>
      </c>
      <c r="H1225">
        <v>-15000</v>
      </c>
      <c r="I1225">
        <v>-47415.389449419999</v>
      </c>
      <c r="J1225">
        <v>90</v>
      </c>
      <c r="K1225">
        <v>360</v>
      </c>
      <c r="L1225">
        <f>_xlfn.XLOOKUP(F1225,magnet_list!$A$2:$A$592,magnet_list!$M$2:$M$592,"n/a",0,1)</f>
        <v>160</v>
      </c>
      <c r="M1225">
        <f>_xlfn.XLOOKUP(F1225,magnet_list!$A$2:$A$592,magnet_list!$L$2:$L$592,"n/a",0,1)</f>
        <v>44</v>
      </c>
    </row>
    <row r="1226" spans="1:13">
      <c r="A1226" t="s">
        <v>797</v>
      </c>
      <c r="B1226" t="s">
        <v>805</v>
      </c>
      <c r="C1226" t="s">
        <v>806</v>
      </c>
      <c r="E1226" s="2" t="s">
        <v>239</v>
      </c>
      <c r="F1226" s="2" t="s">
        <v>2601</v>
      </c>
      <c r="G1226">
        <f t="shared" si="26"/>
        <v>311.94742947056875</v>
      </c>
      <c r="H1226">
        <v>-15000</v>
      </c>
      <c r="I1226">
        <v>-47485.372004659999</v>
      </c>
      <c r="J1226">
        <v>90</v>
      </c>
      <c r="K1226">
        <v>360</v>
      </c>
      <c r="L1226">
        <f>_xlfn.XLOOKUP(F1226,magnet_list!$A$2:$A$592,magnet_list!$M$2:$M$592,"n/a",0,1)</f>
        <v>160</v>
      </c>
      <c r="M1226">
        <f>_xlfn.XLOOKUP(F1226,magnet_list!$A$2:$A$592,magnet_list!$L$2:$L$592,"n/a",0,1)</f>
        <v>44</v>
      </c>
    </row>
    <row r="1227" spans="1:13">
      <c r="A1227" t="s">
        <v>797</v>
      </c>
      <c r="B1227" t="s">
        <v>805</v>
      </c>
      <c r="C1227" t="s">
        <v>806</v>
      </c>
      <c r="E1227" s="2" t="s">
        <v>240</v>
      </c>
      <c r="F1227" s="2" t="s">
        <v>240</v>
      </c>
      <c r="G1227">
        <f t="shared" si="26"/>
        <v>312.14229423174874</v>
      </c>
      <c r="H1227">
        <v>-15000</v>
      </c>
      <c r="I1227">
        <v>-47680.236765840003</v>
      </c>
      <c r="J1227">
        <v>5</v>
      </c>
      <c r="K1227">
        <v>275</v>
      </c>
      <c r="L1227">
        <f>_xlfn.XLOOKUP(F1227,magnet_list!$A$2:$A$592,magnet_list!$M$2:$M$592,"n/a",0,1)</f>
        <v>80</v>
      </c>
      <c r="M1227">
        <f>_xlfn.XLOOKUP(F1227,magnet_list!$A$2:$A$592,magnet_list!$L$2:$L$592,"n/a",0,1)</f>
        <v>39</v>
      </c>
    </row>
    <row r="1228" spans="1:13">
      <c r="A1228" t="s">
        <v>797</v>
      </c>
      <c r="B1228" t="s">
        <v>805</v>
      </c>
      <c r="C1228" t="s">
        <v>1152</v>
      </c>
      <c r="D1228" t="s">
        <v>804</v>
      </c>
      <c r="E1228" s="2" t="s">
        <v>1882</v>
      </c>
      <c r="F1228" s="2" t="s">
        <v>240</v>
      </c>
      <c r="G1228">
        <f t="shared" si="26"/>
        <v>312.14229423174874</v>
      </c>
      <c r="H1228">
        <v>-15000</v>
      </c>
      <c r="I1228">
        <v>-47680.236765840003</v>
      </c>
      <c r="J1228">
        <v>5</v>
      </c>
      <c r="K1228">
        <v>275</v>
      </c>
      <c r="L1228">
        <f>_xlfn.XLOOKUP(F1228,magnet_list!$A$2:$A$592,magnet_list!$M$2:$M$592,"n/a",0,1)</f>
        <v>80</v>
      </c>
      <c r="M1228">
        <f>_xlfn.XLOOKUP(F1228,magnet_list!$A$2:$A$592,magnet_list!$L$2:$L$592,"n/a",0,1)</f>
        <v>39</v>
      </c>
    </row>
    <row r="1229" spans="1:13">
      <c r="A1229" t="s">
        <v>797</v>
      </c>
      <c r="B1229" t="s">
        <v>805</v>
      </c>
      <c r="C1229" t="s">
        <v>806</v>
      </c>
      <c r="E1229" s="2" t="s">
        <v>241</v>
      </c>
      <c r="F1229" s="2" t="s">
        <v>241</v>
      </c>
      <c r="G1229">
        <f t="shared" si="26"/>
        <v>312.36148370157872</v>
      </c>
      <c r="H1229">
        <v>-15000</v>
      </c>
      <c r="I1229">
        <v>-47899.426235669998</v>
      </c>
      <c r="J1229">
        <v>5</v>
      </c>
      <c r="K1229">
        <v>275</v>
      </c>
      <c r="L1229">
        <f>_xlfn.XLOOKUP(F1229,magnet_list!$A$2:$A$592,magnet_list!$M$2:$M$592,"n/a",0,1)</f>
        <v>80</v>
      </c>
      <c r="M1229">
        <f>_xlfn.XLOOKUP(F1229,magnet_list!$A$2:$A$592,magnet_list!$L$2:$L$592,"n/a",0,1)</f>
        <v>39</v>
      </c>
    </row>
    <row r="1230" spans="1:13">
      <c r="A1230" t="s">
        <v>797</v>
      </c>
      <c r="B1230" t="s">
        <v>805</v>
      </c>
      <c r="C1230" t="s">
        <v>1152</v>
      </c>
      <c r="D1230" t="s">
        <v>804</v>
      </c>
      <c r="E1230" s="2" t="s">
        <v>1883</v>
      </c>
      <c r="F1230" s="2" t="s">
        <v>241</v>
      </c>
      <c r="G1230">
        <f t="shared" si="26"/>
        <v>312.36148370157872</v>
      </c>
      <c r="H1230">
        <v>-15000</v>
      </c>
      <c r="I1230">
        <v>-47899.426235669998</v>
      </c>
      <c r="J1230">
        <v>5</v>
      </c>
      <c r="K1230">
        <v>275</v>
      </c>
      <c r="L1230">
        <f>_xlfn.XLOOKUP(F1230,magnet_list!$A$2:$A$592,magnet_list!$M$2:$M$592,"n/a",0,1)</f>
        <v>80</v>
      </c>
      <c r="M1230">
        <f>_xlfn.XLOOKUP(F1230,magnet_list!$A$2:$A$592,magnet_list!$L$2:$L$592,"n/a",0,1)</f>
        <v>39</v>
      </c>
    </row>
    <row r="1231" spans="1:13">
      <c r="A1231" t="s">
        <v>797</v>
      </c>
      <c r="B1231" t="s">
        <v>805</v>
      </c>
      <c r="C1231" t="s">
        <v>806</v>
      </c>
      <c r="E1231" s="2" t="s">
        <v>242</v>
      </c>
      <c r="F1231" s="2" t="s">
        <v>2602</v>
      </c>
      <c r="G1231">
        <f t="shared" si="26"/>
        <v>312.55941382278871</v>
      </c>
      <c r="H1231">
        <v>-15000</v>
      </c>
      <c r="I1231">
        <v>-48097.356356880002</v>
      </c>
      <c r="J1231">
        <v>90</v>
      </c>
      <c r="K1231">
        <v>360</v>
      </c>
      <c r="L1231">
        <f>_xlfn.XLOOKUP(F1231,magnet_list!$A$2:$A$592,magnet_list!$M$2:$M$592,"n/a",0,1)</f>
        <v>160</v>
      </c>
      <c r="M1231">
        <f>_xlfn.XLOOKUP(F1231,magnet_list!$A$2:$A$592,magnet_list!$L$2:$L$592,"n/a",0,1)</f>
        <v>44</v>
      </c>
    </row>
    <row r="1232" spans="1:13">
      <c r="A1232" t="s">
        <v>797</v>
      </c>
      <c r="B1232" t="s">
        <v>805</v>
      </c>
      <c r="C1232" t="s">
        <v>1152</v>
      </c>
      <c r="D1232" t="s">
        <v>804</v>
      </c>
      <c r="E1232" s="2" t="s">
        <v>665</v>
      </c>
      <c r="F1232" s="2" t="s">
        <v>2602</v>
      </c>
      <c r="G1232">
        <f t="shared" si="26"/>
        <v>312.6294178227887</v>
      </c>
      <c r="H1232">
        <v>-15000</v>
      </c>
      <c r="I1232">
        <v>-48167.360356880003</v>
      </c>
      <c r="J1232">
        <v>90</v>
      </c>
      <c r="K1232">
        <v>360</v>
      </c>
      <c r="L1232">
        <f>_xlfn.XLOOKUP(F1232,magnet_list!$A$2:$A$592,magnet_list!$M$2:$M$592,"n/a",0,1)</f>
        <v>160</v>
      </c>
      <c r="M1232">
        <f>_xlfn.XLOOKUP(F1232,magnet_list!$A$2:$A$592,magnet_list!$L$2:$L$592,"n/a",0,1)</f>
        <v>44</v>
      </c>
    </row>
    <row r="1233" spans="1:13">
      <c r="A1233" t="s">
        <v>797</v>
      </c>
      <c r="B1233" t="s">
        <v>805</v>
      </c>
      <c r="C1233" t="s">
        <v>806</v>
      </c>
      <c r="E1233" s="2" t="s">
        <v>243</v>
      </c>
      <c r="F1233" s="2" t="s">
        <v>2602</v>
      </c>
      <c r="G1233">
        <f t="shared" si="26"/>
        <v>312.69926144266867</v>
      </c>
      <c r="H1233">
        <v>-15000</v>
      </c>
      <c r="I1233">
        <v>-48237.20397676</v>
      </c>
      <c r="J1233">
        <v>90</v>
      </c>
      <c r="K1233">
        <v>360</v>
      </c>
      <c r="L1233">
        <f>_xlfn.XLOOKUP(F1233,magnet_list!$A$2:$A$592,magnet_list!$M$2:$M$592,"n/a",0,1)</f>
        <v>160</v>
      </c>
      <c r="M1233">
        <f>_xlfn.XLOOKUP(F1233,magnet_list!$A$2:$A$592,magnet_list!$L$2:$L$592,"n/a",0,1)</f>
        <v>44</v>
      </c>
    </row>
    <row r="1234" spans="1:13">
      <c r="A1234" t="s">
        <v>797</v>
      </c>
      <c r="B1234" t="s">
        <v>804</v>
      </c>
      <c r="C1234" t="s">
        <v>1152</v>
      </c>
      <c r="D1234" t="s">
        <v>804</v>
      </c>
      <c r="E1234" s="10" t="s">
        <v>1594</v>
      </c>
      <c r="F1234" s="10" t="s">
        <v>2603</v>
      </c>
      <c r="G1234">
        <f>$G$1240-ABS($I$1240-$I$1234)/1000</f>
        <v>313.00116216136882</v>
      </c>
      <c r="H1234">
        <v>-15000</v>
      </c>
      <c r="I1234">
        <f>$I$1240+$L$1234/2</f>
        <v>-48539.104695460061</v>
      </c>
      <c r="J1234">
        <v>-270</v>
      </c>
      <c r="K1234">
        <v>0</v>
      </c>
      <c r="L1234">
        <v>1889.4492</v>
      </c>
    </row>
    <row r="1235" spans="1:13">
      <c r="A1235" t="s">
        <v>797</v>
      </c>
      <c r="B1235" t="s">
        <v>805</v>
      </c>
      <c r="C1235" t="s">
        <v>806</v>
      </c>
      <c r="E1235" s="2" t="s">
        <v>244</v>
      </c>
      <c r="F1235" s="2" t="s">
        <v>2604</v>
      </c>
      <c r="G1235">
        <f t="shared" si="26"/>
        <v>313.17353812800877</v>
      </c>
      <c r="H1235">
        <v>-15000</v>
      </c>
      <c r="I1235">
        <v>-48711.480662100003</v>
      </c>
      <c r="J1235">
        <v>75</v>
      </c>
      <c r="K1235">
        <v>345</v>
      </c>
      <c r="L1235">
        <f>_xlfn.XLOOKUP(F1235,magnet_list!$A$2:$A$592,magnet_list!$M$2:$M$592,"n/a",0,1)</f>
        <v>300</v>
      </c>
      <c r="M1235">
        <f>_xlfn.XLOOKUP(F1235,magnet_list!$A$2:$A$592,magnet_list!$L$2:$L$592,"n/a",0,1)</f>
        <v>140</v>
      </c>
    </row>
    <row r="1236" spans="1:13">
      <c r="A1236" t="s">
        <v>797</v>
      </c>
      <c r="B1236" t="s">
        <v>805</v>
      </c>
      <c r="C1236" t="s">
        <v>1152</v>
      </c>
      <c r="D1236" t="s">
        <v>804</v>
      </c>
      <c r="E1236" s="2" t="s">
        <v>666</v>
      </c>
      <c r="F1236" s="2" t="s">
        <v>2604</v>
      </c>
      <c r="G1236">
        <f t="shared" si="26"/>
        <v>313.30855512800878</v>
      </c>
      <c r="H1236">
        <v>-15000</v>
      </c>
      <c r="I1236">
        <v>-48846.497662100002</v>
      </c>
      <c r="J1236">
        <v>75</v>
      </c>
      <c r="K1236">
        <v>345</v>
      </c>
      <c r="L1236">
        <f>_xlfn.XLOOKUP(F1236,magnet_list!$A$2:$A$592,magnet_list!$M$2:$M$592,"n/a",0,1)</f>
        <v>300</v>
      </c>
      <c r="M1236">
        <f>_xlfn.XLOOKUP(F1236,magnet_list!$A$2:$A$592,magnet_list!$L$2:$L$592,"n/a",0,1)</f>
        <v>140</v>
      </c>
    </row>
    <row r="1237" spans="1:13">
      <c r="A1237" t="s">
        <v>797</v>
      </c>
      <c r="B1237" t="s">
        <v>805</v>
      </c>
      <c r="C1237" t="s">
        <v>806</v>
      </c>
      <c r="E1237" s="2" t="s">
        <v>245</v>
      </c>
      <c r="F1237" s="2" t="s">
        <v>2604</v>
      </c>
      <c r="G1237">
        <f t="shared" si="26"/>
        <v>313.44355070620878</v>
      </c>
      <c r="H1237">
        <v>-15000</v>
      </c>
      <c r="I1237">
        <v>-48981.493240299998</v>
      </c>
      <c r="J1237">
        <v>75</v>
      </c>
      <c r="K1237">
        <v>345</v>
      </c>
      <c r="L1237">
        <f>_xlfn.XLOOKUP(F1237,magnet_list!$A$2:$A$592,magnet_list!$M$2:$M$592,"n/a",0,1)</f>
        <v>300</v>
      </c>
      <c r="M1237">
        <f>_xlfn.XLOOKUP(F1237,magnet_list!$A$2:$A$592,magnet_list!$L$2:$L$592,"n/a",0,1)</f>
        <v>140</v>
      </c>
    </row>
    <row r="1238" spans="1:13">
      <c r="A1238" t="s">
        <v>797</v>
      </c>
      <c r="B1238" t="s">
        <v>805</v>
      </c>
      <c r="C1238" t="s">
        <v>806</v>
      </c>
      <c r="E1238" s="2" t="s">
        <v>246</v>
      </c>
      <c r="F1238" s="2" t="s">
        <v>2605</v>
      </c>
      <c r="G1238">
        <f t="shared" si="26"/>
        <v>313.77365704748877</v>
      </c>
      <c r="H1238">
        <v>-15000</v>
      </c>
      <c r="I1238">
        <v>-49311.599581579998</v>
      </c>
      <c r="J1238">
        <v>75</v>
      </c>
      <c r="K1238">
        <v>345</v>
      </c>
      <c r="L1238">
        <f>_xlfn.XLOOKUP(F1238,magnet_list!$A$2:$A$592,magnet_list!$M$2:$M$592,"n/a",0,1)</f>
        <v>300</v>
      </c>
      <c r="M1238">
        <f>_xlfn.XLOOKUP(F1238,magnet_list!$A$2:$A$592,magnet_list!$L$2:$L$592,"n/a",0,1)</f>
        <v>140</v>
      </c>
    </row>
    <row r="1239" spans="1:13">
      <c r="A1239" t="s">
        <v>797</v>
      </c>
      <c r="B1239" t="s">
        <v>805</v>
      </c>
      <c r="C1239" t="s">
        <v>1152</v>
      </c>
      <c r="D1239" t="s">
        <v>804</v>
      </c>
      <c r="E1239" s="2" t="s">
        <v>667</v>
      </c>
      <c r="F1239" s="2" t="s">
        <v>2605</v>
      </c>
      <c r="G1239">
        <f t="shared" si="26"/>
        <v>313.9086635474888</v>
      </c>
      <c r="H1239">
        <v>-15000</v>
      </c>
      <c r="I1239">
        <v>-49446.606081580001</v>
      </c>
      <c r="J1239">
        <v>75</v>
      </c>
      <c r="K1239">
        <v>345</v>
      </c>
      <c r="L1239">
        <f>_xlfn.XLOOKUP(F1239,magnet_list!$A$2:$A$592,magnet_list!$M$2:$M$592,"n/a",0,1)</f>
        <v>300</v>
      </c>
      <c r="M1239">
        <f>_xlfn.XLOOKUP(F1239,magnet_list!$A$2:$A$592,magnet_list!$L$2:$L$592,"n/a",0,1)</f>
        <v>140</v>
      </c>
    </row>
    <row r="1240" spans="1:13">
      <c r="A1240" t="s">
        <v>797</v>
      </c>
      <c r="B1240" t="s">
        <v>804</v>
      </c>
      <c r="C1240" t="s">
        <v>1152</v>
      </c>
      <c r="D1240" t="s">
        <v>804</v>
      </c>
      <c r="E1240" s="10" t="s">
        <v>1301</v>
      </c>
      <c r="F1240" s="10" t="s">
        <v>2603</v>
      </c>
      <c r="G1240">
        <f>$G$1217+ABS($I$1240-$I$1217)/1000</f>
        <v>313.94588676136885</v>
      </c>
      <c r="H1240">
        <v>-15000</v>
      </c>
      <c r="I1240">
        <f>$I$1217-3306.534</f>
        <v>-49483.829295460062</v>
      </c>
      <c r="J1240">
        <v>-270</v>
      </c>
      <c r="K1240">
        <v>0</v>
      </c>
      <c r="L1240">
        <v>1889.4492</v>
      </c>
    </row>
    <row r="1241" spans="1:13">
      <c r="A1241" t="s">
        <v>797</v>
      </c>
      <c r="B1241" t="s">
        <v>805</v>
      </c>
      <c r="C1241" t="s">
        <v>806</v>
      </c>
      <c r="E1241" s="2" t="s">
        <v>247</v>
      </c>
      <c r="F1241" s="2" t="s">
        <v>2605</v>
      </c>
      <c r="G1241">
        <f t="shared" si="26"/>
        <v>314.04362432105881</v>
      </c>
      <c r="H1241">
        <v>-15000</v>
      </c>
      <c r="I1241">
        <v>-49581.566855149998</v>
      </c>
      <c r="J1241">
        <v>75</v>
      </c>
      <c r="K1241">
        <v>345</v>
      </c>
      <c r="L1241">
        <f>_xlfn.XLOOKUP(F1241,magnet_list!$A$2:$A$592,magnet_list!$M$2:$M$592,"n/a",0,1)</f>
        <v>300</v>
      </c>
      <c r="M1241">
        <f>_xlfn.XLOOKUP(F1241,magnet_list!$A$2:$A$592,magnet_list!$L$2:$L$592,"n/a",0,1)</f>
        <v>140</v>
      </c>
    </row>
    <row r="1242" spans="1:13">
      <c r="A1242" t="s">
        <v>797</v>
      </c>
      <c r="B1242" t="s">
        <v>805</v>
      </c>
      <c r="C1242" t="s">
        <v>806</v>
      </c>
      <c r="E1242" s="2" t="s">
        <v>248</v>
      </c>
      <c r="F1242" s="2" t="s">
        <v>2606</v>
      </c>
      <c r="G1242">
        <f t="shared" si="26"/>
        <v>314.37372578391881</v>
      </c>
      <c r="H1242">
        <v>-15000</v>
      </c>
      <c r="I1242">
        <v>-49911.668318010001</v>
      </c>
      <c r="J1242">
        <v>75</v>
      </c>
      <c r="K1242">
        <v>345</v>
      </c>
      <c r="L1242">
        <f>_xlfn.XLOOKUP(F1242,magnet_list!$A$2:$A$592,magnet_list!$M$2:$M$592,"n/a",0,1)</f>
        <v>300</v>
      </c>
      <c r="M1242">
        <f>_xlfn.XLOOKUP(F1242,magnet_list!$A$2:$A$592,magnet_list!$L$2:$L$592,"n/a",0,1)</f>
        <v>140</v>
      </c>
    </row>
    <row r="1243" spans="1:13">
      <c r="A1243" t="s">
        <v>797</v>
      </c>
      <c r="B1243" t="s">
        <v>805</v>
      </c>
      <c r="C1243" t="s">
        <v>1152</v>
      </c>
      <c r="D1243" t="s">
        <v>804</v>
      </c>
      <c r="E1243" s="2" t="s">
        <v>668</v>
      </c>
      <c r="F1243" s="2" t="s">
        <v>2606</v>
      </c>
      <c r="G1243">
        <f t="shared" si="26"/>
        <v>314.50873178391879</v>
      </c>
      <c r="H1243">
        <v>-15000</v>
      </c>
      <c r="I1243">
        <v>-50046.674318009995</v>
      </c>
      <c r="J1243">
        <v>75</v>
      </c>
      <c r="K1243">
        <v>345</v>
      </c>
      <c r="L1243">
        <f>_xlfn.XLOOKUP(F1243,magnet_list!$A$2:$A$592,magnet_list!$M$2:$M$592,"n/a",0,1)</f>
        <v>300</v>
      </c>
      <c r="M1243">
        <f>_xlfn.XLOOKUP(F1243,magnet_list!$A$2:$A$592,magnet_list!$L$2:$L$592,"n/a",0,1)</f>
        <v>140</v>
      </c>
    </row>
    <row r="1244" spans="1:13">
      <c r="A1244" t="s">
        <v>797</v>
      </c>
      <c r="B1244" t="s">
        <v>805</v>
      </c>
      <c r="C1244" t="s">
        <v>806</v>
      </c>
      <c r="E1244" s="2" t="s">
        <v>249</v>
      </c>
      <c r="F1244" s="2" t="s">
        <v>2606</v>
      </c>
      <c r="G1244">
        <f t="shared" si="26"/>
        <v>314.64371887735876</v>
      </c>
      <c r="H1244">
        <v>-15000</v>
      </c>
      <c r="I1244">
        <v>-50181.661411449997</v>
      </c>
      <c r="J1244">
        <v>75</v>
      </c>
      <c r="K1244">
        <v>345</v>
      </c>
      <c r="L1244">
        <f>_xlfn.XLOOKUP(F1244,magnet_list!$A$2:$A$592,magnet_list!$M$2:$M$592,"n/a",0,1)</f>
        <v>300</v>
      </c>
      <c r="M1244">
        <f>_xlfn.XLOOKUP(F1244,magnet_list!$A$2:$A$592,magnet_list!$L$2:$L$592,"n/a",0,1)</f>
        <v>140</v>
      </c>
    </row>
    <row r="1245" spans="1:13">
      <c r="A1245" t="s">
        <v>797</v>
      </c>
      <c r="B1245" t="s">
        <v>803</v>
      </c>
      <c r="C1245" t="s">
        <v>806</v>
      </c>
      <c r="E1245" t="s">
        <v>831</v>
      </c>
      <c r="F1245" t="s">
        <v>831</v>
      </c>
      <c r="G1245">
        <f t="shared" si="26"/>
        <v>314.66289540219879</v>
      </c>
      <c r="H1245">
        <v>-17479.823095650001</v>
      </c>
      <c r="I1245">
        <v>-50200.837936290001</v>
      </c>
      <c r="J1245">
        <v>-21.779318320000002</v>
      </c>
      <c r="K1245">
        <v>248.22068167999998</v>
      </c>
    </row>
    <row r="1246" spans="1:13">
      <c r="A1246" t="s">
        <v>797</v>
      </c>
      <c r="B1246" t="s">
        <v>804</v>
      </c>
      <c r="C1246" t="s">
        <v>1152</v>
      </c>
      <c r="D1246" t="s">
        <v>804</v>
      </c>
      <c r="E1246" s="10" t="s">
        <v>1595</v>
      </c>
      <c r="F1246" s="10" t="s">
        <v>2603</v>
      </c>
      <c r="G1246">
        <f>$G$1240+ABS($I$1246-$I$1240)/1000</f>
        <v>314.89061136136888</v>
      </c>
      <c r="H1246">
        <v>-15000</v>
      </c>
      <c r="I1246">
        <f>$I$1240-$L$1246/2</f>
        <v>-50428.553895460063</v>
      </c>
      <c r="J1246">
        <v>-270</v>
      </c>
      <c r="K1246">
        <v>0</v>
      </c>
      <c r="L1246">
        <v>1889.4492</v>
      </c>
    </row>
    <row r="1247" spans="1:13">
      <c r="A1247" t="s">
        <v>797</v>
      </c>
      <c r="B1247" t="s">
        <v>805</v>
      </c>
      <c r="C1247" t="s">
        <v>806</v>
      </c>
      <c r="E1247" s="2" t="s">
        <v>250</v>
      </c>
      <c r="F1247" s="2" t="s">
        <v>2607</v>
      </c>
      <c r="G1247">
        <f t="shared" si="26"/>
        <v>315.13479223001883</v>
      </c>
      <c r="H1247">
        <v>-15000</v>
      </c>
      <c r="I1247">
        <v>-50672.734764109999</v>
      </c>
      <c r="J1247">
        <v>90</v>
      </c>
      <c r="K1247">
        <v>360</v>
      </c>
      <c r="L1247">
        <f>_xlfn.XLOOKUP(F1247,magnet_list!$A$2:$A$592,magnet_list!$M$2:$M$592,"n/a",0,1)</f>
        <v>160</v>
      </c>
      <c r="M1247">
        <f>_xlfn.XLOOKUP(F1247,magnet_list!$A$2:$A$592,magnet_list!$L$2:$L$592,"n/a",0,1)</f>
        <v>44</v>
      </c>
    </row>
    <row r="1248" spans="1:13">
      <c r="A1248" t="s">
        <v>797</v>
      </c>
      <c r="B1248" t="s">
        <v>805</v>
      </c>
      <c r="C1248" t="s">
        <v>1152</v>
      </c>
      <c r="D1248" t="s">
        <v>804</v>
      </c>
      <c r="E1248" s="2" t="s">
        <v>669</v>
      </c>
      <c r="F1248" s="2" t="s">
        <v>2607</v>
      </c>
      <c r="G1248">
        <f t="shared" si="26"/>
        <v>315.20479623001881</v>
      </c>
      <c r="H1248">
        <v>-15000</v>
      </c>
      <c r="I1248">
        <v>-50742.738764109999</v>
      </c>
      <c r="J1248">
        <v>90</v>
      </c>
      <c r="K1248">
        <v>360</v>
      </c>
      <c r="L1248">
        <f>_xlfn.XLOOKUP(F1248,magnet_list!$A$2:$A$592,magnet_list!$M$2:$M$592,"n/a",0,1)</f>
        <v>160</v>
      </c>
      <c r="M1248">
        <f>_xlfn.XLOOKUP(F1248,magnet_list!$A$2:$A$592,magnet_list!$L$2:$L$592,"n/a",0,1)</f>
        <v>44</v>
      </c>
    </row>
    <row r="1249" spans="1:13">
      <c r="A1249" t="s">
        <v>797</v>
      </c>
      <c r="B1249" t="s">
        <v>805</v>
      </c>
      <c r="C1249" t="s">
        <v>806</v>
      </c>
      <c r="E1249" s="2" t="s">
        <v>251</v>
      </c>
      <c r="F1249" s="2" t="s">
        <v>2607</v>
      </c>
      <c r="G1249">
        <f t="shared" si="26"/>
        <v>315.27477315993883</v>
      </c>
      <c r="H1249">
        <v>-15000</v>
      </c>
      <c r="I1249">
        <v>-50812.715694029997</v>
      </c>
      <c r="J1249">
        <v>90</v>
      </c>
      <c r="K1249">
        <v>360</v>
      </c>
      <c r="L1249">
        <f>_xlfn.XLOOKUP(F1249,magnet_list!$A$2:$A$592,magnet_list!$M$2:$M$592,"n/a",0,1)</f>
        <v>160</v>
      </c>
      <c r="M1249">
        <f>_xlfn.XLOOKUP(F1249,magnet_list!$A$2:$A$592,magnet_list!$L$2:$L$592,"n/a",0,1)</f>
        <v>44</v>
      </c>
    </row>
    <row r="1250" spans="1:13">
      <c r="A1250" t="s">
        <v>797</v>
      </c>
      <c r="B1250" t="s">
        <v>804</v>
      </c>
      <c r="C1250" t="s">
        <v>1152</v>
      </c>
      <c r="D1250" t="s">
        <v>804</v>
      </c>
      <c r="E1250" s="10" t="s">
        <v>1596</v>
      </c>
      <c r="F1250" s="10" t="s">
        <v>2608</v>
      </c>
      <c r="G1250">
        <f>$G$1257-ABS($I$1257-$I$1250)/1000</f>
        <v>315.5991531613688</v>
      </c>
      <c r="H1250">
        <v>-15000</v>
      </c>
      <c r="I1250">
        <f>$I$1257+$L$1250/2</f>
        <v>-51137.095695460062</v>
      </c>
      <c r="J1250">
        <v>-270</v>
      </c>
      <c r="K1250">
        <v>0</v>
      </c>
      <c r="L1250">
        <v>1889.4492</v>
      </c>
    </row>
    <row r="1251" spans="1:13">
      <c r="A1251" t="s">
        <v>797</v>
      </c>
      <c r="B1251" t="s">
        <v>805</v>
      </c>
      <c r="C1251" t="s">
        <v>806</v>
      </c>
      <c r="E1251" s="2" t="s">
        <v>252</v>
      </c>
      <c r="F1251" s="2" t="s">
        <v>2609</v>
      </c>
      <c r="G1251">
        <f t="shared" si="26"/>
        <v>315.76614000886872</v>
      </c>
      <c r="H1251">
        <v>-15000</v>
      </c>
      <c r="I1251">
        <v>-51304.082542960001</v>
      </c>
      <c r="J1251">
        <v>75</v>
      </c>
      <c r="K1251">
        <v>345</v>
      </c>
      <c r="L1251">
        <f>_xlfn.XLOOKUP(F1251,magnet_list!$A$2:$A$592,magnet_list!$M$2:$M$592,"n/a",0,1)</f>
        <v>300</v>
      </c>
      <c r="M1251">
        <f>_xlfn.XLOOKUP(F1251,magnet_list!$A$2:$A$592,magnet_list!$L$2:$L$592,"n/a",0,1)</f>
        <v>140</v>
      </c>
    </row>
    <row r="1252" spans="1:13">
      <c r="A1252" t="s">
        <v>797</v>
      </c>
      <c r="B1252" t="s">
        <v>803</v>
      </c>
      <c r="C1252" t="s">
        <v>806</v>
      </c>
      <c r="E1252" t="s">
        <v>833</v>
      </c>
      <c r="F1252" t="s">
        <v>833</v>
      </c>
      <c r="G1252">
        <f t="shared" si="26"/>
        <v>315.81346530383871</v>
      </c>
      <c r="H1252">
        <v>-13519.72008513</v>
      </c>
      <c r="I1252">
        <v>-51351.407837929997</v>
      </c>
      <c r="J1252">
        <v>291.99625492000001</v>
      </c>
      <c r="K1252">
        <v>561.99625491999996</v>
      </c>
    </row>
    <row r="1253" spans="1:13">
      <c r="A1253" t="s">
        <v>797</v>
      </c>
      <c r="B1253" t="s">
        <v>805</v>
      </c>
      <c r="C1253" t="s">
        <v>1152</v>
      </c>
      <c r="D1253" t="s">
        <v>804</v>
      </c>
      <c r="E1253" s="2" t="s">
        <v>670</v>
      </c>
      <c r="F1253" s="2" t="s">
        <v>2609</v>
      </c>
      <c r="G1253">
        <f t="shared" si="26"/>
        <v>315.9011435088687</v>
      </c>
      <c r="H1253">
        <v>-15000</v>
      </c>
      <c r="I1253">
        <v>-51439.08604296</v>
      </c>
      <c r="J1253">
        <v>75</v>
      </c>
      <c r="K1253">
        <v>345</v>
      </c>
      <c r="L1253">
        <f>_xlfn.XLOOKUP(F1253,magnet_list!$A$2:$A$592,magnet_list!$M$2:$M$592,"n/a",0,1)</f>
        <v>300</v>
      </c>
      <c r="M1253">
        <f>_xlfn.XLOOKUP(F1253,magnet_list!$A$2:$A$592,magnet_list!$L$2:$L$592,"n/a",0,1)</f>
        <v>140</v>
      </c>
    </row>
    <row r="1254" spans="1:13">
      <c r="A1254" t="s">
        <v>797</v>
      </c>
      <c r="B1254" t="s">
        <v>805</v>
      </c>
      <c r="C1254" t="s">
        <v>806</v>
      </c>
      <c r="E1254" s="2" t="s">
        <v>253</v>
      </c>
      <c r="F1254" s="2" t="s">
        <v>2609</v>
      </c>
      <c r="G1254">
        <f t="shared" si="26"/>
        <v>316.03612634951872</v>
      </c>
      <c r="H1254">
        <v>-15000</v>
      </c>
      <c r="I1254">
        <v>-51574.068883610002</v>
      </c>
      <c r="J1254">
        <v>75</v>
      </c>
      <c r="K1254">
        <v>345</v>
      </c>
      <c r="L1254">
        <f>_xlfn.XLOOKUP(F1254,magnet_list!$A$2:$A$592,magnet_list!$M$2:$M$592,"n/a",0,1)</f>
        <v>300</v>
      </c>
      <c r="M1254">
        <f>_xlfn.XLOOKUP(F1254,magnet_list!$A$2:$A$592,magnet_list!$L$2:$L$592,"n/a",0,1)</f>
        <v>140</v>
      </c>
    </row>
    <row r="1255" spans="1:13">
      <c r="A1255" t="s">
        <v>797</v>
      </c>
      <c r="B1255" t="s">
        <v>805</v>
      </c>
      <c r="C1255" t="s">
        <v>806</v>
      </c>
      <c r="E1255" s="2" t="s">
        <v>254</v>
      </c>
      <c r="F1255" s="2" t="s">
        <v>2610</v>
      </c>
      <c r="G1255">
        <f t="shared" si="26"/>
        <v>316.36615711367875</v>
      </c>
      <c r="H1255">
        <v>-15000</v>
      </c>
      <c r="I1255">
        <v>-51904.099647770003</v>
      </c>
      <c r="J1255">
        <v>75</v>
      </c>
      <c r="K1255">
        <v>345</v>
      </c>
      <c r="L1255">
        <f>_xlfn.XLOOKUP(F1255,magnet_list!$A$2:$A$592,magnet_list!$M$2:$M$592,"n/a",0,1)</f>
        <v>300</v>
      </c>
      <c r="M1255">
        <f>_xlfn.XLOOKUP(F1255,magnet_list!$A$2:$A$592,magnet_list!$L$2:$L$592,"n/a",0,1)</f>
        <v>140</v>
      </c>
    </row>
    <row r="1256" spans="1:13">
      <c r="A1256" t="s">
        <v>797</v>
      </c>
      <c r="B1256" t="s">
        <v>805</v>
      </c>
      <c r="C1256" t="s">
        <v>1152</v>
      </c>
      <c r="D1256" t="s">
        <v>804</v>
      </c>
      <c r="E1256" s="2" t="s">
        <v>671</v>
      </c>
      <c r="F1256" s="2" t="s">
        <v>2610</v>
      </c>
      <c r="G1256">
        <f t="shared" si="26"/>
        <v>316.50115461367875</v>
      </c>
      <c r="H1256">
        <v>-15000</v>
      </c>
      <c r="I1256">
        <v>-52039.097147770008</v>
      </c>
      <c r="J1256">
        <v>75</v>
      </c>
      <c r="K1256">
        <v>345</v>
      </c>
      <c r="L1256">
        <f>_xlfn.XLOOKUP(F1256,magnet_list!$A$2:$A$592,magnet_list!$M$2:$M$592,"n/a",0,1)</f>
        <v>300</v>
      </c>
      <c r="M1256">
        <f>_xlfn.XLOOKUP(F1256,magnet_list!$A$2:$A$592,magnet_list!$L$2:$L$592,"n/a",0,1)</f>
        <v>140</v>
      </c>
    </row>
    <row r="1257" spans="1:13">
      <c r="A1257" t="s">
        <v>797</v>
      </c>
      <c r="B1257" t="s">
        <v>804</v>
      </c>
      <c r="C1257" t="s">
        <v>1152</v>
      </c>
      <c r="D1257" t="s">
        <v>804</v>
      </c>
      <c r="E1257" s="10" t="s">
        <v>1355</v>
      </c>
      <c r="F1257" s="10" t="s">
        <v>2608</v>
      </c>
      <c r="G1257">
        <f>$G$1240+ABS($I$1257-$I$1240)/1000</f>
        <v>316.54387776136883</v>
      </c>
      <c r="H1257">
        <v>-15000</v>
      </c>
      <c r="I1257">
        <f>$I$1240-2597.991</f>
        <v>-52081.820295460064</v>
      </c>
      <c r="J1257">
        <v>-270</v>
      </c>
      <c r="K1257">
        <v>0</v>
      </c>
      <c r="L1257">
        <v>1889.4492</v>
      </c>
    </row>
    <row r="1258" spans="1:13">
      <c r="A1258" t="s">
        <v>797</v>
      </c>
      <c r="B1258" t="s">
        <v>805</v>
      </c>
      <c r="C1258" t="s">
        <v>806</v>
      </c>
      <c r="E1258" s="2" t="s">
        <v>255</v>
      </c>
      <c r="F1258" s="2" t="s">
        <v>2610</v>
      </c>
      <c r="G1258">
        <f t="shared" si="26"/>
        <v>316.63615329957878</v>
      </c>
      <c r="H1258">
        <v>-15000</v>
      </c>
      <c r="I1258">
        <v>-52174.095833669999</v>
      </c>
      <c r="J1258">
        <v>75</v>
      </c>
      <c r="K1258">
        <v>345</v>
      </c>
      <c r="L1258">
        <f>_xlfn.XLOOKUP(F1258,magnet_list!$A$2:$A$592,magnet_list!$M$2:$M$592,"n/a",0,1)</f>
        <v>300</v>
      </c>
      <c r="M1258">
        <f>_xlfn.XLOOKUP(F1258,magnet_list!$A$2:$A$592,magnet_list!$L$2:$L$592,"n/a",0,1)</f>
        <v>140</v>
      </c>
    </row>
    <row r="1259" spans="1:13">
      <c r="A1259" t="s">
        <v>797</v>
      </c>
      <c r="B1259" t="s">
        <v>805</v>
      </c>
      <c r="C1259" t="s">
        <v>806</v>
      </c>
      <c r="E1259" s="2" t="s">
        <v>256</v>
      </c>
      <c r="F1259" s="2" t="s">
        <v>2611</v>
      </c>
      <c r="G1259">
        <f t="shared" si="26"/>
        <v>316.96600586379878</v>
      </c>
      <c r="H1259">
        <v>-15000</v>
      </c>
      <c r="I1259">
        <v>-52503.948397890003</v>
      </c>
      <c r="J1259">
        <v>75</v>
      </c>
      <c r="K1259">
        <v>345</v>
      </c>
      <c r="L1259">
        <f>_xlfn.XLOOKUP(F1259,magnet_list!$A$2:$A$592,magnet_list!$M$2:$M$592,"n/a",0,1)</f>
        <v>300</v>
      </c>
      <c r="M1259">
        <f>_xlfn.XLOOKUP(F1259,magnet_list!$A$2:$A$592,magnet_list!$L$2:$L$592,"n/a",0,1)</f>
        <v>140</v>
      </c>
    </row>
    <row r="1260" spans="1:13">
      <c r="A1260" t="s">
        <v>797</v>
      </c>
      <c r="B1260" t="s">
        <v>805</v>
      </c>
      <c r="C1260" t="s">
        <v>1152</v>
      </c>
      <c r="D1260" t="s">
        <v>804</v>
      </c>
      <c r="E1260" s="2" t="s">
        <v>672</v>
      </c>
      <c r="F1260" s="2" t="s">
        <v>2611</v>
      </c>
      <c r="G1260">
        <f t="shared" si="26"/>
        <v>317.10100736379877</v>
      </c>
      <c r="H1260">
        <v>-15000</v>
      </c>
      <c r="I1260">
        <v>-52638.949897890001</v>
      </c>
      <c r="J1260">
        <v>75</v>
      </c>
      <c r="K1260">
        <v>345</v>
      </c>
      <c r="L1260">
        <f>_xlfn.XLOOKUP(F1260,magnet_list!$A$2:$A$592,magnet_list!$M$2:$M$592,"n/a",0,1)</f>
        <v>300</v>
      </c>
      <c r="M1260">
        <f>_xlfn.XLOOKUP(F1260,magnet_list!$A$2:$A$592,magnet_list!$L$2:$L$592,"n/a",0,1)</f>
        <v>140</v>
      </c>
    </row>
    <row r="1261" spans="1:13">
      <c r="A1261" t="s">
        <v>797</v>
      </c>
      <c r="B1261" t="s">
        <v>805</v>
      </c>
      <c r="C1261" t="s">
        <v>806</v>
      </c>
      <c r="E1261" s="2" t="s">
        <v>257</v>
      </c>
      <c r="F1261" s="2" t="s">
        <v>2611</v>
      </c>
      <c r="G1261">
        <f t="shared" si="26"/>
        <v>317.23597373900878</v>
      </c>
      <c r="H1261">
        <v>-15000</v>
      </c>
      <c r="I1261">
        <v>-52773.916273100003</v>
      </c>
      <c r="J1261">
        <v>75</v>
      </c>
      <c r="K1261">
        <v>345</v>
      </c>
      <c r="L1261">
        <f>_xlfn.XLOOKUP(F1261,magnet_list!$A$2:$A$592,magnet_list!$M$2:$M$592,"n/a",0,1)</f>
        <v>300</v>
      </c>
      <c r="M1261">
        <f>_xlfn.XLOOKUP(F1261,magnet_list!$A$2:$A$592,magnet_list!$L$2:$L$592,"n/a",0,1)</f>
        <v>140</v>
      </c>
    </row>
    <row r="1262" spans="1:13">
      <c r="A1262" t="s">
        <v>797</v>
      </c>
      <c r="B1262" t="s">
        <v>804</v>
      </c>
      <c r="C1262" t="s">
        <v>1152</v>
      </c>
      <c r="D1262" t="s">
        <v>804</v>
      </c>
      <c r="E1262" s="10" t="s">
        <v>1597</v>
      </c>
      <c r="F1262" s="10" t="s">
        <v>2608</v>
      </c>
      <c r="G1262">
        <f>$G$1257+ABS($I$1262-$I$1257)/1000</f>
        <v>317.48860236136886</v>
      </c>
      <c r="H1262">
        <v>-15000</v>
      </c>
      <c r="I1262">
        <f>$I$1257-$L$1262/2</f>
        <v>-53026.544895460065</v>
      </c>
      <c r="J1262">
        <v>-270</v>
      </c>
      <c r="K1262">
        <v>0</v>
      </c>
      <c r="L1262">
        <v>1889.4492</v>
      </c>
    </row>
    <row r="1263" spans="1:13">
      <c r="A1263" t="s">
        <v>797</v>
      </c>
      <c r="B1263" t="s">
        <v>2288</v>
      </c>
      <c r="C1263" t="s">
        <v>1152</v>
      </c>
      <c r="D1263" t="s">
        <v>804</v>
      </c>
      <c r="E1263" s="8" t="s">
        <v>2338</v>
      </c>
      <c r="F1263" s="8" t="s">
        <v>2338</v>
      </c>
      <c r="G1263">
        <f>$G$1257+ABS($I$1263-$I$1257)/1000</f>
        <v>317.61860286136886</v>
      </c>
      <c r="H1263">
        <v>-15000</v>
      </c>
      <c r="I1263">
        <f>$I$1257-1074.7251</f>
        <v>-53156.545395460067</v>
      </c>
      <c r="J1263">
        <v>-270</v>
      </c>
      <c r="K1263">
        <v>0</v>
      </c>
    </row>
    <row r="1264" spans="1:13">
      <c r="A1264" t="s">
        <v>797</v>
      </c>
      <c r="B1264" t="s">
        <v>803</v>
      </c>
      <c r="C1264" t="s">
        <v>806</v>
      </c>
      <c r="E1264" t="s">
        <v>1013</v>
      </c>
      <c r="F1264" t="s">
        <v>1013</v>
      </c>
      <c r="G1264">
        <f t="shared" si="26"/>
        <v>317.72379128785877</v>
      </c>
      <c r="H1264">
        <v>-15400</v>
      </c>
      <c r="I1264">
        <v>-53261.733821950002</v>
      </c>
      <c r="J1264">
        <v>-689</v>
      </c>
      <c r="K1264">
        <v>-419</v>
      </c>
    </row>
    <row r="1265" spans="1:15">
      <c r="A1265" t="s">
        <v>797</v>
      </c>
      <c r="B1265" t="s">
        <v>805</v>
      </c>
      <c r="C1265" t="s">
        <v>806</v>
      </c>
      <c r="E1265" s="2" t="s">
        <v>258</v>
      </c>
      <c r="F1265" s="2" t="s">
        <v>2612</v>
      </c>
      <c r="G1265">
        <f t="shared" si="26"/>
        <v>317.8304298139488</v>
      </c>
      <c r="H1265">
        <v>-15000</v>
      </c>
      <c r="I1265">
        <v>-53368.37234804</v>
      </c>
      <c r="J1265">
        <v>90</v>
      </c>
      <c r="K1265">
        <v>360</v>
      </c>
      <c r="L1265">
        <f>_xlfn.XLOOKUP(F1265,magnet_list!$A$2:$A$592,magnet_list!$M$2:$M$592,"n/a",0,1)</f>
        <v>160</v>
      </c>
      <c r="M1265">
        <f>_xlfn.XLOOKUP(F1265,magnet_list!$A$2:$A$592,magnet_list!$L$2:$L$592,"n/a",0,1)</f>
        <v>44</v>
      </c>
    </row>
    <row r="1266" spans="1:15">
      <c r="A1266" t="s">
        <v>797</v>
      </c>
      <c r="B1266" t="s">
        <v>805</v>
      </c>
      <c r="C1266" t="s">
        <v>1152</v>
      </c>
      <c r="D1266" t="s">
        <v>804</v>
      </c>
      <c r="E1266" s="2" t="s">
        <v>673</v>
      </c>
      <c r="F1266" s="2" t="s">
        <v>2612</v>
      </c>
      <c r="G1266">
        <f t="shared" si="26"/>
        <v>317.9004253139488</v>
      </c>
      <c r="H1266">
        <v>-15000</v>
      </c>
      <c r="I1266">
        <v>-53438.367848039998</v>
      </c>
      <c r="J1266">
        <v>90</v>
      </c>
      <c r="K1266">
        <v>360</v>
      </c>
      <c r="L1266">
        <f>_xlfn.XLOOKUP(F1266,magnet_list!$A$2:$A$592,magnet_list!$M$2:$M$592,"n/a",0,1)</f>
        <v>160</v>
      </c>
      <c r="M1266">
        <f>_xlfn.XLOOKUP(F1266,magnet_list!$A$2:$A$592,magnet_list!$L$2:$L$592,"n/a",0,1)</f>
        <v>44</v>
      </c>
    </row>
    <row r="1267" spans="1:15">
      <c r="A1267" t="s">
        <v>797</v>
      </c>
      <c r="B1267" t="s">
        <v>805</v>
      </c>
      <c r="C1267" t="s">
        <v>806</v>
      </c>
      <c r="E1267" s="2" t="s">
        <v>259</v>
      </c>
      <c r="F1267" s="2" t="s">
        <v>2612</v>
      </c>
      <c r="G1267">
        <f t="shared" si="26"/>
        <v>317.97040894114883</v>
      </c>
      <c r="H1267">
        <v>-15000</v>
      </c>
      <c r="I1267">
        <v>-53508.351475240001</v>
      </c>
      <c r="J1267">
        <v>90</v>
      </c>
      <c r="K1267">
        <v>360</v>
      </c>
      <c r="L1267">
        <f>_xlfn.XLOOKUP(F1267,magnet_list!$A$2:$A$592,magnet_list!$M$2:$M$592,"n/a",0,1)</f>
        <v>160</v>
      </c>
      <c r="M1267">
        <f>_xlfn.XLOOKUP(F1267,magnet_list!$A$2:$A$592,magnet_list!$L$2:$L$592,"n/a",0,1)</f>
        <v>44</v>
      </c>
    </row>
    <row r="1268" spans="1:15">
      <c r="A1268" t="s">
        <v>797</v>
      </c>
      <c r="B1268" t="s">
        <v>803</v>
      </c>
      <c r="C1268" t="s">
        <v>806</v>
      </c>
      <c r="E1268" t="s">
        <v>832</v>
      </c>
      <c r="F1268" t="s">
        <v>832</v>
      </c>
      <c r="G1268">
        <f t="shared" si="26"/>
        <v>318.10646005799885</v>
      </c>
      <c r="H1268">
        <v>-17481.454438320001</v>
      </c>
      <c r="I1268">
        <v>-53644.402592090002</v>
      </c>
      <c r="J1268">
        <v>-21.267352679999998</v>
      </c>
      <c r="K1268">
        <v>248.73264732000001</v>
      </c>
    </row>
    <row r="1269" spans="1:15">
      <c r="A1269" t="s">
        <v>797</v>
      </c>
      <c r="B1269" t="s">
        <v>2288</v>
      </c>
      <c r="C1269" t="s">
        <v>1152</v>
      </c>
      <c r="D1269" t="s">
        <v>804</v>
      </c>
      <c r="E1269" s="8" t="s">
        <v>2078</v>
      </c>
      <c r="F1269" s="8" t="s">
        <v>2078</v>
      </c>
      <c r="G1269">
        <f>$G$1263+ABS($I$1269-$I$1263)/1000</f>
        <v>318.25610286136884</v>
      </c>
      <c r="H1269">
        <v>-15000</v>
      </c>
      <c r="I1269">
        <f>$I$1263-637.5</f>
        <v>-53794.045395460067</v>
      </c>
      <c r="J1269">
        <v>-270</v>
      </c>
      <c r="K1269">
        <v>0</v>
      </c>
      <c r="L1269">
        <v>50</v>
      </c>
      <c r="M1269">
        <v>30</v>
      </c>
      <c r="O1269" t="s">
        <v>3706</v>
      </c>
    </row>
    <row r="1270" spans="1:15">
      <c r="A1270" t="s">
        <v>797</v>
      </c>
      <c r="B1270" t="s">
        <v>805</v>
      </c>
      <c r="C1270" t="s">
        <v>806</v>
      </c>
      <c r="E1270" s="2" t="s">
        <v>260</v>
      </c>
      <c r="F1270" s="2" t="s">
        <v>2613</v>
      </c>
      <c r="G1270">
        <f t="shared" ref="G1270:G1332" si="27">G1269-(I1270-I1269)/1000</f>
        <v>318.43027019328878</v>
      </c>
      <c r="H1270">
        <v>-15000</v>
      </c>
      <c r="I1270">
        <v>-53968.21272738</v>
      </c>
      <c r="J1270">
        <v>90</v>
      </c>
      <c r="K1270">
        <v>360</v>
      </c>
      <c r="L1270">
        <f>_xlfn.XLOOKUP(F1270,magnet_list!$A$2:$A$592,magnet_list!$M$2:$M$592,"n/a",0,1)</f>
        <v>160</v>
      </c>
      <c r="M1270">
        <f>_xlfn.XLOOKUP(F1270,magnet_list!$A$2:$A$592,magnet_list!$L$2:$L$592,"n/a",0,1)</f>
        <v>44</v>
      </c>
    </row>
    <row r="1271" spans="1:15">
      <c r="A1271" t="s">
        <v>797</v>
      </c>
      <c r="B1271" t="s">
        <v>805</v>
      </c>
      <c r="C1271" t="s">
        <v>1152</v>
      </c>
      <c r="D1271" t="s">
        <v>804</v>
      </c>
      <c r="E1271" s="2" t="s">
        <v>674</v>
      </c>
      <c r="F1271" s="2" t="s">
        <v>2613</v>
      </c>
      <c r="G1271">
        <f t="shared" si="27"/>
        <v>318.50025419328875</v>
      </c>
      <c r="H1271">
        <v>-15000</v>
      </c>
      <c r="I1271">
        <v>-54038.196727379996</v>
      </c>
      <c r="J1271">
        <v>90</v>
      </c>
      <c r="K1271">
        <v>360</v>
      </c>
      <c r="L1271">
        <f>_xlfn.XLOOKUP(F1271,magnet_list!$A$2:$A$592,magnet_list!$M$2:$M$592,"n/a",0,1)</f>
        <v>160</v>
      </c>
      <c r="M1271">
        <f>_xlfn.XLOOKUP(F1271,magnet_list!$A$2:$A$592,magnet_list!$L$2:$L$592,"n/a",0,1)</f>
        <v>44</v>
      </c>
    </row>
    <row r="1272" spans="1:15">
      <c r="A1272" t="s">
        <v>797</v>
      </c>
      <c r="B1272" t="s">
        <v>805</v>
      </c>
      <c r="C1272" t="s">
        <v>806</v>
      </c>
      <c r="E1272" s="2" t="s">
        <v>261</v>
      </c>
      <c r="F1272" s="2" t="s">
        <v>2613</v>
      </c>
      <c r="G1272">
        <f t="shared" si="27"/>
        <v>318.57025860437875</v>
      </c>
      <c r="H1272">
        <v>-15000</v>
      </c>
      <c r="I1272">
        <v>-54108.201138470002</v>
      </c>
      <c r="J1272">
        <v>90</v>
      </c>
      <c r="K1272">
        <v>360</v>
      </c>
      <c r="L1272">
        <f>_xlfn.XLOOKUP(F1272,magnet_list!$A$2:$A$592,magnet_list!$M$2:$M$592,"n/a",0,1)</f>
        <v>160</v>
      </c>
      <c r="M1272">
        <f>_xlfn.XLOOKUP(F1272,magnet_list!$A$2:$A$592,magnet_list!$L$2:$L$592,"n/a",0,1)</f>
        <v>44</v>
      </c>
    </row>
    <row r="1273" spans="1:15">
      <c r="A1273" t="s">
        <v>797</v>
      </c>
      <c r="B1273" t="s">
        <v>805</v>
      </c>
      <c r="C1273" t="s">
        <v>1152</v>
      </c>
      <c r="E1273" s="2" t="s">
        <v>1834</v>
      </c>
      <c r="F1273" s="2" t="s">
        <v>1834</v>
      </c>
      <c r="G1273">
        <f t="shared" si="27"/>
        <v>318.80025860437877</v>
      </c>
      <c r="H1273">
        <v>-15000</v>
      </c>
      <c r="I1273">
        <v>-54338.201138470002</v>
      </c>
      <c r="J1273">
        <v>-370</v>
      </c>
      <c r="K1273">
        <v>-100</v>
      </c>
      <c r="L1273">
        <f>_xlfn.XLOOKUP(F1273,magnet_list!$A$2:$A$592,magnet_list!$M$2:$M$592,"n/a",0,1)</f>
        <v>150</v>
      </c>
      <c r="M1273">
        <f>_xlfn.XLOOKUP(F1273,magnet_list!$A$2:$A$592,magnet_list!$L$2:$L$592,"n/a",0,1)</f>
        <v>35</v>
      </c>
    </row>
    <row r="1274" spans="1:15">
      <c r="A1274" t="s">
        <v>797</v>
      </c>
      <c r="B1274" t="s">
        <v>805</v>
      </c>
      <c r="C1274" t="s">
        <v>1152</v>
      </c>
      <c r="D1274" t="s">
        <v>804</v>
      </c>
      <c r="E1274" s="2" t="s">
        <v>1884</v>
      </c>
      <c r="F1274" s="2" t="s">
        <v>1834</v>
      </c>
      <c r="G1274">
        <f t="shared" si="27"/>
        <v>318.80025860437877</v>
      </c>
      <c r="H1274">
        <v>-15000</v>
      </c>
      <c r="I1274">
        <v>-54338.201138470002</v>
      </c>
      <c r="J1274">
        <v>-370</v>
      </c>
      <c r="K1274">
        <v>-100</v>
      </c>
      <c r="L1274">
        <f>_xlfn.XLOOKUP(F1274,magnet_list!$A$2:$A$592,magnet_list!$M$2:$M$592,"n/a",0,1)</f>
        <v>150</v>
      </c>
      <c r="M1274">
        <f>_xlfn.XLOOKUP(F1274,magnet_list!$A$2:$A$592,magnet_list!$L$2:$L$592,"n/a",0,1)</f>
        <v>35</v>
      </c>
    </row>
    <row r="1275" spans="1:15">
      <c r="A1275" t="s">
        <v>797</v>
      </c>
      <c r="B1275" t="s">
        <v>805</v>
      </c>
      <c r="C1275" t="s">
        <v>806</v>
      </c>
      <c r="E1275" s="2" t="s">
        <v>262</v>
      </c>
      <c r="F1275" s="2" t="s">
        <v>2614</v>
      </c>
      <c r="G1275">
        <f t="shared" si="27"/>
        <v>319.03027575891878</v>
      </c>
      <c r="H1275">
        <v>-15000</v>
      </c>
      <c r="I1275">
        <v>-54568.218293010003</v>
      </c>
      <c r="J1275">
        <v>90</v>
      </c>
      <c r="K1275">
        <v>360</v>
      </c>
      <c r="L1275">
        <f>_xlfn.XLOOKUP(F1275,magnet_list!$A$2:$A$592,magnet_list!$M$2:$M$592,"n/a",0,1)</f>
        <v>160</v>
      </c>
      <c r="M1275">
        <f>_xlfn.XLOOKUP(F1275,magnet_list!$A$2:$A$592,magnet_list!$L$2:$L$592,"n/a",0,1)</f>
        <v>44</v>
      </c>
    </row>
    <row r="1276" spans="1:15">
      <c r="A1276" t="s">
        <v>797</v>
      </c>
      <c r="B1276" t="s">
        <v>805</v>
      </c>
      <c r="C1276" t="s">
        <v>1152</v>
      </c>
      <c r="D1276" t="s">
        <v>804</v>
      </c>
      <c r="E1276" s="2" t="s">
        <v>675</v>
      </c>
      <c r="F1276" s="2" t="s">
        <v>2614</v>
      </c>
      <c r="G1276">
        <f t="shared" si="27"/>
        <v>319.1002642589188</v>
      </c>
      <c r="H1276">
        <v>-15000</v>
      </c>
      <c r="I1276">
        <v>-54638.206793010002</v>
      </c>
      <c r="J1276">
        <v>90</v>
      </c>
      <c r="K1276">
        <v>360</v>
      </c>
      <c r="L1276">
        <f>_xlfn.XLOOKUP(F1276,magnet_list!$A$2:$A$592,magnet_list!$M$2:$M$592,"n/a",0,1)</f>
        <v>160</v>
      </c>
      <c r="M1276">
        <f>_xlfn.XLOOKUP(F1276,magnet_list!$A$2:$A$592,magnet_list!$L$2:$L$592,"n/a",0,1)</f>
        <v>44</v>
      </c>
    </row>
    <row r="1277" spans="1:15">
      <c r="A1277" t="s">
        <v>797</v>
      </c>
      <c r="B1277" t="s">
        <v>805</v>
      </c>
      <c r="C1277" t="s">
        <v>806</v>
      </c>
      <c r="E1277" s="2" t="s">
        <v>263</v>
      </c>
      <c r="F1277" s="2" t="s">
        <v>2614</v>
      </c>
      <c r="G1277">
        <f t="shared" si="27"/>
        <v>319.17022177523882</v>
      </c>
      <c r="H1277">
        <v>-15000</v>
      </c>
      <c r="I1277">
        <v>-54708.164309330001</v>
      </c>
      <c r="J1277">
        <v>90</v>
      </c>
      <c r="K1277">
        <v>360</v>
      </c>
      <c r="L1277">
        <f>_xlfn.XLOOKUP(F1277,magnet_list!$A$2:$A$592,magnet_list!$M$2:$M$592,"n/a",0,1)</f>
        <v>160</v>
      </c>
      <c r="M1277">
        <f>_xlfn.XLOOKUP(F1277,magnet_list!$A$2:$A$592,magnet_list!$L$2:$L$592,"n/a",0,1)</f>
        <v>44</v>
      </c>
    </row>
    <row r="1278" spans="1:15">
      <c r="A1278" t="s">
        <v>797</v>
      </c>
      <c r="B1278" t="s">
        <v>2288</v>
      </c>
      <c r="C1278" t="s">
        <v>1152</v>
      </c>
      <c r="D1278" t="s">
        <v>804</v>
      </c>
      <c r="E1278" s="8" t="s">
        <v>2079</v>
      </c>
      <c r="F1278" s="8" t="s">
        <v>2079</v>
      </c>
      <c r="G1278">
        <f>$G$1269+ABS($I$1278-$I$1269)/1000</f>
        <v>319.46110306136887</v>
      </c>
      <c r="H1278">
        <v>-15000</v>
      </c>
      <c r="I1278">
        <f>$I$1269-1205.0002</f>
        <v>-54999.045595460069</v>
      </c>
      <c r="J1278">
        <v>-270</v>
      </c>
      <c r="K1278">
        <v>0</v>
      </c>
      <c r="L1278">
        <v>50</v>
      </c>
      <c r="M1278">
        <v>30</v>
      </c>
      <c r="O1278" t="s">
        <v>3706</v>
      </c>
    </row>
    <row r="1279" spans="1:15">
      <c r="A1279" t="s">
        <v>797</v>
      </c>
      <c r="B1279" t="s">
        <v>803</v>
      </c>
      <c r="C1279" t="s">
        <v>806</v>
      </c>
      <c r="E1279" t="s">
        <v>834</v>
      </c>
      <c r="F1279" t="s">
        <v>834</v>
      </c>
      <c r="G1279">
        <f t="shared" si="27"/>
        <v>319.54577129806881</v>
      </c>
      <c r="H1279">
        <v>-13521.370939369999</v>
      </c>
      <c r="I1279">
        <v>-55083.71383216</v>
      </c>
      <c r="J1279">
        <v>301.80520978999999</v>
      </c>
      <c r="K1279">
        <v>571.80520978999994</v>
      </c>
    </row>
    <row r="1280" spans="1:15">
      <c r="A1280" t="s">
        <v>797</v>
      </c>
      <c r="B1280" t="s">
        <v>805</v>
      </c>
      <c r="C1280" t="s">
        <v>806</v>
      </c>
      <c r="E1280" s="2" t="s">
        <v>264</v>
      </c>
      <c r="F1280" s="2" t="s">
        <v>2615</v>
      </c>
      <c r="G1280">
        <f t="shared" si="27"/>
        <v>319.6302489592988</v>
      </c>
      <c r="H1280">
        <v>-15000</v>
      </c>
      <c r="I1280">
        <v>-55168.191493389997</v>
      </c>
      <c r="J1280">
        <v>90</v>
      </c>
      <c r="K1280">
        <v>360</v>
      </c>
      <c r="L1280">
        <f>_xlfn.XLOOKUP(F1280,magnet_list!$A$2:$A$592,magnet_list!$M$2:$M$592,"n/a",0,1)</f>
        <v>160</v>
      </c>
      <c r="M1280">
        <f>_xlfn.XLOOKUP(F1280,magnet_list!$A$2:$A$592,magnet_list!$L$2:$L$592,"n/a",0,1)</f>
        <v>44</v>
      </c>
    </row>
    <row r="1281" spans="1:15">
      <c r="A1281" t="s">
        <v>797</v>
      </c>
      <c r="B1281" t="s">
        <v>805</v>
      </c>
      <c r="C1281" t="s">
        <v>1152</v>
      </c>
      <c r="D1281" t="s">
        <v>804</v>
      </c>
      <c r="E1281" s="2" t="s">
        <v>676</v>
      </c>
      <c r="F1281" s="2" t="s">
        <v>2615</v>
      </c>
      <c r="G1281">
        <f t="shared" si="27"/>
        <v>319.70023845929882</v>
      </c>
      <c r="H1281">
        <v>-15000</v>
      </c>
      <c r="I1281">
        <v>-55238.180993389993</v>
      </c>
      <c r="J1281">
        <v>90</v>
      </c>
      <c r="K1281">
        <v>360</v>
      </c>
      <c r="L1281">
        <f>_xlfn.XLOOKUP(F1281,magnet_list!$A$2:$A$592,magnet_list!$M$2:$M$592,"n/a",0,1)</f>
        <v>160</v>
      </c>
      <c r="M1281">
        <f>_xlfn.XLOOKUP(F1281,magnet_list!$A$2:$A$592,magnet_list!$L$2:$L$592,"n/a",0,1)</f>
        <v>44</v>
      </c>
    </row>
    <row r="1282" spans="1:15">
      <c r="A1282" t="s">
        <v>797</v>
      </c>
      <c r="B1282" t="s">
        <v>805</v>
      </c>
      <c r="C1282" t="s">
        <v>806</v>
      </c>
      <c r="E1282" s="2" t="s">
        <v>265</v>
      </c>
      <c r="F1282" s="2" t="s">
        <v>2615</v>
      </c>
      <c r="G1282">
        <f t="shared" si="27"/>
        <v>319.77017392684883</v>
      </c>
      <c r="H1282">
        <v>-15000</v>
      </c>
      <c r="I1282">
        <v>-55308.11646094</v>
      </c>
      <c r="J1282">
        <v>90</v>
      </c>
      <c r="K1282">
        <v>360</v>
      </c>
      <c r="L1282">
        <f>_xlfn.XLOOKUP(F1282,magnet_list!$A$2:$A$592,magnet_list!$M$2:$M$592,"n/a",0,1)</f>
        <v>160</v>
      </c>
      <c r="M1282">
        <f>_xlfn.XLOOKUP(F1282,magnet_list!$A$2:$A$592,magnet_list!$L$2:$L$592,"n/a",0,1)</f>
        <v>44</v>
      </c>
    </row>
    <row r="1283" spans="1:15">
      <c r="A1283" t="s">
        <v>797</v>
      </c>
      <c r="B1283" t="s">
        <v>803</v>
      </c>
      <c r="C1283" t="s">
        <v>806</v>
      </c>
      <c r="E1283" t="s">
        <v>835</v>
      </c>
      <c r="F1283" t="s">
        <v>835</v>
      </c>
      <c r="G1283">
        <f t="shared" si="27"/>
        <v>319.85109740815881</v>
      </c>
      <c r="H1283">
        <v>-17487.04862559</v>
      </c>
      <c r="I1283">
        <v>-55389.039942249998</v>
      </c>
      <c r="J1283">
        <v>-19.272158529999999</v>
      </c>
      <c r="K1283">
        <v>250.72784146999999</v>
      </c>
    </row>
    <row r="1284" spans="1:15">
      <c r="A1284" t="s">
        <v>797</v>
      </c>
      <c r="B1284" t="s">
        <v>805</v>
      </c>
      <c r="C1284" t="s">
        <v>1152</v>
      </c>
      <c r="E1284" s="2" t="s">
        <v>1835</v>
      </c>
      <c r="F1284" s="2" t="s">
        <v>1835</v>
      </c>
      <c r="G1284">
        <f t="shared" si="27"/>
        <v>320.07157929505883</v>
      </c>
      <c r="H1284">
        <v>-15000</v>
      </c>
      <c r="I1284">
        <v>-55609.521829149999</v>
      </c>
      <c r="J1284">
        <v>-96.5</v>
      </c>
      <c r="K1284">
        <v>173.5</v>
      </c>
      <c r="L1284">
        <f>_xlfn.XLOOKUP(F1284,magnet_list!$A$2:$A$592,magnet_list!$M$2:$M$592,"n/a",0,1)</f>
        <v>150</v>
      </c>
      <c r="M1284">
        <f>_xlfn.XLOOKUP(F1284,magnet_list!$A$2:$A$592,magnet_list!$L$2:$L$592,"n/a",0,1)</f>
        <v>35</v>
      </c>
    </row>
    <row r="1285" spans="1:15">
      <c r="A1285" t="s">
        <v>797</v>
      </c>
      <c r="B1285" t="s">
        <v>805</v>
      </c>
      <c r="C1285" t="s">
        <v>1152</v>
      </c>
      <c r="D1285" t="s">
        <v>804</v>
      </c>
      <c r="E1285" s="2" t="s">
        <v>1885</v>
      </c>
      <c r="F1285" s="2" t="s">
        <v>1835</v>
      </c>
      <c r="G1285">
        <f t="shared" si="27"/>
        <v>320.07157929505883</v>
      </c>
      <c r="H1285">
        <v>-15000</v>
      </c>
      <c r="I1285">
        <v>-55609.521829149999</v>
      </c>
      <c r="J1285">
        <v>-96.5</v>
      </c>
      <c r="K1285">
        <v>173.5</v>
      </c>
      <c r="L1285">
        <f>_xlfn.XLOOKUP(F1285,magnet_list!$A$2:$A$592,magnet_list!$M$2:$M$592,"n/a",0,1)</f>
        <v>150</v>
      </c>
      <c r="M1285">
        <f>_xlfn.XLOOKUP(F1285,magnet_list!$A$2:$A$592,magnet_list!$L$2:$L$592,"n/a",0,1)</f>
        <v>35</v>
      </c>
    </row>
    <row r="1286" spans="1:15">
      <c r="A1286" t="s">
        <v>797</v>
      </c>
      <c r="B1286" t="s">
        <v>805</v>
      </c>
      <c r="C1286" t="s">
        <v>806</v>
      </c>
      <c r="E1286" s="2" t="s">
        <v>266</v>
      </c>
      <c r="F1286" s="2" t="s">
        <v>2616</v>
      </c>
      <c r="G1286">
        <f t="shared" si="27"/>
        <v>320.23019235280884</v>
      </c>
      <c r="H1286">
        <v>-15000</v>
      </c>
      <c r="I1286">
        <v>-55768.134886899999</v>
      </c>
      <c r="J1286">
        <v>90</v>
      </c>
      <c r="K1286">
        <v>360</v>
      </c>
      <c r="L1286">
        <f>_xlfn.XLOOKUP(F1286,magnet_list!$A$2:$A$592,magnet_list!$M$2:$M$592,"n/a",0,1)</f>
        <v>160</v>
      </c>
      <c r="M1286">
        <f>_xlfn.XLOOKUP(F1286,magnet_list!$A$2:$A$592,magnet_list!$L$2:$L$592,"n/a",0,1)</f>
        <v>44</v>
      </c>
    </row>
    <row r="1287" spans="1:15">
      <c r="A1287" t="s">
        <v>797</v>
      </c>
      <c r="B1287" t="s">
        <v>805</v>
      </c>
      <c r="C1287" t="s">
        <v>1152</v>
      </c>
      <c r="D1287" t="s">
        <v>804</v>
      </c>
      <c r="E1287" s="2" t="s">
        <v>677</v>
      </c>
      <c r="F1287" s="2" t="s">
        <v>2616</v>
      </c>
      <c r="G1287">
        <f t="shared" si="27"/>
        <v>320.30018935280884</v>
      </c>
      <c r="H1287">
        <v>-15000</v>
      </c>
      <c r="I1287">
        <v>-55838.131886899995</v>
      </c>
      <c r="J1287">
        <v>90</v>
      </c>
      <c r="K1287">
        <v>360</v>
      </c>
      <c r="L1287">
        <f>_xlfn.XLOOKUP(F1287,magnet_list!$A$2:$A$592,magnet_list!$M$2:$M$592,"n/a",0,1)</f>
        <v>160</v>
      </c>
      <c r="M1287">
        <f>_xlfn.XLOOKUP(F1287,magnet_list!$A$2:$A$592,magnet_list!$L$2:$L$592,"n/a",0,1)</f>
        <v>44</v>
      </c>
    </row>
    <row r="1288" spans="1:15">
      <c r="A1288" t="s">
        <v>797</v>
      </c>
      <c r="B1288" t="s">
        <v>805</v>
      </c>
      <c r="C1288" t="s">
        <v>806</v>
      </c>
      <c r="E1288" s="2" t="s">
        <v>267</v>
      </c>
      <c r="F1288" s="2" t="s">
        <v>2616</v>
      </c>
      <c r="G1288">
        <f t="shared" si="27"/>
        <v>320.37017420150886</v>
      </c>
      <c r="H1288">
        <v>-15000</v>
      </c>
      <c r="I1288">
        <v>-55908.116735600001</v>
      </c>
      <c r="J1288">
        <v>90</v>
      </c>
      <c r="K1288">
        <v>360</v>
      </c>
      <c r="L1288">
        <f>_xlfn.XLOOKUP(F1288,magnet_list!$A$2:$A$592,magnet_list!$M$2:$M$592,"n/a",0,1)</f>
        <v>160</v>
      </c>
      <c r="M1288">
        <f>_xlfn.XLOOKUP(F1288,magnet_list!$A$2:$A$592,magnet_list!$L$2:$L$592,"n/a",0,1)</f>
        <v>44</v>
      </c>
    </row>
    <row r="1289" spans="1:15">
      <c r="A1289" t="s">
        <v>797</v>
      </c>
      <c r="B1289" t="s">
        <v>803</v>
      </c>
      <c r="C1289" t="s">
        <v>806</v>
      </c>
      <c r="E1289" t="s">
        <v>1015</v>
      </c>
      <c r="F1289" t="s">
        <v>1015</v>
      </c>
      <c r="G1289">
        <f t="shared" si="27"/>
        <v>320.60712119619888</v>
      </c>
      <c r="H1289">
        <v>-15400</v>
      </c>
      <c r="I1289">
        <v>-56145.06373029</v>
      </c>
      <c r="J1289">
        <v>-689</v>
      </c>
      <c r="K1289">
        <v>-419</v>
      </c>
    </row>
    <row r="1290" spans="1:15">
      <c r="A1290" t="s">
        <v>797</v>
      </c>
      <c r="B1290" t="s">
        <v>2288</v>
      </c>
      <c r="C1290" t="s">
        <v>1152</v>
      </c>
      <c r="D1290" t="s">
        <v>804</v>
      </c>
      <c r="E1290" s="8" t="s">
        <v>2080</v>
      </c>
      <c r="F1290" s="8" t="s">
        <v>2080</v>
      </c>
      <c r="G1290">
        <f>$G$1278+ABS($I$1290-$I$1278)/1000</f>
        <v>320.66983766136889</v>
      </c>
      <c r="H1290">
        <v>-15000</v>
      </c>
      <c r="I1290">
        <f>$I$1278-1208.7346</f>
        <v>-56207.780195460073</v>
      </c>
      <c r="J1290">
        <v>-270</v>
      </c>
      <c r="K1290">
        <v>0</v>
      </c>
      <c r="L1290">
        <v>50</v>
      </c>
      <c r="M1290">
        <v>30</v>
      </c>
      <c r="O1290" t="s">
        <v>3706</v>
      </c>
    </row>
    <row r="1291" spans="1:15">
      <c r="A1291" t="s">
        <v>797</v>
      </c>
      <c r="B1291" t="s">
        <v>1152</v>
      </c>
      <c r="C1291" t="s">
        <v>1152</v>
      </c>
      <c r="D1291" t="s">
        <v>804</v>
      </c>
      <c r="E1291" s="3" t="s">
        <v>2081</v>
      </c>
      <c r="F1291" s="3" t="s">
        <v>2081</v>
      </c>
      <c r="G1291">
        <f>$G$1290+ABS($I$1291-$I$1290)/1000</f>
        <v>320.80733766136888</v>
      </c>
      <c r="H1291">
        <v>-15000</v>
      </c>
      <c r="I1291">
        <f>$I$1290-137.5</f>
        <v>-56345.280195460073</v>
      </c>
      <c r="J1291">
        <v>-270</v>
      </c>
      <c r="K1291">
        <v>0</v>
      </c>
    </row>
    <row r="1292" spans="1:15">
      <c r="A1292" t="s">
        <v>797</v>
      </c>
      <c r="B1292" t="s">
        <v>805</v>
      </c>
      <c r="C1292" t="s">
        <v>1152</v>
      </c>
      <c r="E1292" s="2" t="s">
        <v>678</v>
      </c>
      <c r="F1292" s="2" t="s">
        <v>2617</v>
      </c>
      <c r="G1292">
        <f t="shared" si="27"/>
        <v>320.8341742015088</v>
      </c>
      <c r="H1292">
        <v>-15000</v>
      </c>
      <c r="I1292">
        <v>-56372.116735600001</v>
      </c>
      <c r="J1292">
        <v>90</v>
      </c>
      <c r="K1292">
        <v>360</v>
      </c>
      <c r="L1292">
        <f>_xlfn.XLOOKUP(F1292,magnet_list!$A$2:$A$592,magnet_list!$M$2:$M$592,"n/a",0,1)</f>
        <v>160</v>
      </c>
      <c r="M1292">
        <f>_xlfn.XLOOKUP(F1292,magnet_list!$A$2:$A$592,magnet_list!$L$2:$L$592,"n/a",0,1)</f>
        <v>44</v>
      </c>
    </row>
    <row r="1293" spans="1:15">
      <c r="A1293" t="s">
        <v>797</v>
      </c>
      <c r="B1293" t="s">
        <v>805</v>
      </c>
      <c r="C1293" t="s">
        <v>1152</v>
      </c>
      <c r="D1293" t="s">
        <v>804</v>
      </c>
      <c r="E1293" s="2" t="s">
        <v>679</v>
      </c>
      <c r="F1293" s="2" t="s">
        <v>2617</v>
      </c>
      <c r="G1293">
        <f t="shared" si="27"/>
        <v>320.90417420150879</v>
      </c>
      <c r="H1293">
        <v>-15000</v>
      </c>
      <c r="I1293">
        <v>-56442.116735600001</v>
      </c>
      <c r="J1293">
        <v>90</v>
      </c>
      <c r="K1293">
        <v>360</v>
      </c>
      <c r="L1293">
        <f>_xlfn.XLOOKUP(F1293,magnet_list!$A$2:$A$592,magnet_list!$M$2:$M$592,"n/a",0,1)</f>
        <v>160</v>
      </c>
      <c r="M1293">
        <f>_xlfn.XLOOKUP(F1293,magnet_list!$A$2:$A$592,magnet_list!$L$2:$L$592,"n/a",0,1)</f>
        <v>44</v>
      </c>
    </row>
    <row r="1294" spans="1:15">
      <c r="A1294" t="s">
        <v>797</v>
      </c>
      <c r="B1294" t="s">
        <v>805</v>
      </c>
      <c r="C1294" t="s">
        <v>1152</v>
      </c>
      <c r="E1294" s="2" t="s">
        <v>680</v>
      </c>
      <c r="F1294" s="2" t="s">
        <v>2617</v>
      </c>
      <c r="G1294">
        <f t="shared" si="27"/>
        <v>320.97417420150879</v>
      </c>
      <c r="H1294">
        <v>-15000</v>
      </c>
      <c r="I1294">
        <v>-56512.116735600001</v>
      </c>
      <c r="J1294">
        <v>90</v>
      </c>
      <c r="K1294">
        <v>360</v>
      </c>
      <c r="L1294">
        <f>_xlfn.XLOOKUP(F1294,magnet_list!$A$2:$A$592,magnet_list!$M$2:$M$592,"n/a",0,1)</f>
        <v>160</v>
      </c>
      <c r="M1294">
        <f>_xlfn.XLOOKUP(F1294,magnet_list!$A$2:$A$592,magnet_list!$L$2:$L$592,"n/a",0,1)</f>
        <v>44</v>
      </c>
    </row>
    <row r="1295" spans="1:15">
      <c r="A1295" t="s">
        <v>797</v>
      </c>
      <c r="B1295" t="s">
        <v>1152</v>
      </c>
      <c r="C1295" t="s">
        <v>1152</v>
      </c>
      <c r="D1295" t="s">
        <v>804</v>
      </c>
      <c r="E1295" s="3" t="s">
        <v>2082</v>
      </c>
      <c r="F1295" s="3" t="s">
        <v>2082</v>
      </c>
      <c r="G1295">
        <f>$G$1291+ABS($I$1295-$I$1291)/1000</f>
        <v>321.15483736136889</v>
      </c>
      <c r="H1295">
        <v>-15000</v>
      </c>
      <c r="I1295">
        <f>$I$1291-347.4997</f>
        <v>-56692.779895460073</v>
      </c>
      <c r="J1295">
        <v>-270</v>
      </c>
      <c r="K1295">
        <v>0</v>
      </c>
    </row>
    <row r="1296" spans="1:15">
      <c r="A1296" t="s">
        <v>797</v>
      </c>
      <c r="B1296" t="s">
        <v>804</v>
      </c>
      <c r="C1296" t="s">
        <v>1152</v>
      </c>
      <c r="D1296" t="s">
        <v>804</v>
      </c>
      <c r="E1296" s="10" t="s">
        <v>1598</v>
      </c>
      <c r="F1296" s="10" t="s">
        <v>2618</v>
      </c>
      <c r="G1296">
        <f>$G$1303-ABS($I$1303-$I$1296)/1000</f>
        <v>321.3016565160188</v>
      </c>
      <c r="H1296">
        <v>-15000</v>
      </c>
      <c r="I1296">
        <v>-56839.599050110002</v>
      </c>
      <c r="J1296">
        <v>-270</v>
      </c>
      <c r="K1296">
        <v>0</v>
      </c>
      <c r="L1296">
        <v>1889.4492</v>
      </c>
    </row>
    <row r="1297" spans="1:13">
      <c r="A1297" t="s">
        <v>797</v>
      </c>
      <c r="B1297" t="s">
        <v>805</v>
      </c>
      <c r="C1297" t="s">
        <v>806</v>
      </c>
      <c r="E1297" s="2" t="s">
        <v>268</v>
      </c>
      <c r="F1297" s="2" t="s">
        <v>2619</v>
      </c>
      <c r="G1297">
        <f t="shared" si="27"/>
        <v>321.47060831168881</v>
      </c>
      <c r="H1297">
        <v>-15000</v>
      </c>
      <c r="I1297">
        <v>-57008.550845780002</v>
      </c>
      <c r="J1297">
        <v>75</v>
      </c>
      <c r="K1297">
        <v>345</v>
      </c>
      <c r="L1297">
        <f>_xlfn.XLOOKUP(F1297,magnet_list!$A$2:$A$592,magnet_list!$M$2:$M$592,"n/a",0,1)</f>
        <v>300</v>
      </c>
      <c r="M1297">
        <f>_xlfn.XLOOKUP(F1297,magnet_list!$A$2:$A$592,magnet_list!$L$2:$L$592,"n/a",0,1)</f>
        <v>120</v>
      </c>
    </row>
    <row r="1298" spans="1:13">
      <c r="A1298" t="s">
        <v>797</v>
      </c>
      <c r="B1298" t="s">
        <v>805</v>
      </c>
      <c r="C1298" t="s">
        <v>1152</v>
      </c>
      <c r="D1298" t="s">
        <v>804</v>
      </c>
      <c r="E1298" s="2" t="s">
        <v>681</v>
      </c>
      <c r="F1298" s="2" t="s">
        <v>2619</v>
      </c>
      <c r="G1298">
        <f t="shared" si="27"/>
        <v>321.6056063116888</v>
      </c>
      <c r="H1298">
        <v>-15000</v>
      </c>
      <c r="I1298">
        <v>-57143.548845780002</v>
      </c>
      <c r="J1298">
        <v>75</v>
      </c>
      <c r="K1298">
        <v>345</v>
      </c>
      <c r="L1298">
        <f>_xlfn.XLOOKUP(F1298,magnet_list!$A$2:$A$592,magnet_list!$M$2:$M$592,"n/a",0,1)</f>
        <v>300</v>
      </c>
      <c r="M1298">
        <f>_xlfn.XLOOKUP(F1298,magnet_list!$A$2:$A$592,magnet_list!$L$2:$L$592,"n/a",0,1)</f>
        <v>120</v>
      </c>
    </row>
    <row r="1299" spans="1:13">
      <c r="A1299" t="s">
        <v>797</v>
      </c>
      <c r="B1299" t="s">
        <v>805</v>
      </c>
      <c r="C1299" t="s">
        <v>806</v>
      </c>
      <c r="E1299" s="2" t="s">
        <v>269</v>
      </c>
      <c r="F1299" s="2" t="s">
        <v>2619</v>
      </c>
      <c r="G1299">
        <f t="shared" si="27"/>
        <v>321.74058318148877</v>
      </c>
      <c r="H1299">
        <v>-15000</v>
      </c>
      <c r="I1299">
        <v>-57278.525715579999</v>
      </c>
      <c r="J1299">
        <v>75</v>
      </c>
      <c r="K1299">
        <v>345</v>
      </c>
      <c r="L1299">
        <f>_xlfn.XLOOKUP(F1299,magnet_list!$A$2:$A$592,magnet_list!$M$2:$M$592,"n/a",0,1)</f>
        <v>300</v>
      </c>
      <c r="M1299">
        <f>_xlfn.XLOOKUP(F1299,magnet_list!$A$2:$A$592,magnet_list!$L$2:$L$592,"n/a",0,1)</f>
        <v>120</v>
      </c>
    </row>
    <row r="1300" spans="1:13">
      <c r="A1300" t="s">
        <v>797</v>
      </c>
      <c r="B1300" t="s">
        <v>805</v>
      </c>
      <c r="C1300" t="s">
        <v>806</v>
      </c>
      <c r="E1300" s="2" t="s">
        <v>270</v>
      </c>
      <c r="F1300" s="2" t="s">
        <v>2620</v>
      </c>
      <c r="G1300">
        <f t="shared" si="27"/>
        <v>322.07629156516879</v>
      </c>
      <c r="H1300">
        <v>-15000</v>
      </c>
      <c r="I1300">
        <v>-57614.23409926</v>
      </c>
      <c r="J1300">
        <v>75</v>
      </c>
      <c r="K1300">
        <v>345</v>
      </c>
      <c r="L1300">
        <f>_xlfn.XLOOKUP(F1300,magnet_list!$A$2:$A$592,magnet_list!$M$2:$M$592,"n/a",0,1)</f>
        <v>300</v>
      </c>
      <c r="M1300">
        <f>_xlfn.XLOOKUP(F1300,magnet_list!$A$2:$A$592,magnet_list!$L$2:$L$592,"n/a",0,1)</f>
        <v>120</v>
      </c>
    </row>
    <row r="1301" spans="1:13">
      <c r="A1301" t="s">
        <v>797</v>
      </c>
      <c r="B1301" t="s">
        <v>803</v>
      </c>
      <c r="C1301" t="s">
        <v>806</v>
      </c>
      <c r="E1301" t="s">
        <v>836</v>
      </c>
      <c r="F1301" t="s">
        <v>836</v>
      </c>
      <c r="G1301">
        <f t="shared" si="27"/>
        <v>322.21034331111878</v>
      </c>
      <c r="H1301">
        <v>-11024.70408148</v>
      </c>
      <c r="I1301">
        <v>-57748.285845209997</v>
      </c>
      <c r="J1301">
        <v>281.92864386000002</v>
      </c>
      <c r="K1301">
        <v>551.92864385999997</v>
      </c>
    </row>
    <row r="1302" spans="1:13">
      <c r="A1302" t="s">
        <v>797</v>
      </c>
      <c r="B1302" t="s">
        <v>805</v>
      </c>
      <c r="C1302" t="s">
        <v>1152</v>
      </c>
      <c r="D1302" t="s">
        <v>804</v>
      </c>
      <c r="E1302" s="2" t="s">
        <v>682</v>
      </c>
      <c r="F1302" s="2" t="s">
        <v>2620</v>
      </c>
      <c r="G1302">
        <f t="shared" si="27"/>
        <v>322.21127956516875</v>
      </c>
      <c r="H1302">
        <v>-15000</v>
      </c>
      <c r="I1302">
        <v>-57749.222099259998</v>
      </c>
      <c r="J1302">
        <v>75</v>
      </c>
      <c r="K1302">
        <v>345</v>
      </c>
      <c r="M1302">
        <f>_xlfn.XLOOKUP(F1302,magnet_list!$A$2:$A$592,magnet_list!$L$2:$L$592,"n/a",0,1)</f>
        <v>120</v>
      </c>
    </row>
    <row r="1303" spans="1:13">
      <c r="A1303" t="s">
        <v>797</v>
      </c>
      <c r="B1303" t="s">
        <v>804</v>
      </c>
      <c r="C1303" t="s">
        <v>1152</v>
      </c>
      <c r="D1303" t="s">
        <v>804</v>
      </c>
      <c r="E1303" s="10" t="s">
        <v>1192</v>
      </c>
      <c r="F1303" s="10" t="s">
        <v>2618</v>
      </c>
      <c r="G1303">
        <f>$G$1295+ABS($I$1303-$I$1295)/1000</f>
        <v>322.25206186136887</v>
      </c>
      <c r="H1303">
        <v>-15000</v>
      </c>
      <c r="I1303">
        <f>$I$1295-1097.2245</f>
        <v>-57790.00439546007</v>
      </c>
      <c r="J1303">
        <v>-270</v>
      </c>
      <c r="K1303">
        <v>0</v>
      </c>
      <c r="L1303">
        <v>1889.4492</v>
      </c>
    </row>
    <row r="1304" spans="1:13">
      <c r="A1304" t="s">
        <v>797</v>
      </c>
      <c r="B1304" t="s">
        <v>805</v>
      </c>
      <c r="C1304" t="s">
        <v>806</v>
      </c>
      <c r="E1304" s="2" t="s">
        <v>271</v>
      </c>
      <c r="F1304" s="2" t="s">
        <v>2620</v>
      </c>
      <c r="G1304">
        <f t="shared" si="27"/>
        <v>322.34627211995883</v>
      </c>
      <c r="H1304">
        <v>-15000</v>
      </c>
      <c r="I1304">
        <v>-57884.214654050003</v>
      </c>
      <c r="J1304">
        <v>75</v>
      </c>
      <c r="K1304">
        <v>345</v>
      </c>
      <c r="L1304">
        <f>_xlfn.XLOOKUP(F1304,magnet_list!$A$2:$A$592,magnet_list!$M$2:$M$592,"n/a",0,1)</f>
        <v>300</v>
      </c>
      <c r="M1304">
        <f>_xlfn.XLOOKUP(F1304,magnet_list!$A$2:$A$592,magnet_list!$L$2:$L$592,"n/a",0,1)</f>
        <v>120</v>
      </c>
    </row>
    <row r="1305" spans="1:13">
      <c r="A1305" t="s">
        <v>797</v>
      </c>
      <c r="B1305" t="s">
        <v>805</v>
      </c>
      <c r="C1305" t="s">
        <v>806</v>
      </c>
      <c r="E1305" s="2" t="s">
        <v>272</v>
      </c>
      <c r="F1305" s="2" t="s">
        <v>2621</v>
      </c>
      <c r="G1305">
        <f t="shared" si="27"/>
        <v>322.66138879060884</v>
      </c>
      <c r="H1305">
        <v>-15000</v>
      </c>
      <c r="I1305">
        <v>-58199.331324699997</v>
      </c>
      <c r="J1305">
        <v>75</v>
      </c>
      <c r="K1305">
        <v>345</v>
      </c>
      <c r="L1305">
        <f>_xlfn.XLOOKUP(F1305,magnet_list!$A$2:$A$592,magnet_list!$M$2:$M$592,"n/a",0,1)</f>
        <v>300</v>
      </c>
      <c r="M1305">
        <f>_xlfn.XLOOKUP(F1305,magnet_list!$A$2:$A$592,magnet_list!$L$2:$L$592,"n/a",0,1)</f>
        <v>120</v>
      </c>
    </row>
    <row r="1306" spans="1:13">
      <c r="A1306" t="s">
        <v>797</v>
      </c>
      <c r="B1306" t="s">
        <v>805</v>
      </c>
      <c r="C1306" t="s">
        <v>1152</v>
      </c>
      <c r="D1306" t="s">
        <v>804</v>
      </c>
      <c r="E1306" s="2" t="s">
        <v>683</v>
      </c>
      <c r="F1306" s="2" t="s">
        <v>2621</v>
      </c>
      <c r="G1306">
        <f t="shared" si="27"/>
        <v>322.79639179060882</v>
      </c>
      <c r="H1306">
        <v>-15000</v>
      </c>
      <c r="I1306">
        <v>-58334.334324699994</v>
      </c>
      <c r="J1306">
        <v>75</v>
      </c>
      <c r="K1306">
        <v>345</v>
      </c>
      <c r="L1306">
        <f>_xlfn.XLOOKUP(F1306,magnet_list!$A$2:$A$592,magnet_list!$M$2:$M$592,"n/a",0,1)</f>
        <v>300</v>
      </c>
      <c r="M1306">
        <f>_xlfn.XLOOKUP(F1306,magnet_list!$A$2:$A$592,magnet_list!$L$2:$L$592,"n/a",0,1)</f>
        <v>120</v>
      </c>
    </row>
    <row r="1307" spans="1:13">
      <c r="A1307" t="s">
        <v>797</v>
      </c>
      <c r="B1307" t="s">
        <v>805</v>
      </c>
      <c r="C1307" t="s">
        <v>806</v>
      </c>
      <c r="E1307" s="2" t="s">
        <v>273</v>
      </c>
      <c r="F1307" s="2" t="s">
        <v>2621</v>
      </c>
      <c r="G1307">
        <f t="shared" si="27"/>
        <v>322.93138420848885</v>
      </c>
      <c r="H1307">
        <v>-15000</v>
      </c>
      <c r="I1307">
        <v>-58469.32674258</v>
      </c>
      <c r="J1307">
        <v>75</v>
      </c>
      <c r="K1307">
        <v>345</v>
      </c>
      <c r="L1307">
        <f>_xlfn.XLOOKUP(F1307,magnet_list!$A$2:$A$592,magnet_list!$M$2:$M$592,"n/a",0,1)</f>
        <v>300</v>
      </c>
      <c r="M1307">
        <f>_xlfn.XLOOKUP(F1307,magnet_list!$A$2:$A$592,magnet_list!$L$2:$L$592,"n/a",0,1)</f>
        <v>120</v>
      </c>
    </row>
    <row r="1308" spans="1:13">
      <c r="A1308" t="s">
        <v>797</v>
      </c>
      <c r="B1308" t="s">
        <v>804</v>
      </c>
      <c r="C1308" t="s">
        <v>1152</v>
      </c>
      <c r="D1308" t="s">
        <v>804</v>
      </c>
      <c r="E1308" s="10" t="s">
        <v>1599</v>
      </c>
      <c r="F1308" s="10" t="s">
        <v>2618</v>
      </c>
      <c r="G1308">
        <f>$G$1303+ABS($I$1308-$I$1303)/1000</f>
        <v>323.19211651601881</v>
      </c>
      <c r="H1308">
        <v>-15000</v>
      </c>
      <c r="I1308">
        <v>-58730.059050110001</v>
      </c>
      <c r="J1308">
        <v>-270</v>
      </c>
      <c r="K1308">
        <v>0</v>
      </c>
      <c r="L1308">
        <v>1889.4492</v>
      </c>
    </row>
    <row r="1309" spans="1:13">
      <c r="A1309" t="s">
        <v>797</v>
      </c>
      <c r="B1309" t="s">
        <v>805</v>
      </c>
      <c r="C1309" t="s">
        <v>806</v>
      </c>
      <c r="E1309" s="2" t="s">
        <v>274</v>
      </c>
      <c r="F1309" s="2" t="s">
        <v>2622</v>
      </c>
      <c r="G1309">
        <f t="shared" si="27"/>
        <v>323.31840870220879</v>
      </c>
      <c r="H1309">
        <v>-15000</v>
      </c>
      <c r="I1309">
        <v>-58856.351236299997</v>
      </c>
      <c r="J1309">
        <v>90</v>
      </c>
      <c r="K1309">
        <v>360</v>
      </c>
      <c r="L1309">
        <f>_xlfn.XLOOKUP(F1309,magnet_list!$A$2:$A$592,magnet_list!$M$2:$M$592,"n/a",0,1)</f>
        <v>160</v>
      </c>
      <c r="M1309">
        <f>_xlfn.XLOOKUP(F1309,magnet_list!$A$2:$A$592,magnet_list!$L$2:$L$592,"n/a",0,1)</f>
        <v>44</v>
      </c>
    </row>
    <row r="1310" spans="1:13">
      <c r="A1310" t="s">
        <v>797</v>
      </c>
      <c r="B1310" t="s">
        <v>805</v>
      </c>
      <c r="C1310" t="s">
        <v>1152</v>
      </c>
      <c r="D1310" t="s">
        <v>804</v>
      </c>
      <c r="E1310" s="2" t="s">
        <v>684</v>
      </c>
      <c r="F1310" s="2" t="s">
        <v>2622</v>
      </c>
      <c r="G1310">
        <f t="shared" si="27"/>
        <v>323.38838320220879</v>
      </c>
      <c r="H1310">
        <v>-15000</v>
      </c>
      <c r="I1310">
        <v>-58926.325736299994</v>
      </c>
      <c r="J1310">
        <v>90</v>
      </c>
      <c r="K1310">
        <v>360</v>
      </c>
      <c r="L1310">
        <f>_xlfn.XLOOKUP(F1310,magnet_list!$A$2:$A$592,magnet_list!$M$2:$M$592,"n/a",0,1)</f>
        <v>160</v>
      </c>
      <c r="M1310">
        <f>_xlfn.XLOOKUP(F1310,magnet_list!$A$2:$A$592,magnet_list!$L$2:$L$592,"n/a",0,1)</f>
        <v>44</v>
      </c>
    </row>
    <row r="1311" spans="1:13">
      <c r="A1311" t="s">
        <v>797</v>
      </c>
      <c r="B1311" t="s">
        <v>805</v>
      </c>
      <c r="C1311" t="s">
        <v>806</v>
      </c>
      <c r="E1311" s="2" t="s">
        <v>275</v>
      </c>
      <c r="F1311" s="2" t="s">
        <v>2622</v>
      </c>
      <c r="G1311">
        <f t="shared" si="27"/>
        <v>323.45851105485877</v>
      </c>
      <c r="H1311">
        <v>-15000</v>
      </c>
      <c r="I1311">
        <v>-58996.453588949997</v>
      </c>
      <c r="J1311">
        <v>90</v>
      </c>
      <c r="K1311">
        <v>360</v>
      </c>
      <c r="L1311">
        <f>_xlfn.XLOOKUP(F1311,magnet_list!$A$2:$A$592,magnet_list!$M$2:$M$592,"n/a",0,1)</f>
        <v>160</v>
      </c>
      <c r="M1311">
        <f>_xlfn.XLOOKUP(F1311,magnet_list!$A$2:$A$592,magnet_list!$L$2:$L$592,"n/a",0,1)</f>
        <v>44</v>
      </c>
    </row>
    <row r="1312" spans="1:13">
      <c r="A1312" t="s">
        <v>797</v>
      </c>
      <c r="B1312" t="s">
        <v>804</v>
      </c>
      <c r="C1312" t="s">
        <v>1152</v>
      </c>
      <c r="D1312" t="s">
        <v>804</v>
      </c>
      <c r="E1312" s="10" t="s">
        <v>1600</v>
      </c>
      <c r="F1312" s="10" t="s">
        <v>2623</v>
      </c>
      <c r="G1312">
        <f>$G$1318-ABS($I$1318-$I$1312)/1000</f>
        <v>323.68971051601881</v>
      </c>
      <c r="H1312">
        <v>-15000</v>
      </c>
      <c r="I1312">
        <v>-59227.653050109999</v>
      </c>
      <c r="J1312">
        <v>-270</v>
      </c>
      <c r="K1312">
        <v>0</v>
      </c>
      <c r="L1312">
        <v>1889.4492</v>
      </c>
    </row>
    <row r="1313" spans="1:13">
      <c r="A1313" t="s">
        <v>797</v>
      </c>
      <c r="B1313" t="s">
        <v>805</v>
      </c>
      <c r="C1313" t="s">
        <v>806</v>
      </c>
      <c r="E1313" s="2" t="s">
        <v>276</v>
      </c>
      <c r="F1313" s="2" t="s">
        <v>2624</v>
      </c>
      <c r="G1313">
        <f t="shared" si="27"/>
        <v>323.8590143377088</v>
      </c>
      <c r="H1313">
        <v>-15000</v>
      </c>
      <c r="I1313">
        <v>-59396.956871800001</v>
      </c>
      <c r="J1313">
        <v>75</v>
      </c>
      <c r="K1313">
        <v>345</v>
      </c>
      <c r="L1313">
        <f>_xlfn.XLOOKUP(F1313,magnet_list!$A$2:$A$592,magnet_list!$M$2:$M$592,"n/a",0,1)</f>
        <v>300</v>
      </c>
      <c r="M1313">
        <f>_xlfn.XLOOKUP(F1313,magnet_list!$A$2:$A$592,magnet_list!$L$2:$L$592,"n/a",0,1)</f>
        <v>120</v>
      </c>
    </row>
    <row r="1314" spans="1:13">
      <c r="A1314" t="s">
        <v>797</v>
      </c>
      <c r="B1314" t="s">
        <v>805</v>
      </c>
      <c r="C1314" t="s">
        <v>1152</v>
      </c>
      <c r="D1314" t="s">
        <v>804</v>
      </c>
      <c r="E1314" s="2" t="s">
        <v>685</v>
      </c>
      <c r="F1314" s="2" t="s">
        <v>2624</v>
      </c>
      <c r="G1314">
        <f t="shared" si="27"/>
        <v>323.99399383770879</v>
      </c>
      <c r="H1314">
        <v>-15000</v>
      </c>
      <c r="I1314">
        <v>-59531.936371799995</v>
      </c>
      <c r="J1314">
        <v>75</v>
      </c>
      <c r="K1314">
        <v>345</v>
      </c>
      <c r="L1314">
        <f>_xlfn.XLOOKUP(F1314,magnet_list!$A$2:$A$592,magnet_list!$M$2:$M$592,"n/a",0,1)</f>
        <v>300</v>
      </c>
      <c r="M1314">
        <f>_xlfn.XLOOKUP(F1314,magnet_list!$A$2:$A$592,magnet_list!$L$2:$L$592,"n/a",0,1)</f>
        <v>120</v>
      </c>
    </row>
    <row r="1315" spans="1:13">
      <c r="A1315" t="s">
        <v>797</v>
      </c>
      <c r="B1315" t="s">
        <v>805</v>
      </c>
      <c r="C1315" t="s">
        <v>806</v>
      </c>
      <c r="E1315" s="2" t="s">
        <v>277</v>
      </c>
      <c r="F1315" s="2" t="s">
        <v>2624</v>
      </c>
      <c r="G1315">
        <f t="shared" si="27"/>
        <v>324.12899140046881</v>
      </c>
      <c r="H1315">
        <v>-15000</v>
      </c>
      <c r="I1315">
        <v>-59666.933934560002</v>
      </c>
      <c r="J1315">
        <v>75</v>
      </c>
      <c r="K1315">
        <v>345</v>
      </c>
      <c r="L1315">
        <f>_xlfn.XLOOKUP(F1315,magnet_list!$A$2:$A$592,magnet_list!$M$2:$M$592,"n/a",0,1)</f>
        <v>300</v>
      </c>
      <c r="M1315">
        <f>_xlfn.XLOOKUP(F1315,magnet_list!$A$2:$A$592,magnet_list!$L$2:$L$592,"n/a",0,1)</f>
        <v>120</v>
      </c>
    </row>
    <row r="1316" spans="1:13">
      <c r="A1316" t="s">
        <v>797</v>
      </c>
      <c r="B1316" t="s">
        <v>805</v>
      </c>
      <c r="C1316" t="s">
        <v>806</v>
      </c>
      <c r="E1316" s="2" t="s">
        <v>278</v>
      </c>
      <c r="F1316" s="2" t="s">
        <v>2625</v>
      </c>
      <c r="G1316">
        <f t="shared" si="27"/>
        <v>324.46146009898882</v>
      </c>
      <c r="H1316">
        <v>-15000</v>
      </c>
      <c r="I1316">
        <v>-59999.402633079997</v>
      </c>
      <c r="J1316">
        <v>75</v>
      </c>
      <c r="K1316">
        <v>345</v>
      </c>
      <c r="L1316">
        <f>_xlfn.XLOOKUP(F1316,magnet_list!$A$2:$A$592,magnet_list!$M$2:$M$592,"n/a",0,1)</f>
        <v>300</v>
      </c>
      <c r="M1316">
        <f>_xlfn.XLOOKUP(F1316,magnet_list!$A$2:$A$592,magnet_list!$L$2:$L$592,"n/a",0,1)</f>
        <v>120</v>
      </c>
    </row>
    <row r="1317" spans="1:13">
      <c r="A1317" t="s">
        <v>797</v>
      </c>
      <c r="B1317" t="s">
        <v>805</v>
      </c>
      <c r="C1317" t="s">
        <v>1152</v>
      </c>
      <c r="D1317" t="s">
        <v>804</v>
      </c>
      <c r="E1317" s="2" t="s">
        <v>686</v>
      </c>
      <c r="F1317" s="2" t="s">
        <v>2625</v>
      </c>
      <c r="G1317">
        <f t="shared" si="27"/>
        <v>324.59646659898885</v>
      </c>
      <c r="H1317">
        <v>-15000</v>
      </c>
      <c r="I1317">
        <v>-60134.40913308</v>
      </c>
      <c r="J1317">
        <v>75</v>
      </c>
      <c r="K1317">
        <v>345</v>
      </c>
      <c r="L1317">
        <f>_xlfn.XLOOKUP(F1317,magnet_list!$A$2:$A$592,magnet_list!$M$2:$M$592,"n/a",0,1)</f>
        <v>300</v>
      </c>
      <c r="M1317">
        <f>_xlfn.XLOOKUP(F1317,magnet_list!$A$2:$A$592,magnet_list!$L$2:$L$592,"n/a",0,1)</f>
        <v>120</v>
      </c>
    </row>
    <row r="1318" spans="1:13">
      <c r="A1318" t="s">
        <v>797</v>
      </c>
      <c r="B1318" t="s">
        <v>804</v>
      </c>
      <c r="C1318" t="s">
        <v>1152</v>
      </c>
      <c r="D1318" t="s">
        <v>804</v>
      </c>
      <c r="E1318" s="10" t="s">
        <v>1248</v>
      </c>
      <c r="F1318" s="10" t="s">
        <v>2623</v>
      </c>
      <c r="G1318">
        <f>$G$1303+ABS($I$1318-$I$1303)/1000</f>
        <v>324.64011486136889</v>
      </c>
      <c r="H1318">
        <v>-15000</v>
      </c>
      <c r="I1318">
        <f>$I$1303-2388.053</f>
        <v>-60178.05739546007</v>
      </c>
      <c r="J1318">
        <v>-270</v>
      </c>
      <c r="K1318">
        <v>0</v>
      </c>
      <c r="L1318">
        <v>1889.4492</v>
      </c>
    </row>
    <row r="1319" spans="1:13">
      <c r="A1319" t="s">
        <v>797</v>
      </c>
      <c r="B1319" t="s">
        <v>805</v>
      </c>
      <c r="C1319" t="s">
        <v>806</v>
      </c>
      <c r="E1319" s="2" t="s">
        <v>279</v>
      </c>
      <c r="F1319" s="2" t="s">
        <v>2625</v>
      </c>
      <c r="G1319">
        <f t="shared" si="27"/>
        <v>324.73146483860882</v>
      </c>
      <c r="H1319">
        <v>-15000</v>
      </c>
      <c r="I1319">
        <v>-60269.4073727</v>
      </c>
      <c r="J1319">
        <v>75</v>
      </c>
      <c r="K1319">
        <v>345</v>
      </c>
      <c r="L1319">
        <f>_xlfn.XLOOKUP(F1319,magnet_list!$A$2:$A$592,magnet_list!$M$2:$M$592,"n/a",0,1)</f>
        <v>300</v>
      </c>
      <c r="M1319">
        <f>_xlfn.XLOOKUP(F1319,magnet_list!$A$2:$A$592,magnet_list!$L$2:$L$592,"n/a",0,1)</f>
        <v>120</v>
      </c>
    </row>
    <row r="1320" spans="1:13">
      <c r="A1320" t="s">
        <v>797</v>
      </c>
      <c r="B1320" t="s">
        <v>805</v>
      </c>
      <c r="C1320" t="s">
        <v>806</v>
      </c>
      <c r="E1320" s="2" t="s">
        <v>280</v>
      </c>
      <c r="F1320" s="2" t="s">
        <v>2626</v>
      </c>
      <c r="G1320">
        <f t="shared" si="27"/>
        <v>325.05777245972882</v>
      </c>
      <c r="H1320">
        <v>-15000</v>
      </c>
      <c r="I1320">
        <v>-60595.714993820002</v>
      </c>
      <c r="J1320">
        <v>75</v>
      </c>
      <c r="K1320">
        <v>345</v>
      </c>
      <c r="L1320">
        <f>_xlfn.XLOOKUP(F1320,magnet_list!$A$2:$A$592,magnet_list!$M$2:$M$592,"n/a",0,1)</f>
        <v>300</v>
      </c>
      <c r="M1320">
        <f>_xlfn.XLOOKUP(F1320,magnet_list!$A$2:$A$592,magnet_list!$L$2:$L$592,"n/a",0,1)</f>
        <v>120</v>
      </c>
    </row>
    <row r="1321" spans="1:13">
      <c r="A1321" t="s">
        <v>797</v>
      </c>
      <c r="B1321" t="s">
        <v>805</v>
      </c>
      <c r="C1321" t="s">
        <v>1152</v>
      </c>
      <c r="D1321" t="s">
        <v>804</v>
      </c>
      <c r="E1321" s="2" t="s">
        <v>687</v>
      </c>
      <c r="F1321" s="2" t="s">
        <v>2626</v>
      </c>
      <c r="G1321">
        <f t="shared" si="27"/>
        <v>325.19276245972884</v>
      </c>
      <c r="H1321">
        <v>-15000</v>
      </c>
      <c r="I1321">
        <v>-60730.704993820007</v>
      </c>
      <c r="J1321">
        <v>75</v>
      </c>
      <c r="K1321">
        <v>345</v>
      </c>
      <c r="L1321">
        <f>_xlfn.XLOOKUP(F1321,magnet_list!$A$2:$A$592,magnet_list!$M$2:$M$592,"n/a",0,1)</f>
        <v>300</v>
      </c>
      <c r="M1321">
        <f>_xlfn.XLOOKUP(F1321,magnet_list!$A$2:$A$592,magnet_list!$L$2:$L$592,"n/a",0,1)</f>
        <v>120</v>
      </c>
    </row>
    <row r="1322" spans="1:13">
      <c r="A1322" t="s">
        <v>797</v>
      </c>
      <c r="B1322" t="s">
        <v>805</v>
      </c>
      <c r="C1322" t="s">
        <v>806</v>
      </c>
      <c r="E1322" s="2" t="s">
        <v>281</v>
      </c>
      <c r="F1322" s="2" t="s">
        <v>2626</v>
      </c>
      <c r="G1322">
        <f t="shared" si="27"/>
        <v>325.32770930328883</v>
      </c>
      <c r="H1322">
        <v>-15000</v>
      </c>
      <c r="I1322">
        <v>-60865.651837379999</v>
      </c>
      <c r="J1322">
        <v>75</v>
      </c>
      <c r="K1322">
        <v>345</v>
      </c>
      <c r="L1322">
        <f>_xlfn.XLOOKUP(F1322,magnet_list!$A$2:$A$592,magnet_list!$M$2:$M$592,"n/a",0,1)</f>
        <v>300</v>
      </c>
      <c r="M1322">
        <f>_xlfn.XLOOKUP(F1322,magnet_list!$A$2:$A$592,magnet_list!$L$2:$L$592,"n/a",0,1)</f>
        <v>120</v>
      </c>
    </row>
    <row r="1323" spans="1:13">
      <c r="A1323" t="s">
        <v>797</v>
      </c>
      <c r="B1323" t="s">
        <v>804</v>
      </c>
      <c r="C1323" t="s">
        <v>1152</v>
      </c>
      <c r="D1323" t="s">
        <v>804</v>
      </c>
      <c r="E1323" s="10" t="s">
        <v>1601</v>
      </c>
      <c r="F1323" s="10" t="s">
        <v>2623</v>
      </c>
      <c r="G1323">
        <f>$G$1318+ABS($I$1323-$I$1318)/1000</f>
        <v>325.58017051601882</v>
      </c>
      <c r="H1323">
        <v>-15000</v>
      </c>
      <c r="I1323">
        <v>-61118.113050109998</v>
      </c>
      <c r="J1323">
        <v>-270</v>
      </c>
      <c r="K1323">
        <v>0</v>
      </c>
      <c r="L1323">
        <v>1889.4492</v>
      </c>
    </row>
    <row r="1324" spans="1:13">
      <c r="A1324" t="s">
        <v>797</v>
      </c>
      <c r="B1324" t="s">
        <v>1152</v>
      </c>
      <c r="C1324" t="s">
        <v>1152</v>
      </c>
      <c r="D1324" t="s">
        <v>804</v>
      </c>
      <c r="E1324" s="3" t="s">
        <v>2085</v>
      </c>
      <c r="F1324" s="3" t="s">
        <v>2085</v>
      </c>
      <c r="G1324">
        <f>$G$1318+ABS($I$1324-$I$1318)/1000</f>
        <v>325.71483906136888</v>
      </c>
      <c r="H1324">
        <v>-15000</v>
      </c>
      <c r="I1324">
        <f>$I$1318-1074.7242</f>
        <v>-61252.781595460066</v>
      </c>
      <c r="J1324">
        <v>-270</v>
      </c>
      <c r="K1324">
        <v>0</v>
      </c>
    </row>
    <row r="1325" spans="1:13">
      <c r="A1325" t="s">
        <v>797</v>
      </c>
      <c r="B1325" t="s">
        <v>805</v>
      </c>
      <c r="C1325" t="s">
        <v>806</v>
      </c>
      <c r="E1325" s="2" t="s">
        <v>282</v>
      </c>
      <c r="F1325" s="2" t="s">
        <v>2627</v>
      </c>
      <c r="G1325">
        <f t="shared" si="27"/>
        <v>325.72477532903883</v>
      </c>
      <c r="H1325">
        <v>-15000</v>
      </c>
      <c r="I1325">
        <v>-61262.717863129998</v>
      </c>
      <c r="J1325">
        <v>90</v>
      </c>
      <c r="K1325">
        <v>360</v>
      </c>
      <c r="L1325">
        <f>_xlfn.XLOOKUP(F1325,magnet_list!$A$2:$A$592,magnet_list!$M$2:$M$592,"n/a",0,1)</f>
        <v>160</v>
      </c>
      <c r="M1325">
        <f>_xlfn.XLOOKUP(F1325,magnet_list!$A$2:$A$592,magnet_list!$L$2:$L$592,"n/a",0,1)</f>
        <v>44</v>
      </c>
    </row>
    <row r="1326" spans="1:13">
      <c r="A1326" t="s">
        <v>797</v>
      </c>
      <c r="B1326" t="s">
        <v>805</v>
      </c>
      <c r="C1326" t="s">
        <v>1152</v>
      </c>
      <c r="D1326" t="s">
        <v>804</v>
      </c>
      <c r="E1326" s="2" t="s">
        <v>688</v>
      </c>
      <c r="F1326" s="2" t="s">
        <v>2627</v>
      </c>
      <c r="G1326">
        <f t="shared" si="27"/>
        <v>325.79474582903885</v>
      </c>
      <c r="H1326">
        <v>-15000</v>
      </c>
      <c r="I1326">
        <v>-61332.688363129993</v>
      </c>
      <c r="J1326">
        <v>90</v>
      </c>
      <c r="K1326">
        <v>360</v>
      </c>
      <c r="L1326">
        <f>_xlfn.XLOOKUP(F1326,magnet_list!$A$2:$A$592,magnet_list!$M$2:$M$592,"n/a",0,1)</f>
        <v>160</v>
      </c>
      <c r="M1326">
        <f>_xlfn.XLOOKUP(F1326,magnet_list!$A$2:$A$592,magnet_list!$L$2:$L$592,"n/a",0,1)</f>
        <v>44</v>
      </c>
    </row>
    <row r="1327" spans="1:13">
      <c r="A1327" t="s">
        <v>797</v>
      </c>
      <c r="B1327" t="s">
        <v>805</v>
      </c>
      <c r="C1327" t="s">
        <v>806</v>
      </c>
      <c r="E1327" s="2" t="s">
        <v>283</v>
      </c>
      <c r="F1327" s="2" t="s">
        <v>2627</v>
      </c>
      <c r="G1327">
        <f t="shared" si="27"/>
        <v>325.86474234892887</v>
      </c>
      <c r="H1327">
        <v>-15000</v>
      </c>
      <c r="I1327">
        <v>-61402.684883020003</v>
      </c>
      <c r="J1327">
        <v>90</v>
      </c>
      <c r="K1327">
        <v>360</v>
      </c>
      <c r="L1327">
        <f>_xlfn.XLOOKUP(F1327,magnet_list!$A$2:$A$592,magnet_list!$M$2:$M$592,"n/a",0,1)</f>
        <v>160</v>
      </c>
      <c r="M1327">
        <f>_xlfn.XLOOKUP(F1327,magnet_list!$A$2:$A$592,magnet_list!$L$2:$L$592,"n/a",0,1)</f>
        <v>44</v>
      </c>
    </row>
    <row r="1328" spans="1:13">
      <c r="A1328" t="s">
        <v>797</v>
      </c>
      <c r="B1328" t="s">
        <v>805</v>
      </c>
      <c r="C1328" t="s">
        <v>806</v>
      </c>
      <c r="E1328" s="2" t="s">
        <v>284</v>
      </c>
      <c r="F1328" s="2" t="s">
        <v>284</v>
      </c>
      <c r="G1328">
        <f t="shared" si="27"/>
        <v>326.10111780709889</v>
      </c>
      <c r="H1328">
        <v>-15000</v>
      </c>
      <c r="I1328">
        <v>-61639.060341190001</v>
      </c>
      <c r="J1328">
        <v>5</v>
      </c>
      <c r="K1328">
        <v>275</v>
      </c>
      <c r="L1328">
        <f>_xlfn.XLOOKUP(F1328,magnet_list!$A$2:$A$592,magnet_list!$M$2:$M$592,"n/a",0,1)</f>
        <v>80</v>
      </c>
      <c r="M1328">
        <f>_xlfn.XLOOKUP(F1328,magnet_list!$A$2:$A$592,magnet_list!$L$2:$L$592,"n/a",0,1)</f>
        <v>39</v>
      </c>
    </row>
    <row r="1329" spans="1:13">
      <c r="A1329" t="s">
        <v>797</v>
      </c>
      <c r="B1329" t="s">
        <v>805</v>
      </c>
      <c r="C1329" t="s">
        <v>1152</v>
      </c>
      <c r="D1329" t="s">
        <v>804</v>
      </c>
      <c r="E1329" s="2" t="s">
        <v>1886</v>
      </c>
      <c r="F1329" s="2" t="s">
        <v>284</v>
      </c>
      <c r="G1329">
        <f t="shared" si="27"/>
        <v>326.10111780709889</v>
      </c>
      <c r="H1329">
        <v>-15000</v>
      </c>
      <c r="I1329">
        <v>-61639.060341190001</v>
      </c>
      <c r="J1329">
        <v>5</v>
      </c>
      <c r="K1329">
        <v>275</v>
      </c>
      <c r="L1329">
        <f>_xlfn.XLOOKUP(F1329,magnet_list!$A$2:$A$592,magnet_list!$M$2:$M$592,"n/a",0,1)</f>
        <v>80</v>
      </c>
      <c r="M1329">
        <f>_xlfn.XLOOKUP(F1329,magnet_list!$A$2:$A$592,magnet_list!$L$2:$L$592,"n/a",0,1)</f>
        <v>39</v>
      </c>
    </row>
    <row r="1330" spans="1:13">
      <c r="A1330" t="s">
        <v>797</v>
      </c>
      <c r="B1330" t="s">
        <v>805</v>
      </c>
      <c r="C1330" t="s">
        <v>806</v>
      </c>
      <c r="E1330" s="2" t="s">
        <v>285</v>
      </c>
      <c r="F1330" s="2" t="s">
        <v>285</v>
      </c>
      <c r="G1330">
        <f t="shared" si="27"/>
        <v>326.28675709018887</v>
      </c>
      <c r="H1330">
        <v>-15000</v>
      </c>
      <c r="I1330">
        <v>-61824.699624280001</v>
      </c>
      <c r="J1330">
        <v>5</v>
      </c>
      <c r="K1330">
        <v>275</v>
      </c>
      <c r="L1330">
        <f>_xlfn.XLOOKUP(F1330,magnet_list!$A$2:$A$592,magnet_list!$M$2:$M$592,"n/a",0,1)</f>
        <v>80</v>
      </c>
      <c r="M1330">
        <f>_xlfn.XLOOKUP(F1330,magnet_list!$A$2:$A$592,magnet_list!$L$2:$L$592,"n/a",0,1)</f>
        <v>39</v>
      </c>
    </row>
    <row r="1331" spans="1:13">
      <c r="A1331" t="s">
        <v>797</v>
      </c>
      <c r="B1331" t="s">
        <v>805</v>
      </c>
      <c r="C1331" t="s">
        <v>1152</v>
      </c>
      <c r="D1331" t="s">
        <v>804</v>
      </c>
      <c r="E1331" s="2" t="s">
        <v>1887</v>
      </c>
      <c r="F1331" s="2" t="s">
        <v>285</v>
      </c>
      <c r="G1331">
        <f t="shared" si="27"/>
        <v>326.28675709018887</v>
      </c>
      <c r="H1331">
        <v>-15000</v>
      </c>
      <c r="I1331">
        <v>-61824.699624280001</v>
      </c>
      <c r="J1331">
        <v>5</v>
      </c>
      <c r="K1331">
        <v>275</v>
      </c>
      <c r="L1331">
        <f>_xlfn.XLOOKUP(F1331,magnet_list!$A$2:$A$592,magnet_list!$M$2:$M$592,"n/a",0,1)</f>
        <v>80</v>
      </c>
      <c r="M1331">
        <f>_xlfn.XLOOKUP(F1331,magnet_list!$A$2:$A$592,magnet_list!$L$2:$L$592,"n/a",0,1)</f>
        <v>39</v>
      </c>
    </row>
    <row r="1332" spans="1:13">
      <c r="A1332" t="s">
        <v>797</v>
      </c>
      <c r="B1332" t="s">
        <v>805</v>
      </c>
      <c r="C1332" t="s">
        <v>806</v>
      </c>
      <c r="E1332" s="2" t="s">
        <v>286</v>
      </c>
      <c r="F1332" s="2" t="s">
        <v>2628</v>
      </c>
      <c r="G1332">
        <f t="shared" si="27"/>
        <v>326.52442916697885</v>
      </c>
      <c r="H1332">
        <v>-15000</v>
      </c>
      <c r="I1332">
        <v>-62062.371701069998</v>
      </c>
      <c r="J1332">
        <v>90</v>
      </c>
      <c r="K1332">
        <v>360</v>
      </c>
      <c r="L1332">
        <f>_xlfn.XLOOKUP(F1332,magnet_list!$A$2:$A$592,magnet_list!$M$2:$M$592,"n/a",0,1)</f>
        <v>160</v>
      </c>
      <c r="M1332">
        <f>_xlfn.XLOOKUP(F1332,magnet_list!$A$2:$A$592,magnet_list!$L$2:$L$592,"n/a",0,1)</f>
        <v>44</v>
      </c>
    </row>
    <row r="1333" spans="1:13">
      <c r="A1333" t="s">
        <v>797</v>
      </c>
      <c r="B1333" t="s">
        <v>805</v>
      </c>
      <c r="C1333" t="s">
        <v>1152</v>
      </c>
      <c r="D1333" t="s">
        <v>804</v>
      </c>
      <c r="E1333" s="2" t="s">
        <v>689</v>
      </c>
      <c r="F1333" s="2" t="s">
        <v>2628</v>
      </c>
      <c r="G1333">
        <f t="shared" ref="G1333:G1398" si="28">G1332-(I1333-I1332)/1000</f>
        <v>326.59442016697886</v>
      </c>
      <c r="H1333">
        <v>-15000</v>
      </c>
      <c r="I1333">
        <v>-62132.362701069993</v>
      </c>
      <c r="J1333">
        <v>90</v>
      </c>
      <c r="K1333">
        <v>360</v>
      </c>
      <c r="L1333">
        <f>_xlfn.XLOOKUP(F1333,magnet_list!$A$2:$A$592,magnet_list!$M$2:$M$592,"n/a",0,1)</f>
        <v>160</v>
      </c>
      <c r="M1333">
        <f>_xlfn.XLOOKUP(F1333,magnet_list!$A$2:$A$592,magnet_list!$L$2:$L$592,"n/a",0,1)</f>
        <v>44</v>
      </c>
    </row>
    <row r="1334" spans="1:13">
      <c r="A1334" t="s">
        <v>797</v>
      </c>
      <c r="B1334" t="s">
        <v>805</v>
      </c>
      <c r="C1334" t="s">
        <v>806</v>
      </c>
      <c r="E1334" s="2" t="s">
        <v>287</v>
      </c>
      <c r="F1334" s="2" t="s">
        <v>2628</v>
      </c>
      <c r="G1334">
        <f t="shared" si="28"/>
        <v>326.66440108303885</v>
      </c>
      <c r="H1334">
        <v>-15000</v>
      </c>
      <c r="I1334">
        <v>-62202.343617129998</v>
      </c>
      <c r="J1334">
        <v>90</v>
      </c>
      <c r="K1334">
        <v>360</v>
      </c>
      <c r="L1334">
        <f>_xlfn.XLOOKUP(F1334,magnet_list!$A$2:$A$592,magnet_list!$M$2:$M$592,"n/a",0,1)</f>
        <v>160</v>
      </c>
      <c r="M1334">
        <f>_xlfn.XLOOKUP(F1334,magnet_list!$A$2:$A$592,magnet_list!$L$2:$L$592,"n/a",0,1)</f>
        <v>44</v>
      </c>
    </row>
    <row r="1335" spans="1:13">
      <c r="A1335" t="s">
        <v>797</v>
      </c>
      <c r="B1335" t="s">
        <v>804</v>
      </c>
      <c r="C1335" t="s">
        <v>1152</v>
      </c>
      <c r="D1335" t="s">
        <v>804</v>
      </c>
      <c r="E1335" s="10" t="s">
        <v>1602</v>
      </c>
      <c r="F1335" s="10" t="s">
        <v>2629</v>
      </c>
      <c r="G1335">
        <f>$G$1342-ABS($I$1342-$I$1335)/1000</f>
        <v>326.89695536136884</v>
      </c>
      <c r="H1335">
        <v>-15000</v>
      </c>
      <c r="I1335">
        <f>$I$1342+$L$1335/2</f>
        <v>-62434.897895460068</v>
      </c>
      <c r="J1335">
        <v>-270</v>
      </c>
      <c r="K1335">
        <v>0</v>
      </c>
      <c r="L1335">
        <v>1889.4492</v>
      </c>
    </row>
    <row r="1336" spans="1:13">
      <c r="A1336" t="s">
        <v>797</v>
      </c>
      <c r="B1336" t="s">
        <v>805</v>
      </c>
      <c r="C1336" t="s">
        <v>806</v>
      </c>
      <c r="E1336" s="2" t="s">
        <v>288</v>
      </c>
      <c r="F1336" s="2" t="s">
        <v>2630</v>
      </c>
      <c r="G1336">
        <f t="shared" si="28"/>
        <v>327.06561891157878</v>
      </c>
      <c r="H1336">
        <v>-15000</v>
      </c>
      <c r="I1336">
        <v>-62603.561445669999</v>
      </c>
      <c r="J1336">
        <v>75</v>
      </c>
      <c r="K1336">
        <v>345</v>
      </c>
      <c r="L1336">
        <f>_xlfn.XLOOKUP(F1336,magnet_list!$A$2:$A$592,magnet_list!$M$2:$M$592,"n/a",0,1)</f>
        <v>300</v>
      </c>
      <c r="M1336">
        <f>_xlfn.XLOOKUP(F1336,magnet_list!$A$2:$A$592,magnet_list!$L$2:$L$592,"n/a",0,1)</f>
        <v>120</v>
      </c>
    </row>
    <row r="1337" spans="1:13">
      <c r="A1337" t="s">
        <v>797</v>
      </c>
      <c r="B1337" t="s">
        <v>805</v>
      </c>
      <c r="C1337" t="s">
        <v>1152</v>
      </c>
      <c r="D1337" t="s">
        <v>804</v>
      </c>
      <c r="E1337" s="2" t="s">
        <v>690</v>
      </c>
      <c r="F1337" s="2" t="s">
        <v>2630</v>
      </c>
      <c r="G1337">
        <f t="shared" si="28"/>
        <v>327.2006059115788</v>
      </c>
      <c r="H1337">
        <v>-15000</v>
      </c>
      <c r="I1337">
        <v>-62738.54844567</v>
      </c>
      <c r="J1337">
        <v>75</v>
      </c>
      <c r="K1337">
        <v>345</v>
      </c>
      <c r="L1337">
        <f>_xlfn.XLOOKUP(F1337,magnet_list!$A$2:$A$592,magnet_list!$M$2:$M$592,"n/a",0,1)</f>
        <v>300</v>
      </c>
      <c r="M1337">
        <f>_xlfn.XLOOKUP(F1337,magnet_list!$A$2:$A$592,magnet_list!$L$2:$L$592,"n/a",0,1)</f>
        <v>120</v>
      </c>
    </row>
    <row r="1338" spans="1:13">
      <c r="A1338" t="s">
        <v>797</v>
      </c>
      <c r="B1338" t="s">
        <v>803</v>
      </c>
      <c r="C1338" t="s">
        <v>806</v>
      </c>
      <c r="E1338" t="s">
        <v>837</v>
      </c>
      <c r="F1338" t="s">
        <v>837</v>
      </c>
      <c r="G1338">
        <f t="shared" si="28"/>
        <v>327.31687326887879</v>
      </c>
      <c r="H1338">
        <v>-11029.11099076</v>
      </c>
      <c r="I1338">
        <v>-62854.815802969999</v>
      </c>
      <c r="J1338">
        <v>286.54341727000002</v>
      </c>
      <c r="K1338">
        <v>556.54341726999996</v>
      </c>
    </row>
    <row r="1339" spans="1:13">
      <c r="A1339" t="s">
        <v>797</v>
      </c>
      <c r="B1339" t="s">
        <v>805</v>
      </c>
      <c r="C1339" t="s">
        <v>806</v>
      </c>
      <c r="E1339" s="2" t="s">
        <v>289</v>
      </c>
      <c r="F1339" s="2" t="s">
        <v>2630</v>
      </c>
      <c r="G1339">
        <f t="shared" si="28"/>
        <v>327.33557458099881</v>
      </c>
      <c r="H1339">
        <v>-15000</v>
      </c>
      <c r="I1339">
        <v>-62873.517115089999</v>
      </c>
      <c r="J1339">
        <v>75</v>
      </c>
      <c r="K1339">
        <v>345</v>
      </c>
      <c r="L1339">
        <f>_xlfn.XLOOKUP(F1339,magnet_list!$A$2:$A$592,magnet_list!$M$2:$M$592,"n/a",0,1)</f>
        <v>300</v>
      </c>
      <c r="M1339">
        <f>_xlfn.XLOOKUP(F1339,magnet_list!$A$2:$A$592,magnet_list!$L$2:$L$592,"n/a",0,1)</f>
        <v>120</v>
      </c>
    </row>
    <row r="1340" spans="1:13">
      <c r="A1340" t="s">
        <v>797</v>
      </c>
      <c r="B1340" t="s">
        <v>805</v>
      </c>
      <c r="C1340" t="s">
        <v>806</v>
      </c>
      <c r="E1340" s="2" t="s">
        <v>290</v>
      </c>
      <c r="F1340" s="2" t="s">
        <v>2631</v>
      </c>
      <c r="G1340">
        <f t="shared" si="28"/>
        <v>327.67207879800878</v>
      </c>
      <c r="H1340">
        <v>-15000</v>
      </c>
      <c r="I1340">
        <v>-63210.021332099997</v>
      </c>
      <c r="J1340">
        <v>75</v>
      </c>
      <c r="K1340">
        <v>345</v>
      </c>
      <c r="L1340">
        <f>_xlfn.XLOOKUP(F1340,magnet_list!$A$2:$A$592,magnet_list!$M$2:$M$592,"n/a",0,1)</f>
        <v>300</v>
      </c>
      <c r="M1340">
        <f>_xlfn.XLOOKUP(F1340,magnet_list!$A$2:$A$592,magnet_list!$L$2:$L$592,"n/a",0,1)</f>
        <v>120</v>
      </c>
    </row>
    <row r="1341" spans="1:13">
      <c r="A1341" t="s">
        <v>797</v>
      </c>
      <c r="B1341" t="s">
        <v>805</v>
      </c>
      <c r="C1341" t="s">
        <v>1152</v>
      </c>
      <c r="D1341" t="s">
        <v>804</v>
      </c>
      <c r="E1341" s="2" t="s">
        <v>691</v>
      </c>
      <c r="F1341" s="2" t="s">
        <v>2631</v>
      </c>
      <c r="G1341">
        <f t="shared" si="28"/>
        <v>327.80707229800879</v>
      </c>
      <c r="H1341">
        <v>-15000</v>
      </c>
      <c r="I1341">
        <v>-63345.014832099994</v>
      </c>
      <c r="J1341">
        <v>75</v>
      </c>
      <c r="K1341">
        <v>345</v>
      </c>
      <c r="L1341">
        <f>_xlfn.XLOOKUP(F1341,magnet_list!$A$2:$A$592,magnet_list!$M$2:$M$592,"n/a",0,1)</f>
        <v>300</v>
      </c>
      <c r="M1341">
        <f>_xlfn.XLOOKUP(F1341,magnet_list!$A$2:$A$592,magnet_list!$L$2:$L$592,"n/a",0,1)</f>
        <v>120</v>
      </c>
    </row>
    <row r="1342" spans="1:13">
      <c r="A1342" t="s">
        <v>797</v>
      </c>
      <c r="B1342" t="s">
        <v>804</v>
      </c>
      <c r="C1342" t="s">
        <v>1152</v>
      </c>
      <c r="D1342" t="s">
        <v>804</v>
      </c>
      <c r="E1342" s="10" t="s">
        <v>1302</v>
      </c>
      <c r="F1342" s="10" t="s">
        <v>2629</v>
      </c>
      <c r="G1342">
        <f>$G$1324+ABS($I$1342-$I$1324)/1000</f>
        <v>327.84167996136887</v>
      </c>
      <c r="H1342">
        <v>-15000</v>
      </c>
      <c r="I1342">
        <f>$I$1324-2126.8409</f>
        <v>-63379.622495460069</v>
      </c>
      <c r="J1342">
        <v>-270</v>
      </c>
      <c r="K1342">
        <v>0</v>
      </c>
      <c r="L1342">
        <v>1889.4492</v>
      </c>
    </row>
    <row r="1343" spans="1:13">
      <c r="A1343" t="s">
        <v>797</v>
      </c>
      <c r="B1343" t="s">
        <v>805</v>
      </c>
      <c r="C1343" t="s">
        <v>806</v>
      </c>
      <c r="E1343" s="2" t="s">
        <v>291</v>
      </c>
      <c r="F1343" s="2" t="s">
        <v>2631</v>
      </c>
      <c r="G1343">
        <f t="shared" si="28"/>
        <v>327.9420613023388</v>
      </c>
      <c r="H1343">
        <v>-15000</v>
      </c>
      <c r="I1343">
        <v>-63480.003836429998</v>
      </c>
      <c r="J1343">
        <v>75</v>
      </c>
      <c r="K1343">
        <v>345</v>
      </c>
      <c r="L1343">
        <f>_xlfn.XLOOKUP(F1343,magnet_list!$A$2:$A$592,magnet_list!$M$2:$M$592,"n/a",0,1)</f>
        <v>300</v>
      </c>
      <c r="M1343">
        <f>_xlfn.XLOOKUP(F1343,magnet_list!$A$2:$A$592,magnet_list!$L$2:$L$592,"n/a",0,1)</f>
        <v>120</v>
      </c>
    </row>
    <row r="1344" spans="1:13">
      <c r="A1344" t="s">
        <v>797</v>
      </c>
      <c r="B1344" t="s">
        <v>805</v>
      </c>
      <c r="C1344" t="s">
        <v>806</v>
      </c>
      <c r="E1344" s="2" t="s">
        <v>292</v>
      </c>
      <c r="F1344" s="2" t="s">
        <v>2632</v>
      </c>
      <c r="G1344">
        <f t="shared" si="28"/>
        <v>328.24775180064881</v>
      </c>
      <c r="H1344">
        <v>-15000</v>
      </c>
      <c r="I1344">
        <v>-63785.694334740001</v>
      </c>
      <c r="J1344">
        <v>75</v>
      </c>
      <c r="K1344">
        <v>345</v>
      </c>
      <c r="L1344">
        <f>_xlfn.XLOOKUP(F1344,magnet_list!$A$2:$A$592,magnet_list!$M$2:$M$592,"n/a",0,1)</f>
        <v>300</v>
      </c>
      <c r="M1344">
        <f>_xlfn.XLOOKUP(F1344,magnet_list!$A$2:$A$592,magnet_list!$L$2:$L$592,"n/a",0,1)</f>
        <v>120</v>
      </c>
    </row>
    <row r="1345" spans="1:13">
      <c r="A1345" t="s">
        <v>797</v>
      </c>
      <c r="B1345" t="s">
        <v>805</v>
      </c>
      <c r="C1345" t="s">
        <v>1152</v>
      </c>
      <c r="D1345" t="s">
        <v>804</v>
      </c>
      <c r="E1345" s="2" t="s">
        <v>692</v>
      </c>
      <c r="F1345" s="2" t="s">
        <v>2632</v>
      </c>
      <c r="G1345">
        <f t="shared" si="28"/>
        <v>328.38273880064884</v>
      </c>
      <c r="H1345">
        <v>-15000</v>
      </c>
      <c r="I1345">
        <v>-63920.681334740002</v>
      </c>
      <c r="J1345">
        <v>75</v>
      </c>
      <c r="K1345">
        <v>345</v>
      </c>
      <c r="L1345">
        <f>_xlfn.XLOOKUP(F1345,magnet_list!$A$2:$A$592,magnet_list!$M$2:$M$592,"n/a",0,1)</f>
        <v>300</v>
      </c>
      <c r="M1345">
        <f>_xlfn.XLOOKUP(F1345,magnet_list!$A$2:$A$592,magnet_list!$L$2:$L$592,"n/a",0,1)</f>
        <v>120</v>
      </c>
    </row>
    <row r="1346" spans="1:13">
      <c r="A1346" t="s">
        <v>797</v>
      </c>
      <c r="B1346" t="s">
        <v>805</v>
      </c>
      <c r="C1346" t="s">
        <v>806</v>
      </c>
      <c r="E1346" s="2" t="s">
        <v>293</v>
      </c>
      <c r="F1346" s="2" t="s">
        <v>2632</v>
      </c>
      <c r="G1346">
        <f t="shared" si="28"/>
        <v>328.51775120170885</v>
      </c>
      <c r="H1346">
        <v>-15000</v>
      </c>
      <c r="I1346">
        <v>-64055.6937358</v>
      </c>
      <c r="J1346">
        <v>75</v>
      </c>
      <c r="K1346">
        <v>345</v>
      </c>
      <c r="L1346">
        <f>_xlfn.XLOOKUP(F1346,magnet_list!$A$2:$A$592,magnet_list!$M$2:$M$592,"n/a",0,1)</f>
        <v>300</v>
      </c>
      <c r="M1346">
        <f>_xlfn.XLOOKUP(F1346,magnet_list!$A$2:$A$592,magnet_list!$L$2:$L$592,"n/a",0,1)</f>
        <v>120</v>
      </c>
    </row>
    <row r="1347" spans="1:13">
      <c r="A1347" t="s">
        <v>797</v>
      </c>
      <c r="B1347" t="s">
        <v>804</v>
      </c>
      <c r="C1347" t="s">
        <v>1152</v>
      </c>
      <c r="D1347" t="s">
        <v>804</v>
      </c>
      <c r="E1347" s="10" t="s">
        <v>1603</v>
      </c>
      <c r="F1347" s="10" t="s">
        <v>2629</v>
      </c>
      <c r="G1347">
        <f>$G$1342+ABS($I$1347-$I$1342)/1000</f>
        <v>328.7864045613689</v>
      </c>
      <c r="H1347">
        <v>-15000</v>
      </c>
      <c r="I1347">
        <f>$I$1342-$L$1347/2</f>
        <v>-64324.347095460071</v>
      </c>
      <c r="J1347">
        <v>-270</v>
      </c>
      <c r="K1347">
        <v>0</v>
      </c>
      <c r="L1347">
        <v>1889.4492</v>
      </c>
    </row>
    <row r="1348" spans="1:13">
      <c r="A1348" t="s">
        <v>797</v>
      </c>
      <c r="B1348" t="s">
        <v>805</v>
      </c>
      <c r="C1348" t="s">
        <v>806</v>
      </c>
      <c r="E1348" s="2" t="s">
        <v>294</v>
      </c>
      <c r="F1348" s="2" t="s">
        <v>2633</v>
      </c>
      <c r="G1348">
        <f t="shared" si="28"/>
        <v>328.91443292051883</v>
      </c>
      <c r="H1348">
        <v>-15000</v>
      </c>
      <c r="I1348">
        <v>-64452.375454610003</v>
      </c>
      <c r="J1348">
        <v>90</v>
      </c>
      <c r="K1348">
        <v>360</v>
      </c>
      <c r="L1348">
        <f>_xlfn.XLOOKUP(F1348,magnet_list!$A$2:$A$592,magnet_list!$M$2:$M$592,"n/a",0,1)</f>
        <v>160</v>
      </c>
      <c r="M1348">
        <f>_xlfn.XLOOKUP(F1348,magnet_list!$A$2:$A$592,magnet_list!$L$2:$L$592,"n/a",0,1)</f>
        <v>44</v>
      </c>
    </row>
    <row r="1349" spans="1:13">
      <c r="A1349" t="s">
        <v>797</v>
      </c>
      <c r="B1349" t="s">
        <v>805</v>
      </c>
      <c r="C1349" t="s">
        <v>1152</v>
      </c>
      <c r="D1349" t="s">
        <v>804</v>
      </c>
      <c r="E1349" s="2" t="s">
        <v>693</v>
      </c>
      <c r="F1349" s="2" t="s">
        <v>2633</v>
      </c>
      <c r="G1349">
        <f t="shared" si="28"/>
        <v>328.98443042051883</v>
      </c>
      <c r="H1349">
        <v>-15000</v>
      </c>
      <c r="I1349">
        <v>-64522.37295461</v>
      </c>
      <c r="J1349">
        <v>90</v>
      </c>
      <c r="K1349">
        <v>360</v>
      </c>
      <c r="L1349">
        <f>_xlfn.XLOOKUP(F1349,magnet_list!$A$2:$A$592,magnet_list!$M$2:$M$592,"n/a",0,1)</f>
        <v>160</v>
      </c>
      <c r="M1349">
        <f>_xlfn.XLOOKUP(F1349,magnet_list!$A$2:$A$592,magnet_list!$L$2:$L$592,"n/a",0,1)</f>
        <v>44</v>
      </c>
    </row>
    <row r="1350" spans="1:13">
      <c r="A1350" t="s">
        <v>797</v>
      </c>
      <c r="B1350" t="s">
        <v>805</v>
      </c>
      <c r="C1350" t="s">
        <v>806</v>
      </c>
      <c r="E1350" s="2" t="s">
        <v>295</v>
      </c>
      <c r="F1350" s="2" t="s">
        <v>2633</v>
      </c>
      <c r="G1350">
        <f t="shared" si="28"/>
        <v>329.05442249219885</v>
      </c>
      <c r="H1350">
        <v>-15000</v>
      </c>
      <c r="I1350">
        <v>-64592.365026289997</v>
      </c>
      <c r="J1350">
        <v>90</v>
      </c>
      <c r="K1350">
        <v>360</v>
      </c>
      <c r="L1350">
        <f>_xlfn.XLOOKUP(F1350,magnet_list!$A$2:$A$592,magnet_list!$M$2:$M$592,"n/a",0,1)</f>
        <v>160</v>
      </c>
      <c r="M1350">
        <f>_xlfn.XLOOKUP(F1350,magnet_list!$A$2:$A$592,magnet_list!$L$2:$L$592,"n/a",0,1)</f>
        <v>44</v>
      </c>
    </row>
    <row r="1351" spans="1:13">
      <c r="A1351" t="s">
        <v>797</v>
      </c>
      <c r="B1351" t="s">
        <v>804</v>
      </c>
      <c r="C1351" t="s">
        <v>1152</v>
      </c>
      <c r="D1351" t="s">
        <v>804</v>
      </c>
      <c r="E1351" s="10" t="s">
        <v>1604</v>
      </c>
      <c r="F1351" s="10" t="s">
        <v>2634</v>
      </c>
      <c r="G1351">
        <f>$G$1358-ABS($I$1358-$I$1351)/1000</f>
        <v>329.28500836136885</v>
      </c>
      <c r="H1351">
        <v>-15000</v>
      </c>
      <c r="I1351">
        <f>$I$1358+$L$1351/2</f>
        <v>-64822.950895460075</v>
      </c>
      <c r="J1351">
        <v>-270</v>
      </c>
      <c r="K1351">
        <v>0</v>
      </c>
      <c r="L1351">
        <v>1889.4492</v>
      </c>
    </row>
    <row r="1352" spans="1:13">
      <c r="A1352" t="s">
        <v>797</v>
      </c>
      <c r="B1352" t="s">
        <v>805</v>
      </c>
      <c r="C1352" t="s">
        <v>806</v>
      </c>
      <c r="E1352" s="2" t="s">
        <v>296</v>
      </c>
      <c r="F1352" s="2" t="s">
        <v>2635</v>
      </c>
      <c r="G1352">
        <f t="shared" si="28"/>
        <v>329.45861472978879</v>
      </c>
      <c r="H1352">
        <v>-15000</v>
      </c>
      <c r="I1352">
        <v>-64996.55726388</v>
      </c>
      <c r="J1352">
        <v>75</v>
      </c>
      <c r="K1352">
        <v>345</v>
      </c>
      <c r="L1352">
        <f>_xlfn.XLOOKUP(F1352,magnet_list!$A$2:$A$592,magnet_list!$M$2:$M$592,"n/a",0,1)</f>
        <v>300</v>
      </c>
      <c r="M1352">
        <f>_xlfn.XLOOKUP(F1352,magnet_list!$A$2:$A$592,magnet_list!$L$2:$L$592,"n/a",0,1)</f>
        <v>120</v>
      </c>
    </row>
    <row r="1353" spans="1:13">
      <c r="A1353" t="s">
        <v>797</v>
      </c>
      <c r="B1353" t="s">
        <v>805</v>
      </c>
      <c r="C1353" t="s">
        <v>1152</v>
      </c>
      <c r="D1353" t="s">
        <v>804</v>
      </c>
      <c r="E1353" s="2" t="s">
        <v>694</v>
      </c>
      <c r="F1353" s="2" t="s">
        <v>2635</v>
      </c>
      <c r="G1353">
        <f t="shared" si="28"/>
        <v>329.5936087297888</v>
      </c>
      <c r="H1353">
        <v>-15000</v>
      </c>
      <c r="I1353">
        <v>-65131.551263880006</v>
      </c>
      <c r="J1353">
        <v>75</v>
      </c>
      <c r="K1353">
        <v>345</v>
      </c>
      <c r="L1353">
        <f>_xlfn.XLOOKUP(F1353,magnet_list!$A$2:$A$592,magnet_list!$M$2:$M$592,"n/a",0,1)</f>
        <v>300</v>
      </c>
      <c r="M1353">
        <f>_xlfn.XLOOKUP(F1353,magnet_list!$A$2:$A$592,magnet_list!$L$2:$L$592,"n/a",0,1)</f>
        <v>120</v>
      </c>
    </row>
    <row r="1354" spans="1:13">
      <c r="A1354" t="s">
        <v>797</v>
      </c>
      <c r="B1354" t="s">
        <v>805</v>
      </c>
      <c r="C1354" t="s">
        <v>806</v>
      </c>
      <c r="E1354" s="2" t="s">
        <v>297</v>
      </c>
      <c r="F1354" s="2" t="s">
        <v>2635</v>
      </c>
      <c r="G1354">
        <f t="shared" si="28"/>
        <v>329.72857983661879</v>
      </c>
      <c r="H1354">
        <v>-15000</v>
      </c>
      <c r="I1354">
        <v>-65266.522370710001</v>
      </c>
      <c r="J1354">
        <v>75</v>
      </c>
      <c r="K1354">
        <v>345</v>
      </c>
      <c r="L1354">
        <f>_xlfn.XLOOKUP(F1354,magnet_list!$A$2:$A$592,magnet_list!$M$2:$M$592,"n/a",0,1)</f>
        <v>300</v>
      </c>
      <c r="M1354">
        <f>_xlfn.XLOOKUP(F1354,magnet_list!$A$2:$A$592,magnet_list!$L$2:$L$592,"n/a",0,1)</f>
        <v>120</v>
      </c>
    </row>
    <row r="1355" spans="1:13">
      <c r="A1355" t="s">
        <v>797</v>
      </c>
      <c r="B1355" t="s">
        <v>805</v>
      </c>
      <c r="C1355" t="s">
        <v>806</v>
      </c>
      <c r="E1355" s="2" t="s">
        <v>298</v>
      </c>
      <c r="F1355" s="2" t="s">
        <v>2636</v>
      </c>
      <c r="G1355">
        <f t="shared" si="28"/>
        <v>330.05690391555879</v>
      </c>
      <c r="H1355">
        <v>-15000</v>
      </c>
      <c r="I1355">
        <v>-65594.846449649995</v>
      </c>
      <c r="J1355">
        <v>75</v>
      </c>
      <c r="K1355">
        <v>345</v>
      </c>
      <c r="L1355">
        <f>_xlfn.XLOOKUP(F1355,magnet_list!$A$2:$A$592,magnet_list!$M$2:$M$592,"n/a",0,1)</f>
        <v>300</v>
      </c>
      <c r="M1355">
        <f>_xlfn.XLOOKUP(F1355,magnet_list!$A$2:$A$592,magnet_list!$L$2:$L$592,"n/a",0,1)</f>
        <v>120</v>
      </c>
    </row>
    <row r="1356" spans="1:13">
      <c r="A1356" t="s">
        <v>797</v>
      </c>
      <c r="B1356" t="s">
        <v>805</v>
      </c>
      <c r="C1356" t="s">
        <v>1152</v>
      </c>
      <c r="D1356" t="s">
        <v>804</v>
      </c>
      <c r="E1356" s="2" t="s">
        <v>695</v>
      </c>
      <c r="F1356" s="2" t="s">
        <v>2636</v>
      </c>
      <c r="G1356">
        <f t="shared" si="28"/>
        <v>330.1918979155588</v>
      </c>
      <c r="H1356">
        <v>-15000</v>
      </c>
      <c r="I1356">
        <v>-65729.840449650001</v>
      </c>
      <c r="J1356">
        <v>75</v>
      </c>
      <c r="K1356">
        <v>345</v>
      </c>
      <c r="L1356">
        <f>_xlfn.XLOOKUP(F1356,magnet_list!$A$2:$A$592,magnet_list!$M$2:$M$592,"n/a",0,1)</f>
        <v>300</v>
      </c>
      <c r="M1356">
        <f>_xlfn.XLOOKUP(F1356,magnet_list!$A$2:$A$592,magnet_list!$L$2:$L$592,"n/a",0,1)</f>
        <v>120</v>
      </c>
    </row>
    <row r="1357" spans="1:13">
      <c r="A1357" t="s">
        <v>797</v>
      </c>
      <c r="B1357" t="s">
        <v>803</v>
      </c>
      <c r="C1357" t="s">
        <v>806</v>
      </c>
      <c r="E1357" t="s">
        <v>839</v>
      </c>
      <c r="F1357" t="s">
        <v>839</v>
      </c>
      <c r="G1357">
        <f t="shared" si="28"/>
        <v>330.2070820384688</v>
      </c>
      <c r="H1357">
        <v>-12138.35288728</v>
      </c>
      <c r="I1357">
        <v>-65745.024572559996</v>
      </c>
      <c r="J1357">
        <v>289.65452613000002</v>
      </c>
      <c r="K1357">
        <v>559.65452613000002</v>
      </c>
    </row>
    <row r="1358" spans="1:13">
      <c r="A1358" t="s">
        <v>797</v>
      </c>
      <c r="B1358" t="s">
        <v>804</v>
      </c>
      <c r="C1358" t="s">
        <v>1152</v>
      </c>
      <c r="D1358" t="s">
        <v>804</v>
      </c>
      <c r="E1358" s="10" t="s">
        <v>1356</v>
      </c>
      <c r="F1358" s="10" t="s">
        <v>2634</v>
      </c>
      <c r="G1358">
        <f>$G$1342+ABS($I$1358-$I$1342)/1000</f>
        <v>330.22973296136888</v>
      </c>
      <c r="H1358">
        <v>-15000</v>
      </c>
      <c r="I1358">
        <f>$I$1342-2388.053</f>
        <v>-65767.675495460076</v>
      </c>
      <c r="J1358">
        <v>-270</v>
      </c>
      <c r="K1358">
        <v>0</v>
      </c>
      <c r="L1358">
        <v>1889.4492</v>
      </c>
    </row>
    <row r="1359" spans="1:13">
      <c r="A1359" t="s">
        <v>797</v>
      </c>
      <c r="B1359" t="s">
        <v>803</v>
      </c>
      <c r="C1359" t="s">
        <v>806</v>
      </c>
      <c r="E1359" t="s">
        <v>838</v>
      </c>
      <c r="F1359" t="s">
        <v>838</v>
      </c>
      <c r="G1359">
        <f t="shared" si="28"/>
        <v>330.25709260226881</v>
      </c>
      <c r="H1359">
        <v>-17479.352134320001</v>
      </c>
      <c r="I1359">
        <v>-65795.035136360006</v>
      </c>
      <c r="J1359">
        <v>-21.225716429999999</v>
      </c>
      <c r="K1359">
        <v>248.77428356999999</v>
      </c>
    </row>
    <row r="1360" spans="1:13">
      <c r="A1360" t="s">
        <v>797</v>
      </c>
      <c r="B1360" t="s">
        <v>805</v>
      </c>
      <c r="C1360" t="s">
        <v>806</v>
      </c>
      <c r="E1360" s="2" t="s">
        <v>299</v>
      </c>
      <c r="F1360" s="2" t="s">
        <v>2636</v>
      </c>
      <c r="G1360">
        <f t="shared" si="28"/>
        <v>330.32692092830882</v>
      </c>
      <c r="H1360">
        <v>-15000</v>
      </c>
      <c r="I1360">
        <v>-65864.863462399997</v>
      </c>
      <c r="J1360">
        <v>75</v>
      </c>
      <c r="K1360">
        <v>345</v>
      </c>
      <c r="L1360">
        <f>_xlfn.XLOOKUP(F1360,magnet_list!$A$2:$A$592,magnet_list!$M$2:$M$592,"n/a",0,1)</f>
        <v>300</v>
      </c>
      <c r="M1360">
        <f>_xlfn.XLOOKUP(F1360,magnet_list!$A$2:$A$592,magnet_list!$L$2:$L$592,"n/a",0,1)</f>
        <v>120</v>
      </c>
    </row>
    <row r="1361" spans="1:13">
      <c r="A1361" t="s">
        <v>797</v>
      </c>
      <c r="B1361" t="s">
        <v>805</v>
      </c>
      <c r="C1361" t="s">
        <v>806</v>
      </c>
      <c r="E1361" s="2" t="s">
        <v>300</v>
      </c>
      <c r="F1361" s="2" t="s">
        <v>2637</v>
      </c>
      <c r="G1361">
        <f t="shared" si="28"/>
        <v>330.6422359285188</v>
      </c>
      <c r="H1361">
        <v>-15000</v>
      </c>
      <c r="I1361">
        <v>-66180.178462609998</v>
      </c>
      <c r="J1361">
        <v>75</v>
      </c>
      <c r="K1361">
        <v>345</v>
      </c>
      <c r="L1361">
        <f>_xlfn.XLOOKUP(F1361,magnet_list!$A$2:$A$592,magnet_list!$M$2:$M$592,"n/a",0,1)</f>
        <v>300</v>
      </c>
      <c r="M1361">
        <f>_xlfn.XLOOKUP(F1361,magnet_list!$A$2:$A$592,magnet_list!$L$2:$L$592,"n/a",0,1)</f>
        <v>120</v>
      </c>
    </row>
    <row r="1362" spans="1:13">
      <c r="A1362" t="s">
        <v>797</v>
      </c>
      <c r="B1362" t="s">
        <v>805</v>
      </c>
      <c r="C1362" t="s">
        <v>1152</v>
      </c>
      <c r="D1362" t="s">
        <v>804</v>
      </c>
      <c r="E1362" s="2" t="s">
        <v>696</v>
      </c>
      <c r="F1362" s="2" t="s">
        <v>2637</v>
      </c>
      <c r="G1362">
        <f t="shared" si="28"/>
        <v>330.77722042851877</v>
      </c>
      <c r="H1362">
        <v>-15000</v>
      </c>
      <c r="I1362">
        <v>-66315.162962609989</v>
      </c>
      <c r="J1362">
        <v>75</v>
      </c>
      <c r="K1362">
        <v>345</v>
      </c>
      <c r="L1362">
        <f>_xlfn.XLOOKUP(F1362,magnet_list!$A$2:$A$592,magnet_list!$M$2:$M$592,"n/a",0,1)</f>
        <v>300</v>
      </c>
      <c r="M1362">
        <f>_xlfn.XLOOKUP(F1362,magnet_list!$A$2:$A$592,magnet_list!$L$2:$L$592,"n/a",0,1)</f>
        <v>120</v>
      </c>
    </row>
    <row r="1363" spans="1:13">
      <c r="A1363" t="s">
        <v>797</v>
      </c>
      <c r="B1363" t="s">
        <v>805</v>
      </c>
      <c r="C1363" t="s">
        <v>806</v>
      </c>
      <c r="E1363" s="2" t="s">
        <v>301</v>
      </c>
      <c r="F1363" s="2" t="s">
        <v>2637</v>
      </c>
      <c r="G1363">
        <f t="shared" si="28"/>
        <v>330.91224081119879</v>
      </c>
      <c r="H1363">
        <v>-15000</v>
      </c>
      <c r="I1363">
        <v>-66450.183345290003</v>
      </c>
      <c r="J1363">
        <v>75</v>
      </c>
      <c r="K1363">
        <v>345</v>
      </c>
      <c r="L1363">
        <f>_xlfn.XLOOKUP(F1363,magnet_list!$A$2:$A$592,magnet_list!$M$2:$M$592,"n/a",0,1)</f>
        <v>300</v>
      </c>
      <c r="M1363">
        <f>_xlfn.XLOOKUP(F1363,magnet_list!$A$2:$A$592,magnet_list!$L$2:$L$592,"n/a",0,1)</f>
        <v>120</v>
      </c>
    </row>
    <row r="1364" spans="1:13">
      <c r="A1364" t="s">
        <v>797</v>
      </c>
      <c r="B1364" t="s">
        <v>804</v>
      </c>
      <c r="C1364" t="s">
        <v>1152</v>
      </c>
      <c r="D1364" t="s">
        <v>804</v>
      </c>
      <c r="E1364" s="10" t="s">
        <v>1605</v>
      </c>
      <c r="F1364" s="10" t="s">
        <v>2634</v>
      </c>
      <c r="G1364">
        <f>$G$1358+ABS($I$1364-$I$1358)/1000</f>
        <v>331.17445756136891</v>
      </c>
      <c r="H1364">
        <v>-15000</v>
      </c>
      <c r="I1364">
        <f>$I$1358-$L$1364/2</f>
        <v>-66712.400095460078</v>
      </c>
      <c r="J1364">
        <v>-270</v>
      </c>
      <c r="K1364">
        <v>0</v>
      </c>
      <c r="L1364">
        <v>1889.4492</v>
      </c>
    </row>
    <row r="1365" spans="1:13">
      <c r="A1365" t="s">
        <v>797</v>
      </c>
      <c r="B1365" t="s">
        <v>1152</v>
      </c>
      <c r="C1365" t="s">
        <v>1152</v>
      </c>
      <c r="D1365" t="s">
        <v>804</v>
      </c>
      <c r="E1365" s="3" t="s">
        <v>2086</v>
      </c>
      <c r="F1365" s="3" t="s">
        <v>2086</v>
      </c>
      <c r="G1365">
        <f>$G$1358+ABS($I$1365-$I$1358)/1000</f>
        <v>331.3044580613689</v>
      </c>
      <c r="H1365">
        <v>-15000</v>
      </c>
      <c r="I1365">
        <f>$I$1358-1074.7251</f>
        <v>-66842.400595460073</v>
      </c>
      <c r="J1365">
        <v>-270</v>
      </c>
      <c r="K1365">
        <v>0</v>
      </c>
    </row>
    <row r="1366" spans="1:13">
      <c r="A1366" t="s">
        <v>797</v>
      </c>
      <c r="B1366" t="s">
        <v>805</v>
      </c>
      <c r="C1366" t="s">
        <v>806</v>
      </c>
      <c r="E1366" s="2" t="s">
        <v>302</v>
      </c>
      <c r="F1366" s="2" t="s">
        <v>2638</v>
      </c>
      <c r="G1366">
        <f t="shared" si="28"/>
        <v>331.38838143723882</v>
      </c>
      <c r="H1366">
        <v>-15000</v>
      </c>
      <c r="I1366">
        <v>-66926.323971329999</v>
      </c>
      <c r="J1366">
        <v>90</v>
      </c>
      <c r="K1366">
        <v>360</v>
      </c>
      <c r="L1366">
        <f>_xlfn.XLOOKUP(F1366,magnet_list!$A$2:$A$592,magnet_list!$M$2:$M$592,"n/a",0,1)</f>
        <v>160</v>
      </c>
      <c r="M1366">
        <f>_xlfn.XLOOKUP(F1366,magnet_list!$A$2:$A$592,magnet_list!$L$2:$L$592,"n/a",0,1)</f>
        <v>44</v>
      </c>
    </row>
    <row r="1367" spans="1:13">
      <c r="A1367" t="s">
        <v>797</v>
      </c>
      <c r="B1367" t="s">
        <v>1152</v>
      </c>
      <c r="C1367" t="s">
        <v>1152</v>
      </c>
      <c r="D1367" t="s">
        <v>804</v>
      </c>
      <c r="E1367" s="3" t="s">
        <v>2087</v>
      </c>
      <c r="F1367" s="3" t="s">
        <v>2087</v>
      </c>
      <c r="G1367">
        <f>$G$1365+ABS($I$1367-$I$1365)/1000</f>
        <v>331.38945806136888</v>
      </c>
      <c r="H1367">
        <v>-15000</v>
      </c>
      <c r="I1367">
        <f>$I$1365-85</f>
        <v>-66927.400595460073</v>
      </c>
      <c r="J1367">
        <v>-270</v>
      </c>
      <c r="K1367">
        <v>0</v>
      </c>
    </row>
    <row r="1368" spans="1:13">
      <c r="A1368" t="s">
        <v>797</v>
      </c>
      <c r="B1368" t="s">
        <v>805</v>
      </c>
      <c r="C1368" t="s">
        <v>1152</v>
      </c>
      <c r="D1368" t="s">
        <v>804</v>
      </c>
      <c r="E1368" s="2" t="s">
        <v>697</v>
      </c>
      <c r="F1368" s="2" t="s">
        <v>2638</v>
      </c>
      <c r="G1368">
        <f t="shared" si="28"/>
        <v>331.45836793723879</v>
      </c>
      <c r="H1368">
        <v>-15000</v>
      </c>
      <c r="I1368">
        <v>-66996.310471329998</v>
      </c>
      <c r="J1368">
        <v>90</v>
      </c>
      <c r="K1368">
        <v>360</v>
      </c>
      <c r="L1368">
        <f>_xlfn.XLOOKUP(F1368,magnet_list!$A$2:$A$592,magnet_list!$M$2:$M$592,"n/a",0,1)</f>
        <v>160</v>
      </c>
      <c r="M1368">
        <f>_xlfn.XLOOKUP(F1368,magnet_list!$A$2:$A$592,magnet_list!$L$2:$L$592,"n/a",0,1)</f>
        <v>44</v>
      </c>
    </row>
    <row r="1369" spans="1:13">
      <c r="A1369" t="s">
        <v>797</v>
      </c>
      <c r="B1369" t="s">
        <v>805</v>
      </c>
      <c r="C1369" t="s">
        <v>806</v>
      </c>
      <c r="E1369" s="2" t="s">
        <v>303</v>
      </c>
      <c r="F1369" s="2" t="s">
        <v>2638</v>
      </c>
      <c r="G1369">
        <f t="shared" si="28"/>
        <v>331.52840817871879</v>
      </c>
      <c r="H1369">
        <v>-15000</v>
      </c>
      <c r="I1369">
        <v>-67066.350712810003</v>
      </c>
      <c r="J1369">
        <v>90</v>
      </c>
      <c r="K1369">
        <v>360</v>
      </c>
      <c r="L1369">
        <f>_xlfn.XLOOKUP(F1369,magnet_list!$A$2:$A$592,magnet_list!$M$2:$M$592,"n/a",0,1)</f>
        <v>160</v>
      </c>
      <c r="M1369">
        <f>_xlfn.XLOOKUP(F1369,magnet_list!$A$2:$A$592,magnet_list!$L$2:$L$592,"n/a",0,1)</f>
        <v>44</v>
      </c>
    </row>
    <row r="1370" spans="1:13">
      <c r="A1370" t="s">
        <v>797</v>
      </c>
      <c r="B1370" t="s">
        <v>803</v>
      </c>
      <c r="C1370" t="s">
        <v>806</v>
      </c>
      <c r="E1370" t="s">
        <v>840</v>
      </c>
      <c r="F1370" t="s">
        <v>840</v>
      </c>
      <c r="G1370">
        <f t="shared" si="28"/>
        <v>331.54266367788881</v>
      </c>
      <c r="H1370">
        <v>-13535.72726856</v>
      </c>
      <c r="I1370">
        <v>-67080.606211980004</v>
      </c>
      <c r="J1370">
        <v>290.73189058999998</v>
      </c>
      <c r="K1370">
        <v>560.73189058999992</v>
      </c>
    </row>
    <row r="1371" spans="1:13">
      <c r="A1371" t="s">
        <v>797</v>
      </c>
      <c r="B1371" t="s">
        <v>805</v>
      </c>
      <c r="C1371" t="s">
        <v>1152</v>
      </c>
      <c r="D1371" t="s">
        <v>804</v>
      </c>
      <c r="E1371" s="2" t="s">
        <v>3885</v>
      </c>
      <c r="F1371" s="2" t="s">
        <v>3885</v>
      </c>
      <c r="G1371">
        <f>$G$1368+325/1000</f>
        <v>331.78336793723878</v>
      </c>
      <c r="H1371">
        <v>-15000</v>
      </c>
      <c r="I1371">
        <f>$I$1368-325</f>
        <v>-67321.310471329998</v>
      </c>
      <c r="J1371">
        <v>-36</v>
      </c>
      <c r="K1371">
        <f>J1371+270</f>
        <v>234</v>
      </c>
      <c r="L1371">
        <f>_xlfn.XLOOKUP($F1371,magnet_list!$A$2:$A$592,magnet_list!$M$2:$M$592,"n/a",0,1)</f>
        <v>150</v>
      </c>
      <c r="M1371">
        <f>_xlfn.XLOOKUP($F1371,magnet_list!$A$2:$A$592,magnet_list!$L$2:$L$592,"n/a",0,1)</f>
        <v>35</v>
      </c>
    </row>
    <row r="1372" spans="1:13">
      <c r="A1372" t="s">
        <v>797</v>
      </c>
      <c r="B1372" t="s">
        <v>805</v>
      </c>
      <c r="C1372" t="s">
        <v>806</v>
      </c>
      <c r="E1372" s="2" t="s">
        <v>304</v>
      </c>
      <c r="F1372" s="2" t="s">
        <v>2639</v>
      </c>
      <c r="G1372">
        <f>G1370-(I1372-I1370)/1000</f>
        <v>332.03717224138882</v>
      </c>
      <c r="H1372">
        <v>-15000</v>
      </c>
      <c r="I1372">
        <v>-67575.114775480004</v>
      </c>
      <c r="J1372">
        <v>90</v>
      </c>
      <c r="K1372">
        <v>360</v>
      </c>
      <c r="L1372">
        <f>_xlfn.XLOOKUP(F1372,magnet_list!$A$2:$A$592,magnet_list!$M$2:$M$592,"n/a",0,1)</f>
        <v>160</v>
      </c>
      <c r="M1372">
        <f>_xlfn.XLOOKUP(F1372,magnet_list!$A$2:$A$592,magnet_list!$L$2:$L$592,"n/a",0,1)</f>
        <v>44</v>
      </c>
    </row>
    <row r="1373" spans="1:13">
      <c r="A1373" t="s">
        <v>797</v>
      </c>
      <c r="B1373" t="s">
        <v>805</v>
      </c>
      <c r="C1373" t="s">
        <v>1152</v>
      </c>
      <c r="D1373" t="s">
        <v>804</v>
      </c>
      <c r="E1373" s="2" t="s">
        <v>698</v>
      </c>
      <c r="F1373" s="2" t="s">
        <v>2639</v>
      </c>
      <c r="G1373">
        <f t="shared" si="28"/>
        <v>332.10707236564883</v>
      </c>
      <c r="H1373">
        <v>-15000</v>
      </c>
      <c r="I1373">
        <v>-67645.014899739996</v>
      </c>
      <c r="J1373">
        <v>90</v>
      </c>
      <c r="K1373">
        <v>360</v>
      </c>
      <c r="L1373">
        <f>_xlfn.XLOOKUP(F1373,magnet_list!$A$2:$A$592,magnet_list!$M$2:$M$592,"n/a",0,1)</f>
        <v>160</v>
      </c>
      <c r="M1373">
        <f>_xlfn.XLOOKUP(F1373,magnet_list!$A$2:$A$592,magnet_list!$L$2:$L$592,"n/a",0,1)</f>
        <v>44</v>
      </c>
    </row>
    <row r="1374" spans="1:13">
      <c r="A1374" t="s">
        <v>797</v>
      </c>
      <c r="B1374" t="s">
        <v>805</v>
      </c>
      <c r="C1374" t="s">
        <v>806</v>
      </c>
      <c r="E1374" s="2" t="s">
        <v>305</v>
      </c>
      <c r="F1374" s="2" t="s">
        <v>2639</v>
      </c>
      <c r="G1374">
        <f t="shared" si="28"/>
        <v>332.17706836564884</v>
      </c>
      <c r="H1374">
        <v>-15000</v>
      </c>
      <c r="I1374">
        <v>-67715.010899739995</v>
      </c>
      <c r="J1374">
        <v>90</v>
      </c>
      <c r="K1374">
        <v>360</v>
      </c>
      <c r="L1374">
        <f>_xlfn.XLOOKUP(F1374,magnet_list!$A$2:$A$592,magnet_list!$M$2:$M$592,"n/a",0,1)</f>
        <v>160</v>
      </c>
      <c r="M1374">
        <f>_xlfn.XLOOKUP(F1374,magnet_list!$A$2:$A$592,magnet_list!$L$2:$L$592,"n/a",0,1)</f>
        <v>44</v>
      </c>
    </row>
    <row r="1375" spans="1:13">
      <c r="A1375" t="s">
        <v>797</v>
      </c>
      <c r="B1375" t="s">
        <v>805</v>
      </c>
      <c r="C1375" t="s">
        <v>1152</v>
      </c>
      <c r="D1375" t="s">
        <v>804</v>
      </c>
      <c r="E1375" s="2" t="s">
        <v>3886</v>
      </c>
      <c r="F1375" s="2" t="s">
        <v>3886</v>
      </c>
      <c r="G1375">
        <f>$G$1373+325/1000</f>
        <v>332.43207236564882</v>
      </c>
      <c r="H1375">
        <v>-15000</v>
      </c>
      <c r="I1375">
        <f>$I$1373-325</f>
        <v>-67970.014899739996</v>
      </c>
      <c r="J1375">
        <v>-3.5</v>
      </c>
      <c r="K1375">
        <f>J1375+270</f>
        <v>266.5</v>
      </c>
      <c r="L1375">
        <f>_xlfn.XLOOKUP($F1375,magnet_list!$A$2:$A$592,magnet_list!$M$2:$M$592,"n/a",0,1)</f>
        <v>150</v>
      </c>
      <c r="M1375">
        <f>_xlfn.XLOOKUP($F1375,magnet_list!$A$2:$A$592,magnet_list!$L$2:$L$592,"n/a",0,1)</f>
        <v>35</v>
      </c>
    </row>
    <row r="1376" spans="1:13">
      <c r="A1376" t="s">
        <v>797</v>
      </c>
      <c r="B1376" t="s">
        <v>805</v>
      </c>
      <c r="C1376" t="s">
        <v>806</v>
      </c>
      <c r="E1376" s="2" t="s">
        <v>306</v>
      </c>
      <c r="F1376" s="2" t="s">
        <v>2640</v>
      </c>
      <c r="G1376">
        <f>G1374-(I1376-I1374)/1000</f>
        <v>332.68768837912882</v>
      </c>
      <c r="H1376">
        <v>-15000</v>
      </c>
      <c r="I1376">
        <v>-68225.630913219997</v>
      </c>
      <c r="J1376">
        <v>90</v>
      </c>
      <c r="K1376">
        <v>360</v>
      </c>
      <c r="L1376">
        <f>_xlfn.XLOOKUP(F1376,magnet_list!$A$2:$A$592,magnet_list!$M$2:$M$592,"n/a",0,1)</f>
        <v>160</v>
      </c>
      <c r="M1376">
        <f>_xlfn.XLOOKUP(F1376,magnet_list!$A$2:$A$592,magnet_list!$L$2:$L$592,"n/a",0,1)</f>
        <v>44</v>
      </c>
    </row>
    <row r="1377" spans="1:13">
      <c r="A1377" t="s">
        <v>797</v>
      </c>
      <c r="B1377" t="s">
        <v>805</v>
      </c>
      <c r="C1377" t="s">
        <v>1152</v>
      </c>
      <c r="D1377" t="s">
        <v>804</v>
      </c>
      <c r="E1377" s="2" t="s">
        <v>699</v>
      </c>
      <c r="F1377" s="2" t="s">
        <v>2640</v>
      </c>
      <c r="G1377">
        <f>G1376-(I1377-I1376)/1000</f>
        <v>332.75767487912884</v>
      </c>
      <c r="H1377">
        <v>-15000</v>
      </c>
      <c r="I1377">
        <v>-68295.617413219996</v>
      </c>
      <c r="J1377">
        <v>90</v>
      </c>
      <c r="K1377">
        <v>360</v>
      </c>
      <c r="L1377">
        <f>_xlfn.XLOOKUP(F1377,magnet_list!$A$2:$A$592,magnet_list!$M$2:$M$592,"n/a",0,1)</f>
        <v>160</v>
      </c>
      <c r="M1377">
        <f>_xlfn.XLOOKUP(F1377,magnet_list!$A$2:$A$592,magnet_list!$L$2:$L$592,"n/a",0,1)</f>
        <v>44</v>
      </c>
    </row>
    <row r="1378" spans="1:13">
      <c r="A1378" t="s">
        <v>797</v>
      </c>
      <c r="B1378" t="s">
        <v>805</v>
      </c>
      <c r="C1378" t="s">
        <v>806</v>
      </c>
      <c r="E1378" s="2" t="s">
        <v>307</v>
      </c>
      <c r="F1378" s="2" t="s">
        <v>2640</v>
      </c>
      <c r="G1378">
        <f t="shared" si="28"/>
        <v>332.82765074042885</v>
      </c>
      <c r="H1378">
        <v>-15000</v>
      </c>
      <c r="I1378">
        <v>-68365.593274519997</v>
      </c>
      <c r="J1378">
        <v>90</v>
      </c>
      <c r="K1378">
        <v>360</v>
      </c>
      <c r="L1378">
        <f>_xlfn.XLOOKUP(F1378,magnet_list!$A$2:$A$592,magnet_list!$M$2:$M$592,"n/a",0,1)</f>
        <v>160</v>
      </c>
      <c r="M1378">
        <f>_xlfn.XLOOKUP(F1378,magnet_list!$A$2:$A$592,magnet_list!$L$2:$L$592,"n/a",0,1)</f>
        <v>44</v>
      </c>
    </row>
    <row r="1379" spans="1:13">
      <c r="A1379" t="s">
        <v>797</v>
      </c>
      <c r="B1379" t="s">
        <v>2288</v>
      </c>
      <c r="C1379" t="s">
        <v>1152</v>
      </c>
      <c r="D1379" t="s">
        <v>804</v>
      </c>
      <c r="E1379" s="8" t="s">
        <v>2339</v>
      </c>
      <c r="F1379" s="8" t="s">
        <v>2339</v>
      </c>
      <c r="G1379">
        <f>$G$1367+ABS($I$1379-$I$1367)/1000</f>
        <v>332.9752378613689</v>
      </c>
      <c r="H1379">
        <v>-15000</v>
      </c>
      <c r="I1379">
        <f>$I$1367-1585.7798</f>
        <v>-68513.180395460076</v>
      </c>
      <c r="J1379">
        <v>-270</v>
      </c>
      <c r="K1379">
        <v>0</v>
      </c>
    </row>
    <row r="1380" spans="1:13">
      <c r="A1380" t="s">
        <v>797</v>
      </c>
      <c r="B1380" t="s">
        <v>804</v>
      </c>
      <c r="C1380" t="s">
        <v>1152</v>
      </c>
      <c r="D1380" t="s">
        <v>804</v>
      </c>
      <c r="E1380" s="10" t="s">
        <v>1606</v>
      </c>
      <c r="F1380" s="10" t="s">
        <v>2641</v>
      </c>
      <c r="G1380">
        <f>$G$1386-ABS($I$1386-$I$1380)/1000</f>
        <v>333.10523746136886</v>
      </c>
      <c r="H1380">
        <v>-15000</v>
      </c>
      <c r="I1380">
        <f>$I$1386+$L$1380/2</f>
        <v>-68643.179995460072</v>
      </c>
      <c r="J1380">
        <v>-270</v>
      </c>
      <c r="K1380">
        <v>0</v>
      </c>
      <c r="L1380">
        <v>1889.4492</v>
      </c>
    </row>
    <row r="1381" spans="1:13">
      <c r="A1381" t="s">
        <v>797</v>
      </c>
      <c r="B1381" t="s">
        <v>803</v>
      </c>
      <c r="C1381" t="s">
        <v>806</v>
      </c>
      <c r="E1381" t="s">
        <v>1014</v>
      </c>
      <c r="F1381" t="s">
        <v>1014</v>
      </c>
      <c r="G1381">
        <f t="shared" si="28"/>
        <v>333.13693038187881</v>
      </c>
      <c r="H1381">
        <v>-15400</v>
      </c>
      <c r="I1381">
        <v>-68674.872915970001</v>
      </c>
      <c r="J1381">
        <v>-689</v>
      </c>
      <c r="K1381">
        <v>-419</v>
      </c>
    </row>
    <row r="1382" spans="1:13">
      <c r="A1382" t="s">
        <v>797</v>
      </c>
      <c r="B1382" t="s">
        <v>803</v>
      </c>
      <c r="C1382" t="s">
        <v>806</v>
      </c>
      <c r="E1382" t="s">
        <v>1017</v>
      </c>
      <c r="F1382" t="s">
        <v>1017</v>
      </c>
      <c r="G1382">
        <f t="shared" si="28"/>
        <v>333.46289136629883</v>
      </c>
      <c r="H1382">
        <v>-15400</v>
      </c>
      <c r="I1382">
        <v>-69000.833900390004</v>
      </c>
      <c r="J1382">
        <v>-689</v>
      </c>
      <c r="K1382">
        <v>-419</v>
      </c>
    </row>
    <row r="1383" spans="1:13">
      <c r="A1383" t="s">
        <v>797</v>
      </c>
      <c r="B1383" t="s">
        <v>805</v>
      </c>
      <c r="C1383" t="s">
        <v>806</v>
      </c>
      <c r="E1383" s="2" t="s">
        <v>308</v>
      </c>
      <c r="F1383" s="2" t="s">
        <v>2642</v>
      </c>
      <c r="G1383">
        <f t="shared" si="28"/>
        <v>333.47580031262885</v>
      </c>
      <c r="H1383">
        <v>-15000</v>
      </c>
      <c r="I1383">
        <v>-69013.742846719993</v>
      </c>
      <c r="J1383">
        <v>75</v>
      </c>
      <c r="K1383">
        <v>345</v>
      </c>
      <c r="L1383">
        <f>_xlfn.XLOOKUP(F1383,magnet_list!$A$2:$A$592,magnet_list!$M$2:$M$592,"n/a",0,1)</f>
        <v>300</v>
      </c>
      <c r="M1383">
        <f>_xlfn.XLOOKUP(F1383,magnet_list!$A$2:$A$592,magnet_list!$L$2:$L$592,"n/a",0,1)</f>
        <v>120</v>
      </c>
    </row>
    <row r="1384" spans="1:13">
      <c r="A1384" t="s">
        <v>797</v>
      </c>
      <c r="B1384" t="s">
        <v>805</v>
      </c>
      <c r="C1384" t="s">
        <v>1152</v>
      </c>
      <c r="D1384" t="s">
        <v>804</v>
      </c>
      <c r="E1384" s="2" t="s">
        <v>700</v>
      </c>
      <c r="F1384" s="2" t="s">
        <v>2642</v>
      </c>
      <c r="G1384">
        <f t="shared" si="28"/>
        <v>333.61080081262884</v>
      </c>
      <c r="H1384">
        <v>-15000</v>
      </c>
      <c r="I1384">
        <v>-69148.743346719988</v>
      </c>
      <c r="J1384">
        <v>75</v>
      </c>
      <c r="K1384">
        <v>345</v>
      </c>
      <c r="L1384">
        <f>_xlfn.XLOOKUP(F1384,magnet_list!$A$2:$A$592,magnet_list!$M$2:$M$592,"n/a",0,1)</f>
        <v>300</v>
      </c>
      <c r="M1384">
        <f>_xlfn.XLOOKUP(F1384,magnet_list!$A$2:$A$592,magnet_list!$L$2:$L$592,"n/a",0,1)</f>
        <v>120</v>
      </c>
    </row>
    <row r="1385" spans="1:13">
      <c r="A1385" t="s">
        <v>797</v>
      </c>
      <c r="B1385" t="s">
        <v>805</v>
      </c>
      <c r="C1385" t="s">
        <v>806</v>
      </c>
      <c r="E1385" s="2" t="s">
        <v>309</v>
      </c>
      <c r="F1385" s="2" t="s">
        <v>2642</v>
      </c>
      <c r="G1385">
        <f t="shared" si="28"/>
        <v>333.74577890673885</v>
      </c>
      <c r="H1385">
        <v>-15000</v>
      </c>
      <c r="I1385">
        <v>-69283.721440830006</v>
      </c>
      <c r="J1385">
        <v>75</v>
      </c>
      <c r="K1385">
        <v>345</v>
      </c>
      <c r="L1385">
        <f>_xlfn.XLOOKUP(F1385,magnet_list!$A$2:$A$592,magnet_list!$M$2:$M$592,"n/a",0,1)</f>
        <v>300</v>
      </c>
      <c r="M1385">
        <f>_xlfn.XLOOKUP(F1385,magnet_list!$A$2:$A$592,magnet_list!$L$2:$L$592,"n/a",0,1)</f>
        <v>120</v>
      </c>
    </row>
    <row r="1386" spans="1:13">
      <c r="A1386" t="s">
        <v>797</v>
      </c>
      <c r="B1386" t="s">
        <v>804</v>
      </c>
      <c r="C1386" t="s">
        <v>1152</v>
      </c>
      <c r="D1386" t="s">
        <v>804</v>
      </c>
      <c r="E1386" s="10" t="s">
        <v>1193</v>
      </c>
      <c r="F1386" s="10" t="s">
        <v>2641</v>
      </c>
      <c r="G1386">
        <f>$G$1379+ABS($I$1386-$I$1379)/1000</f>
        <v>334.04996206136889</v>
      </c>
      <c r="H1386">
        <v>-15000</v>
      </c>
      <c r="I1386">
        <f>$I$1379-1074.7242</f>
        <v>-69587.904595460073</v>
      </c>
      <c r="J1386">
        <v>-270</v>
      </c>
      <c r="K1386">
        <v>0</v>
      </c>
      <c r="L1386">
        <v>1889.4492</v>
      </c>
    </row>
    <row r="1387" spans="1:13">
      <c r="A1387" t="s">
        <v>797</v>
      </c>
      <c r="B1387" t="s">
        <v>805</v>
      </c>
      <c r="C1387" t="s">
        <v>806</v>
      </c>
      <c r="E1387" s="2" t="s">
        <v>310</v>
      </c>
      <c r="F1387" s="2" t="s">
        <v>2643</v>
      </c>
      <c r="G1387">
        <f t="shared" si="28"/>
        <v>334.28777007385884</v>
      </c>
      <c r="H1387">
        <v>-15000</v>
      </c>
      <c r="I1387">
        <v>-69825.712607950001</v>
      </c>
      <c r="J1387">
        <v>75</v>
      </c>
      <c r="K1387">
        <v>345</v>
      </c>
      <c r="L1387">
        <f>_xlfn.XLOOKUP(F1387,magnet_list!$A$2:$A$592,magnet_list!$M$2:$M$592,"n/a",0,1)</f>
        <v>300</v>
      </c>
      <c r="M1387">
        <f>_xlfn.XLOOKUP(F1387,magnet_list!$A$2:$A$592,magnet_list!$L$2:$L$592,"n/a",0,1)</f>
        <v>120</v>
      </c>
    </row>
    <row r="1388" spans="1:13">
      <c r="A1388" t="s">
        <v>797</v>
      </c>
      <c r="B1388" t="s">
        <v>805</v>
      </c>
      <c r="C1388" t="s">
        <v>1152</v>
      </c>
      <c r="D1388" t="s">
        <v>804</v>
      </c>
      <c r="E1388" s="2" t="s">
        <v>701</v>
      </c>
      <c r="F1388" s="2" t="s">
        <v>2643</v>
      </c>
      <c r="G1388">
        <f t="shared" si="28"/>
        <v>334.42276357385884</v>
      </c>
      <c r="H1388">
        <v>-15000</v>
      </c>
      <c r="I1388">
        <v>-69960.706107950013</v>
      </c>
      <c r="J1388">
        <v>75</v>
      </c>
      <c r="K1388">
        <v>345</v>
      </c>
      <c r="L1388">
        <f>_xlfn.XLOOKUP(F1388,magnet_list!$A$2:$A$592,magnet_list!$M$2:$M$592,"n/a",0,1)</f>
        <v>300</v>
      </c>
      <c r="M1388">
        <f>_xlfn.XLOOKUP(F1388,magnet_list!$A$2:$A$592,magnet_list!$L$2:$L$592,"n/a",0,1)</f>
        <v>120</v>
      </c>
    </row>
    <row r="1389" spans="1:13">
      <c r="A1389" t="s">
        <v>797</v>
      </c>
      <c r="B1389" t="s">
        <v>805</v>
      </c>
      <c r="C1389" t="s">
        <v>806</v>
      </c>
      <c r="E1389" s="2" t="s">
        <v>311</v>
      </c>
      <c r="F1389" s="2" t="s">
        <v>2643</v>
      </c>
      <c r="G1389">
        <f t="shared" si="28"/>
        <v>334.55778349145885</v>
      </c>
      <c r="H1389">
        <v>-15000</v>
      </c>
      <c r="I1389">
        <v>-70095.72602555</v>
      </c>
      <c r="J1389">
        <v>75</v>
      </c>
      <c r="K1389">
        <v>345</v>
      </c>
      <c r="L1389">
        <f>_xlfn.XLOOKUP(F1389,magnet_list!$A$2:$A$592,magnet_list!$M$2:$M$592,"n/a",0,1)</f>
        <v>300</v>
      </c>
      <c r="M1389">
        <f>_xlfn.XLOOKUP(F1389,magnet_list!$A$2:$A$592,magnet_list!$L$2:$L$592,"n/a",0,1)</f>
        <v>120</v>
      </c>
    </row>
    <row r="1390" spans="1:13">
      <c r="A1390" t="s">
        <v>797</v>
      </c>
      <c r="B1390" t="s">
        <v>803</v>
      </c>
      <c r="C1390" t="s">
        <v>806</v>
      </c>
      <c r="E1390" t="s">
        <v>842</v>
      </c>
      <c r="F1390" t="s">
        <v>842</v>
      </c>
      <c r="G1390">
        <f t="shared" si="28"/>
        <v>334.89095540252885</v>
      </c>
      <c r="H1390">
        <v>-13532.305427769999</v>
      </c>
      <c r="I1390">
        <v>-70428.897936619993</v>
      </c>
      <c r="J1390">
        <v>285.50939704000001</v>
      </c>
      <c r="K1390">
        <v>555.50939704000007</v>
      </c>
    </row>
    <row r="1391" spans="1:13">
      <c r="A1391" t="s">
        <v>797</v>
      </c>
      <c r="B1391" t="s">
        <v>804</v>
      </c>
      <c r="C1391" t="s">
        <v>1152</v>
      </c>
      <c r="D1391" t="s">
        <v>804</v>
      </c>
      <c r="E1391" s="10" t="s">
        <v>1607</v>
      </c>
      <c r="F1391" s="10" t="s">
        <v>2641</v>
      </c>
      <c r="G1391">
        <f>$G$1386+ABS($I$1391-$I$1386)/1000</f>
        <v>334.99468666136892</v>
      </c>
      <c r="H1391">
        <v>-15000</v>
      </c>
      <c r="I1391">
        <f>$I$1386-$L$1391/2</f>
        <v>-70532.629195460075</v>
      </c>
      <c r="J1391">
        <v>-270</v>
      </c>
      <c r="K1391">
        <v>0</v>
      </c>
      <c r="L1391">
        <v>1889.4492</v>
      </c>
    </row>
    <row r="1392" spans="1:13">
      <c r="A1392" t="s">
        <v>797</v>
      </c>
      <c r="B1392" t="s">
        <v>805</v>
      </c>
      <c r="C1392" t="s">
        <v>806</v>
      </c>
      <c r="E1392" s="2" t="s">
        <v>312</v>
      </c>
      <c r="F1392" s="2" t="s">
        <v>2644</v>
      </c>
      <c r="G1392">
        <f t="shared" si="28"/>
        <v>335.16579679885882</v>
      </c>
      <c r="H1392">
        <v>-15000</v>
      </c>
      <c r="I1392">
        <v>-70703.739332950005</v>
      </c>
      <c r="J1392">
        <v>90</v>
      </c>
      <c r="K1392">
        <v>360</v>
      </c>
      <c r="L1392">
        <f>_xlfn.XLOOKUP(F1392,magnet_list!$A$2:$A$592,magnet_list!$M$2:$M$592,"n/a",0,1)</f>
        <v>160</v>
      </c>
      <c r="M1392">
        <f>_xlfn.XLOOKUP(F1392,magnet_list!$A$2:$A$592,magnet_list!$L$2:$L$592,"n/a",0,1)</f>
        <v>44</v>
      </c>
    </row>
    <row r="1393" spans="1:13">
      <c r="A1393" t="s">
        <v>797</v>
      </c>
      <c r="B1393" t="s">
        <v>805</v>
      </c>
      <c r="C1393" t="s">
        <v>1152</v>
      </c>
      <c r="D1393" t="s">
        <v>804</v>
      </c>
      <c r="E1393" s="2" t="s">
        <v>702</v>
      </c>
      <c r="F1393" s="2" t="s">
        <v>2644</v>
      </c>
      <c r="G1393">
        <f t="shared" si="28"/>
        <v>335.23578729885884</v>
      </c>
      <c r="H1393">
        <v>-15000</v>
      </c>
      <c r="I1393">
        <v>-70773.729832950004</v>
      </c>
      <c r="J1393">
        <v>90</v>
      </c>
      <c r="K1393">
        <v>360</v>
      </c>
      <c r="L1393">
        <f>_xlfn.XLOOKUP(F1393,magnet_list!$A$2:$A$592,magnet_list!$M$2:$M$592,"n/a",0,1)</f>
        <v>160</v>
      </c>
      <c r="M1393">
        <f>_xlfn.XLOOKUP(F1393,magnet_list!$A$2:$A$592,magnet_list!$L$2:$L$592,"n/a",0,1)</f>
        <v>44</v>
      </c>
    </row>
    <row r="1394" spans="1:13">
      <c r="A1394" t="s">
        <v>797</v>
      </c>
      <c r="B1394" t="s">
        <v>805</v>
      </c>
      <c r="C1394" t="s">
        <v>806</v>
      </c>
      <c r="E1394" s="2" t="s">
        <v>313</v>
      </c>
      <c r="F1394" s="2" t="s">
        <v>2644</v>
      </c>
      <c r="G1394">
        <f t="shared" si="28"/>
        <v>335.30576850679881</v>
      </c>
      <c r="H1394">
        <v>-15000</v>
      </c>
      <c r="I1394">
        <v>-70843.711040890004</v>
      </c>
      <c r="J1394">
        <v>90</v>
      </c>
      <c r="K1394">
        <v>360</v>
      </c>
      <c r="L1394">
        <f>_xlfn.XLOOKUP(F1394,magnet_list!$A$2:$A$592,magnet_list!$M$2:$M$592,"n/a",0,1)</f>
        <v>160</v>
      </c>
      <c r="M1394">
        <f>_xlfn.XLOOKUP(F1394,magnet_list!$A$2:$A$592,magnet_list!$L$2:$L$592,"n/a",0,1)</f>
        <v>44</v>
      </c>
    </row>
    <row r="1395" spans="1:13">
      <c r="A1395" t="s">
        <v>797</v>
      </c>
      <c r="B1395" t="s">
        <v>804</v>
      </c>
      <c r="C1395" t="s">
        <v>1152</v>
      </c>
      <c r="D1395" t="s">
        <v>804</v>
      </c>
      <c r="E1395" s="10" t="s">
        <v>1608</v>
      </c>
      <c r="F1395" s="10" t="s">
        <v>2645</v>
      </c>
      <c r="G1395">
        <f>$G$1399-ABS($I$1399-$I$1395)/1000</f>
        <v>335.48682651601882</v>
      </c>
      <c r="H1395">
        <v>-15000</v>
      </c>
      <c r="I1395">
        <v>-71024.769050110001</v>
      </c>
      <c r="J1395">
        <v>-270</v>
      </c>
      <c r="K1395">
        <v>0</v>
      </c>
      <c r="L1395">
        <v>1889.4492</v>
      </c>
    </row>
    <row r="1396" spans="1:13">
      <c r="A1396" t="s">
        <v>797</v>
      </c>
      <c r="B1396" t="s">
        <v>805</v>
      </c>
      <c r="C1396" t="s">
        <v>806</v>
      </c>
      <c r="E1396" s="2" t="s">
        <v>314</v>
      </c>
      <c r="F1396" s="2" t="s">
        <v>2646</v>
      </c>
      <c r="G1396">
        <f t="shared" si="28"/>
        <v>335.90652112311881</v>
      </c>
      <c r="H1396">
        <v>-15000</v>
      </c>
      <c r="I1396">
        <v>-71444.463657209999</v>
      </c>
      <c r="J1396">
        <v>75</v>
      </c>
      <c r="K1396">
        <v>345</v>
      </c>
      <c r="L1396">
        <f>_xlfn.XLOOKUP(F1396,magnet_list!$A$2:$A$592,magnet_list!$M$2:$M$592,"n/a",0,1)</f>
        <v>300</v>
      </c>
      <c r="M1396">
        <f>_xlfn.XLOOKUP(F1396,magnet_list!$A$2:$A$592,magnet_list!$L$2:$L$592,"n/a",0,1)</f>
        <v>120</v>
      </c>
    </row>
    <row r="1397" spans="1:13">
      <c r="A1397" t="s">
        <v>797</v>
      </c>
      <c r="B1397" t="s">
        <v>805</v>
      </c>
      <c r="C1397" t="s">
        <v>1152</v>
      </c>
      <c r="D1397" t="s">
        <v>804</v>
      </c>
      <c r="E1397" s="2" t="s">
        <v>703</v>
      </c>
      <c r="F1397" s="2" t="s">
        <v>2646</v>
      </c>
      <c r="G1397">
        <f t="shared" si="28"/>
        <v>336.04151712311881</v>
      </c>
      <c r="H1397">
        <v>-15000</v>
      </c>
      <c r="I1397">
        <v>-71579.459657209998</v>
      </c>
      <c r="J1397">
        <v>75</v>
      </c>
      <c r="K1397">
        <v>345</v>
      </c>
      <c r="L1397">
        <f>_xlfn.XLOOKUP(F1397,magnet_list!$A$2:$A$592,magnet_list!$M$2:$M$592,"n/a",0,1)</f>
        <v>300</v>
      </c>
      <c r="M1397">
        <f>_xlfn.XLOOKUP(F1397,magnet_list!$A$2:$A$592,magnet_list!$L$2:$L$592,"n/a",0,1)</f>
        <v>120</v>
      </c>
    </row>
    <row r="1398" spans="1:13">
      <c r="A1398" t="s">
        <v>797</v>
      </c>
      <c r="B1398" t="s">
        <v>805</v>
      </c>
      <c r="C1398" t="s">
        <v>806</v>
      </c>
      <c r="E1398" s="2" t="s">
        <v>315</v>
      </c>
      <c r="F1398" s="2" t="s">
        <v>2646</v>
      </c>
      <c r="G1398">
        <f t="shared" si="28"/>
        <v>336.17652202045883</v>
      </c>
      <c r="H1398">
        <v>-15000</v>
      </c>
      <c r="I1398">
        <v>-71714.464554549995</v>
      </c>
      <c r="J1398">
        <v>75</v>
      </c>
      <c r="K1398">
        <v>345</v>
      </c>
      <c r="L1398">
        <f>_xlfn.XLOOKUP(F1398,magnet_list!$A$2:$A$592,magnet_list!$M$2:$M$592,"n/a",0,1)</f>
        <v>300</v>
      </c>
      <c r="M1398">
        <f>_xlfn.XLOOKUP(F1398,magnet_list!$A$2:$A$592,magnet_list!$L$2:$L$592,"n/a",0,1)</f>
        <v>120</v>
      </c>
    </row>
    <row r="1399" spans="1:13">
      <c r="A1399" t="s">
        <v>797</v>
      </c>
      <c r="B1399" t="s">
        <v>804</v>
      </c>
      <c r="C1399" t="s">
        <v>1152</v>
      </c>
      <c r="D1399" t="s">
        <v>804</v>
      </c>
      <c r="E1399" s="10" t="s">
        <v>1249</v>
      </c>
      <c r="F1399" s="10" t="s">
        <v>2645</v>
      </c>
      <c r="G1399">
        <f>$G$1386+ABS($I$1399-$I$1386)/1000</f>
        <v>336.4380150613689</v>
      </c>
      <c r="H1399">
        <v>-15000</v>
      </c>
      <c r="I1399">
        <f>$I$1386-2388.053</f>
        <v>-71975.957595460073</v>
      </c>
      <c r="J1399">
        <v>-270</v>
      </c>
      <c r="K1399">
        <v>0</v>
      </c>
      <c r="L1399">
        <v>1889.4492</v>
      </c>
    </row>
    <row r="1400" spans="1:13">
      <c r="A1400" t="s">
        <v>797</v>
      </c>
      <c r="B1400" t="s">
        <v>805</v>
      </c>
      <c r="C1400" t="s">
        <v>806</v>
      </c>
      <c r="E1400" s="2" t="s">
        <v>316</v>
      </c>
      <c r="F1400" s="2" t="s">
        <v>2647</v>
      </c>
      <c r="G1400">
        <f t="shared" ref="G1400:G1462" si="29">G1399-(I1400-I1399)/1000</f>
        <v>336.7172368919388</v>
      </c>
      <c r="H1400">
        <v>-15000</v>
      </c>
      <c r="I1400">
        <v>-72255.179426029994</v>
      </c>
      <c r="J1400">
        <v>75</v>
      </c>
      <c r="K1400">
        <v>345</v>
      </c>
      <c r="L1400">
        <f>_xlfn.XLOOKUP(F1400,magnet_list!$A$2:$A$592,magnet_list!$M$2:$M$592,"n/a",0,1)</f>
        <v>300</v>
      </c>
      <c r="M1400">
        <f>_xlfn.XLOOKUP(F1400,magnet_list!$A$2:$A$592,magnet_list!$L$2:$L$592,"n/a",0,1)</f>
        <v>120</v>
      </c>
    </row>
    <row r="1401" spans="1:13">
      <c r="A1401" t="s">
        <v>797</v>
      </c>
      <c r="B1401" t="s">
        <v>805</v>
      </c>
      <c r="C1401" t="s">
        <v>1152</v>
      </c>
      <c r="D1401" t="s">
        <v>804</v>
      </c>
      <c r="E1401" s="2" t="s">
        <v>704</v>
      </c>
      <c r="F1401" s="2" t="s">
        <v>2647</v>
      </c>
      <c r="G1401">
        <f t="shared" si="29"/>
        <v>336.85223389193879</v>
      </c>
      <c r="H1401">
        <v>-15000</v>
      </c>
      <c r="I1401">
        <v>-72390.176426029982</v>
      </c>
      <c r="J1401">
        <v>75</v>
      </c>
      <c r="K1401">
        <v>345</v>
      </c>
      <c r="L1401">
        <f>_xlfn.XLOOKUP(F1401,magnet_list!$A$2:$A$592,magnet_list!$M$2:$M$592,"n/a",0,1)</f>
        <v>300</v>
      </c>
      <c r="M1401">
        <f>_xlfn.XLOOKUP(F1401,magnet_list!$A$2:$A$592,magnet_list!$L$2:$L$592,"n/a",0,1)</f>
        <v>120</v>
      </c>
    </row>
    <row r="1402" spans="1:13">
      <c r="A1402" t="s">
        <v>797</v>
      </c>
      <c r="B1402" t="s">
        <v>805</v>
      </c>
      <c r="C1402" t="s">
        <v>806</v>
      </c>
      <c r="E1402" s="2" t="s">
        <v>317</v>
      </c>
      <c r="F1402" s="2" t="s">
        <v>2647</v>
      </c>
      <c r="G1402">
        <f t="shared" si="29"/>
        <v>336.98722764978879</v>
      </c>
      <c r="H1402">
        <v>-15000</v>
      </c>
      <c r="I1402">
        <v>-72525.170183880007</v>
      </c>
      <c r="J1402">
        <v>75</v>
      </c>
      <c r="K1402">
        <v>345</v>
      </c>
      <c r="L1402">
        <f>_xlfn.XLOOKUP(F1402,magnet_list!$A$2:$A$592,magnet_list!$M$2:$M$592,"n/a",0,1)</f>
        <v>300</v>
      </c>
      <c r="M1402">
        <f>_xlfn.XLOOKUP(F1402,magnet_list!$A$2:$A$592,magnet_list!$L$2:$L$592,"n/a",0,1)</f>
        <v>120</v>
      </c>
    </row>
    <row r="1403" spans="1:13">
      <c r="A1403" t="s">
        <v>797</v>
      </c>
      <c r="B1403" t="s">
        <v>804</v>
      </c>
      <c r="C1403" t="s">
        <v>1152</v>
      </c>
      <c r="D1403" t="s">
        <v>804</v>
      </c>
      <c r="E1403" s="10" t="s">
        <v>1609</v>
      </c>
      <c r="F1403" s="10" t="s">
        <v>2645</v>
      </c>
      <c r="G1403">
        <f>$G$1399+ABS($I$1403-$I$1399)/1000</f>
        <v>337.37728651601884</v>
      </c>
      <c r="H1403">
        <v>-15000</v>
      </c>
      <c r="I1403">
        <v>-72915.229050110007</v>
      </c>
      <c r="J1403">
        <v>-270</v>
      </c>
      <c r="K1403">
        <v>0</v>
      </c>
      <c r="L1403">
        <v>1889.4492</v>
      </c>
    </row>
    <row r="1404" spans="1:13">
      <c r="A1404" t="s">
        <v>797</v>
      </c>
      <c r="B1404" t="s">
        <v>1152</v>
      </c>
      <c r="C1404" t="s">
        <v>1152</v>
      </c>
      <c r="D1404" t="s">
        <v>804</v>
      </c>
      <c r="E1404" s="3" t="s">
        <v>2145</v>
      </c>
      <c r="F1404" s="3" t="s">
        <v>2145</v>
      </c>
      <c r="G1404">
        <f>$G$1399+ABS($I$1404-$I$1399)/1000</f>
        <v>337.51274016136892</v>
      </c>
      <c r="H1404">
        <v>-15000</v>
      </c>
      <c r="I1404">
        <f>$I$1399-1074.7251</f>
        <v>-73050.682695460069</v>
      </c>
      <c r="J1404">
        <v>-270</v>
      </c>
      <c r="K1404">
        <v>0</v>
      </c>
    </row>
    <row r="1405" spans="1:13">
      <c r="A1405" t="s">
        <v>797</v>
      </c>
      <c r="B1405" t="s">
        <v>805</v>
      </c>
      <c r="C1405" t="s">
        <v>806</v>
      </c>
      <c r="E1405" s="2" t="s">
        <v>318</v>
      </c>
      <c r="F1405" s="2" t="s">
        <v>2648</v>
      </c>
      <c r="G1405">
        <f t="shared" si="29"/>
        <v>337.57278277790886</v>
      </c>
      <c r="H1405">
        <v>-15000</v>
      </c>
      <c r="I1405">
        <v>-73110.725311999995</v>
      </c>
      <c r="J1405">
        <v>90</v>
      </c>
      <c r="K1405">
        <v>360</v>
      </c>
      <c r="L1405">
        <f>_xlfn.XLOOKUP(F1405,magnet_list!$A$2:$A$592,magnet_list!$M$2:$M$592,"n/a",0,1)</f>
        <v>160</v>
      </c>
      <c r="M1405">
        <f>_xlfn.XLOOKUP(F1405,magnet_list!$A$2:$A$592,magnet_list!$L$2:$L$592,"n/a",0,1)</f>
        <v>44</v>
      </c>
    </row>
    <row r="1406" spans="1:13">
      <c r="A1406" t="s">
        <v>797</v>
      </c>
      <c r="B1406" t="s">
        <v>805</v>
      </c>
      <c r="C1406" t="s">
        <v>1152</v>
      </c>
      <c r="D1406" t="s">
        <v>804</v>
      </c>
      <c r="E1406" s="2" t="s">
        <v>705</v>
      </c>
      <c r="F1406" s="2" t="s">
        <v>2648</v>
      </c>
      <c r="G1406">
        <f t="shared" si="29"/>
        <v>337.64277977790886</v>
      </c>
      <c r="H1406">
        <v>-15000</v>
      </c>
      <c r="I1406">
        <v>-73180.722311999998</v>
      </c>
      <c r="J1406">
        <v>90</v>
      </c>
      <c r="K1406">
        <v>360</v>
      </c>
      <c r="L1406">
        <f>_xlfn.XLOOKUP(F1406,magnet_list!$A$2:$A$592,magnet_list!$M$2:$M$592,"n/a",0,1)</f>
        <v>160</v>
      </c>
      <c r="M1406">
        <f>_xlfn.XLOOKUP(F1406,magnet_list!$A$2:$A$592,magnet_list!$L$2:$L$592,"n/a",0,1)</f>
        <v>44</v>
      </c>
    </row>
    <row r="1407" spans="1:13">
      <c r="A1407" t="s">
        <v>797</v>
      </c>
      <c r="B1407" t="s">
        <v>805</v>
      </c>
      <c r="C1407" t="s">
        <v>806</v>
      </c>
      <c r="E1407" s="2" t="s">
        <v>319</v>
      </c>
      <c r="F1407" s="2" t="s">
        <v>2648</v>
      </c>
      <c r="G1407">
        <f t="shared" si="29"/>
        <v>337.71274854716887</v>
      </c>
      <c r="H1407">
        <v>-15000</v>
      </c>
      <c r="I1407">
        <v>-73250.691081259996</v>
      </c>
      <c r="J1407">
        <v>90</v>
      </c>
      <c r="K1407">
        <v>360</v>
      </c>
      <c r="L1407">
        <f>_xlfn.XLOOKUP(F1407,magnet_list!$A$2:$A$592,magnet_list!$M$2:$M$592,"n/a",0,1)</f>
        <v>160</v>
      </c>
      <c r="M1407">
        <f>_xlfn.XLOOKUP(F1407,magnet_list!$A$2:$A$592,magnet_list!$L$2:$L$592,"n/a",0,1)</f>
        <v>44</v>
      </c>
    </row>
    <row r="1408" spans="1:13">
      <c r="A1408" t="s">
        <v>797</v>
      </c>
      <c r="B1408" t="s">
        <v>803</v>
      </c>
      <c r="C1408" t="s">
        <v>806</v>
      </c>
      <c r="E1408" t="s">
        <v>841</v>
      </c>
      <c r="F1408" t="s">
        <v>841</v>
      </c>
      <c r="G1408">
        <f t="shared" si="29"/>
        <v>337.72896938666889</v>
      </c>
      <c r="H1408">
        <v>-17472.57056281</v>
      </c>
      <c r="I1408">
        <v>-73266.911920760002</v>
      </c>
      <c r="J1408">
        <v>-22.11396929</v>
      </c>
      <c r="K1408">
        <v>247.88603071</v>
      </c>
    </row>
    <row r="1409" spans="1:13">
      <c r="A1409" t="s">
        <v>797</v>
      </c>
      <c r="B1409" t="s">
        <v>804</v>
      </c>
      <c r="C1409" t="s">
        <v>1152</v>
      </c>
      <c r="D1409" t="s">
        <v>804</v>
      </c>
      <c r="E1409" s="10" t="s">
        <v>1610</v>
      </c>
      <c r="F1409" s="10" t="s">
        <v>2649</v>
      </c>
      <c r="G1409">
        <f>$G$1413-ABS($I$1413-$I$1409)/1000</f>
        <v>337.9600704613689</v>
      </c>
      <c r="H1409">
        <v>-15000</v>
      </c>
      <c r="I1409">
        <f>$I$1413+$L$1409/2</f>
        <v>-73498.012995460071</v>
      </c>
      <c r="J1409">
        <v>-270</v>
      </c>
      <c r="K1409">
        <v>0</v>
      </c>
      <c r="L1409">
        <v>1889.4492</v>
      </c>
    </row>
    <row r="1410" spans="1:13">
      <c r="A1410" t="s">
        <v>797</v>
      </c>
      <c r="B1410" t="s">
        <v>805</v>
      </c>
      <c r="C1410" t="s">
        <v>806</v>
      </c>
      <c r="E1410" s="2" t="s">
        <v>320</v>
      </c>
      <c r="F1410" s="2" t="s">
        <v>2650</v>
      </c>
      <c r="G1410">
        <f t="shared" si="29"/>
        <v>338.34446612086884</v>
      </c>
      <c r="H1410">
        <v>-15000</v>
      </c>
      <c r="I1410">
        <v>-73882.408654960003</v>
      </c>
      <c r="J1410">
        <v>75</v>
      </c>
      <c r="K1410">
        <v>345</v>
      </c>
      <c r="L1410">
        <f>_xlfn.XLOOKUP(F1410,magnet_list!$A$2:$A$592,magnet_list!$M$2:$M$592,"n/a",0,1)</f>
        <v>300</v>
      </c>
      <c r="M1410">
        <f>_xlfn.XLOOKUP(F1410,magnet_list!$A$2:$A$592,magnet_list!$L$2:$L$592,"n/a",0,1)</f>
        <v>120</v>
      </c>
    </row>
    <row r="1411" spans="1:13">
      <c r="A1411" t="s">
        <v>797</v>
      </c>
      <c r="B1411" t="s">
        <v>805</v>
      </c>
      <c r="C1411" t="s">
        <v>1152</v>
      </c>
      <c r="D1411" t="s">
        <v>804</v>
      </c>
      <c r="E1411" s="2" t="s">
        <v>706</v>
      </c>
      <c r="F1411" s="2" t="s">
        <v>2650</v>
      </c>
      <c r="G1411">
        <f t="shared" si="29"/>
        <v>338.47945962086885</v>
      </c>
      <c r="H1411">
        <v>-15000</v>
      </c>
      <c r="I1411">
        <v>-74017.40215496</v>
      </c>
      <c r="J1411">
        <v>75</v>
      </c>
      <c r="K1411">
        <v>345</v>
      </c>
      <c r="L1411">
        <f>_xlfn.XLOOKUP(F1411,magnet_list!$A$2:$A$592,magnet_list!$M$2:$M$592,"n/a",0,1)</f>
        <v>300</v>
      </c>
      <c r="M1411">
        <f>_xlfn.XLOOKUP(F1411,magnet_list!$A$2:$A$592,magnet_list!$L$2:$L$592,"n/a",0,1)</f>
        <v>120</v>
      </c>
    </row>
    <row r="1412" spans="1:13">
      <c r="A1412" t="s">
        <v>797</v>
      </c>
      <c r="B1412" t="s">
        <v>805</v>
      </c>
      <c r="C1412" t="s">
        <v>806</v>
      </c>
      <c r="E1412" s="2" t="s">
        <v>321</v>
      </c>
      <c r="F1412" s="2" t="s">
        <v>2650</v>
      </c>
      <c r="G1412">
        <f t="shared" si="29"/>
        <v>338.61446572907886</v>
      </c>
      <c r="H1412">
        <v>-15000</v>
      </c>
      <c r="I1412">
        <v>-74152.40826317</v>
      </c>
      <c r="J1412">
        <v>75</v>
      </c>
      <c r="K1412">
        <v>345</v>
      </c>
      <c r="L1412">
        <f>_xlfn.XLOOKUP(F1412,magnet_list!$A$2:$A$592,magnet_list!$M$2:$M$592,"n/a",0,1)</f>
        <v>300</v>
      </c>
      <c r="M1412">
        <f>_xlfn.XLOOKUP(F1412,magnet_list!$A$2:$A$592,magnet_list!$L$2:$L$592,"n/a",0,1)</f>
        <v>120</v>
      </c>
    </row>
    <row r="1413" spans="1:13">
      <c r="A1413" t="s">
        <v>797</v>
      </c>
      <c r="B1413" t="s">
        <v>804</v>
      </c>
      <c r="C1413" t="s">
        <v>1152</v>
      </c>
      <c r="D1413" t="s">
        <v>804</v>
      </c>
      <c r="E1413" s="10" t="s">
        <v>1303</v>
      </c>
      <c r="F1413" s="10" t="s">
        <v>2649</v>
      </c>
      <c r="G1413">
        <f>$G$1404+ABS($I$1413-$I$1404)/1000</f>
        <v>338.90479506136893</v>
      </c>
      <c r="H1413">
        <v>-15000</v>
      </c>
      <c r="I1413">
        <f>$I$1404-1392.0549</f>
        <v>-74442.737595460072</v>
      </c>
      <c r="J1413">
        <v>-270</v>
      </c>
      <c r="K1413">
        <v>0</v>
      </c>
      <c r="L1413">
        <v>1889.4492</v>
      </c>
    </row>
    <row r="1414" spans="1:13">
      <c r="A1414" t="s">
        <v>797</v>
      </c>
      <c r="B1414" t="s">
        <v>805</v>
      </c>
      <c r="C1414" t="s">
        <v>806</v>
      </c>
      <c r="E1414" s="2" t="s">
        <v>322</v>
      </c>
      <c r="F1414" s="2" t="s">
        <v>2651</v>
      </c>
      <c r="G1414">
        <f t="shared" si="29"/>
        <v>339.15450091282884</v>
      </c>
      <c r="H1414">
        <v>-15000</v>
      </c>
      <c r="I1414">
        <v>-74692.443446920006</v>
      </c>
      <c r="J1414">
        <v>75</v>
      </c>
      <c r="K1414">
        <v>345</v>
      </c>
      <c r="L1414">
        <f>_xlfn.XLOOKUP(F1414,magnet_list!$A$2:$A$592,magnet_list!$M$2:$M$592,"n/a",0,1)</f>
        <v>300</v>
      </c>
      <c r="M1414">
        <f>_xlfn.XLOOKUP(F1414,magnet_list!$A$2:$A$592,magnet_list!$L$2:$L$592,"n/a",0,1)</f>
        <v>120</v>
      </c>
    </row>
    <row r="1415" spans="1:13">
      <c r="A1415" t="s">
        <v>797</v>
      </c>
      <c r="B1415" t="s">
        <v>805</v>
      </c>
      <c r="C1415" t="s">
        <v>1152</v>
      </c>
      <c r="D1415" t="s">
        <v>804</v>
      </c>
      <c r="E1415" s="2" t="s">
        <v>707</v>
      </c>
      <c r="F1415" s="2" t="s">
        <v>2651</v>
      </c>
      <c r="G1415">
        <f t="shared" si="29"/>
        <v>339.28948891282886</v>
      </c>
      <c r="H1415">
        <v>-15000</v>
      </c>
      <c r="I1415">
        <v>-74827.431446920018</v>
      </c>
      <c r="J1415">
        <v>75</v>
      </c>
      <c r="K1415">
        <v>345</v>
      </c>
      <c r="L1415">
        <f>_xlfn.XLOOKUP(F1415,magnet_list!$A$2:$A$592,magnet_list!$M$2:$M$592,"n/a",0,1)</f>
        <v>300</v>
      </c>
      <c r="M1415">
        <f>_xlfn.XLOOKUP(F1415,magnet_list!$A$2:$A$592,magnet_list!$L$2:$L$592,"n/a",0,1)</f>
        <v>120</v>
      </c>
    </row>
    <row r="1416" spans="1:13">
      <c r="A1416" t="s">
        <v>797</v>
      </c>
      <c r="B1416" t="s">
        <v>805</v>
      </c>
      <c r="C1416" t="s">
        <v>806</v>
      </c>
      <c r="E1416" s="2" t="s">
        <v>323</v>
      </c>
      <c r="F1416" s="2" t="s">
        <v>2651</v>
      </c>
      <c r="G1416">
        <f t="shared" si="29"/>
        <v>339.42448999202884</v>
      </c>
      <c r="H1416">
        <v>-15000</v>
      </c>
      <c r="I1416">
        <v>-74962.432526119999</v>
      </c>
      <c r="J1416">
        <v>75</v>
      </c>
      <c r="K1416">
        <v>345</v>
      </c>
      <c r="L1416">
        <f>_xlfn.XLOOKUP(F1416,magnet_list!$A$2:$A$592,magnet_list!$M$2:$M$592,"n/a",0,1)</f>
        <v>300</v>
      </c>
      <c r="M1416">
        <f>_xlfn.XLOOKUP(F1416,magnet_list!$A$2:$A$592,magnet_list!$L$2:$L$592,"n/a",0,1)</f>
        <v>120</v>
      </c>
    </row>
    <row r="1417" spans="1:13">
      <c r="A1417" t="s">
        <v>797</v>
      </c>
      <c r="B1417" t="s">
        <v>804</v>
      </c>
      <c r="C1417" t="s">
        <v>1152</v>
      </c>
      <c r="D1417" t="s">
        <v>804</v>
      </c>
      <c r="E1417" s="10" t="s">
        <v>1611</v>
      </c>
      <c r="F1417" s="10" t="s">
        <v>2649</v>
      </c>
      <c r="G1417">
        <f>$G$1413+ABS($I$1417-$I$1413)/1000</f>
        <v>339.84951966136896</v>
      </c>
      <c r="H1417">
        <v>-15000</v>
      </c>
      <c r="I1417">
        <f>$I$1413-$L$1417/2</f>
        <v>-75387.462195460073</v>
      </c>
      <c r="J1417">
        <v>-270</v>
      </c>
      <c r="K1417">
        <v>0</v>
      </c>
      <c r="L1417">
        <v>1889.4492</v>
      </c>
    </row>
    <row r="1418" spans="1:13">
      <c r="A1418" t="s">
        <v>797</v>
      </c>
      <c r="B1418" t="s">
        <v>805</v>
      </c>
      <c r="C1418" t="s">
        <v>806</v>
      </c>
      <c r="E1418" s="2" t="s">
        <v>324</v>
      </c>
      <c r="F1418" s="2" t="s">
        <v>2652</v>
      </c>
      <c r="G1418">
        <f t="shared" si="29"/>
        <v>340.0301492198189</v>
      </c>
      <c r="H1418">
        <v>-15000</v>
      </c>
      <c r="I1418">
        <v>-75568.091753910005</v>
      </c>
      <c r="J1418">
        <v>90</v>
      </c>
      <c r="K1418">
        <v>360</v>
      </c>
      <c r="L1418">
        <f>_xlfn.XLOOKUP(F1418,magnet_list!$A$2:$A$592,magnet_list!$M$2:$M$592,"n/a",0,1)</f>
        <v>160</v>
      </c>
      <c r="M1418">
        <f>_xlfn.XLOOKUP(F1418,magnet_list!$A$2:$A$592,magnet_list!$L$2:$L$592,"n/a",0,1)</f>
        <v>44</v>
      </c>
    </row>
    <row r="1419" spans="1:13">
      <c r="A1419" t="s">
        <v>797</v>
      </c>
      <c r="B1419" t="s">
        <v>805</v>
      </c>
      <c r="C1419" t="s">
        <v>1152</v>
      </c>
      <c r="D1419" t="s">
        <v>804</v>
      </c>
      <c r="E1419" s="2" t="s">
        <v>708</v>
      </c>
      <c r="F1419" s="2" t="s">
        <v>2652</v>
      </c>
      <c r="G1419">
        <f t="shared" si="29"/>
        <v>340.1001462198189</v>
      </c>
      <c r="H1419">
        <v>-15000</v>
      </c>
      <c r="I1419">
        <v>-75638.088753910008</v>
      </c>
      <c r="J1419">
        <v>90</v>
      </c>
      <c r="K1419">
        <v>360</v>
      </c>
      <c r="L1419">
        <f>_xlfn.XLOOKUP(F1419,magnet_list!$A$2:$A$592,magnet_list!$M$2:$M$592,"n/a",0,1)</f>
        <v>160</v>
      </c>
      <c r="M1419">
        <f>_xlfn.XLOOKUP(F1419,magnet_list!$A$2:$A$592,magnet_list!$L$2:$L$592,"n/a",0,1)</f>
        <v>44</v>
      </c>
    </row>
    <row r="1420" spans="1:13">
      <c r="A1420" t="s">
        <v>797</v>
      </c>
      <c r="B1420" t="s">
        <v>805</v>
      </c>
      <c r="C1420" t="s">
        <v>806</v>
      </c>
      <c r="E1420" s="2" t="s">
        <v>325</v>
      </c>
      <c r="F1420" s="2" t="s">
        <v>2652</v>
      </c>
      <c r="G1420">
        <f t="shared" si="29"/>
        <v>340.17014632408888</v>
      </c>
      <c r="H1420">
        <v>-15000</v>
      </c>
      <c r="I1420">
        <v>-75708.088858179995</v>
      </c>
      <c r="J1420">
        <v>90</v>
      </c>
      <c r="K1420">
        <v>360</v>
      </c>
      <c r="L1420">
        <f>_xlfn.XLOOKUP(F1420,magnet_list!$A$2:$A$592,magnet_list!$M$2:$M$592,"n/a",0,1)</f>
        <v>160</v>
      </c>
      <c r="M1420">
        <f>_xlfn.XLOOKUP(F1420,magnet_list!$A$2:$A$592,magnet_list!$L$2:$L$592,"n/a",0,1)</f>
        <v>44</v>
      </c>
    </row>
    <row r="1421" spans="1:13">
      <c r="A1421" t="s">
        <v>797</v>
      </c>
      <c r="B1421" t="s">
        <v>804</v>
      </c>
      <c r="C1421" t="s">
        <v>1152</v>
      </c>
      <c r="D1421" t="s">
        <v>804</v>
      </c>
      <c r="E1421" s="10" t="s">
        <v>1612</v>
      </c>
      <c r="F1421" s="10" t="s">
        <v>2653</v>
      </c>
      <c r="G1421">
        <f>$G$1425-ABS($I$1425-$I$1421)/1000</f>
        <v>340.34812346136891</v>
      </c>
      <c r="H1421">
        <v>-15000</v>
      </c>
      <c r="I1421">
        <f>$I$1425+$L$1421/2</f>
        <v>-75886.065995460071</v>
      </c>
      <c r="J1421">
        <v>-270</v>
      </c>
      <c r="K1421">
        <v>0</v>
      </c>
      <c r="L1421">
        <v>1889.4492</v>
      </c>
    </row>
    <row r="1422" spans="1:13">
      <c r="A1422" t="s">
        <v>797</v>
      </c>
      <c r="B1422" t="s">
        <v>805</v>
      </c>
      <c r="C1422" t="s">
        <v>806</v>
      </c>
      <c r="E1422" s="2" t="s">
        <v>326</v>
      </c>
      <c r="F1422" s="2" t="s">
        <v>2654</v>
      </c>
      <c r="G1422">
        <f t="shared" si="29"/>
        <v>340.77567430426882</v>
      </c>
      <c r="H1422">
        <v>-15000</v>
      </c>
      <c r="I1422">
        <v>-76313.616838360002</v>
      </c>
      <c r="J1422">
        <v>75</v>
      </c>
      <c r="K1422">
        <v>345</v>
      </c>
      <c r="L1422">
        <f>_xlfn.XLOOKUP(F1422,magnet_list!$A$2:$A$592,magnet_list!$M$2:$M$592,"n/a",0,1)</f>
        <v>300</v>
      </c>
      <c r="M1422">
        <f>_xlfn.XLOOKUP(F1422,magnet_list!$A$2:$A$592,magnet_list!$L$2:$L$592,"n/a",0,1)</f>
        <v>120</v>
      </c>
    </row>
    <row r="1423" spans="1:13">
      <c r="A1423" t="s">
        <v>797</v>
      </c>
      <c r="B1423" t="s">
        <v>805</v>
      </c>
      <c r="C1423" t="s">
        <v>1152</v>
      </c>
      <c r="D1423" t="s">
        <v>804</v>
      </c>
      <c r="E1423" s="2" t="s">
        <v>709</v>
      </c>
      <c r="F1423" s="2" t="s">
        <v>2654</v>
      </c>
      <c r="G1423">
        <f t="shared" si="29"/>
        <v>340.91067080426882</v>
      </c>
      <c r="H1423">
        <v>-15000</v>
      </c>
      <c r="I1423">
        <v>-76448.613338359995</v>
      </c>
      <c r="J1423">
        <v>75</v>
      </c>
      <c r="K1423">
        <v>345</v>
      </c>
      <c r="L1423">
        <f>_xlfn.XLOOKUP(F1423,magnet_list!$A$2:$A$592,magnet_list!$M$2:$M$592,"n/a",0,1)</f>
        <v>300</v>
      </c>
      <c r="M1423">
        <f>_xlfn.XLOOKUP(F1423,magnet_list!$A$2:$A$592,magnet_list!$L$2:$L$592,"n/a",0,1)</f>
        <v>120</v>
      </c>
    </row>
    <row r="1424" spans="1:13">
      <c r="A1424" t="s">
        <v>797</v>
      </c>
      <c r="B1424" t="s">
        <v>805</v>
      </c>
      <c r="C1424" t="s">
        <v>806</v>
      </c>
      <c r="E1424" s="2" t="s">
        <v>327</v>
      </c>
      <c r="F1424" s="2" t="s">
        <v>2654</v>
      </c>
      <c r="G1424">
        <f t="shared" si="29"/>
        <v>341.04577492763883</v>
      </c>
      <c r="H1424">
        <v>-15000</v>
      </c>
      <c r="I1424">
        <v>-76583.717461730004</v>
      </c>
      <c r="J1424">
        <v>75</v>
      </c>
      <c r="K1424">
        <v>345</v>
      </c>
      <c r="L1424">
        <f>_xlfn.XLOOKUP(F1424,magnet_list!$A$2:$A$592,magnet_list!$M$2:$M$592,"n/a",0,1)</f>
        <v>300</v>
      </c>
      <c r="M1424">
        <f>_xlfn.XLOOKUP(F1424,magnet_list!$A$2:$A$592,magnet_list!$L$2:$L$592,"n/a",0,1)</f>
        <v>120</v>
      </c>
    </row>
    <row r="1425" spans="1:13">
      <c r="A1425" t="s">
        <v>797</v>
      </c>
      <c r="B1425" t="s">
        <v>804</v>
      </c>
      <c r="C1425" t="s">
        <v>1152</v>
      </c>
      <c r="D1425" t="s">
        <v>804</v>
      </c>
      <c r="E1425" s="10" t="s">
        <v>1357</v>
      </c>
      <c r="F1425" s="10" t="s">
        <v>2653</v>
      </c>
      <c r="G1425">
        <f>$G$1413+ABS($I$1425-$I$1413)/1000</f>
        <v>341.29284806136894</v>
      </c>
      <c r="H1425">
        <v>-15000</v>
      </c>
      <c r="I1425">
        <f>$I$1413-2388.053</f>
        <v>-76830.790595460072</v>
      </c>
      <c r="J1425">
        <v>-270</v>
      </c>
      <c r="K1425">
        <v>0</v>
      </c>
      <c r="L1425">
        <v>1889.4492</v>
      </c>
    </row>
    <row r="1426" spans="1:13">
      <c r="A1426" t="s">
        <v>797</v>
      </c>
      <c r="B1426" t="s">
        <v>805</v>
      </c>
      <c r="C1426" t="s">
        <v>806</v>
      </c>
      <c r="E1426" s="2" t="s">
        <v>328</v>
      </c>
      <c r="F1426" s="2" t="s">
        <v>2655</v>
      </c>
      <c r="G1426">
        <f t="shared" si="29"/>
        <v>341.58526767726886</v>
      </c>
      <c r="H1426">
        <v>-15000</v>
      </c>
      <c r="I1426">
        <v>-77123.210211359998</v>
      </c>
      <c r="J1426">
        <v>75</v>
      </c>
      <c r="K1426">
        <v>345</v>
      </c>
      <c r="L1426">
        <f>_xlfn.XLOOKUP(F1426,magnet_list!$A$2:$A$592,magnet_list!$M$2:$M$592,"n/a",0,1)</f>
        <v>300</v>
      </c>
      <c r="M1426">
        <f>_xlfn.XLOOKUP(F1426,magnet_list!$A$2:$A$592,magnet_list!$L$2:$L$592,"n/a",0,1)</f>
        <v>120</v>
      </c>
    </row>
    <row r="1427" spans="1:13">
      <c r="A1427" t="s">
        <v>797</v>
      </c>
      <c r="B1427" t="s">
        <v>805</v>
      </c>
      <c r="C1427" t="s">
        <v>1152</v>
      </c>
      <c r="D1427" t="s">
        <v>804</v>
      </c>
      <c r="E1427" s="2" t="s">
        <v>710</v>
      </c>
      <c r="F1427" s="2" t="s">
        <v>2655</v>
      </c>
      <c r="G1427">
        <f t="shared" si="29"/>
        <v>341.72026667726885</v>
      </c>
      <c r="H1427">
        <v>-15000</v>
      </c>
      <c r="I1427">
        <v>-77258.209211360008</v>
      </c>
      <c r="J1427">
        <v>75</v>
      </c>
      <c r="K1427">
        <v>345</v>
      </c>
      <c r="L1427">
        <f>_xlfn.XLOOKUP(F1427,magnet_list!$A$2:$A$592,magnet_list!$M$2:$M$592,"n/a",0,1)</f>
        <v>300</v>
      </c>
      <c r="M1427">
        <f>_xlfn.XLOOKUP(F1427,magnet_list!$A$2:$A$592,magnet_list!$L$2:$L$592,"n/a",0,1)</f>
        <v>120</v>
      </c>
    </row>
    <row r="1428" spans="1:13">
      <c r="A1428" t="s">
        <v>797</v>
      </c>
      <c r="B1428" t="s">
        <v>805</v>
      </c>
      <c r="C1428" t="s">
        <v>806</v>
      </c>
      <c r="E1428" s="2" t="s">
        <v>329</v>
      </c>
      <c r="F1428" s="2" t="s">
        <v>2655</v>
      </c>
      <c r="G1428">
        <f t="shared" si="29"/>
        <v>341.85526198840887</v>
      </c>
      <c r="H1428">
        <v>-15000</v>
      </c>
      <c r="I1428">
        <v>-77393.204522500004</v>
      </c>
      <c r="J1428">
        <v>75</v>
      </c>
      <c r="K1428">
        <v>345</v>
      </c>
      <c r="L1428">
        <f>_xlfn.XLOOKUP(F1428,magnet_list!$A$2:$A$592,magnet_list!$M$2:$M$592,"n/a",0,1)</f>
        <v>300</v>
      </c>
      <c r="M1428">
        <f>_xlfn.XLOOKUP(F1428,magnet_list!$A$2:$A$592,magnet_list!$L$2:$L$592,"n/a",0,1)</f>
        <v>120</v>
      </c>
    </row>
    <row r="1429" spans="1:13">
      <c r="A1429" t="s">
        <v>797</v>
      </c>
      <c r="B1429" t="s">
        <v>804</v>
      </c>
      <c r="C1429" t="s">
        <v>1152</v>
      </c>
      <c r="D1429" t="s">
        <v>804</v>
      </c>
      <c r="E1429" s="10" t="s">
        <v>1613</v>
      </c>
      <c r="F1429" s="10" t="s">
        <v>2653</v>
      </c>
      <c r="G1429">
        <f>$G$1425+ABS($I$1429-$I$1425)/1000</f>
        <v>342.23757266136897</v>
      </c>
      <c r="H1429">
        <v>-15000</v>
      </c>
      <c r="I1429">
        <f>$I$1425-$L$1429/2</f>
        <v>-77775.515195460073</v>
      </c>
      <c r="J1429">
        <v>-270</v>
      </c>
      <c r="K1429">
        <v>0</v>
      </c>
      <c r="L1429">
        <v>1889.4492</v>
      </c>
    </row>
    <row r="1430" spans="1:13">
      <c r="A1430" t="s">
        <v>797</v>
      </c>
      <c r="B1430" t="s">
        <v>1152</v>
      </c>
      <c r="C1430" t="s">
        <v>1152</v>
      </c>
      <c r="D1430" t="s">
        <v>804</v>
      </c>
      <c r="E1430" s="3" t="s">
        <v>2088</v>
      </c>
      <c r="F1430" s="3" t="s">
        <v>2088</v>
      </c>
      <c r="G1430">
        <f>$G$1425+ABS($I$1430-$I$1425)/1000</f>
        <v>342.36757316136897</v>
      </c>
      <c r="H1430">
        <v>-15000</v>
      </c>
      <c r="I1430">
        <f>$I$1425-1074.7251</f>
        <v>-77905.515695460068</v>
      </c>
      <c r="J1430">
        <v>-270</v>
      </c>
      <c r="K1430">
        <v>0</v>
      </c>
    </row>
    <row r="1431" spans="1:13">
      <c r="A1431" t="s">
        <v>797</v>
      </c>
      <c r="B1431" t="s">
        <v>805</v>
      </c>
      <c r="C1431" t="s">
        <v>806</v>
      </c>
      <c r="E1431" s="2" t="s">
        <v>330</v>
      </c>
      <c r="F1431" s="2" t="s">
        <v>330</v>
      </c>
      <c r="G1431">
        <f t="shared" si="29"/>
        <v>342.50036548660893</v>
      </c>
      <c r="H1431">
        <v>-15000</v>
      </c>
      <c r="I1431">
        <v>-78038.308020700002</v>
      </c>
      <c r="J1431">
        <v>5</v>
      </c>
      <c r="K1431">
        <v>275</v>
      </c>
      <c r="L1431">
        <f>_xlfn.XLOOKUP(F1431,magnet_list!$A$2:$A$592,magnet_list!$M$2:$M$592,"n/a",0,1)</f>
        <v>80</v>
      </c>
      <c r="M1431">
        <f>_xlfn.XLOOKUP(F1431,magnet_list!$A$2:$A$592,magnet_list!$L$2:$L$592,"n/a",0,1)</f>
        <v>39</v>
      </c>
    </row>
    <row r="1432" spans="1:13">
      <c r="A1432" t="s">
        <v>797</v>
      </c>
      <c r="B1432" t="s">
        <v>805</v>
      </c>
      <c r="C1432" t="s">
        <v>1152</v>
      </c>
      <c r="D1432" t="s">
        <v>804</v>
      </c>
      <c r="E1432" s="2" t="s">
        <v>1888</v>
      </c>
      <c r="F1432" s="2" t="s">
        <v>330</v>
      </c>
      <c r="G1432">
        <f t="shared" si="29"/>
        <v>342.50036548660893</v>
      </c>
      <c r="H1432">
        <v>-15000</v>
      </c>
      <c r="I1432">
        <v>-78038.308020700002</v>
      </c>
      <c r="J1432">
        <v>5</v>
      </c>
      <c r="K1432">
        <v>275</v>
      </c>
      <c r="L1432">
        <f>_xlfn.XLOOKUP(F1432,magnet_list!$A$2:$A$592,magnet_list!$M$2:$M$592,"n/a",0,1)</f>
        <v>80</v>
      </c>
      <c r="M1432">
        <f>_xlfn.XLOOKUP(F1432,magnet_list!$A$2:$A$592,magnet_list!$L$2:$L$592,"n/a",0,1)</f>
        <v>39</v>
      </c>
    </row>
    <row r="1433" spans="1:13">
      <c r="A1433" t="s">
        <v>797</v>
      </c>
      <c r="B1433" t="s">
        <v>1152</v>
      </c>
      <c r="C1433" t="s">
        <v>1152</v>
      </c>
      <c r="D1433" t="s">
        <v>804</v>
      </c>
      <c r="E1433" s="3" t="s">
        <v>2089</v>
      </c>
      <c r="F1433" s="3" t="s">
        <v>2089</v>
      </c>
      <c r="G1433">
        <f>$G$1430+ABS($I$1433-$I$1430)/1000</f>
        <v>342.65257316136899</v>
      </c>
      <c r="H1433">
        <v>-15000</v>
      </c>
      <c r="I1433">
        <f>$I$1430-285</f>
        <v>-78190.515695460068</v>
      </c>
      <c r="J1433">
        <v>-270</v>
      </c>
      <c r="K1433">
        <v>0</v>
      </c>
    </row>
    <row r="1434" spans="1:13">
      <c r="A1434" t="s">
        <v>797</v>
      </c>
      <c r="B1434" t="s">
        <v>805</v>
      </c>
      <c r="C1434" t="s">
        <v>806</v>
      </c>
      <c r="E1434" s="2" t="s">
        <v>331</v>
      </c>
      <c r="F1434" s="2" t="s">
        <v>2656</v>
      </c>
      <c r="G1434">
        <f t="shared" si="29"/>
        <v>342.70227036799895</v>
      </c>
      <c r="H1434">
        <v>-15000</v>
      </c>
      <c r="I1434">
        <v>-78240.212902090003</v>
      </c>
      <c r="J1434">
        <v>90</v>
      </c>
      <c r="K1434">
        <v>360</v>
      </c>
      <c r="L1434">
        <f>_xlfn.XLOOKUP(F1434,magnet_list!$A$2:$A$592,magnet_list!$M$2:$M$592,"n/a",0,1)</f>
        <v>160</v>
      </c>
      <c r="M1434">
        <f>_xlfn.XLOOKUP(F1434,magnet_list!$A$2:$A$592,magnet_list!$L$2:$L$592,"n/a",0,1)</f>
        <v>44</v>
      </c>
    </row>
    <row r="1435" spans="1:13">
      <c r="A1435" t="s">
        <v>797</v>
      </c>
      <c r="B1435" t="s">
        <v>805</v>
      </c>
      <c r="C1435" t="s">
        <v>1152</v>
      </c>
      <c r="D1435" t="s">
        <v>804</v>
      </c>
      <c r="E1435" s="2" t="s">
        <v>711</v>
      </c>
      <c r="F1435" s="2" t="s">
        <v>2656</v>
      </c>
      <c r="G1435">
        <f t="shared" si="29"/>
        <v>342.77226136799896</v>
      </c>
      <c r="H1435">
        <v>-15000</v>
      </c>
      <c r="I1435">
        <v>-78310.203902089997</v>
      </c>
      <c r="J1435">
        <v>90</v>
      </c>
      <c r="K1435">
        <v>360</v>
      </c>
      <c r="L1435">
        <f>_xlfn.XLOOKUP(F1435,magnet_list!$A$2:$A$592,magnet_list!$M$2:$M$592,"n/a",0,1)</f>
        <v>160</v>
      </c>
      <c r="M1435">
        <f>_xlfn.XLOOKUP(F1435,magnet_list!$A$2:$A$592,magnet_list!$L$2:$L$592,"n/a",0,1)</f>
        <v>44</v>
      </c>
    </row>
    <row r="1436" spans="1:13">
      <c r="A1436" t="s">
        <v>797</v>
      </c>
      <c r="B1436" t="s">
        <v>805</v>
      </c>
      <c r="C1436" t="s">
        <v>806</v>
      </c>
      <c r="E1436" s="2" t="s">
        <v>332</v>
      </c>
      <c r="F1436" s="2" t="s">
        <v>2656</v>
      </c>
      <c r="G1436">
        <f t="shared" si="29"/>
        <v>342.84223767586894</v>
      </c>
      <c r="H1436">
        <v>-15000</v>
      </c>
      <c r="I1436">
        <v>-78380.180209960003</v>
      </c>
      <c r="J1436">
        <v>90</v>
      </c>
      <c r="K1436">
        <v>360</v>
      </c>
      <c r="L1436">
        <f>_xlfn.XLOOKUP(F1436,magnet_list!$A$2:$A$592,magnet_list!$M$2:$M$592,"n/a",0,1)</f>
        <v>160</v>
      </c>
      <c r="M1436">
        <f>_xlfn.XLOOKUP(F1436,magnet_list!$A$2:$A$592,magnet_list!$L$2:$L$592,"n/a",0,1)</f>
        <v>44</v>
      </c>
    </row>
    <row r="1437" spans="1:13">
      <c r="A1437" t="s">
        <v>797</v>
      </c>
      <c r="B1437" t="s">
        <v>803</v>
      </c>
      <c r="C1437" t="s">
        <v>806</v>
      </c>
      <c r="E1437" t="s">
        <v>1016</v>
      </c>
      <c r="F1437" t="s">
        <v>1016</v>
      </c>
      <c r="G1437">
        <f t="shared" si="29"/>
        <v>342.95004517683896</v>
      </c>
      <c r="H1437">
        <v>-15400</v>
      </c>
      <c r="I1437">
        <v>-78487.98771093</v>
      </c>
      <c r="J1437">
        <v>-689</v>
      </c>
      <c r="K1437">
        <v>-419</v>
      </c>
    </row>
    <row r="1438" spans="1:13">
      <c r="A1438" t="s">
        <v>797</v>
      </c>
      <c r="B1438" t="s">
        <v>805</v>
      </c>
      <c r="C1438" t="s">
        <v>806</v>
      </c>
      <c r="D1438" t="s">
        <v>804</v>
      </c>
      <c r="E1438" s="2" t="s">
        <v>2146</v>
      </c>
      <c r="F1438" s="2" t="s">
        <v>333</v>
      </c>
      <c r="G1438">
        <f t="shared" si="29"/>
        <v>343.02393296590895</v>
      </c>
      <c r="H1438">
        <v>-15000</v>
      </c>
      <c r="I1438">
        <v>-78561.875499999995</v>
      </c>
      <c r="J1438">
        <v>5</v>
      </c>
      <c r="K1438">
        <v>275</v>
      </c>
      <c r="L1438">
        <f>_xlfn.XLOOKUP(F1438,magnet_list!$A$2:$A$592,magnet_list!$M$2:$M$592,"n/a",0,1)</f>
        <v>80</v>
      </c>
      <c r="M1438">
        <f>_xlfn.XLOOKUP(F1438,magnet_list!$A$2:$A$592,magnet_list!$L$2:$L$592,"n/a",0,1)</f>
        <v>39</v>
      </c>
    </row>
    <row r="1439" spans="1:13">
      <c r="A1439" t="s">
        <v>797</v>
      </c>
      <c r="B1439" t="s">
        <v>2288</v>
      </c>
      <c r="C1439" t="s">
        <v>1152</v>
      </c>
      <c r="D1439" t="s">
        <v>804</v>
      </c>
      <c r="E1439" s="8" t="s">
        <v>2340</v>
      </c>
      <c r="F1439" s="8" t="s">
        <v>2340</v>
      </c>
      <c r="G1439">
        <f>$G$1433+ABS($I$1439-$I$1433)/1000</f>
        <v>343.181437961369</v>
      </c>
      <c r="H1439">
        <v>-15000</v>
      </c>
      <c r="I1439">
        <f>$I$1433-528.8648</f>
        <v>-78719.380495460064</v>
      </c>
      <c r="J1439">
        <v>-270</v>
      </c>
      <c r="K1439">
        <v>0</v>
      </c>
    </row>
    <row r="1440" spans="1:13">
      <c r="A1440" t="s">
        <v>797</v>
      </c>
      <c r="B1440" t="s">
        <v>804</v>
      </c>
      <c r="C1440" t="s">
        <v>1152</v>
      </c>
      <c r="D1440" t="s">
        <v>804</v>
      </c>
      <c r="E1440" s="10" t="s">
        <v>1614</v>
      </c>
      <c r="F1440" s="10" t="s">
        <v>2657</v>
      </c>
      <c r="G1440">
        <f>$G$1445-ABS($I$1445-$I$1440)/1000</f>
        <v>343.31143756136896</v>
      </c>
      <c r="H1440">
        <v>-15000</v>
      </c>
      <c r="I1440">
        <f>$I$1445+$L$1440/2</f>
        <v>-78849.380095460059</v>
      </c>
      <c r="J1440">
        <v>-270</v>
      </c>
      <c r="K1440">
        <v>0</v>
      </c>
      <c r="L1440">
        <v>1889.4492</v>
      </c>
    </row>
    <row r="1441" spans="1:13">
      <c r="A1441" t="s">
        <v>797</v>
      </c>
      <c r="B1441" t="s">
        <v>803</v>
      </c>
      <c r="C1441" t="s">
        <v>806</v>
      </c>
      <c r="E1441" t="s">
        <v>1019</v>
      </c>
      <c r="F1441" t="s">
        <v>1019</v>
      </c>
      <c r="G1441">
        <f t="shared" si="29"/>
        <v>343.32963734993888</v>
      </c>
      <c r="H1441">
        <v>-15400</v>
      </c>
      <c r="I1441">
        <v>-78867.579884029998</v>
      </c>
      <c r="J1441">
        <v>-689</v>
      </c>
      <c r="K1441">
        <v>-419</v>
      </c>
    </row>
    <row r="1442" spans="1:13">
      <c r="A1442" t="s">
        <v>797</v>
      </c>
      <c r="B1442" t="s">
        <v>805</v>
      </c>
      <c r="C1442" t="s">
        <v>806</v>
      </c>
      <c r="E1442" s="2" t="s">
        <v>334</v>
      </c>
      <c r="F1442" s="2" t="s">
        <v>2658</v>
      </c>
      <c r="G1442">
        <f t="shared" si="29"/>
        <v>343.70564605985891</v>
      </c>
      <c r="H1442">
        <v>-15000</v>
      </c>
      <c r="I1442">
        <v>-79243.58859395</v>
      </c>
      <c r="J1442">
        <v>75</v>
      </c>
      <c r="K1442">
        <v>345</v>
      </c>
      <c r="L1442">
        <f>_xlfn.XLOOKUP(F1442,magnet_list!$A$2:$A$592,magnet_list!$M$2:$M$592,"n/a",0,1)</f>
        <v>300</v>
      </c>
      <c r="M1442">
        <f>_xlfn.XLOOKUP(F1442,magnet_list!$A$2:$A$592,magnet_list!$L$2:$L$592,"n/a",0,1)</f>
        <v>120</v>
      </c>
    </row>
    <row r="1443" spans="1:13">
      <c r="A1443" t="s">
        <v>797</v>
      </c>
      <c r="B1443" t="s">
        <v>805</v>
      </c>
      <c r="C1443" t="s">
        <v>1152</v>
      </c>
      <c r="D1443" t="s">
        <v>804</v>
      </c>
      <c r="E1443" s="2" t="s">
        <v>712</v>
      </c>
      <c r="F1443" s="2" t="s">
        <v>2658</v>
      </c>
      <c r="G1443">
        <f t="shared" si="29"/>
        <v>343.84065505985888</v>
      </c>
      <c r="H1443">
        <v>-15000</v>
      </c>
      <c r="I1443">
        <v>-79378.597593949991</v>
      </c>
      <c r="J1443">
        <v>75</v>
      </c>
      <c r="K1443">
        <v>345</v>
      </c>
      <c r="L1443">
        <f>_xlfn.XLOOKUP(F1443,magnet_list!$A$2:$A$592,magnet_list!$M$2:$M$592,"n/a",0,1)</f>
        <v>300</v>
      </c>
      <c r="M1443">
        <f>_xlfn.XLOOKUP(F1443,magnet_list!$A$2:$A$592,magnet_list!$L$2:$L$592,"n/a",0,1)</f>
        <v>120</v>
      </c>
    </row>
    <row r="1444" spans="1:13">
      <c r="A1444" t="s">
        <v>797</v>
      </c>
      <c r="B1444" t="s">
        <v>805</v>
      </c>
      <c r="C1444" t="s">
        <v>806</v>
      </c>
      <c r="E1444" s="2" t="s">
        <v>335</v>
      </c>
      <c r="F1444" s="2" t="s">
        <v>2658</v>
      </c>
      <c r="G1444">
        <f t="shared" si="29"/>
        <v>343.97564599047888</v>
      </c>
      <c r="H1444">
        <v>-15000</v>
      </c>
      <c r="I1444">
        <v>-79513.588524570005</v>
      </c>
      <c r="J1444">
        <v>75</v>
      </c>
      <c r="K1444">
        <v>345</v>
      </c>
      <c r="L1444">
        <f>_xlfn.XLOOKUP(F1444,magnet_list!$A$2:$A$592,magnet_list!$M$2:$M$592,"n/a",0,1)</f>
        <v>300</v>
      </c>
      <c r="M1444">
        <f>_xlfn.XLOOKUP(F1444,magnet_list!$A$2:$A$592,magnet_list!$L$2:$L$592,"n/a",0,1)</f>
        <v>120</v>
      </c>
    </row>
    <row r="1445" spans="1:13">
      <c r="A1445" t="s">
        <v>797</v>
      </c>
      <c r="B1445" t="s">
        <v>804</v>
      </c>
      <c r="C1445" t="s">
        <v>1152</v>
      </c>
      <c r="D1445" t="s">
        <v>804</v>
      </c>
      <c r="E1445" s="10" t="s">
        <v>1194</v>
      </c>
      <c r="F1445" s="10" t="s">
        <v>2657</v>
      </c>
      <c r="G1445">
        <f>$G$1439+ABS($I$1445-$I$1439)/1000</f>
        <v>344.25616216136899</v>
      </c>
      <c r="H1445">
        <v>-15000</v>
      </c>
      <c r="I1445">
        <f>$I$1439-1074.7242</f>
        <v>-79794.104695460061</v>
      </c>
      <c r="J1445">
        <v>-270</v>
      </c>
      <c r="K1445">
        <v>0</v>
      </c>
      <c r="L1445">
        <v>1889.4492</v>
      </c>
    </row>
    <row r="1446" spans="1:13">
      <c r="A1446" t="s">
        <v>797</v>
      </c>
      <c r="B1446" t="s">
        <v>805</v>
      </c>
      <c r="C1446" t="s">
        <v>806</v>
      </c>
      <c r="E1446" s="2" t="s">
        <v>336</v>
      </c>
      <c r="F1446" s="2" t="s">
        <v>2659</v>
      </c>
      <c r="G1446">
        <f t="shared" si="29"/>
        <v>344.51561556837891</v>
      </c>
      <c r="H1446">
        <v>-15000</v>
      </c>
      <c r="I1446">
        <v>-80053.558102469993</v>
      </c>
      <c r="J1446">
        <v>75</v>
      </c>
      <c r="K1446">
        <v>345</v>
      </c>
      <c r="L1446">
        <f>_xlfn.XLOOKUP(F1446,magnet_list!$A$2:$A$592,magnet_list!$M$2:$M$592,"n/a",0,1)</f>
        <v>300</v>
      </c>
      <c r="M1446">
        <f>_xlfn.XLOOKUP(F1446,magnet_list!$A$2:$A$592,magnet_list!$L$2:$L$592,"n/a",0,1)</f>
        <v>120</v>
      </c>
    </row>
    <row r="1447" spans="1:13">
      <c r="A1447" t="s">
        <v>797</v>
      </c>
      <c r="B1447" t="s">
        <v>805</v>
      </c>
      <c r="C1447" t="s">
        <v>1152</v>
      </c>
      <c r="D1447" t="s">
        <v>804</v>
      </c>
      <c r="E1447" s="2" t="s">
        <v>713</v>
      </c>
      <c r="F1447" s="2" t="s">
        <v>2659</v>
      </c>
      <c r="G1447">
        <f t="shared" si="29"/>
        <v>344.65060906837891</v>
      </c>
      <c r="H1447">
        <v>-15000</v>
      </c>
      <c r="I1447">
        <v>-80188.55160246999</v>
      </c>
      <c r="J1447">
        <v>75</v>
      </c>
      <c r="K1447">
        <v>345</v>
      </c>
      <c r="L1447">
        <f>_xlfn.XLOOKUP(F1447,magnet_list!$A$2:$A$592,magnet_list!$M$2:$M$592,"n/a",0,1)</f>
        <v>300</v>
      </c>
      <c r="M1447">
        <f>_xlfn.XLOOKUP(F1447,magnet_list!$A$2:$A$592,magnet_list!$L$2:$L$592,"n/a",0,1)</f>
        <v>120</v>
      </c>
    </row>
    <row r="1448" spans="1:13">
      <c r="A1448" t="s">
        <v>797</v>
      </c>
      <c r="B1448" t="s">
        <v>805</v>
      </c>
      <c r="C1448" t="s">
        <v>806</v>
      </c>
      <c r="E1448" s="2" t="s">
        <v>337</v>
      </c>
      <c r="F1448" s="2" t="s">
        <v>2659</v>
      </c>
      <c r="G1448">
        <f t="shared" si="29"/>
        <v>344.78558785066895</v>
      </c>
      <c r="H1448">
        <v>-15000</v>
      </c>
      <c r="I1448">
        <v>-80323.530384760001</v>
      </c>
      <c r="J1448">
        <v>75</v>
      </c>
      <c r="K1448">
        <v>345</v>
      </c>
      <c r="L1448">
        <f>_xlfn.XLOOKUP(F1448,magnet_list!$A$2:$A$592,magnet_list!$M$2:$M$592,"n/a",0,1)</f>
        <v>300</v>
      </c>
      <c r="M1448">
        <f>_xlfn.XLOOKUP(F1448,magnet_list!$A$2:$A$592,magnet_list!$L$2:$L$592,"n/a",0,1)</f>
        <v>120</v>
      </c>
    </row>
    <row r="1449" spans="1:13">
      <c r="A1449" t="s">
        <v>797</v>
      </c>
      <c r="B1449" t="s">
        <v>805</v>
      </c>
      <c r="C1449" t="s">
        <v>1152</v>
      </c>
      <c r="D1449" t="s">
        <v>804</v>
      </c>
      <c r="E1449" s="2" t="s">
        <v>2090</v>
      </c>
      <c r="F1449" s="2" t="s">
        <v>2090</v>
      </c>
      <c r="G1449">
        <f t="shared" si="29"/>
        <v>345.02058785066896</v>
      </c>
      <c r="H1449">
        <v>-15000</v>
      </c>
      <c r="I1449">
        <f>$I$1448-235</f>
        <v>-80558.530384760001</v>
      </c>
      <c r="J1449">
        <v>-270</v>
      </c>
      <c r="K1449">
        <v>0</v>
      </c>
      <c r="L1449">
        <f>_xlfn.XLOOKUP(F1449,magnet_list!$A$2:$A$592,magnet_list!$M$2:$M$592,"n/a",0,1)</f>
        <v>100</v>
      </c>
      <c r="M1449">
        <f>_xlfn.XLOOKUP(F1449,magnet_list!$A$2:$A$592,magnet_list!$L$2:$L$592,"n/a",0,1)</f>
        <v>120</v>
      </c>
    </row>
    <row r="1450" spans="1:13">
      <c r="A1450" t="s">
        <v>797</v>
      </c>
      <c r="B1450" t="s">
        <v>804</v>
      </c>
      <c r="C1450" t="s">
        <v>1152</v>
      </c>
      <c r="D1450" t="s">
        <v>804</v>
      </c>
      <c r="E1450" s="10" t="s">
        <v>1615</v>
      </c>
      <c r="F1450" s="10" t="s">
        <v>2657</v>
      </c>
      <c r="G1450">
        <f>$G$1445+ABS($I$1450-$I$1445)/1000</f>
        <v>345.20088676136902</v>
      </c>
      <c r="H1450">
        <v>-15000</v>
      </c>
      <c r="I1450">
        <f>$I$1445-$L$1450/2</f>
        <v>-80738.829295460062</v>
      </c>
      <c r="J1450">
        <v>-270</v>
      </c>
      <c r="K1450">
        <v>0</v>
      </c>
      <c r="L1450">
        <v>1889.4492</v>
      </c>
    </row>
    <row r="1451" spans="1:13">
      <c r="A1451" t="s">
        <v>797</v>
      </c>
      <c r="B1451" t="s">
        <v>805</v>
      </c>
      <c r="C1451" t="s">
        <v>806</v>
      </c>
      <c r="E1451" s="2" t="s">
        <v>338</v>
      </c>
      <c r="F1451" s="2" t="s">
        <v>2660</v>
      </c>
      <c r="G1451">
        <f t="shared" si="29"/>
        <v>345.36972622397894</v>
      </c>
      <c r="H1451">
        <v>-15000</v>
      </c>
      <c r="I1451">
        <v>-80907.668758069995</v>
      </c>
      <c r="J1451">
        <v>90</v>
      </c>
      <c r="K1451">
        <v>360</v>
      </c>
      <c r="L1451">
        <f>_xlfn.XLOOKUP(F1451,magnet_list!$A$2:$A$592,magnet_list!$M$2:$M$592,"n/a",0,1)</f>
        <v>160</v>
      </c>
      <c r="M1451">
        <f>_xlfn.XLOOKUP(F1451,magnet_list!$A$2:$A$592,magnet_list!$L$2:$L$592,"n/a",0,1)</f>
        <v>44</v>
      </c>
    </row>
    <row r="1452" spans="1:13">
      <c r="A1452" t="s">
        <v>797</v>
      </c>
      <c r="B1452" t="s">
        <v>805</v>
      </c>
      <c r="C1452" t="s">
        <v>1152</v>
      </c>
      <c r="D1452" t="s">
        <v>804</v>
      </c>
      <c r="E1452" s="2" t="s">
        <v>714</v>
      </c>
      <c r="F1452" s="2" t="s">
        <v>2660</v>
      </c>
      <c r="G1452">
        <f t="shared" si="29"/>
        <v>345.43971922397895</v>
      </c>
      <c r="H1452">
        <v>-15000</v>
      </c>
      <c r="I1452">
        <v>-80977.661758069997</v>
      </c>
      <c r="J1452">
        <v>90</v>
      </c>
      <c r="K1452">
        <v>360</v>
      </c>
      <c r="L1452">
        <f>_xlfn.XLOOKUP(F1452,magnet_list!$A$2:$A$592,magnet_list!$M$2:$M$592,"n/a",0,1)</f>
        <v>160</v>
      </c>
      <c r="M1452">
        <f>_xlfn.XLOOKUP(F1452,magnet_list!$A$2:$A$592,magnet_list!$L$2:$L$592,"n/a",0,1)</f>
        <v>44</v>
      </c>
    </row>
    <row r="1453" spans="1:13">
      <c r="A1453" t="s">
        <v>797</v>
      </c>
      <c r="B1453" t="s">
        <v>805</v>
      </c>
      <c r="C1453" t="s">
        <v>806</v>
      </c>
      <c r="E1453" s="2" t="s">
        <v>339</v>
      </c>
      <c r="F1453" s="2" t="s">
        <v>2660</v>
      </c>
      <c r="G1453">
        <f t="shared" si="29"/>
        <v>345.50973137327895</v>
      </c>
      <c r="H1453">
        <v>-15000</v>
      </c>
      <c r="I1453">
        <v>-81047.673907370001</v>
      </c>
      <c r="J1453">
        <v>90</v>
      </c>
      <c r="K1453">
        <v>360</v>
      </c>
      <c r="L1453">
        <f>_xlfn.XLOOKUP(F1453,magnet_list!$A$2:$A$592,magnet_list!$M$2:$M$592,"n/a",0,1)</f>
        <v>160</v>
      </c>
      <c r="M1453">
        <f>_xlfn.XLOOKUP(F1453,magnet_list!$A$2:$A$592,magnet_list!$L$2:$L$592,"n/a",0,1)</f>
        <v>44</v>
      </c>
    </row>
    <row r="1454" spans="1:13">
      <c r="A1454" t="s">
        <v>797</v>
      </c>
      <c r="B1454" t="s">
        <v>804</v>
      </c>
      <c r="C1454" t="s">
        <v>1152</v>
      </c>
      <c r="D1454" t="s">
        <v>804</v>
      </c>
      <c r="E1454" s="10" t="s">
        <v>1616</v>
      </c>
      <c r="F1454" s="10" t="s">
        <v>2661</v>
      </c>
      <c r="G1454">
        <f>$G$1460-ABS($I$1460-$I$1454)/1000</f>
        <v>345.69949056136898</v>
      </c>
      <c r="H1454">
        <v>-15000</v>
      </c>
      <c r="I1454">
        <f>$I$1460+$L$1454/2</f>
        <v>-81237.433095460059</v>
      </c>
      <c r="J1454">
        <v>-270</v>
      </c>
      <c r="K1454">
        <v>0</v>
      </c>
      <c r="L1454">
        <v>1889.4492</v>
      </c>
    </row>
    <row r="1455" spans="1:13">
      <c r="A1455" t="s">
        <v>797</v>
      </c>
      <c r="B1455" t="s">
        <v>805</v>
      </c>
      <c r="C1455" t="s">
        <v>1152</v>
      </c>
      <c r="D1455" t="s">
        <v>804</v>
      </c>
      <c r="E1455" s="2" t="s">
        <v>2091</v>
      </c>
      <c r="F1455" s="2" t="s">
        <v>2091</v>
      </c>
      <c r="G1455">
        <f t="shared" si="29"/>
        <v>345.86973137327891</v>
      </c>
      <c r="H1455">
        <v>-15000</v>
      </c>
      <c r="I1455">
        <f>$I$1453-360</f>
        <v>-81407.673907370001</v>
      </c>
      <c r="J1455">
        <v>-270</v>
      </c>
      <c r="K1455">
        <v>0</v>
      </c>
      <c r="L1455">
        <f>_xlfn.XLOOKUP(F1455,magnet_list!$A$2:$A$592,magnet_list!$M$2:$M$592,"n/a",0,1)</f>
        <v>100</v>
      </c>
      <c r="M1455">
        <f>_xlfn.XLOOKUP(F1455,magnet_list!$A$2:$A$592,magnet_list!$L$2:$L$592,"n/a",0,1)</f>
        <v>120</v>
      </c>
    </row>
    <row r="1456" spans="1:13">
      <c r="A1456" t="s">
        <v>797</v>
      </c>
      <c r="B1456" t="s">
        <v>805</v>
      </c>
      <c r="C1456" t="s">
        <v>806</v>
      </c>
      <c r="E1456" s="2" t="s">
        <v>340</v>
      </c>
      <c r="F1456" s="2" t="s">
        <v>2662</v>
      </c>
      <c r="G1456">
        <f t="shared" si="29"/>
        <v>346.09372504009889</v>
      </c>
      <c r="H1456">
        <v>-15000</v>
      </c>
      <c r="I1456">
        <v>-81631.667574189996</v>
      </c>
      <c r="J1456">
        <v>75</v>
      </c>
      <c r="K1456">
        <v>345</v>
      </c>
      <c r="L1456">
        <f>_xlfn.XLOOKUP(F1456,magnet_list!$A$2:$A$592,magnet_list!$M$2:$M$592,"n/a",0,1)</f>
        <v>300</v>
      </c>
      <c r="M1456">
        <f>_xlfn.XLOOKUP(F1456,magnet_list!$A$2:$A$592,magnet_list!$L$2:$L$592,"n/a",0,1)</f>
        <v>120</v>
      </c>
    </row>
    <row r="1457" spans="1:13">
      <c r="A1457" t="s">
        <v>797</v>
      </c>
      <c r="B1457" t="s">
        <v>805</v>
      </c>
      <c r="C1457" t="s">
        <v>1152</v>
      </c>
      <c r="D1457" t="s">
        <v>804</v>
      </c>
      <c r="E1457" s="2" t="s">
        <v>715</v>
      </c>
      <c r="F1457" s="2" t="s">
        <v>2662</v>
      </c>
      <c r="G1457">
        <f t="shared" si="29"/>
        <v>346.22872204009889</v>
      </c>
      <c r="H1457">
        <v>-15000</v>
      </c>
      <c r="I1457">
        <v>-81766.664574189999</v>
      </c>
      <c r="J1457">
        <v>75</v>
      </c>
      <c r="K1457">
        <v>345</v>
      </c>
      <c r="L1457">
        <f>_xlfn.XLOOKUP(F1457,magnet_list!$A$2:$A$592,magnet_list!$M$2:$M$592,"n/a",0,1)</f>
        <v>300</v>
      </c>
      <c r="M1457">
        <f>_xlfn.XLOOKUP(F1457,magnet_list!$A$2:$A$592,magnet_list!$L$2:$L$592,"n/a",0,1)</f>
        <v>120</v>
      </c>
    </row>
    <row r="1458" spans="1:13">
      <c r="A1458" t="s">
        <v>797</v>
      </c>
      <c r="B1458" t="s">
        <v>805</v>
      </c>
      <c r="C1458" t="s">
        <v>806</v>
      </c>
      <c r="E1458" s="2" t="s">
        <v>341</v>
      </c>
      <c r="F1458" s="2" t="s">
        <v>2662</v>
      </c>
      <c r="G1458">
        <f t="shared" si="29"/>
        <v>346.36371888096892</v>
      </c>
      <c r="H1458">
        <v>-15000</v>
      </c>
      <c r="I1458">
        <v>-81901.661415060007</v>
      </c>
      <c r="J1458">
        <v>75</v>
      </c>
      <c r="K1458">
        <v>345</v>
      </c>
      <c r="L1458">
        <f>_xlfn.XLOOKUP(F1458,magnet_list!$A$2:$A$592,magnet_list!$M$2:$M$592,"n/a",0,1)</f>
        <v>300</v>
      </c>
      <c r="M1458">
        <f>_xlfn.XLOOKUP(F1458,magnet_list!$A$2:$A$592,magnet_list!$L$2:$L$592,"n/a",0,1)</f>
        <v>120</v>
      </c>
    </row>
    <row r="1459" spans="1:13">
      <c r="A1459" t="s">
        <v>797</v>
      </c>
      <c r="B1459" t="s">
        <v>803</v>
      </c>
      <c r="C1459" t="s">
        <v>806</v>
      </c>
      <c r="E1459" t="s">
        <v>845</v>
      </c>
      <c r="F1459" t="s">
        <v>845</v>
      </c>
      <c r="G1459">
        <f t="shared" si="29"/>
        <v>346.62879151618893</v>
      </c>
      <c r="H1459">
        <v>-13540.107997700001</v>
      </c>
      <c r="I1459">
        <v>-82166.734050280007</v>
      </c>
      <c r="J1459">
        <v>291.98684295999999</v>
      </c>
      <c r="K1459">
        <v>561.98684295999999</v>
      </c>
    </row>
    <row r="1460" spans="1:13">
      <c r="A1460" t="s">
        <v>797</v>
      </c>
      <c r="B1460" t="s">
        <v>804</v>
      </c>
      <c r="C1460" t="s">
        <v>1152</v>
      </c>
      <c r="D1460" t="s">
        <v>804</v>
      </c>
      <c r="E1460" s="10" t="s">
        <v>1250</v>
      </c>
      <c r="F1460" s="10" t="s">
        <v>2661</v>
      </c>
      <c r="G1460">
        <f>$G$1445+ABS($I$1460-$I$1445)/1000</f>
        <v>346.644215161369</v>
      </c>
      <c r="H1460">
        <v>-15000</v>
      </c>
      <c r="I1460">
        <f>$I$1445-2388.053</f>
        <v>-82182.15769546006</v>
      </c>
      <c r="J1460">
        <v>-270</v>
      </c>
      <c r="K1460">
        <v>0</v>
      </c>
      <c r="L1460">
        <v>1889.4492</v>
      </c>
    </row>
    <row r="1461" spans="1:13">
      <c r="A1461" t="s">
        <v>797</v>
      </c>
      <c r="B1461" t="s">
        <v>803</v>
      </c>
      <c r="C1461" t="s">
        <v>806</v>
      </c>
      <c r="E1461" t="s">
        <v>844</v>
      </c>
      <c r="F1461" t="s">
        <v>844</v>
      </c>
      <c r="G1461">
        <f t="shared" si="29"/>
        <v>346.82475953537897</v>
      </c>
      <c r="H1461">
        <v>-13536.74412275</v>
      </c>
      <c r="I1461">
        <v>-82362.702069470004</v>
      </c>
      <c r="J1461">
        <v>-23.11918257</v>
      </c>
      <c r="K1461">
        <v>246.88081743000001</v>
      </c>
    </row>
    <row r="1462" spans="1:13">
      <c r="A1462" t="s">
        <v>797</v>
      </c>
      <c r="B1462" t="s">
        <v>805</v>
      </c>
      <c r="C1462" t="s">
        <v>806</v>
      </c>
      <c r="E1462" s="2" t="s">
        <v>342</v>
      </c>
      <c r="F1462" s="2" t="s">
        <v>2663</v>
      </c>
      <c r="G1462">
        <f t="shared" si="29"/>
        <v>346.90376439860898</v>
      </c>
      <c r="H1462">
        <v>-15000</v>
      </c>
      <c r="I1462">
        <v>-82441.706932700006</v>
      </c>
      <c r="J1462">
        <v>75</v>
      </c>
      <c r="K1462">
        <v>345</v>
      </c>
      <c r="L1462">
        <f>_xlfn.XLOOKUP(F1462,magnet_list!$A$2:$A$592,magnet_list!$M$2:$M$592,"n/a",0,1)</f>
        <v>300</v>
      </c>
      <c r="M1462">
        <f>_xlfn.XLOOKUP(F1462,magnet_list!$A$2:$A$592,magnet_list!$L$2:$L$592,"n/a",0,1)</f>
        <v>120</v>
      </c>
    </row>
    <row r="1463" spans="1:13">
      <c r="A1463" t="s">
        <v>797</v>
      </c>
      <c r="B1463" t="s">
        <v>805</v>
      </c>
      <c r="C1463" t="s">
        <v>1152</v>
      </c>
      <c r="D1463" t="s">
        <v>804</v>
      </c>
      <c r="E1463" s="2" t="s">
        <v>716</v>
      </c>
      <c r="F1463" s="2" t="s">
        <v>2663</v>
      </c>
      <c r="G1463">
        <f t="shared" ref="G1463:G1526" si="30">G1462-(I1463-I1462)/1000</f>
        <v>347.03875789860899</v>
      </c>
      <c r="H1463">
        <v>-15000</v>
      </c>
      <c r="I1463">
        <v>-82576.700432700018</v>
      </c>
      <c r="J1463">
        <v>75</v>
      </c>
      <c r="K1463">
        <v>345</v>
      </c>
      <c r="L1463">
        <f>_xlfn.XLOOKUP(F1463,magnet_list!$A$2:$A$592,magnet_list!$M$2:$M$592,"n/a",0,1)</f>
        <v>300</v>
      </c>
      <c r="M1463">
        <f>_xlfn.XLOOKUP(F1463,magnet_list!$A$2:$A$592,magnet_list!$L$2:$L$592,"n/a",0,1)</f>
        <v>120</v>
      </c>
    </row>
    <row r="1464" spans="1:13">
      <c r="A1464" t="s">
        <v>797</v>
      </c>
      <c r="B1464" t="s">
        <v>805</v>
      </c>
      <c r="C1464" t="s">
        <v>806</v>
      </c>
      <c r="E1464" s="2" t="s">
        <v>343</v>
      </c>
      <c r="F1464" s="2" t="s">
        <v>2663</v>
      </c>
      <c r="G1464">
        <f t="shared" si="30"/>
        <v>347.17372576556897</v>
      </c>
      <c r="H1464">
        <v>-15000</v>
      </c>
      <c r="I1464">
        <v>-82711.668299659999</v>
      </c>
      <c r="J1464">
        <v>75</v>
      </c>
      <c r="K1464">
        <v>345</v>
      </c>
      <c r="L1464">
        <f>_xlfn.XLOOKUP(F1464,magnet_list!$A$2:$A$592,magnet_list!$M$2:$M$592,"n/a",0,1)</f>
        <v>300</v>
      </c>
      <c r="M1464">
        <f>_xlfn.XLOOKUP(F1464,magnet_list!$A$2:$A$592,magnet_list!$L$2:$L$592,"n/a",0,1)</f>
        <v>120</v>
      </c>
    </row>
    <row r="1465" spans="1:13">
      <c r="A1465" t="s">
        <v>797</v>
      </c>
      <c r="B1465" t="s">
        <v>804</v>
      </c>
      <c r="C1465" t="s">
        <v>1152</v>
      </c>
      <c r="D1465" t="s">
        <v>804</v>
      </c>
      <c r="E1465" s="10" t="s">
        <v>1617</v>
      </c>
      <c r="F1465" s="10" t="s">
        <v>2661</v>
      </c>
      <c r="G1465">
        <f>$G$1460+ABS($I$1465-$I$1460)/1000</f>
        <v>347.58893976136903</v>
      </c>
      <c r="H1465">
        <v>-15000</v>
      </c>
      <c r="I1465">
        <f>$I$1460-$L$1465/2</f>
        <v>-83126.882295460062</v>
      </c>
      <c r="J1465">
        <v>-270</v>
      </c>
      <c r="K1465">
        <v>0</v>
      </c>
      <c r="L1465">
        <v>1889.4492</v>
      </c>
    </row>
    <row r="1466" spans="1:13">
      <c r="A1466" t="s">
        <v>797</v>
      </c>
      <c r="B1466" t="s">
        <v>1152</v>
      </c>
      <c r="C1466" t="s">
        <v>1152</v>
      </c>
      <c r="D1466" t="s">
        <v>804</v>
      </c>
      <c r="E1466" s="3" t="s">
        <v>2092</v>
      </c>
      <c r="F1466" s="3" t="s">
        <v>2092</v>
      </c>
      <c r="G1466">
        <f>$G$1460+ABS($I$1466-$I$1460)/1000</f>
        <v>347.71894026136903</v>
      </c>
      <c r="H1466">
        <v>-15000</v>
      </c>
      <c r="I1466">
        <f>$I$1460-1074.7251</f>
        <v>-83256.882795460057</v>
      </c>
      <c r="J1466">
        <v>-270</v>
      </c>
      <c r="K1466">
        <v>0</v>
      </c>
    </row>
    <row r="1467" spans="1:13">
      <c r="A1467" t="s">
        <v>797</v>
      </c>
      <c r="B1467" t="s">
        <v>805</v>
      </c>
      <c r="C1467" t="s">
        <v>806</v>
      </c>
      <c r="E1467" s="2" t="s">
        <v>344</v>
      </c>
      <c r="F1467" s="2" t="s">
        <v>2664</v>
      </c>
      <c r="G1467">
        <f t="shared" si="30"/>
        <v>347.77838516063895</v>
      </c>
      <c r="H1467">
        <v>-15000</v>
      </c>
      <c r="I1467">
        <v>-83316.327694730004</v>
      </c>
      <c r="J1467">
        <v>90</v>
      </c>
      <c r="K1467">
        <v>360</v>
      </c>
      <c r="L1467">
        <f>_xlfn.XLOOKUP(F1467,magnet_list!$A$2:$A$592,magnet_list!$M$2:$M$592,"n/a",0,1)</f>
        <v>160</v>
      </c>
      <c r="M1467">
        <f>_xlfn.XLOOKUP(F1467,magnet_list!$A$2:$A$592,magnet_list!$L$2:$L$592,"n/a",0,1)</f>
        <v>44</v>
      </c>
    </row>
    <row r="1468" spans="1:13">
      <c r="A1468" t="s">
        <v>797</v>
      </c>
      <c r="B1468" t="s">
        <v>805</v>
      </c>
      <c r="C1468" t="s">
        <v>1152</v>
      </c>
      <c r="D1468" t="s">
        <v>804</v>
      </c>
      <c r="E1468" s="2" t="s">
        <v>717</v>
      </c>
      <c r="F1468" s="2" t="s">
        <v>2664</v>
      </c>
      <c r="G1468">
        <f t="shared" si="30"/>
        <v>347.84839416063892</v>
      </c>
      <c r="H1468">
        <v>-15000</v>
      </c>
      <c r="I1468">
        <v>-83386.336694729995</v>
      </c>
      <c r="J1468">
        <v>90</v>
      </c>
      <c r="K1468">
        <v>360</v>
      </c>
      <c r="L1468">
        <f>_xlfn.XLOOKUP(F1468,magnet_list!$A$2:$A$592,magnet_list!$M$2:$M$592,"n/a",0,1)</f>
        <v>160</v>
      </c>
      <c r="M1468">
        <f>_xlfn.XLOOKUP(F1468,magnet_list!$A$2:$A$592,magnet_list!$L$2:$L$592,"n/a",0,1)</f>
        <v>44</v>
      </c>
    </row>
    <row r="1469" spans="1:13">
      <c r="A1469" t="s">
        <v>797</v>
      </c>
      <c r="B1469" t="s">
        <v>803</v>
      </c>
      <c r="C1469" t="s">
        <v>806</v>
      </c>
      <c r="E1469" t="s">
        <v>843</v>
      </c>
      <c r="F1469" t="s">
        <v>843</v>
      </c>
      <c r="G1469">
        <f t="shared" si="30"/>
        <v>347.86773581322893</v>
      </c>
      <c r="H1469">
        <v>-17478.18846098</v>
      </c>
      <c r="I1469">
        <v>-83405.678347320005</v>
      </c>
      <c r="J1469">
        <v>-20.569371530000002</v>
      </c>
      <c r="K1469">
        <v>249.43062846999999</v>
      </c>
    </row>
    <row r="1470" spans="1:13">
      <c r="A1470" t="s">
        <v>797</v>
      </c>
      <c r="B1470" t="s">
        <v>805</v>
      </c>
      <c r="C1470" t="s">
        <v>806</v>
      </c>
      <c r="E1470" s="2" t="s">
        <v>345</v>
      </c>
      <c r="F1470" s="2" t="s">
        <v>2664</v>
      </c>
      <c r="G1470">
        <f t="shared" si="30"/>
        <v>347.91838232186893</v>
      </c>
      <c r="H1470">
        <v>-15000</v>
      </c>
      <c r="I1470">
        <v>-83456.324855960003</v>
      </c>
      <c r="J1470">
        <v>90</v>
      </c>
      <c r="K1470">
        <v>360</v>
      </c>
      <c r="L1470">
        <f>_xlfn.XLOOKUP(F1470,magnet_list!$A$2:$A$592,magnet_list!$M$2:$M$592,"n/a",0,1)</f>
        <v>160</v>
      </c>
      <c r="M1470">
        <f>_xlfn.XLOOKUP(F1470,magnet_list!$A$2:$A$592,magnet_list!$L$2:$L$592,"n/a",0,1)</f>
        <v>44</v>
      </c>
    </row>
    <row r="1471" spans="1:13">
      <c r="A1471" t="s">
        <v>797</v>
      </c>
      <c r="B1471" t="s">
        <v>804</v>
      </c>
      <c r="C1471" t="s">
        <v>1152</v>
      </c>
      <c r="D1471" t="s">
        <v>804</v>
      </c>
      <c r="E1471" s="10" t="s">
        <v>1618</v>
      </c>
      <c r="F1471" s="10" t="s">
        <v>2665</v>
      </c>
      <c r="G1471">
        <f>$G$1475-ABS($I$1475-$I$1471)/1000</f>
        <v>348.16627086136901</v>
      </c>
      <c r="H1471">
        <v>-15000</v>
      </c>
      <c r="I1471">
        <f>$I$1475+$L$1471/2</f>
        <v>-83704.213395460058</v>
      </c>
      <c r="J1471">
        <v>-270</v>
      </c>
      <c r="K1471">
        <v>0</v>
      </c>
      <c r="L1471">
        <v>1889.4492</v>
      </c>
    </row>
    <row r="1472" spans="1:13">
      <c r="A1472" t="s">
        <v>797</v>
      </c>
      <c r="B1472" t="s">
        <v>805</v>
      </c>
      <c r="C1472" t="s">
        <v>806</v>
      </c>
      <c r="E1472" s="2" t="s">
        <v>346</v>
      </c>
      <c r="F1472" s="2" t="s">
        <v>2666</v>
      </c>
      <c r="G1472">
        <f t="shared" si="30"/>
        <v>348.58132663906895</v>
      </c>
      <c r="H1472">
        <v>-15000</v>
      </c>
      <c r="I1472">
        <v>-84119.269173160006</v>
      </c>
      <c r="J1472">
        <v>75</v>
      </c>
      <c r="K1472">
        <v>345</v>
      </c>
      <c r="L1472">
        <f>_xlfn.XLOOKUP(F1472,magnet_list!$A$2:$A$592,magnet_list!$M$2:$M$592,"n/a",0,1)</f>
        <v>300</v>
      </c>
      <c r="M1472">
        <f>_xlfn.XLOOKUP(F1472,magnet_list!$A$2:$A$592,magnet_list!$L$2:$L$592,"n/a",0,1)</f>
        <v>120</v>
      </c>
    </row>
    <row r="1473" spans="1:13">
      <c r="A1473" t="s">
        <v>797</v>
      </c>
      <c r="B1473" t="s">
        <v>805</v>
      </c>
      <c r="C1473" t="s">
        <v>1152</v>
      </c>
      <c r="D1473" t="s">
        <v>804</v>
      </c>
      <c r="E1473" s="2" t="s">
        <v>718</v>
      </c>
      <c r="F1473" s="2" t="s">
        <v>2666</v>
      </c>
      <c r="G1473">
        <f t="shared" si="30"/>
        <v>348.71632663906894</v>
      </c>
      <c r="H1473">
        <v>-15000</v>
      </c>
      <c r="I1473">
        <v>-84254.269173160006</v>
      </c>
      <c r="J1473">
        <v>75</v>
      </c>
      <c r="K1473">
        <v>345</v>
      </c>
      <c r="L1473">
        <f>_xlfn.XLOOKUP(F1473,magnet_list!$A$2:$A$592,magnet_list!$M$2:$M$592,"n/a",0,1)</f>
        <v>300</v>
      </c>
      <c r="M1473">
        <f>_xlfn.XLOOKUP(F1473,magnet_list!$A$2:$A$592,magnet_list!$L$2:$L$592,"n/a",0,1)</f>
        <v>120</v>
      </c>
    </row>
    <row r="1474" spans="1:13">
      <c r="A1474" t="s">
        <v>797</v>
      </c>
      <c r="B1474" t="s">
        <v>805</v>
      </c>
      <c r="C1474" t="s">
        <v>806</v>
      </c>
      <c r="E1474" s="2" t="s">
        <v>347</v>
      </c>
      <c r="F1474" s="2" t="s">
        <v>2666</v>
      </c>
      <c r="G1474">
        <f t="shared" si="30"/>
        <v>348.8513413645789</v>
      </c>
      <c r="H1474">
        <v>-15000</v>
      </c>
      <c r="I1474">
        <v>-84389.283898669994</v>
      </c>
      <c r="J1474">
        <v>75</v>
      </c>
      <c r="K1474">
        <v>345</v>
      </c>
      <c r="L1474">
        <f>_xlfn.XLOOKUP(F1474,magnet_list!$A$2:$A$592,magnet_list!$M$2:$M$592,"n/a",0,1)</f>
        <v>300</v>
      </c>
      <c r="M1474">
        <f>_xlfn.XLOOKUP(F1474,magnet_list!$A$2:$A$592,magnet_list!$L$2:$L$592,"n/a",0,1)</f>
        <v>120</v>
      </c>
    </row>
    <row r="1475" spans="1:13">
      <c r="A1475" t="s">
        <v>797</v>
      </c>
      <c r="B1475" t="s">
        <v>804</v>
      </c>
      <c r="C1475" t="s">
        <v>1152</v>
      </c>
      <c r="D1475" t="s">
        <v>804</v>
      </c>
      <c r="E1475" s="10" t="s">
        <v>1304</v>
      </c>
      <c r="F1475" s="10" t="s">
        <v>2665</v>
      </c>
      <c r="G1475">
        <f>$G$1466+ABS($I$1475-$I$1466)/1000</f>
        <v>349.11099546136904</v>
      </c>
      <c r="H1475">
        <v>-15000</v>
      </c>
      <c r="I1475">
        <f>$I$1466-1392.0552</f>
        <v>-84648.937995460059</v>
      </c>
      <c r="J1475">
        <v>-270</v>
      </c>
      <c r="K1475">
        <v>0</v>
      </c>
      <c r="L1475">
        <v>1889.4492</v>
      </c>
    </row>
    <row r="1476" spans="1:13">
      <c r="A1476" t="s">
        <v>797</v>
      </c>
      <c r="B1476" t="s">
        <v>805</v>
      </c>
      <c r="C1476" t="s">
        <v>806</v>
      </c>
      <c r="E1476" s="2" t="s">
        <v>348</v>
      </c>
      <c r="F1476" s="2" t="s">
        <v>2667</v>
      </c>
      <c r="G1476">
        <f t="shared" si="30"/>
        <v>349.37057325494897</v>
      </c>
      <c r="H1476">
        <v>-15000</v>
      </c>
      <c r="I1476">
        <v>-84908.515789040001</v>
      </c>
      <c r="J1476">
        <v>75</v>
      </c>
      <c r="K1476">
        <v>345</v>
      </c>
      <c r="L1476">
        <f>_xlfn.XLOOKUP(F1476,magnet_list!$A$2:$A$592,magnet_list!$M$2:$M$592,"n/a",0,1)</f>
        <v>300</v>
      </c>
      <c r="M1476">
        <f>_xlfn.XLOOKUP(F1476,magnet_list!$A$2:$A$592,magnet_list!$L$2:$L$592,"n/a",0,1)</f>
        <v>120</v>
      </c>
    </row>
    <row r="1477" spans="1:13">
      <c r="A1477" t="s">
        <v>797</v>
      </c>
      <c r="B1477" t="s">
        <v>805</v>
      </c>
      <c r="C1477" t="s">
        <v>1152</v>
      </c>
      <c r="D1477" t="s">
        <v>804</v>
      </c>
      <c r="E1477" s="2" t="s">
        <v>719</v>
      </c>
      <c r="F1477" s="2" t="s">
        <v>2667</v>
      </c>
      <c r="G1477">
        <f t="shared" si="30"/>
        <v>349.50558925494897</v>
      </c>
      <c r="H1477">
        <v>-15000</v>
      </c>
      <c r="I1477">
        <v>-85043.531789040004</v>
      </c>
      <c r="J1477">
        <v>75</v>
      </c>
      <c r="K1477">
        <v>345</v>
      </c>
      <c r="L1477">
        <f>_xlfn.XLOOKUP(F1477,magnet_list!$A$2:$A$592,magnet_list!$M$2:$M$592,"n/a",0,1)</f>
        <v>300</v>
      </c>
      <c r="M1477">
        <f>_xlfn.XLOOKUP(F1477,magnet_list!$A$2:$A$592,magnet_list!$L$2:$L$592,"n/a",0,1)</f>
        <v>120</v>
      </c>
    </row>
    <row r="1478" spans="1:13">
      <c r="A1478" t="s">
        <v>797</v>
      </c>
      <c r="B1478" t="s">
        <v>805</v>
      </c>
      <c r="C1478" t="s">
        <v>806</v>
      </c>
      <c r="E1478" s="2" t="s">
        <v>349</v>
      </c>
      <c r="F1478" s="2" t="s">
        <v>2667</v>
      </c>
      <c r="G1478">
        <f t="shared" si="30"/>
        <v>349.64061309348898</v>
      </c>
      <c r="H1478">
        <v>-15000</v>
      </c>
      <c r="I1478">
        <v>-85178.555627580005</v>
      </c>
      <c r="J1478">
        <v>75</v>
      </c>
      <c r="K1478">
        <v>345</v>
      </c>
      <c r="L1478">
        <f>_xlfn.XLOOKUP(F1478,magnet_list!$A$2:$A$592,magnet_list!$M$2:$M$592,"n/a",0,1)</f>
        <v>300</v>
      </c>
      <c r="M1478">
        <f>_xlfn.XLOOKUP(F1478,magnet_list!$A$2:$A$592,magnet_list!$L$2:$L$592,"n/a",0,1)</f>
        <v>120</v>
      </c>
    </row>
    <row r="1479" spans="1:13">
      <c r="A1479" t="s">
        <v>797</v>
      </c>
      <c r="B1479" t="s">
        <v>804</v>
      </c>
      <c r="C1479" t="s">
        <v>1152</v>
      </c>
      <c r="D1479" t="s">
        <v>804</v>
      </c>
      <c r="E1479" s="10" t="s">
        <v>1619</v>
      </c>
      <c r="F1479" s="10" t="s">
        <v>2665</v>
      </c>
      <c r="G1479">
        <f>$G$1475+ABS($I$1479-$I$1475)/1000</f>
        <v>350.05572006136907</v>
      </c>
      <c r="H1479">
        <v>-15000</v>
      </c>
      <c r="I1479">
        <f>$I$1475-$L$1479/2</f>
        <v>-85593.66259546006</v>
      </c>
      <c r="J1479">
        <v>-270</v>
      </c>
      <c r="K1479">
        <v>0</v>
      </c>
      <c r="L1479">
        <v>1889.4492</v>
      </c>
    </row>
    <row r="1480" spans="1:13">
      <c r="A1480" t="s">
        <v>797</v>
      </c>
      <c r="B1480" t="s">
        <v>805</v>
      </c>
      <c r="C1480" t="s">
        <v>806</v>
      </c>
      <c r="E1480" s="2" t="s">
        <v>350</v>
      </c>
      <c r="F1480" s="2" t="s">
        <v>2668</v>
      </c>
      <c r="G1480">
        <f t="shared" si="30"/>
        <v>350.224568470929</v>
      </c>
      <c r="H1480">
        <v>-15000</v>
      </c>
      <c r="I1480">
        <v>-85762.511005020002</v>
      </c>
      <c r="J1480">
        <v>90</v>
      </c>
      <c r="K1480">
        <v>360</v>
      </c>
      <c r="L1480">
        <f>_xlfn.XLOOKUP(F1480,magnet_list!$A$2:$A$592,magnet_list!$M$2:$M$592,"n/a",0,1)</f>
        <v>160</v>
      </c>
      <c r="M1480">
        <f>_xlfn.XLOOKUP(F1480,magnet_list!$A$2:$A$592,magnet_list!$L$2:$L$592,"n/a",0,1)</f>
        <v>44</v>
      </c>
    </row>
    <row r="1481" spans="1:13">
      <c r="A1481" t="s">
        <v>797</v>
      </c>
      <c r="B1481" t="s">
        <v>805</v>
      </c>
      <c r="C1481" t="s">
        <v>1152</v>
      </c>
      <c r="D1481" t="s">
        <v>804</v>
      </c>
      <c r="E1481" s="2" t="s">
        <v>720</v>
      </c>
      <c r="F1481" s="2" t="s">
        <v>2668</v>
      </c>
      <c r="G1481">
        <f t="shared" si="30"/>
        <v>350.29456347092901</v>
      </c>
      <c r="H1481">
        <v>-15000</v>
      </c>
      <c r="I1481">
        <v>-85832.506005019997</v>
      </c>
      <c r="J1481">
        <v>90</v>
      </c>
      <c r="K1481">
        <v>360</v>
      </c>
      <c r="L1481">
        <f>_xlfn.XLOOKUP(F1481,magnet_list!$A$2:$A$592,magnet_list!$M$2:$M$592,"n/a",0,1)</f>
        <v>160</v>
      </c>
      <c r="M1481">
        <f>_xlfn.XLOOKUP(F1481,magnet_list!$A$2:$A$592,magnet_list!$L$2:$L$592,"n/a",0,1)</f>
        <v>44</v>
      </c>
    </row>
    <row r="1482" spans="1:13">
      <c r="A1482" t="s">
        <v>797</v>
      </c>
      <c r="B1482" t="s">
        <v>805</v>
      </c>
      <c r="C1482" t="s">
        <v>806</v>
      </c>
      <c r="E1482" s="2" t="s">
        <v>351</v>
      </c>
      <c r="F1482" s="2" t="s">
        <v>2668</v>
      </c>
      <c r="G1482">
        <f t="shared" si="30"/>
        <v>350.36454545565903</v>
      </c>
      <c r="H1482">
        <v>-15000</v>
      </c>
      <c r="I1482">
        <v>-85902.487989750007</v>
      </c>
      <c r="J1482">
        <v>90</v>
      </c>
      <c r="K1482">
        <v>360</v>
      </c>
      <c r="L1482">
        <f>_xlfn.XLOOKUP(F1482,magnet_list!$A$2:$A$592,magnet_list!$M$2:$M$592,"n/a",0,1)</f>
        <v>160</v>
      </c>
      <c r="M1482">
        <f>_xlfn.XLOOKUP(F1482,magnet_list!$A$2:$A$592,magnet_list!$L$2:$L$592,"n/a",0,1)</f>
        <v>44</v>
      </c>
    </row>
    <row r="1483" spans="1:13">
      <c r="A1483" t="s">
        <v>797</v>
      </c>
      <c r="B1483" t="s">
        <v>804</v>
      </c>
      <c r="C1483" t="s">
        <v>1152</v>
      </c>
      <c r="D1483" t="s">
        <v>804</v>
      </c>
      <c r="E1483" s="10" t="s">
        <v>1620</v>
      </c>
      <c r="F1483" s="10" t="s">
        <v>2669</v>
      </c>
      <c r="G1483">
        <f>$G$1487-ABS($I$1487-$I$1483)/1000</f>
        <v>350.55432266136904</v>
      </c>
      <c r="H1483">
        <v>-15000</v>
      </c>
      <c r="I1483">
        <f>$I$1487+$L$1483/2</f>
        <v>-86092.265195460059</v>
      </c>
      <c r="J1483">
        <v>-270</v>
      </c>
      <c r="K1483">
        <v>0</v>
      </c>
      <c r="L1483">
        <v>1889.4492</v>
      </c>
    </row>
    <row r="1484" spans="1:13">
      <c r="A1484" t="s">
        <v>797</v>
      </c>
      <c r="B1484" t="s">
        <v>805</v>
      </c>
      <c r="C1484" t="s">
        <v>806</v>
      </c>
      <c r="E1484" s="2" t="s">
        <v>352</v>
      </c>
      <c r="F1484" s="2" t="s">
        <v>2670</v>
      </c>
      <c r="G1484">
        <f t="shared" si="30"/>
        <v>350.94862935857901</v>
      </c>
      <c r="H1484">
        <v>-15000</v>
      </c>
      <c r="I1484">
        <v>-86486.571892670006</v>
      </c>
      <c r="J1484">
        <v>75</v>
      </c>
      <c r="K1484">
        <v>345</v>
      </c>
      <c r="L1484">
        <f>_xlfn.XLOOKUP(F1484,magnet_list!$A$2:$A$592,magnet_list!$M$2:$M$592,"n/a",0,1)</f>
        <v>300</v>
      </c>
      <c r="M1484">
        <f>_xlfn.XLOOKUP(F1484,magnet_list!$A$2:$A$592,magnet_list!$L$2:$L$592,"n/a",0,1)</f>
        <v>120</v>
      </c>
    </row>
    <row r="1485" spans="1:13">
      <c r="A1485" t="s">
        <v>797</v>
      </c>
      <c r="B1485" t="s">
        <v>805</v>
      </c>
      <c r="C1485" t="s">
        <v>1152</v>
      </c>
      <c r="D1485" t="s">
        <v>804</v>
      </c>
      <c r="E1485" s="2" t="s">
        <v>721</v>
      </c>
      <c r="F1485" s="2" t="s">
        <v>2670</v>
      </c>
      <c r="G1485">
        <f t="shared" si="30"/>
        <v>351.08362735857901</v>
      </c>
      <c r="H1485">
        <v>-15000</v>
      </c>
      <c r="I1485">
        <v>-86621.569892670013</v>
      </c>
      <c r="J1485">
        <v>75</v>
      </c>
      <c r="K1485">
        <v>345</v>
      </c>
      <c r="L1485">
        <f>_xlfn.XLOOKUP(F1485,magnet_list!$A$2:$A$592,magnet_list!$M$2:$M$592,"n/a",0,1)</f>
        <v>300</v>
      </c>
      <c r="M1485">
        <f>_xlfn.XLOOKUP(F1485,magnet_list!$A$2:$A$592,magnet_list!$L$2:$L$592,"n/a",0,1)</f>
        <v>120</v>
      </c>
    </row>
    <row r="1486" spans="1:13">
      <c r="A1486" t="s">
        <v>797</v>
      </c>
      <c r="B1486" t="s">
        <v>805</v>
      </c>
      <c r="C1486" t="s">
        <v>806</v>
      </c>
      <c r="E1486" s="2" t="s">
        <v>353</v>
      </c>
      <c r="F1486" s="2" t="s">
        <v>2670</v>
      </c>
      <c r="G1486">
        <f t="shared" si="30"/>
        <v>351.218616173469</v>
      </c>
      <c r="H1486">
        <v>-15000</v>
      </c>
      <c r="I1486">
        <v>-86756.558707560005</v>
      </c>
      <c r="J1486">
        <v>75</v>
      </c>
      <c r="K1486">
        <v>345</v>
      </c>
      <c r="L1486">
        <f>_xlfn.XLOOKUP(F1486,magnet_list!$A$2:$A$592,magnet_list!$M$2:$M$592,"n/a",0,1)</f>
        <v>300</v>
      </c>
      <c r="M1486">
        <f>_xlfn.XLOOKUP(F1486,magnet_list!$A$2:$A$592,magnet_list!$L$2:$L$592,"n/a",0,1)</f>
        <v>120</v>
      </c>
    </row>
    <row r="1487" spans="1:13">
      <c r="A1487" t="s">
        <v>797</v>
      </c>
      <c r="B1487" t="s">
        <v>804</v>
      </c>
      <c r="C1487" t="s">
        <v>1152</v>
      </c>
      <c r="D1487" t="s">
        <v>804</v>
      </c>
      <c r="E1487" s="10" t="s">
        <v>1358</v>
      </c>
      <c r="F1487" s="10" t="s">
        <v>2669</v>
      </c>
      <c r="G1487">
        <f>$G$1475+ABS($I$1487-$I$1475)/1000</f>
        <v>351.49904726136907</v>
      </c>
      <c r="H1487">
        <v>-15000</v>
      </c>
      <c r="I1487">
        <f>$I$1475-2388.0518</f>
        <v>-87036.98979546006</v>
      </c>
      <c r="J1487">
        <v>-270</v>
      </c>
      <c r="K1487">
        <v>0</v>
      </c>
      <c r="L1487">
        <v>1889.4492</v>
      </c>
    </row>
    <row r="1488" spans="1:13">
      <c r="A1488" t="s">
        <v>797</v>
      </c>
      <c r="B1488" t="s">
        <v>805</v>
      </c>
      <c r="C1488" t="s">
        <v>806</v>
      </c>
      <c r="E1488" s="2" t="s">
        <v>354</v>
      </c>
      <c r="F1488" s="2" t="s">
        <v>2671</v>
      </c>
      <c r="G1488">
        <f t="shared" si="30"/>
        <v>351.75858683576899</v>
      </c>
      <c r="H1488">
        <v>-15000</v>
      </c>
      <c r="I1488">
        <v>-87296.52936986</v>
      </c>
      <c r="J1488">
        <v>75</v>
      </c>
      <c r="K1488">
        <v>345</v>
      </c>
      <c r="L1488">
        <f>_xlfn.XLOOKUP(F1488,magnet_list!$A$2:$A$592,magnet_list!$M$2:$M$592,"n/a",0,1)</f>
        <v>300</v>
      </c>
      <c r="M1488">
        <f>_xlfn.XLOOKUP(F1488,magnet_list!$A$2:$A$592,magnet_list!$L$2:$L$592,"n/a",0,1)</f>
        <v>120</v>
      </c>
    </row>
    <row r="1489" spans="1:13">
      <c r="A1489" t="s">
        <v>797</v>
      </c>
      <c r="B1489" t="s">
        <v>805</v>
      </c>
      <c r="C1489" t="s">
        <v>1152</v>
      </c>
      <c r="D1489" t="s">
        <v>804</v>
      </c>
      <c r="E1489" s="2" t="s">
        <v>722</v>
      </c>
      <c r="F1489" s="2" t="s">
        <v>2671</v>
      </c>
      <c r="G1489">
        <f t="shared" si="30"/>
        <v>351.893579335769</v>
      </c>
      <c r="H1489">
        <v>-15000</v>
      </c>
      <c r="I1489">
        <v>-87431.521869859993</v>
      </c>
      <c r="J1489">
        <v>75</v>
      </c>
      <c r="K1489">
        <v>345</v>
      </c>
      <c r="L1489">
        <f>_xlfn.XLOOKUP(F1489,magnet_list!$A$2:$A$592,magnet_list!$M$2:$M$592,"n/a",0,1)</f>
        <v>300</v>
      </c>
      <c r="M1489">
        <f>_xlfn.XLOOKUP(F1489,magnet_list!$A$2:$A$592,magnet_list!$L$2:$L$592,"n/a",0,1)</f>
        <v>120</v>
      </c>
    </row>
    <row r="1490" spans="1:13">
      <c r="A1490" t="s">
        <v>797</v>
      </c>
      <c r="B1490" t="s">
        <v>805</v>
      </c>
      <c r="C1490" t="s">
        <v>806</v>
      </c>
      <c r="E1490" s="2" t="s">
        <v>355</v>
      </c>
      <c r="F1490" s="2" t="s">
        <v>2671</v>
      </c>
      <c r="G1490">
        <f t="shared" si="30"/>
        <v>352.02858062599898</v>
      </c>
      <c r="H1490">
        <v>-15000</v>
      </c>
      <c r="I1490">
        <v>-87566.523160090001</v>
      </c>
      <c r="J1490">
        <v>75</v>
      </c>
      <c r="K1490">
        <v>345</v>
      </c>
      <c r="L1490">
        <f>_xlfn.XLOOKUP(F1490,magnet_list!$A$2:$A$592,magnet_list!$M$2:$M$592,"n/a",0,1)</f>
        <v>300</v>
      </c>
      <c r="M1490">
        <f>_xlfn.XLOOKUP(F1490,magnet_list!$A$2:$A$592,magnet_list!$L$2:$L$592,"n/a",0,1)</f>
        <v>120</v>
      </c>
    </row>
    <row r="1491" spans="1:13">
      <c r="A1491" t="s">
        <v>797</v>
      </c>
      <c r="B1491" t="s">
        <v>803</v>
      </c>
      <c r="C1491" t="s">
        <v>806</v>
      </c>
      <c r="E1491" t="s">
        <v>1018</v>
      </c>
      <c r="F1491" t="s">
        <v>1018</v>
      </c>
      <c r="G1491">
        <f t="shared" si="30"/>
        <v>352.41194382289899</v>
      </c>
      <c r="H1491">
        <v>-15400</v>
      </c>
      <c r="I1491">
        <v>-87949.886356989999</v>
      </c>
      <c r="J1491">
        <v>-689</v>
      </c>
      <c r="K1491">
        <v>-419</v>
      </c>
    </row>
    <row r="1492" spans="1:13">
      <c r="A1492" t="s">
        <v>797</v>
      </c>
      <c r="B1492" t="s">
        <v>804</v>
      </c>
      <c r="C1492" t="s">
        <v>1152</v>
      </c>
      <c r="D1492" t="s">
        <v>804</v>
      </c>
      <c r="E1492" s="10" t="s">
        <v>1621</v>
      </c>
      <c r="F1492" s="10" t="s">
        <v>2669</v>
      </c>
      <c r="G1492">
        <f>$G$1487+ABS($I$1492-$I$1487)/1000</f>
        <v>352.4437718613691</v>
      </c>
      <c r="H1492">
        <v>-15000</v>
      </c>
      <c r="I1492">
        <f>$I$1487-$L$1492/2</f>
        <v>-87981.714395460061</v>
      </c>
      <c r="J1492">
        <v>-270</v>
      </c>
      <c r="K1492">
        <v>0</v>
      </c>
      <c r="L1492">
        <v>1889.4492</v>
      </c>
    </row>
    <row r="1493" spans="1:13">
      <c r="A1493" t="s">
        <v>797</v>
      </c>
      <c r="B1493" t="s">
        <v>1152</v>
      </c>
      <c r="C1493" t="s">
        <v>1152</v>
      </c>
      <c r="D1493" t="s">
        <v>804</v>
      </c>
      <c r="E1493" s="3" t="s">
        <v>2093</v>
      </c>
      <c r="F1493" s="3" t="s">
        <v>2093</v>
      </c>
      <c r="G1493">
        <f>$G$1487+ABS($I$1493-$I$1487)/1000</f>
        <v>352.57377236136909</v>
      </c>
      <c r="H1493">
        <v>-15000</v>
      </c>
      <c r="I1493">
        <f>$I$1487-1074.7251</f>
        <v>-88111.714895460056</v>
      </c>
      <c r="J1493">
        <v>-270</v>
      </c>
      <c r="K1493">
        <v>0</v>
      </c>
    </row>
    <row r="1494" spans="1:13">
      <c r="A1494" t="s">
        <v>797</v>
      </c>
      <c r="B1494" t="s">
        <v>805</v>
      </c>
      <c r="C1494" t="s">
        <v>1152</v>
      </c>
      <c r="E1494" s="2" t="s">
        <v>356</v>
      </c>
      <c r="F1494" s="2" t="s">
        <v>356</v>
      </c>
      <c r="G1494">
        <f>G1493-(I1494-I1493)/1000</f>
        <v>352.74191042658902</v>
      </c>
      <c r="H1494">
        <v>-15000</v>
      </c>
      <c r="I1494">
        <v>-88279.85296068</v>
      </c>
      <c r="J1494">
        <v>-60</v>
      </c>
      <c r="K1494">
        <v>210</v>
      </c>
      <c r="L1494">
        <f>_xlfn.XLOOKUP(F1494,magnet_list!$A$2:$A$592,magnet_list!$M$2:$M$592,"n/a",0,1)</f>
        <v>120</v>
      </c>
      <c r="M1494">
        <f>_xlfn.XLOOKUP(F1494,magnet_list!$A$2:$A$592,magnet_list!$L$2:$L$592,"n/a",0,1)</f>
        <v>23</v>
      </c>
    </row>
    <row r="1495" spans="1:13">
      <c r="A1495" t="s">
        <v>797</v>
      </c>
      <c r="B1495" t="s">
        <v>805</v>
      </c>
      <c r="C1495" t="s">
        <v>1152</v>
      </c>
      <c r="D1495" t="s">
        <v>804</v>
      </c>
      <c r="E1495" s="2" t="s">
        <v>1153</v>
      </c>
      <c r="F1495" s="2" t="s">
        <v>356</v>
      </c>
      <c r="G1495">
        <f>G1494-(I1495-I1494)/1000</f>
        <v>352.78191042658904</v>
      </c>
      <c r="H1495">
        <v>-15000</v>
      </c>
      <c r="I1495">
        <f>I1494-40</f>
        <v>-88319.85296068</v>
      </c>
      <c r="J1495">
        <v>-60</v>
      </c>
      <c r="K1495">
        <v>210</v>
      </c>
      <c r="L1495">
        <f>_xlfn.XLOOKUP(F1495,magnet_list!$A$2:$A$592,magnet_list!$M$2:$M$592,"n/a",0,1)</f>
        <v>120</v>
      </c>
      <c r="M1495">
        <f>_xlfn.XLOOKUP(F1495,magnet_list!$A$2:$A$592,magnet_list!$L$2:$L$592,"n/a",0,1)</f>
        <v>23</v>
      </c>
    </row>
    <row r="1496" spans="1:13">
      <c r="A1496" t="s">
        <v>797</v>
      </c>
      <c r="B1496" t="s">
        <v>805</v>
      </c>
      <c r="C1496" t="s">
        <v>806</v>
      </c>
      <c r="E1496" s="2" t="s">
        <v>357</v>
      </c>
      <c r="F1496" s="2" t="s">
        <v>2672</v>
      </c>
      <c r="G1496">
        <f t="shared" si="30"/>
        <v>353.02141031337902</v>
      </c>
      <c r="H1496">
        <v>-15000</v>
      </c>
      <c r="I1496">
        <v>-88559.35284747</v>
      </c>
      <c r="J1496">
        <v>-70</v>
      </c>
      <c r="K1496">
        <v>200</v>
      </c>
      <c r="L1496">
        <f>_xlfn.XLOOKUP(F1496,magnet_list!$A$2:$A$592,magnet_list!$M$2:$M$592,"n/a",0,1)</f>
        <v>100</v>
      </c>
      <c r="M1496">
        <f>_xlfn.XLOOKUP(F1496,magnet_list!$A$2:$A$592,magnet_list!$L$2:$L$592,"n/a",0,1)</f>
        <v>44</v>
      </c>
    </row>
    <row r="1497" spans="1:13">
      <c r="A1497" t="s">
        <v>797</v>
      </c>
      <c r="B1497" t="s">
        <v>805</v>
      </c>
      <c r="C1497" t="s">
        <v>1152</v>
      </c>
      <c r="D1497" t="s">
        <v>804</v>
      </c>
      <c r="E1497" s="2" t="s">
        <v>723</v>
      </c>
      <c r="F1497" s="2" t="s">
        <v>2672</v>
      </c>
      <c r="G1497">
        <f t="shared" si="30"/>
        <v>353.06141031337904</v>
      </c>
      <c r="H1497">
        <v>-15000</v>
      </c>
      <c r="I1497">
        <v>-88599.35284747</v>
      </c>
      <c r="J1497">
        <v>-70</v>
      </c>
      <c r="K1497">
        <v>200</v>
      </c>
      <c r="L1497">
        <f>_xlfn.XLOOKUP(F1497,magnet_list!$A$2:$A$592,magnet_list!$M$2:$M$592,"n/a",0,1)</f>
        <v>100</v>
      </c>
      <c r="M1497">
        <f>_xlfn.XLOOKUP(F1497,magnet_list!$A$2:$A$592,magnet_list!$L$2:$L$592,"n/a",0,1)</f>
        <v>44</v>
      </c>
    </row>
    <row r="1498" spans="1:13">
      <c r="A1498" t="s">
        <v>797</v>
      </c>
      <c r="B1498" t="s">
        <v>805</v>
      </c>
      <c r="C1498" t="s">
        <v>806</v>
      </c>
      <c r="E1498" s="2" t="s">
        <v>358</v>
      </c>
      <c r="F1498" s="2" t="s">
        <v>2672</v>
      </c>
      <c r="G1498">
        <f t="shared" si="30"/>
        <v>353.10142904142901</v>
      </c>
      <c r="H1498">
        <v>-15000</v>
      </c>
      <c r="I1498">
        <v>-88639.371575519996</v>
      </c>
      <c r="J1498">
        <v>-70</v>
      </c>
      <c r="K1498">
        <v>200</v>
      </c>
      <c r="L1498">
        <f>_xlfn.XLOOKUP(F1498,magnet_list!$A$2:$A$592,magnet_list!$M$2:$M$592,"n/a",0,1)</f>
        <v>100</v>
      </c>
      <c r="M1498">
        <f>_xlfn.XLOOKUP(F1498,magnet_list!$A$2:$A$592,magnet_list!$L$2:$L$592,"n/a",0,1)</f>
        <v>44</v>
      </c>
    </row>
    <row r="1499" spans="1:13">
      <c r="A1499" t="s">
        <v>797</v>
      </c>
      <c r="B1499" t="s">
        <v>805</v>
      </c>
      <c r="C1499" t="s">
        <v>1152</v>
      </c>
      <c r="D1499" t="s">
        <v>804</v>
      </c>
      <c r="E1499" s="2" t="s">
        <v>1154</v>
      </c>
      <c r="F1499" s="2" t="s">
        <v>359</v>
      </c>
      <c r="G1499">
        <f t="shared" si="30"/>
        <v>353.34123746504901</v>
      </c>
      <c r="H1499">
        <v>-15000</v>
      </c>
      <c r="I1499">
        <v>-88879.179999140004</v>
      </c>
      <c r="J1499">
        <v>-60</v>
      </c>
      <c r="K1499">
        <v>210</v>
      </c>
      <c r="L1499">
        <f>_xlfn.XLOOKUP(F1499,magnet_list!$A$2:$A$592,magnet_list!$M$2:$M$592,"n/a",0,1)</f>
        <v>120</v>
      </c>
      <c r="M1499">
        <f>_xlfn.XLOOKUP(F1499,magnet_list!$A$2:$A$592,magnet_list!$L$2:$L$592,"n/a",0,1)</f>
        <v>23</v>
      </c>
    </row>
    <row r="1500" spans="1:13">
      <c r="A1500" t="s">
        <v>797</v>
      </c>
      <c r="B1500" t="s">
        <v>805</v>
      </c>
      <c r="C1500" t="s">
        <v>806</v>
      </c>
      <c r="E1500" s="2" t="s">
        <v>359</v>
      </c>
      <c r="F1500" s="2" t="s">
        <v>359</v>
      </c>
      <c r="G1500">
        <f t="shared" si="30"/>
        <v>353.38123746504903</v>
      </c>
      <c r="H1500">
        <v>-15000</v>
      </c>
      <c r="I1500">
        <v>-88919.179999140004</v>
      </c>
      <c r="J1500">
        <v>-60</v>
      </c>
      <c r="K1500">
        <v>210</v>
      </c>
      <c r="L1500">
        <f>_xlfn.XLOOKUP(F1500,magnet_list!$A$2:$A$592,magnet_list!$M$2:$M$592,"n/a",0,1)</f>
        <v>120</v>
      </c>
      <c r="M1500">
        <f>_xlfn.XLOOKUP(F1500,magnet_list!$A$2:$A$592,magnet_list!$L$2:$L$592,"n/a",0,1)</f>
        <v>23</v>
      </c>
    </row>
    <row r="1501" spans="1:13">
      <c r="A1501" t="s">
        <v>797</v>
      </c>
      <c r="B1501" t="s">
        <v>1152</v>
      </c>
      <c r="C1501" t="s">
        <v>1152</v>
      </c>
      <c r="D1501" t="s">
        <v>804</v>
      </c>
      <c r="E1501" s="3" t="s">
        <v>2147</v>
      </c>
      <c r="F1501" s="3" t="s">
        <v>2147</v>
      </c>
      <c r="G1501">
        <f>$G$1493+ABS($I$1501-$I$1493)/1000</f>
        <v>353.5299381613691</v>
      </c>
      <c r="H1501">
        <v>-15000</v>
      </c>
      <c r="I1501">
        <f>$I$1493-956.1658</f>
        <v>-89067.880695460059</v>
      </c>
      <c r="J1501">
        <v>-270</v>
      </c>
      <c r="K1501">
        <v>0</v>
      </c>
    </row>
    <row r="1502" spans="1:13">
      <c r="A1502" t="s">
        <v>797</v>
      </c>
      <c r="B1502" t="s">
        <v>2288</v>
      </c>
      <c r="C1502" t="s">
        <v>1152</v>
      </c>
      <c r="D1502" t="s">
        <v>804</v>
      </c>
      <c r="E1502" s="8" t="s">
        <v>2341</v>
      </c>
      <c r="F1502" s="8" t="s">
        <v>2341</v>
      </c>
      <c r="G1502">
        <f>$G$1501+ABS($I$1502-$I$1501)/1000</f>
        <v>353.61493816136908</v>
      </c>
      <c r="H1502">
        <v>-15000</v>
      </c>
      <c r="I1502">
        <f>$I$1501-85</f>
        <v>-89152.880695460059</v>
      </c>
      <c r="J1502">
        <v>-270</v>
      </c>
      <c r="K1502">
        <v>0</v>
      </c>
    </row>
    <row r="1503" spans="1:13">
      <c r="A1503" t="s">
        <v>797</v>
      </c>
      <c r="B1503" t="s">
        <v>803</v>
      </c>
      <c r="C1503" t="s">
        <v>806</v>
      </c>
      <c r="E1503" t="s">
        <v>1021</v>
      </c>
      <c r="F1503" t="s">
        <v>1021</v>
      </c>
      <c r="G1503">
        <f t="shared" si="30"/>
        <v>353.69738862246902</v>
      </c>
      <c r="H1503">
        <v>-15400</v>
      </c>
      <c r="I1503">
        <v>-89235.331156560002</v>
      </c>
      <c r="J1503">
        <v>-689</v>
      </c>
      <c r="K1503">
        <v>-419</v>
      </c>
    </row>
    <row r="1504" spans="1:13">
      <c r="A1504" t="s">
        <v>797</v>
      </c>
      <c r="B1504" t="s">
        <v>804</v>
      </c>
      <c r="C1504" t="s">
        <v>1152</v>
      </c>
      <c r="D1504" t="s">
        <v>804</v>
      </c>
      <c r="E1504" s="10" t="s">
        <v>1622</v>
      </c>
      <c r="F1504" s="10" t="s">
        <v>2673</v>
      </c>
      <c r="G1504">
        <f>$G$1508-ABS($I$1508-$I$1504)/1000</f>
        <v>353.74493776136904</v>
      </c>
      <c r="H1504">
        <v>-15000</v>
      </c>
      <c r="I1504">
        <f>$I$1508+$L$1504/2</f>
        <v>-89282.880295460054</v>
      </c>
      <c r="J1504">
        <v>-270</v>
      </c>
      <c r="K1504">
        <v>0</v>
      </c>
      <c r="L1504">
        <v>1889.4492</v>
      </c>
    </row>
    <row r="1505" spans="1:13">
      <c r="A1505" t="s">
        <v>797</v>
      </c>
      <c r="B1505" t="s">
        <v>803</v>
      </c>
      <c r="C1505" t="s">
        <v>806</v>
      </c>
      <c r="E1505" t="s">
        <v>846</v>
      </c>
      <c r="F1505" t="s">
        <v>846</v>
      </c>
      <c r="G1505">
        <f t="shared" si="30"/>
        <v>354.114611632709</v>
      </c>
      <c r="H1505">
        <v>-13530.89053337</v>
      </c>
      <c r="I1505">
        <v>-89652.554166799993</v>
      </c>
      <c r="J1505">
        <v>288.81088963000002</v>
      </c>
      <c r="K1505">
        <v>558.81088963000002</v>
      </c>
    </row>
    <row r="1506" spans="1:13">
      <c r="A1506" t="s">
        <v>797</v>
      </c>
      <c r="B1506" t="s">
        <v>3855</v>
      </c>
      <c r="C1506" t="s">
        <v>1152</v>
      </c>
      <c r="D1506" t="s">
        <v>804</v>
      </c>
      <c r="E1506" t="s">
        <v>2094</v>
      </c>
      <c r="F1506" t="s">
        <v>2094</v>
      </c>
      <c r="G1506">
        <f>$G$1501+ABS($I$1506-$I$1501)/1000</f>
        <v>354.29743816136909</v>
      </c>
      <c r="H1506">
        <v>-15000</v>
      </c>
      <c r="I1506">
        <f>$I$1501-767.5</f>
        <v>-89835.380695460059</v>
      </c>
      <c r="J1506">
        <v>-270</v>
      </c>
      <c r="K1506">
        <v>0</v>
      </c>
      <c r="L1506">
        <f>_xlfn.XLOOKUP(F1506,magnet_list!$A$2:$A$592,magnet_list!$M$2:$M$592,"n/a",0,1)</f>
        <v>800</v>
      </c>
      <c r="M1506">
        <f>_xlfn.XLOOKUP(F1506,magnet_list!$A$2:$A$592,magnet_list!$L$2:$L$592,"n/a",0,1)</f>
        <v>120</v>
      </c>
    </row>
    <row r="1507" spans="1:13">
      <c r="A1507" t="s">
        <v>797</v>
      </c>
      <c r="B1507" t="s">
        <v>3855</v>
      </c>
      <c r="C1507" t="s">
        <v>1152</v>
      </c>
      <c r="D1507" t="s">
        <v>804</v>
      </c>
      <c r="E1507" t="s">
        <v>2095</v>
      </c>
      <c r="F1507" t="s">
        <v>2095</v>
      </c>
      <c r="G1507">
        <f>$G$1501+ABS($I$1506-$I$1501)/1000</f>
        <v>354.29743816136909</v>
      </c>
      <c r="H1507">
        <v>-15000</v>
      </c>
      <c r="I1507">
        <f>$I$1501-767.5</f>
        <v>-89835.380695460059</v>
      </c>
      <c r="J1507">
        <v>-270</v>
      </c>
      <c r="K1507">
        <v>0</v>
      </c>
      <c r="L1507">
        <f>_xlfn.XLOOKUP(F1507,magnet_list!$A$2:$A$592,magnet_list!$M$2:$M$592,"n/a",0,1)</f>
        <v>800</v>
      </c>
      <c r="M1507">
        <f>_xlfn.XLOOKUP(F1507,magnet_list!$A$2:$A$592,magnet_list!$L$2:$L$592,"n/a",0,1)</f>
        <v>120</v>
      </c>
    </row>
    <row r="1508" spans="1:13">
      <c r="A1508" t="s">
        <v>797</v>
      </c>
      <c r="B1508" t="s">
        <v>804</v>
      </c>
      <c r="C1508" t="s">
        <v>1152</v>
      </c>
      <c r="D1508" t="s">
        <v>804</v>
      </c>
      <c r="E1508" s="10" t="s">
        <v>1195</v>
      </c>
      <c r="F1508" s="10" t="s">
        <v>2673</v>
      </c>
      <c r="G1508">
        <f>$G$1502+ABS($I$1508-$I$1502)/1000</f>
        <v>354.68966236136907</v>
      </c>
      <c r="H1508">
        <v>-15000</v>
      </c>
      <c r="I1508">
        <f>$I$1502-1074.7242</f>
        <v>-90227.604895460056</v>
      </c>
      <c r="J1508">
        <v>-270</v>
      </c>
      <c r="K1508">
        <v>0</v>
      </c>
      <c r="L1508">
        <v>1889.4492</v>
      </c>
    </row>
    <row r="1509" spans="1:13">
      <c r="A1509" t="s">
        <v>797</v>
      </c>
      <c r="B1509" t="s">
        <v>804</v>
      </c>
      <c r="C1509" t="s">
        <v>1152</v>
      </c>
      <c r="D1509" t="s">
        <v>804</v>
      </c>
      <c r="E1509" s="10" t="s">
        <v>1623</v>
      </c>
      <c r="F1509" s="10" t="s">
        <v>2673</v>
      </c>
      <c r="G1509">
        <f>$G$1508+ABS($I$1509-$I$1508)/1000</f>
        <v>355.6343869613691</v>
      </c>
      <c r="H1509">
        <v>-15000</v>
      </c>
      <c r="I1509">
        <f>$I$1508-$L$1509/2</f>
        <v>-91172.329495460057</v>
      </c>
      <c r="J1509">
        <v>-270</v>
      </c>
      <c r="K1509">
        <v>0</v>
      </c>
      <c r="L1509">
        <v>1889.4492</v>
      </c>
    </row>
    <row r="1510" spans="1:13">
      <c r="A1510" t="s">
        <v>797</v>
      </c>
      <c r="B1510" t="s">
        <v>1152</v>
      </c>
      <c r="C1510" t="s">
        <v>1152</v>
      </c>
      <c r="D1510" t="s">
        <v>804</v>
      </c>
      <c r="E1510" s="3" t="s">
        <v>2096</v>
      </c>
      <c r="F1510" s="3" t="s">
        <v>2096</v>
      </c>
      <c r="G1510">
        <f>$G$1508+ABS($I$1510-$I$1508)/1000</f>
        <v>355.7643874613691</v>
      </c>
      <c r="H1510">
        <v>-15000</v>
      </c>
      <c r="I1510">
        <f>$I$1508-1074.7251</f>
        <v>-91302.329995460052</v>
      </c>
      <c r="J1510">
        <v>-270</v>
      </c>
      <c r="K1510">
        <v>0</v>
      </c>
    </row>
    <row r="1511" spans="1:13">
      <c r="A1511" t="s">
        <v>797</v>
      </c>
      <c r="B1511" t="s">
        <v>805</v>
      </c>
      <c r="C1511" t="s">
        <v>806</v>
      </c>
      <c r="E1511" s="2" t="s">
        <v>360</v>
      </c>
      <c r="F1511" s="2" t="s">
        <v>360</v>
      </c>
      <c r="G1511">
        <f t="shared" si="30"/>
        <v>355.93183502478905</v>
      </c>
      <c r="H1511">
        <v>-15000</v>
      </c>
      <c r="I1511">
        <v>-91469.77755888</v>
      </c>
      <c r="J1511">
        <v>-20</v>
      </c>
      <c r="K1511">
        <v>250</v>
      </c>
      <c r="L1511">
        <f>_xlfn.XLOOKUP(F1511,magnet_list!$A$2:$A$592,magnet_list!$M$2:$M$592,"n/a",0,1)</f>
        <v>100</v>
      </c>
      <c r="M1511">
        <f>_xlfn.XLOOKUP(F1511,magnet_list!$A$2:$A$592,magnet_list!$L$2:$L$592,"n/a",0,1)</f>
        <v>23</v>
      </c>
    </row>
    <row r="1512" spans="1:13">
      <c r="A1512" t="s">
        <v>797</v>
      </c>
      <c r="B1512" t="s">
        <v>805</v>
      </c>
      <c r="C1512" t="s">
        <v>1152</v>
      </c>
      <c r="D1512" t="s">
        <v>804</v>
      </c>
      <c r="E1512" s="2" t="s">
        <v>724</v>
      </c>
      <c r="F1512" s="2" t="s">
        <v>360</v>
      </c>
      <c r="G1512">
        <f t="shared" si="30"/>
        <v>355.96183502478902</v>
      </c>
      <c r="H1512">
        <v>-15000</v>
      </c>
      <c r="I1512">
        <v>-91499.77755888</v>
      </c>
      <c r="J1512">
        <v>-20</v>
      </c>
      <c r="K1512">
        <v>250</v>
      </c>
      <c r="L1512">
        <f>_xlfn.XLOOKUP(F1512,magnet_list!$A$2:$A$592,magnet_list!$M$2:$M$592,"n/a",0,1)</f>
        <v>100</v>
      </c>
      <c r="M1512">
        <f>_xlfn.XLOOKUP(F1512,magnet_list!$A$2:$A$592,magnet_list!$L$2:$L$592,"n/a",0,1)</f>
        <v>23</v>
      </c>
    </row>
    <row r="1513" spans="1:13">
      <c r="A1513" t="s">
        <v>797</v>
      </c>
      <c r="B1513" t="s">
        <v>805</v>
      </c>
      <c r="C1513" t="s">
        <v>806</v>
      </c>
      <c r="E1513" s="2" t="s">
        <v>361</v>
      </c>
      <c r="F1513" s="2" t="s">
        <v>2674</v>
      </c>
      <c r="G1513">
        <f t="shared" si="30"/>
        <v>356.169180418819</v>
      </c>
      <c r="H1513">
        <v>-15000</v>
      </c>
      <c r="I1513">
        <v>-91707.122952909995</v>
      </c>
      <c r="J1513">
        <v>-70</v>
      </c>
      <c r="K1513">
        <v>200</v>
      </c>
      <c r="L1513">
        <f>_xlfn.XLOOKUP(F1513,magnet_list!$A$2:$A$592,magnet_list!$M$2:$M$592,"n/a",0,1)</f>
        <v>100</v>
      </c>
      <c r="M1513">
        <f>_xlfn.XLOOKUP(F1513,magnet_list!$A$2:$A$592,magnet_list!$L$2:$L$592,"n/a",0,1)</f>
        <v>44</v>
      </c>
    </row>
    <row r="1514" spans="1:13">
      <c r="A1514" t="s">
        <v>797</v>
      </c>
      <c r="B1514" t="s">
        <v>805</v>
      </c>
      <c r="C1514" t="s">
        <v>1152</v>
      </c>
      <c r="D1514" t="s">
        <v>804</v>
      </c>
      <c r="E1514" s="2" t="s">
        <v>726</v>
      </c>
      <c r="F1514" s="2" t="s">
        <v>2674</v>
      </c>
      <c r="G1514">
        <f t="shared" si="30"/>
        <v>356.20917891881902</v>
      </c>
      <c r="H1514">
        <v>-15000</v>
      </c>
      <c r="I1514">
        <v>-91747.121452909996</v>
      </c>
      <c r="J1514">
        <v>-70</v>
      </c>
      <c r="K1514">
        <v>200</v>
      </c>
      <c r="L1514">
        <f>_xlfn.XLOOKUP(F1514,magnet_list!$A$2:$A$592,magnet_list!$M$2:$M$592,"n/a",0,1)</f>
        <v>100</v>
      </c>
      <c r="M1514">
        <f>_xlfn.XLOOKUP(F1514,magnet_list!$A$2:$A$592,magnet_list!$L$2:$L$592,"n/a",0,1)</f>
        <v>44</v>
      </c>
    </row>
    <row r="1515" spans="1:13">
      <c r="A1515" t="s">
        <v>797</v>
      </c>
      <c r="B1515" t="s">
        <v>805</v>
      </c>
      <c r="C1515" t="s">
        <v>806</v>
      </c>
      <c r="E1515" s="2" t="s">
        <v>362</v>
      </c>
      <c r="F1515" s="2" t="s">
        <v>2674</v>
      </c>
      <c r="G1515">
        <f t="shared" si="30"/>
        <v>356.24918228551905</v>
      </c>
      <c r="H1515">
        <v>-15000</v>
      </c>
      <c r="I1515">
        <v>-91787.124819610006</v>
      </c>
      <c r="J1515">
        <v>-70</v>
      </c>
      <c r="K1515">
        <v>200</v>
      </c>
      <c r="L1515">
        <f>_xlfn.XLOOKUP(F1515,magnet_list!$A$2:$A$592,magnet_list!$M$2:$M$592,"n/a",0,1)</f>
        <v>100</v>
      </c>
      <c r="M1515">
        <f>_xlfn.XLOOKUP(F1515,magnet_list!$A$2:$A$592,magnet_list!$L$2:$L$592,"n/a",0,1)</f>
        <v>44</v>
      </c>
    </row>
    <row r="1516" spans="1:13">
      <c r="A1516" t="s">
        <v>797</v>
      </c>
      <c r="B1516" t="s">
        <v>805</v>
      </c>
      <c r="C1516" t="s">
        <v>1152</v>
      </c>
      <c r="D1516" t="s">
        <v>804</v>
      </c>
      <c r="E1516" s="2" t="s">
        <v>725</v>
      </c>
      <c r="F1516" s="2" t="s">
        <v>363</v>
      </c>
      <c r="G1516">
        <f t="shared" si="30"/>
        <v>356.45044695248902</v>
      </c>
      <c r="H1516">
        <v>-15000</v>
      </c>
      <c r="I1516">
        <v>-91988.389486579996</v>
      </c>
      <c r="J1516">
        <v>-20</v>
      </c>
      <c r="K1516">
        <v>250</v>
      </c>
      <c r="L1516">
        <f>_xlfn.XLOOKUP(F1516,magnet_list!$A$2:$A$592,magnet_list!$M$2:$M$592,"n/a",0,1)</f>
        <v>100</v>
      </c>
      <c r="M1516">
        <f>_xlfn.XLOOKUP(F1516,magnet_list!$A$2:$A$592,magnet_list!$L$2:$L$592,"n/a",0,1)</f>
        <v>23</v>
      </c>
    </row>
    <row r="1517" spans="1:13">
      <c r="A1517" t="s">
        <v>797</v>
      </c>
      <c r="B1517" t="s">
        <v>805</v>
      </c>
      <c r="C1517" t="s">
        <v>806</v>
      </c>
      <c r="E1517" s="2" t="s">
        <v>363</v>
      </c>
      <c r="F1517" s="2" t="s">
        <v>363</v>
      </c>
      <c r="G1517">
        <f t="shared" si="30"/>
        <v>356.48044695248899</v>
      </c>
      <c r="H1517">
        <v>-15000</v>
      </c>
      <c r="I1517">
        <v>-92018.389486579996</v>
      </c>
      <c r="J1517">
        <v>-20</v>
      </c>
      <c r="K1517">
        <v>250</v>
      </c>
      <c r="L1517">
        <f>_xlfn.XLOOKUP(F1517,magnet_list!$A$2:$A$592,magnet_list!$M$2:$M$592,"n/a",0,1)</f>
        <v>100</v>
      </c>
      <c r="M1517">
        <f>_xlfn.XLOOKUP(F1517,magnet_list!$A$2:$A$592,magnet_list!$L$2:$L$592,"n/a",0,1)</f>
        <v>23</v>
      </c>
    </row>
    <row r="1518" spans="1:13">
      <c r="A1518" t="s">
        <v>797</v>
      </c>
      <c r="B1518" t="s">
        <v>1152</v>
      </c>
      <c r="C1518" t="s">
        <v>1152</v>
      </c>
      <c r="D1518" t="s">
        <v>804</v>
      </c>
      <c r="E1518" s="3" t="s">
        <v>2148</v>
      </c>
      <c r="F1518" s="3" t="s">
        <v>2148</v>
      </c>
      <c r="G1518">
        <f>$G$1510+ABS($I$1518-$I$1510)/1000</f>
        <v>356.63280726136912</v>
      </c>
      <c r="H1518">
        <v>-15000</v>
      </c>
      <c r="I1518">
        <f>$I$1510-868.4198</f>
        <v>-92170.749795460055</v>
      </c>
      <c r="J1518">
        <v>-270</v>
      </c>
      <c r="K1518">
        <v>0</v>
      </c>
    </row>
    <row r="1519" spans="1:13">
      <c r="A1519" t="s">
        <v>797</v>
      </c>
      <c r="B1519" t="s">
        <v>804</v>
      </c>
      <c r="C1519" t="s">
        <v>1152</v>
      </c>
      <c r="D1519" t="s">
        <v>804</v>
      </c>
      <c r="E1519" s="10" t="s">
        <v>1624</v>
      </c>
      <c r="F1519" s="10" t="s">
        <v>2675</v>
      </c>
      <c r="G1519">
        <f>$G$1522-ABS($I$1522-$I$1519)/1000</f>
        <v>356.76280686136909</v>
      </c>
      <c r="H1519">
        <v>-15000</v>
      </c>
      <c r="I1519">
        <f>$I$1522+$L$1519/2</f>
        <v>-92300.74939546005</v>
      </c>
      <c r="J1519">
        <v>-270</v>
      </c>
      <c r="K1519">
        <v>0</v>
      </c>
      <c r="L1519">
        <v>1889.4492</v>
      </c>
    </row>
    <row r="1520" spans="1:13">
      <c r="A1520" t="s">
        <v>797</v>
      </c>
      <c r="B1520" t="s">
        <v>3855</v>
      </c>
      <c r="C1520" t="s">
        <v>1152</v>
      </c>
      <c r="D1520" t="s">
        <v>804</v>
      </c>
      <c r="E1520" t="s">
        <v>2099</v>
      </c>
      <c r="F1520" t="s">
        <v>2099</v>
      </c>
      <c r="G1520">
        <f>$G$1518+ABS($I$1520-$I$1518)/1000</f>
        <v>357.40030726136911</v>
      </c>
      <c r="H1520">
        <v>-15000</v>
      </c>
      <c r="I1520">
        <f>$I$1518-767.5</f>
        <v>-92938.249795460055</v>
      </c>
      <c r="J1520">
        <v>-270</v>
      </c>
      <c r="K1520">
        <v>0</v>
      </c>
      <c r="L1520">
        <f>_xlfn.XLOOKUP(F1520,magnet_list!$A$2:$A$592,magnet_list!$M$2:$M$592,"n/a",0,1)</f>
        <v>800</v>
      </c>
      <c r="M1520">
        <f>_xlfn.XLOOKUP(F1520,magnet_list!$A$2:$A$592,magnet_list!$L$2:$L$592,"n/a",0,1)</f>
        <v>120</v>
      </c>
    </row>
    <row r="1521" spans="1:13">
      <c r="A1521" t="s">
        <v>797</v>
      </c>
      <c r="B1521" t="s">
        <v>3855</v>
      </c>
      <c r="C1521" t="s">
        <v>1152</v>
      </c>
      <c r="D1521" t="s">
        <v>804</v>
      </c>
      <c r="E1521" t="s">
        <v>2100</v>
      </c>
      <c r="F1521" t="s">
        <v>2100</v>
      </c>
      <c r="G1521">
        <f>$G$1518+ABS($I$1520-$I$1518)/1000</f>
        <v>357.40030726136911</v>
      </c>
      <c r="H1521">
        <v>-15000</v>
      </c>
      <c r="I1521">
        <f>$I$1518-767.5</f>
        <v>-92938.249795460055</v>
      </c>
      <c r="J1521">
        <v>-270</v>
      </c>
      <c r="K1521">
        <v>0</v>
      </c>
      <c r="L1521">
        <f>_xlfn.XLOOKUP(F1521,magnet_list!$A$2:$A$592,magnet_list!$M$2:$M$592,"n/a",0,1)</f>
        <v>800</v>
      </c>
      <c r="M1521">
        <f>_xlfn.XLOOKUP(F1521,magnet_list!$A$2:$A$592,magnet_list!$L$2:$L$592,"n/a",0,1)</f>
        <v>120</v>
      </c>
    </row>
    <row r="1522" spans="1:13">
      <c r="A1522" t="s">
        <v>797</v>
      </c>
      <c r="B1522" t="s">
        <v>804</v>
      </c>
      <c r="C1522" t="s">
        <v>1152</v>
      </c>
      <c r="D1522" t="s">
        <v>804</v>
      </c>
      <c r="E1522" s="10" t="s">
        <v>1251</v>
      </c>
      <c r="F1522" s="10" t="s">
        <v>2675</v>
      </c>
      <c r="G1522">
        <f>$G$1518+ABS($I$1522-$I$1518)/1000</f>
        <v>357.70753146136911</v>
      </c>
      <c r="H1522">
        <v>-15000</v>
      </c>
      <c r="I1522">
        <f>$I$1518-1074.7242</f>
        <v>-93245.473995460052</v>
      </c>
      <c r="J1522">
        <v>-270</v>
      </c>
      <c r="K1522">
        <v>0</v>
      </c>
      <c r="L1522">
        <v>1889.4492</v>
      </c>
    </row>
    <row r="1523" spans="1:13">
      <c r="A1523" t="s">
        <v>797</v>
      </c>
      <c r="B1523" t="s">
        <v>804</v>
      </c>
      <c r="C1523" t="s">
        <v>1152</v>
      </c>
      <c r="D1523" t="s">
        <v>804</v>
      </c>
      <c r="E1523" s="10" t="s">
        <v>1625</v>
      </c>
      <c r="F1523" s="10" t="s">
        <v>2675</v>
      </c>
      <c r="G1523">
        <f>$G$1522+ABS($I$1523-$I$1522)/1000</f>
        <v>358.65225606136914</v>
      </c>
      <c r="H1523">
        <v>-15000</v>
      </c>
      <c r="I1523">
        <f>$I$1522-$L$1523/2</f>
        <v>-94190.198595460053</v>
      </c>
      <c r="J1523">
        <v>-270</v>
      </c>
      <c r="K1523">
        <v>0</v>
      </c>
      <c r="L1523">
        <v>1889.4492</v>
      </c>
    </row>
    <row r="1524" spans="1:13">
      <c r="A1524" t="s">
        <v>797</v>
      </c>
      <c r="B1524" t="s">
        <v>1152</v>
      </c>
      <c r="C1524" t="s">
        <v>1152</v>
      </c>
      <c r="D1524" t="s">
        <v>804</v>
      </c>
      <c r="E1524" s="3" t="s">
        <v>2149</v>
      </c>
      <c r="F1524" s="3" t="s">
        <v>2149</v>
      </c>
      <c r="G1524">
        <f>$G$1522+ABS($I$1524-$I$1522)/1000</f>
        <v>358.78225656136914</v>
      </c>
      <c r="H1524">
        <v>-15000</v>
      </c>
      <c r="I1524">
        <f>$I$1522-1074.7251</f>
        <v>-94320.199095460048</v>
      </c>
      <c r="J1524">
        <v>-270</v>
      </c>
      <c r="K1524">
        <v>0</v>
      </c>
    </row>
    <row r="1525" spans="1:13">
      <c r="A1525" t="s">
        <v>797</v>
      </c>
      <c r="B1525" t="s">
        <v>805</v>
      </c>
      <c r="C1525" t="s">
        <v>806</v>
      </c>
      <c r="E1525" s="2" t="s">
        <v>364</v>
      </c>
      <c r="F1525" s="2" t="s">
        <v>364</v>
      </c>
      <c r="G1525">
        <f t="shared" si="30"/>
        <v>358.95024810887907</v>
      </c>
      <c r="H1525">
        <v>-15000</v>
      </c>
      <c r="I1525">
        <v>-94488.190642970003</v>
      </c>
      <c r="J1525">
        <v>-20</v>
      </c>
      <c r="K1525">
        <v>250</v>
      </c>
      <c r="L1525">
        <f>_xlfn.XLOOKUP(F1525,magnet_list!$A$2:$A$592,magnet_list!$M$2:$M$592,"n/a",0,1)</f>
        <v>100</v>
      </c>
      <c r="M1525">
        <f>_xlfn.XLOOKUP(F1525,magnet_list!$A$2:$A$592,magnet_list!$L$2:$L$592,"n/a",0,1)</f>
        <v>23</v>
      </c>
    </row>
    <row r="1526" spans="1:13">
      <c r="A1526" t="s">
        <v>797</v>
      </c>
      <c r="B1526" t="s">
        <v>805</v>
      </c>
      <c r="C1526" t="s">
        <v>1152</v>
      </c>
      <c r="D1526" t="s">
        <v>804</v>
      </c>
      <c r="E1526" s="2" t="s">
        <v>727</v>
      </c>
      <c r="F1526" s="2" t="s">
        <v>364</v>
      </c>
      <c r="G1526">
        <f t="shared" si="30"/>
        <v>358.98024810887904</v>
      </c>
      <c r="H1526">
        <v>-15000</v>
      </c>
      <c r="I1526">
        <v>-94518.190642970003</v>
      </c>
      <c r="J1526">
        <v>-20</v>
      </c>
      <c r="K1526">
        <v>250</v>
      </c>
      <c r="L1526">
        <f>_xlfn.XLOOKUP(F1526,magnet_list!$A$2:$A$592,magnet_list!$M$2:$M$592,"n/a",0,1)</f>
        <v>100</v>
      </c>
      <c r="M1526">
        <f>_xlfn.XLOOKUP(F1526,magnet_list!$A$2:$A$592,magnet_list!$L$2:$L$592,"n/a",0,1)</f>
        <v>23</v>
      </c>
    </row>
    <row r="1527" spans="1:13">
      <c r="A1527" t="s">
        <v>797</v>
      </c>
      <c r="B1527" t="s">
        <v>805</v>
      </c>
      <c r="C1527" t="s">
        <v>1152</v>
      </c>
      <c r="D1527" t="s">
        <v>804</v>
      </c>
      <c r="E1527" s="2" t="s">
        <v>728</v>
      </c>
      <c r="F1527" s="2" t="s">
        <v>365</v>
      </c>
      <c r="G1527">
        <f t="shared" ref="G1527:G1585" si="31">G1526-(I1527-I1526)/1000</f>
        <v>359.46904416467902</v>
      </c>
      <c r="H1527">
        <v>-15000</v>
      </c>
      <c r="I1527">
        <v>-95006.986698769993</v>
      </c>
      <c r="J1527">
        <v>-20</v>
      </c>
      <c r="K1527">
        <v>250</v>
      </c>
      <c r="L1527">
        <f>_xlfn.XLOOKUP(F1527,magnet_list!$A$2:$A$592,magnet_list!$M$2:$M$592,"n/a",0,1)</f>
        <v>100</v>
      </c>
      <c r="M1527">
        <f>_xlfn.XLOOKUP(F1527,magnet_list!$A$2:$A$592,magnet_list!$L$2:$L$592,"n/a",0,1)</f>
        <v>23</v>
      </c>
    </row>
    <row r="1528" spans="1:13">
      <c r="A1528" t="s">
        <v>797</v>
      </c>
      <c r="B1528" t="s">
        <v>805</v>
      </c>
      <c r="C1528" t="s">
        <v>806</v>
      </c>
      <c r="E1528" s="2" t="s">
        <v>365</v>
      </c>
      <c r="F1528" s="2" t="s">
        <v>365</v>
      </c>
      <c r="G1528">
        <f t="shared" si="31"/>
        <v>359.49904416467899</v>
      </c>
      <c r="H1528">
        <v>-15000</v>
      </c>
      <c r="I1528">
        <v>-95036.986698769993</v>
      </c>
      <c r="J1528">
        <v>-20</v>
      </c>
      <c r="K1528">
        <v>250</v>
      </c>
      <c r="L1528">
        <f>_xlfn.XLOOKUP(F1528,magnet_list!$A$2:$A$592,magnet_list!$M$2:$M$592,"n/a",0,1)</f>
        <v>100</v>
      </c>
      <c r="M1528">
        <f>_xlfn.XLOOKUP(F1528,magnet_list!$A$2:$A$592,magnet_list!$L$2:$L$592,"n/a",0,1)</f>
        <v>23</v>
      </c>
    </row>
    <row r="1529" spans="1:13">
      <c r="A1529" t="s">
        <v>797</v>
      </c>
      <c r="B1529" t="s">
        <v>1152</v>
      </c>
      <c r="C1529" t="s">
        <v>1152</v>
      </c>
      <c r="D1529" t="s">
        <v>804</v>
      </c>
      <c r="E1529" s="3" t="s">
        <v>2097</v>
      </c>
      <c r="F1529" s="3" t="s">
        <v>2097</v>
      </c>
      <c r="G1529">
        <f>$G$1524+ABS($I$1529-$I$1524)/1000</f>
        <v>359.65940336136913</v>
      </c>
      <c r="H1529">
        <v>-15000</v>
      </c>
      <c r="I1529">
        <f>$I$1524-877.1468</f>
        <v>-95197.34589546005</v>
      </c>
      <c r="J1529">
        <v>-270</v>
      </c>
      <c r="K1529">
        <v>0</v>
      </c>
    </row>
    <row r="1530" spans="1:13">
      <c r="A1530" t="s">
        <v>797</v>
      </c>
      <c r="B1530" t="s">
        <v>1152</v>
      </c>
      <c r="C1530" t="s">
        <v>1152</v>
      </c>
      <c r="D1530" t="s">
        <v>804</v>
      </c>
      <c r="E1530" s="3" t="s">
        <v>2098</v>
      </c>
      <c r="F1530" s="3" t="s">
        <v>2098</v>
      </c>
      <c r="G1530">
        <f>$G$1529+ABS($I$1530-$I$1529)/1000</f>
        <v>359.72940336136912</v>
      </c>
      <c r="H1530">
        <v>-15000</v>
      </c>
      <c r="I1530">
        <f>$I$1529-70</f>
        <v>-95267.34589546005</v>
      </c>
      <c r="J1530">
        <v>-270</v>
      </c>
      <c r="K1530">
        <v>0</v>
      </c>
    </row>
    <row r="1531" spans="1:13">
      <c r="A1531" t="s">
        <v>797</v>
      </c>
      <c r="B1531" t="s">
        <v>804</v>
      </c>
      <c r="C1531" t="s">
        <v>1152</v>
      </c>
      <c r="D1531" t="s">
        <v>804</v>
      </c>
      <c r="E1531" s="10" t="s">
        <v>1626</v>
      </c>
      <c r="F1531" s="10" t="s">
        <v>2676</v>
      </c>
      <c r="G1531">
        <f>$G$1536-ABS($I$1536-$I$1531)/1000</f>
        <v>359.85940296136909</v>
      </c>
      <c r="H1531">
        <v>-15000</v>
      </c>
      <c r="I1531">
        <f>$I$1536+$L$1531/2</f>
        <v>-95397.345495460046</v>
      </c>
      <c r="J1531">
        <v>-270</v>
      </c>
      <c r="K1531">
        <v>0</v>
      </c>
      <c r="L1531">
        <v>1889.4492</v>
      </c>
    </row>
    <row r="1532" spans="1:13">
      <c r="A1532" t="s">
        <v>797</v>
      </c>
      <c r="B1532" t="s">
        <v>803</v>
      </c>
      <c r="C1532" t="s">
        <v>806</v>
      </c>
      <c r="E1532" t="s">
        <v>847</v>
      </c>
      <c r="F1532" t="s">
        <v>847</v>
      </c>
      <c r="G1532">
        <f t="shared" si="31"/>
        <v>359.85956363234902</v>
      </c>
      <c r="H1532">
        <v>-17472.06858141</v>
      </c>
      <c r="I1532">
        <v>-95397.506166439998</v>
      </c>
      <c r="J1532">
        <v>-27.604117609999999</v>
      </c>
      <c r="K1532">
        <v>242.39588239</v>
      </c>
    </row>
    <row r="1533" spans="1:13">
      <c r="A1533" t="s">
        <v>797</v>
      </c>
      <c r="B1533" t="s">
        <v>803</v>
      </c>
      <c r="C1533" t="s">
        <v>806</v>
      </c>
      <c r="E1533" t="s">
        <v>848</v>
      </c>
      <c r="F1533" t="s">
        <v>848</v>
      </c>
      <c r="G1533">
        <f t="shared" si="31"/>
        <v>360.04714993055904</v>
      </c>
      <c r="H1533">
        <v>-13519.030801520001</v>
      </c>
      <c r="I1533">
        <v>-95585.092464650006</v>
      </c>
      <c r="J1533">
        <v>-25.86184643</v>
      </c>
      <c r="K1533">
        <v>244.13815356999999</v>
      </c>
    </row>
    <row r="1534" spans="1:13">
      <c r="A1534" t="s">
        <v>797</v>
      </c>
      <c r="B1534" t="s">
        <v>3855</v>
      </c>
      <c r="C1534" t="s">
        <v>1152</v>
      </c>
      <c r="D1534" t="s">
        <v>804</v>
      </c>
      <c r="E1534" t="s">
        <v>2102</v>
      </c>
      <c r="F1534" t="s">
        <v>2102</v>
      </c>
      <c r="G1534">
        <f>$G$1530+ABS($I$1534-$I$1530)/1000</f>
        <v>360.49690336136911</v>
      </c>
      <c r="H1534">
        <v>-15000</v>
      </c>
      <c r="I1534">
        <f>$I$1530-767.5</f>
        <v>-96034.84589546005</v>
      </c>
      <c r="J1534">
        <v>-270</v>
      </c>
      <c r="K1534">
        <v>0</v>
      </c>
      <c r="L1534">
        <f>_xlfn.XLOOKUP(F1534,magnet_list!$A$2:$A$592,magnet_list!$M$2:$M$592,"n/a",0,1)</f>
        <v>800</v>
      </c>
      <c r="M1534">
        <f>_xlfn.XLOOKUP(F1534,magnet_list!$A$2:$A$592,magnet_list!$L$2:$L$592,"n/a",0,1)</f>
        <v>120</v>
      </c>
    </row>
    <row r="1535" spans="1:13">
      <c r="A1535" t="s">
        <v>797</v>
      </c>
      <c r="B1535" t="s">
        <v>3855</v>
      </c>
      <c r="C1535" t="s">
        <v>1152</v>
      </c>
      <c r="D1535" t="s">
        <v>804</v>
      </c>
      <c r="E1535" t="s">
        <v>2103</v>
      </c>
      <c r="F1535" t="s">
        <v>2103</v>
      </c>
      <c r="G1535">
        <f>$G$1530+ABS($I$1534-$I$1530)/1000</f>
        <v>360.49690336136911</v>
      </c>
      <c r="H1535">
        <v>-15000</v>
      </c>
      <c r="I1535">
        <f>$I$1530-767.5</f>
        <v>-96034.84589546005</v>
      </c>
      <c r="J1535">
        <v>-270</v>
      </c>
      <c r="K1535">
        <v>0</v>
      </c>
      <c r="L1535">
        <f>_xlfn.XLOOKUP(F1535,magnet_list!$A$2:$A$592,magnet_list!$M$2:$M$592,"n/a",0,1)</f>
        <v>800</v>
      </c>
      <c r="M1535">
        <f>_xlfn.XLOOKUP(F1535,magnet_list!$A$2:$A$592,magnet_list!$L$2:$L$592,"n/a",0,1)</f>
        <v>120</v>
      </c>
    </row>
    <row r="1536" spans="1:13">
      <c r="A1536" t="s">
        <v>797</v>
      </c>
      <c r="B1536" t="s">
        <v>804</v>
      </c>
      <c r="C1536" t="s">
        <v>1152</v>
      </c>
      <c r="D1536" t="s">
        <v>804</v>
      </c>
      <c r="E1536" s="10" t="s">
        <v>1305</v>
      </c>
      <c r="F1536" s="10" t="s">
        <v>2676</v>
      </c>
      <c r="G1536">
        <f>$G$1530+ABS($I$1536-$I$1530)/1000</f>
        <v>360.80412756136911</v>
      </c>
      <c r="H1536">
        <v>-15000</v>
      </c>
      <c r="I1536">
        <f>$I$1530-1074.7242</f>
        <v>-96342.070095460047</v>
      </c>
      <c r="J1536">
        <v>-270</v>
      </c>
      <c r="K1536">
        <v>0</v>
      </c>
      <c r="L1536">
        <v>1889.4492</v>
      </c>
    </row>
    <row r="1537" spans="1:13">
      <c r="A1537" t="s">
        <v>797</v>
      </c>
      <c r="B1537" t="s">
        <v>804</v>
      </c>
      <c r="C1537" t="s">
        <v>1152</v>
      </c>
      <c r="D1537" t="s">
        <v>804</v>
      </c>
      <c r="E1537" s="10" t="s">
        <v>1627</v>
      </c>
      <c r="F1537" s="10" t="s">
        <v>2676</v>
      </c>
      <c r="G1537">
        <f>$G$1536+ABS($I$1537-$I$1536)/1000</f>
        <v>361.74885216136914</v>
      </c>
      <c r="H1537">
        <v>-15000</v>
      </c>
      <c r="I1537">
        <f>$I$1536-$L$1537/2</f>
        <v>-97286.794695460048</v>
      </c>
      <c r="J1537">
        <v>-270</v>
      </c>
      <c r="K1537">
        <v>0</v>
      </c>
      <c r="L1537">
        <v>1889.4492</v>
      </c>
    </row>
    <row r="1538" spans="1:13">
      <c r="A1538" t="s">
        <v>797</v>
      </c>
      <c r="B1538" t="s">
        <v>1152</v>
      </c>
      <c r="C1538" t="s">
        <v>1152</v>
      </c>
      <c r="D1538" t="s">
        <v>804</v>
      </c>
      <c r="E1538" s="3" t="s">
        <v>2101</v>
      </c>
      <c r="F1538" s="3" t="s">
        <v>2101</v>
      </c>
      <c r="G1538">
        <f>$G$1536+ABS($I$1538-$I$1536)/1000</f>
        <v>361.87885266136914</v>
      </c>
      <c r="H1538">
        <v>-15000</v>
      </c>
      <c r="I1538">
        <f>$I$1536-1074.7251</f>
        <v>-97416.795195460043</v>
      </c>
      <c r="J1538">
        <v>-270</v>
      </c>
      <c r="K1538">
        <v>0</v>
      </c>
    </row>
    <row r="1539" spans="1:13">
      <c r="A1539" t="s">
        <v>797</v>
      </c>
      <c r="B1539" t="s">
        <v>805</v>
      </c>
      <c r="C1539" t="s">
        <v>806</v>
      </c>
      <c r="E1539" s="2" t="s">
        <v>366</v>
      </c>
      <c r="F1539" s="2" t="s">
        <v>366</v>
      </c>
      <c r="G1539">
        <f t="shared" si="31"/>
        <v>362.0490461216491</v>
      </c>
      <c r="H1539">
        <v>-15000</v>
      </c>
      <c r="I1539">
        <v>-97586.988655740002</v>
      </c>
      <c r="J1539">
        <v>-20</v>
      </c>
      <c r="K1539">
        <v>250</v>
      </c>
      <c r="L1539">
        <f>_xlfn.XLOOKUP(F1539,magnet_list!$A$2:$A$592,magnet_list!$M$2:$M$592,"n/a",0,1)</f>
        <v>100</v>
      </c>
      <c r="M1539">
        <f>_xlfn.XLOOKUP(F1539,magnet_list!$A$2:$A$592,magnet_list!$L$2:$L$592,"n/a",0,1)</f>
        <v>23</v>
      </c>
    </row>
    <row r="1540" spans="1:13">
      <c r="A1540" t="s">
        <v>797</v>
      </c>
      <c r="B1540" t="s">
        <v>805</v>
      </c>
      <c r="C1540" t="s">
        <v>1152</v>
      </c>
      <c r="D1540" t="s">
        <v>804</v>
      </c>
      <c r="E1540" s="2" t="s">
        <v>729</v>
      </c>
      <c r="F1540" s="2" t="s">
        <v>366</v>
      </c>
      <c r="G1540">
        <f t="shared" si="31"/>
        <v>362.07904612164907</v>
      </c>
      <c r="H1540">
        <v>-15000</v>
      </c>
      <c r="I1540">
        <v>-97616.988655740002</v>
      </c>
      <c r="J1540">
        <v>-20</v>
      </c>
      <c r="K1540">
        <v>250</v>
      </c>
      <c r="L1540">
        <f>_xlfn.XLOOKUP(F1540,magnet_list!$A$2:$A$592,magnet_list!$M$2:$M$592,"n/a",0,1)</f>
        <v>100</v>
      </c>
      <c r="M1540">
        <f>_xlfn.XLOOKUP(F1540,magnet_list!$A$2:$A$592,magnet_list!$L$2:$L$592,"n/a",0,1)</f>
        <v>23</v>
      </c>
    </row>
    <row r="1541" spans="1:13">
      <c r="A1541" t="s">
        <v>797</v>
      </c>
      <c r="B1541" t="s">
        <v>805</v>
      </c>
      <c r="C1541" t="s">
        <v>1152</v>
      </c>
      <c r="D1541" t="s">
        <v>804</v>
      </c>
      <c r="E1541" s="2" t="s">
        <v>730</v>
      </c>
      <c r="F1541" s="2" t="s">
        <v>367</v>
      </c>
      <c r="G1541">
        <f t="shared" si="31"/>
        <v>362.56827343878905</v>
      </c>
      <c r="H1541">
        <v>-15000</v>
      </c>
      <c r="I1541">
        <v>-98106.215972880003</v>
      </c>
      <c r="J1541">
        <v>-20</v>
      </c>
      <c r="K1541">
        <v>250</v>
      </c>
      <c r="L1541">
        <f>_xlfn.XLOOKUP(F1541,magnet_list!$A$2:$A$592,magnet_list!$M$2:$M$592,"n/a",0,1)</f>
        <v>100</v>
      </c>
      <c r="M1541">
        <f>_xlfn.XLOOKUP(F1541,magnet_list!$A$2:$A$592,magnet_list!$L$2:$L$592,"n/a",0,1)</f>
        <v>23</v>
      </c>
    </row>
    <row r="1542" spans="1:13">
      <c r="A1542" t="s">
        <v>797</v>
      </c>
      <c r="B1542" t="s">
        <v>805</v>
      </c>
      <c r="C1542" t="s">
        <v>806</v>
      </c>
      <c r="E1542" s="2" t="s">
        <v>367</v>
      </c>
      <c r="F1542" s="2" t="s">
        <v>367</v>
      </c>
      <c r="G1542">
        <f t="shared" si="31"/>
        <v>362.59827343878902</v>
      </c>
      <c r="H1542">
        <v>-15000</v>
      </c>
      <c r="I1542">
        <v>-98136.215972880003</v>
      </c>
      <c r="J1542">
        <v>-20</v>
      </c>
      <c r="K1542">
        <v>250</v>
      </c>
      <c r="L1542">
        <f>_xlfn.XLOOKUP(F1542,magnet_list!$A$2:$A$592,magnet_list!$M$2:$M$592,"n/a",0,1)</f>
        <v>100</v>
      </c>
      <c r="M1542">
        <f>_xlfn.XLOOKUP(F1542,magnet_list!$A$2:$A$592,magnet_list!$L$2:$L$592,"n/a",0,1)</f>
        <v>23</v>
      </c>
    </row>
    <row r="1543" spans="1:13">
      <c r="A1543" t="s">
        <v>797</v>
      </c>
      <c r="B1543" t="s">
        <v>1152</v>
      </c>
      <c r="C1543" t="s">
        <v>1152</v>
      </c>
      <c r="D1543" t="s">
        <v>804</v>
      </c>
      <c r="E1543" s="3" t="s">
        <v>2107</v>
      </c>
      <c r="F1543" s="3" t="s">
        <v>2107</v>
      </c>
      <c r="G1543">
        <f>$G$1538+ABS($I$1543-$I$1538)/1000</f>
        <v>362.74727246136916</v>
      </c>
      <c r="H1543">
        <v>-15000</v>
      </c>
      <c r="I1543">
        <f>$I$1538-868.4198</f>
        <v>-98285.214995460046</v>
      </c>
      <c r="J1543">
        <v>-270</v>
      </c>
      <c r="K1543">
        <v>0</v>
      </c>
    </row>
    <row r="1544" spans="1:13">
      <c r="A1544" t="s">
        <v>797</v>
      </c>
      <c r="B1544" t="s">
        <v>804</v>
      </c>
      <c r="C1544" t="s">
        <v>1152</v>
      </c>
      <c r="D1544" t="s">
        <v>804</v>
      </c>
      <c r="E1544" s="10" t="s">
        <v>1628</v>
      </c>
      <c r="F1544" s="10" t="s">
        <v>2677</v>
      </c>
      <c r="G1544">
        <f>$G$1545-ABS($I$1545-$I$1544)/1000</f>
        <v>362.87676676136914</v>
      </c>
      <c r="H1544">
        <v>-15000</v>
      </c>
      <c r="I1544">
        <f>$I$1545+$L$1544/2</f>
        <v>-98414.709295460038</v>
      </c>
      <c r="J1544">
        <v>-270</v>
      </c>
      <c r="K1544">
        <v>0</v>
      </c>
      <c r="L1544">
        <v>953.73540000000003</v>
      </c>
    </row>
    <row r="1545" spans="1:13">
      <c r="A1545" t="s">
        <v>797</v>
      </c>
      <c r="B1545" t="s">
        <v>804</v>
      </c>
      <c r="C1545" t="s">
        <v>1152</v>
      </c>
      <c r="D1545" t="s">
        <v>804</v>
      </c>
      <c r="E1545" s="10" t="s">
        <v>1359</v>
      </c>
      <c r="F1545" s="10" t="s">
        <v>2677</v>
      </c>
      <c r="G1545">
        <f>$G$1543+ABS($I$1545-$I$1543)/1000</f>
        <v>363.35363446136915</v>
      </c>
      <c r="H1545">
        <v>-15000</v>
      </c>
      <c r="I1545">
        <f>$I$1543-606.362</f>
        <v>-98891.57699546004</v>
      </c>
      <c r="J1545">
        <v>-270</v>
      </c>
      <c r="K1545">
        <v>0</v>
      </c>
      <c r="L1545">
        <v>953.73540000000003</v>
      </c>
    </row>
    <row r="1546" spans="1:13">
      <c r="A1546" t="s">
        <v>797</v>
      </c>
      <c r="B1546" t="s">
        <v>3855</v>
      </c>
      <c r="C1546" t="s">
        <v>1152</v>
      </c>
      <c r="D1546" t="s">
        <v>804</v>
      </c>
      <c r="E1546" s="1" t="s">
        <v>2108</v>
      </c>
      <c r="F1546" s="1" t="s">
        <v>2108</v>
      </c>
      <c r="G1546">
        <f>$G$1543+ABS($I$1546-$I$1543)/1000</f>
        <v>363.36813446136915</v>
      </c>
      <c r="H1546">
        <v>-15000</v>
      </c>
      <c r="I1546">
        <f>$I$1543-620.862</f>
        <v>-98906.07699546004</v>
      </c>
      <c r="J1546">
        <v>-270</v>
      </c>
      <c r="K1546">
        <v>0</v>
      </c>
      <c r="L1546">
        <f>_xlfn.XLOOKUP(F1546,magnet_list!$A$2:$A$592,magnet_list!$M$2:$M$592,"n/a",0,1)</f>
        <v>800</v>
      </c>
      <c r="M1546">
        <f>_xlfn.XLOOKUP(F1546,magnet_list!$A$2:$A$592,magnet_list!$L$2:$L$592,"n/a",0,1)</f>
        <v>120</v>
      </c>
    </row>
    <row r="1547" spans="1:13">
      <c r="A1547" t="s">
        <v>797</v>
      </c>
      <c r="B1547" t="s">
        <v>3855</v>
      </c>
      <c r="C1547" t="s">
        <v>1152</v>
      </c>
      <c r="D1547" t="s">
        <v>804</v>
      </c>
      <c r="E1547" s="1" t="s">
        <v>2109</v>
      </c>
      <c r="F1547" s="1" t="s">
        <v>2109</v>
      </c>
      <c r="G1547">
        <f>$G$1543+ABS($I$1546-$I$1543)/1000</f>
        <v>363.36813446136915</v>
      </c>
      <c r="H1547">
        <v>-15000</v>
      </c>
      <c r="I1547">
        <f>$I$1543-620.862</f>
        <v>-98906.07699546004</v>
      </c>
      <c r="J1547">
        <v>-270</v>
      </c>
      <c r="K1547">
        <v>0</v>
      </c>
      <c r="L1547">
        <f>_xlfn.XLOOKUP(F1547,magnet_list!$A$2:$A$592,magnet_list!$M$2:$M$592,"n/a",0,1)</f>
        <v>800</v>
      </c>
      <c r="M1547">
        <f>_xlfn.XLOOKUP(F1547,magnet_list!$A$2:$A$592,magnet_list!$L$2:$L$592,"n/a",0,1)</f>
        <v>120</v>
      </c>
    </row>
    <row r="1548" spans="1:13">
      <c r="A1548" t="s">
        <v>797</v>
      </c>
      <c r="B1548" t="s">
        <v>804</v>
      </c>
      <c r="C1548" t="s">
        <v>1152</v>
      </c>
      <c r="D1548" t="s">
        <v>804</v>
      </c>
      <c r="E1548" s="10" t="s">
        <v>1629</v>
      </c>
      <c r="F1548" s="10" t="s">
        <v>2677</v>
      </c>
      <c r="G1548">
        <f>$G$1545+ABS($I$1548-$I$1545)/1000</f>
        <v>363.83050216136917</v>
      </c>
      <c r="H1548">
        <v>-15000</v>
      </c>
      <c r="I1548">
        <f>$I$1545-$L$1548/2</f>
        <v>-99368.444695460043</v>
      </c>
      <c r="J1548">
        <v>-270</v>
      </c>
      <c r="K1548">
        <v>0</v>
      </c>
      <c r="L1548">
        <v>953.73540000000003</v>
      </c>
    </row>
    <row r="1549" spans="1:13">
      <c r="A1549" t="s">
        <v>797</v>
      </c>
      <c r="B1549" t="s">
        <v>805</v>
      </c>
      <c r="C1549" t="s">
        <v>1152</v>
      </c>
      <c r="D1549" t="s">
        <v>804</v>
      </c>
      <c r="E1549" s="2" t="s">
        <v>2104</v>
      </c>
      <c r="F1549" s="2" t="s">
        <v>2104</v>
      </c>
      <c r="G1549">
        <f t="shared" si="31"/>
        <v>364.15741693878914</v>
      </c>
      <c r="H1549">
        <v>-15000</v>
      </c>
      <c r="I1549">
        <f>$I$1541-1589.1435</f>
        <v>-99695.359472880009</v>
      </c>
      <c r="J1549">
        <v>-270</v>
      </c>
      <c r="K1549">
        <v>0</v>
      </c>
      <c r="L1549">
        <f>_xlfn.XLOOKUP(F1549,magnet_list!$A$2:$A$592,magnet_list!$M$2:$M$592,"n/a",0,1)</f>
        <v>150</v>
      </c>
      <c r="M1549">
        <f>_xlfn.XLOOKUP(F1549,magnet_list!$A$2:$A$592,magnet_list!$L$2:$L$592,"n/a",0,1)</f>
        <v>35</v>
      </c>
    </row>
    <row r="1550" spans="1:13">
      <c r="A1550" t="s">
        <v>797</v>
      </c>
      <c r="B1550" t="s">
        <v>805</v>
      </c>
      <c r="C1550" t="s">
        <v>1152</v>
      </c>
      <c r="D1550" t="s">
        <v>804</v>
      </c>
      <c r="E1550" s="2" t="s">
        <v>2105</v>
      </c>
      <c r="F1550" s="2" t="s">
        <v>2105</v>
      </c>
      <c r="G1550">
        <f t="shared" si="31"/>
        <v>364.61741693878912</v>
      </c>
      <c r="H1550">
        <v>-15000</v>
      </c>
      <c r="I1550">
        <f>$I$1541-2049.1435</f>
        <v>-100155.35947288001</v>
      </c>
      <c r="J1550">
        <v>-270</v>
      </c>
      <c r="K1550">
        <v>0</v>
      </c>
      <c r="L1550">
        <f>_xlfn.XLOOKUP(F1550,magnet_list!$A$2:$A$592,magnet_list!$M$2:$M$592,"n/a",0,1)</f>
        <v>150</v>
      </c>
      <c r="M1550">
        <f>_xlfn.XLOOKUP(F1550,magnet_list!$A$2:$A$592,magnet_list!$L$2:$L$592,"n/a",0,1)</f>
        <v>35</v>
      </c>
    </row>
    <row r="1551" spans="1:13">
      <c r="A1551" t="s">
        <v>797</v>
      </c>
      <c r="B1551" t="s">
        <v>803</v>
      </c>
      <c r="C1551" t="s">
        <v>806</v>
      </c>
      <c r="E1551" t="s">
        <v>1020</v>
      </c>
      <c r="F1551" t="s">
        <v>1020</v>
      </c>
      <c r="G1551">
        <f t="shared" si="31"/>
        <v>364.78449970517914</v>
      </c>
      <c r="H1551">
        <v>-15400</v>
      </c>
      <c r="I1551">
        <v>-100322.44223927001</v>
      </c>
      <c r="J1551">
        <v>-689</v>
      </c>
      <c r="K1551">
        <v>-419</v>
      </c>
    </row>
    <row r="1552" spans="1:13">
      <c r="A1552" t="s">
        <v>797</v>
      </c>
      <c r="B1552" t="s">
        <v>1152</v>
      </c>
      <c r="C1552" t="s">
        <v>1152</v>
      </c>
      <c r="D1552" t="s">
        <v>804</v>
      </c>
      <c r="E1552" s="3" t="s">
        <v>2106</v>
      </c>
      <c r="F1552" s="3" t="s">
        <v>2106</v>
      </c>
      <c r="G1552">
        <f>$G$1545+ABS($I$1552-$I$1545)/1000</f>
        <v>364.89899566136916</v>
      </c>
      <c r="H1552">
        <v>-15000</v>
      </c>
      <c r="I1552">
        <f>$I$1545-1545.3612</f>
        <v>-100436.93819546004</v>
      </c>
      <c r="J1552">
        <v>-270</v>
      </c>
      <c r="K1552">
        <v>0</v>
      </c>
    </row>
    <row r="1553" spans="1:13">
      <c r="A1553" t="s">
        <v>797</v>
      </c>
      <c r="B1553" t="s">
        <v>805</v>
      </c>
      <c r="C1553" t="s">
        <v>806</v>
      </c>
      <c r="E1553" s="2" t="s">
        <v>368</v>
      </c>
      <c r="F1553" s="2" t="s">
        <v>368</v>
      </c>
      <c r="G1553">
        <f t="shared" si="31"/>
        <v>365.05611025901914</v>
      </c>
      <c r="H1553">
        <v>-15000</v>
      </c>
      <c r="I1553">
        <v>-100594.05279310999</v>
      </c>
      <c r="J1553">
        <v>-20</v>
      </c>
      <c r="K1553">
        <v>250</v>
      </c>
      <c r="L1553">
        <f>_xlfn.XLOOKUP(F1553,magnet_list!$A$2:$A$592,magnet_list!$M$2:$M$592,"n/a",0,1)</f>
        <v>100</v>
      </c>
      <c r="M1553">
        <f>_xlfn.XLOOKUP(F1553,magnet_list!$A$2:$A$592,magnet_list!$L$2:$L$592,"n/a",0,1)</f>
        <v>23</v>
      </c>
    </row>
    <row r="1554" spans="1:13">
      <c r="A1554" t="s">
        <v>797</v>
      </c>
      <c r="B1554" t="s">
        <v>805</v>
      </c>
      <c r="C1554" t="s">
        <v>1152</v>
      </c>
      <c r="D1554" t="s">
        <v>804</v>
      </c>
      <c r="E1554" s="2" t="s">
        <v>731</v>
      </c>
      <c r="F1554" s="2" t="s">
        <v>368</v>
      </c>
      <c r="G1554">
        <f t="shared" si="31"/>
        <v>365.08611025901911</v>
      </c>
      <c r="H1554">
        <v>-15000</v>
      </c>
      <c r="I1554">
        <v>-100624.05279310999</v>
      </c>
      <c r="J1554">
        <v>-20</v>
      </c>
      <c r="K1554">
        <v>250</v>
      </c>
      <c r="L1554">
        <f>_xlfn.XLOOKUP(F1554,magnet_list!$A$2:$A$592,magnet_list!$M$2:$M$592,"n/a",0,1)</f>
        <v>100</v>
      </c>
      <c r="M1554">
        <f>_xlfn.XLOOKUP(F1554,magnet_list!$A$2:$A$592,magnet_list!$L$2:$L$592,"n/a",0,1)</f>
        <v>23</v>
      </c>
    </row>
    <row r="1555" spans="1:13">
      <c r="A1555" t="s">
        <v>797</v>
      </c>
      <c r="B1555" t="s">
        <v>805</v>
      </c>
      <c r="C1555" t="s">
        <v>1152</v>
      </c>
      <c r="D1555" t="s">
        <v>804</v>
      </c>
      <c r="E1555" s="2" t="s">
        <v>732</v>
      </c>
      <c r="F1555" s="2" t="s">
        <v>369</v>
      </c>
      <c r="G1555">
        <f t="shared" si="31"/>
        <v>365.57554005197909</v>
      </c>
      <c r="H1555">
        <v>-15000</v>
      </c>
      <c r="I1555">
        <v>-101113.48258606999</v>
      </c>
      <c r="J1555">
        <v>-20</v>
      </c>
      <c r="K1555">
        <v>250</v>
      </c>
      <c r="L1555">
        <f>_xlfn.XLOOKUP(F1555,magnet_list!$A$2:$A$592,magnet_list!$M$2:$M$592,"n/a",0,1)</f>
        <v>100</v>
      </c>
      <c r="M1555">
        <f>_xlfn.XLOOKUP(F1555,magnet_list!$A$2:$A$592,magnet_list!$L$2:$L$592,"n/a",0,1)</f>
        <v>23</v>
      </c>
    </row>
    <row r="1556" spans="1:13">
      <c r="A1556" t="s">
        <v>797</v>
      </c>
      <c r="B1556" t="s">
        <v>805</v>
      </c>
      <c r="C1556" t="s">
        <v>806</v>
      </c>
      <c r="E1556" s="2" t="s">
        <v>369</v>
      </c>
      <c r="F1556" s="2" t="s">
        <v>369</v>
      </c>
      <c r="G1556">
        <f t="shared" si="31"/>
        <v>365.60554005197906</v>
      </c>
      <c r="H1556">
        <v>-15000</v>
      </c>
      <c r="I1556">
        <v>-101143.48258606999</v>
      </c>
      <c r="J1556">
        <v>-20</v>
      </c>
      <c r="K1556">
        <v>250</v>
      </c>
      <c r="L1556">
        <f>_xlfn.XLOOKUP(F1556,magnet_list!$A$2:$A$592,magnet_list!$M$2:$M$592,"n/a",0,1)</f>
        <v>100</v>
      </c>
      <c r="M1556">
        <f>_xlfn.XLOOKUP(F1556,magnet_list!$A$2:$A$592,magnet_list!$L$2:$L$592,"n/a",0,1)</f>
        <v>23</v>
      </c>
    </row>
    <row r="1557" spans="1:13">
      <c r="A1557" t="s">
        <v>797</v>
      </c>
      <c r="B1557" t="s">
        <v>1152</v>
      </c>
      <c r="C1557" t="s">
        <v>1152</v>
      </c>
      <c r="D1557" t="s">
        <v>804</v>
      </c>
      <c r="E1557" s="3" t="s">
        <v>2110</v>
      </c>
      <c r="F1557" s="3" t="s">
        <v>2110</v>
      </c>
      <c r="G1557">
        <f>$G$1552+ABS($I$1557-$I$1552)/1000</f>
        <v>365.86493846136915</v>
      </c>
      <c r="H1557">
        <v>-15000</v>
      </c>
      <c r="I1557">
        <f>$I$1552-965.9428</f>
        <v>-101402.88099546004</v>
      </c>
      <c r="J1557">
        <v>-270</v>
      </c>
      <c r="K1557">
        <v>0</v>
      </c>
    </row>
    <row r="1558" spans="1:13">
      <c r="A1558" t="s">
        <v>797</v>
      </c>
      <c r="B1558" t="s">
        <v>803</v>
      </c>
      <c r="C1558" t="s">
        <v>806</v>
      </c>
      <c r="E1558" t="s">
        <v>1023</v>
      </c>
      <c r="F1558" t="s">
        <v>1023</v>
      </c>
      <c r="G1558">
        <f t="shared" si="31"/>
        <v>365.94199775968912</v>
      </c>
      <c r="H1558">
        <v>-15400</v>
      </c>
      <c r="I1558">
        <v>-101479.94029378</v>
      </c>
      <c r="J1558">
        <v>-689</v>
      </c>
      <c r="K1558">
        <v>-419</v>
      </c>
    </row>
    <row r="1559" spans="1:13">
      <c r="A1559" t="s">
        <v>797</v>
      </c>
      <c r="B1559" t="s">
        <v>804</v>
      </c>
      <c r="C1559" t="s">
        <v>1152</v>
      </c>
      <c r="D1559" t="s">
        <v>804</v>
      </c>
      <c r="E1559" s="10" t="s">
        <v>1630</v>
      </c>
      <c r="F1559" s="10" t="s">
        <v>2678</v>
      </c>
      <c r="G1559">
        <f>$G$1563-ABS($I$1563-$I$1559)/1000</f>
        <v>365.99493806136911</v>
      </c>
      <c r="H1559">
        <v>-15000</v>
      </c>
      <c r="I1559">
        <f>$I$1563+$L$1559/2</f>
        <v>-101532.88059546004</v>
      </c>
      <c r="J1559">
        <v>-270</v>
      </c>
      <c r="K1559">
        <v>0</v>
      </c>
      <c r="L1559">
        <v>1889.4492</v>
      </c>
    </row>
    <row r="1560" spans="1:13">
      <c r="A1560" t="s">
        <v>797</v>
      </c>
      <c r="B1560" t="s">
        <v>3855</v>
      </c>
      <c r="C1560" t="s">
        <v>1152</v>
      </c>
      <c r="D1560" t="s">
        <v>804</v>
      </c>
      <c r="E1560" t="s">
        <v>2111</v>
      </c>
      <c r="F1560" t="s">
        <v>2111</v>
      </c>
      <c r="G1560">
        <f>$G$1557+ABS($I$1560-$I$1557)/1000</f>
        <v>366.63243846136913</v>
      </c>
      <c r="H1560">
        <v>-15000</v>
      </c>
      <c r="I1560">
        <f>$I$1557-767.5</f>
        <v>-102170.38099546004</v>
      </c>
      <c r="J1560">
        <v>-270</v>
      </c>
      <c r="K1560">
        <v>0</v>
      </c>
      <c r="L1560">
        <f>_xlfn.XLOOKUP(F1560,magnet_list!$A$2:$A$592,magnet_list!$M$2:$M$592,"n/a",0,1)</f>
        <v>800</v>
      </c>
      <c r="M1560">
        <f>_xlfn.XLOOKUP(F1560,magnet_list!$A$2:$A$592,magnet_list!$L$2:$L$592,"n/a",0,1)</f>
        <v>120</v>
      </c>
    </row>
    <row r="1561" spans="1:13">
      <c r="A1561" t="s">
        <v>797</v>
      </c>
      <c r="B1561" t="s">
        <v>3855</v>
      </c>
      <c r="C1561" t="s">
        <v>1152</v>
      </c>
      <c r="D1561" t="s">
        <v>804</v>
      </c>
      <c r="E1561" t="s">
        <v>2112</v>
      </c>
      <c r="F1561" t="s">
        <v>2112</v>
      </c>
      <c r="G1561">
        <f>$G$1557+ABS($I$1560-$I$1557)/1000</f>
        <v>366.63243846136913</v>
      </c>
      <c r="H1561">
        <v>-15000</v>
      </c>
      <c r="I1561">
        <f>$I$1557-767.5</f>
        <v>-102170.38099546004</v>
      </c>
      <c r="J1561">
        <v>-270</v>
      </c>
      <c r="K1561">
        <v>0</v>
      </c>
      <c r="L1561">
        <f>_xlfn.XLOOKUP(F1561,magnet_list!$A$2:$A$592,magnet_list!$M$2:$M$592,"n/a",0,1)</f>
        <v>800</v>
      </c>
      <c r="M1561">
        <f>_xlfn.XLOOKUP(F1561,magnet_list!$A$2:$A$592,magnet_list!$L$2:$L$592,"n/a",0,1)</f>
        <v>120</v>
      </c>
    </row>
    <row r="1562" spans="1:13">
      <c r="A1562" t="s">
        <v>797</v>
      </c>
      <c r="B1562" t="s">
        <v>803</v>
      </c>
      <c r="C1562" t="s">
        <v>806</v>
      </c>
      <c r="E1562" t="s">
        <v>849</v>
      </c>
      <c r="F1562" t="s">
        <v>849</v>
      </c>
      <c r="G1562">
        <f t="shared" si="31"/>
        <v>366.66609938806909</v>
      </c>
      <c r="H1562">
        <v>-17462.691337730001</v>
      </c>
      <c r="I1562">
        <v>-102204.04192216</v>
      </c>
      <c r="J1562">
        <v>-22.973816849999999</v>
      </c>
      <c r="K1562">
        <v>247.02618315000001</v>
      </c>
    </row>
    <row r="1563" spans="1:13">
      <c r="A1563" t="s">
        <v>797</v>
      </c>
      <c r="B1563" t="s">
        <v>804</v>
      </c>
      <c r="C1563" t="s">
        <v>1152</v>
      </c>
      <c r="D1563" t="s">
        <v>804</v>
      </c>
      <c r="E1563" s="10" t="s">
        <v>1196</v>
      </c>
      <c r="F1563" s="10" t="s">
        <v>2678</v>
      </c>
      <c r="G1563">
        <f>$G$1557+ABS($I$1563-$I$1557)/1000</f>
        <v>366.93966266136914</v>
      </c>
      <c r="H1563">
        <v>-15000</v>
      </c>
      <c r="I1563">
        <f>$I$1557-1074.7242</f>
        <v>-102477.60519546004</v>
      </c>
      <c r="J1563">
        <v>-270</v>
      </c>
      <c r="K1563">
        <v>0</v>
      </c>
      <c r="L1563">
        <v>1889.4492</v>
      </c>
    </row>
    <row r="1564" spans="1:13">
      <c r="A1564" t="s">
        <v>797</v>
      </c>
      <c r="B1564" t="s">
        <v>804</v>
      </c>
      <c r="C1564" t="s">
        <v>1152</v>
      </c>
      <c r="D1564" t="s">
        <v>804</v>
      </c>
      <c r="E1564" s="10" t="s">
        <v>1631</v>
      </c>
      <c r="F1564" s="10" t="s">
        <v>2678</v>
      </c>
      <c r="G1564">
        <f>$G$1563+ABS($I$1564-$I$1563)/1000</f>
        <v>367.88438726136917</v>
      </c>
      <c r="H1564">
        <v>-15000</v>
      </c>
      <c r="I1564">
        <f>$I$1563-$L$1564/2</f>
        <v>-103422.32979546004</v>
      </c>
      <c r="J1564">
        <v>-270</v>
      </c>
      <c r="K1564">
        <v>0</v>
      </c>
      <c r="L1564">
        <v>1889.4492</v>
      </c>
    </row>
    <row r="1565" spans="1:13">
      <c r="A1565" t="s">
        <v>797</v>
      </c>
      <c r="B1565" t="s">
        <v>1152</v>
      </c>
      <c r="C1565" t="s">
        <v>1152</v>
      </c>
      <c r="D1565" t="s">
        <v>804</v>
      </c>
      <c r="E1565" s="3" t="s">
        <v>2113</v>
      </c>
      <c r="F1565" s="3" t="s">
        <v>2113</v>
      </c>
      <c r="G1565">
        <f>$G$1563+ABS($I$1565-$I$1563)/1000</f>
        <v>368.01438776136916</v>
      </c>
      <c r="H1565">
        <v>-15000</v>
      </c>
      <c r="I1565">
        <f>$I$1563-1074.7251</f>
        <v>-103552.33029546004</v>
      </c>
      <c r="J1565">
        <v>-270</v>
      </c>
      <c r="K1565">
        <v>0</v>
      </c>
    </row>
    <row r="1566" spans="1:13">
      <c r="A1566" t="s">
        <v>797</v>
      </c>
      <c r="B1566" t="s">
        <v>805</v>
      </c>
      <c r="C1566" t="s">
        <v>806</v>
      </c>
      <c r="E1566" s="2" t="s">
        <v>370</v>
      </c>
      <c r="F1566" s="2" t="s">
        <v>370</v>
      </c>
      <c r="G1566">
        <f t="shared" si="31"/>
        <v>368.1779545828291</v>
      </c>
      <c r="H1566">
        <v>-15000</v>
      </c>
      <c r="I1566">
        <v>-103715.89711691999</v>
      </c>
      <c r="J1566">
        <v>-20</v>
      </c>
      <c r="K1566">
        <v>250</v>
      </c>
      <c r="L1566">
        <f>_xlfn.XLOOKUP(F1566,magnet_list!$A$2:$A$592,magnet_list!$M$2:$M$592,"n/a",0,1)</f>
        <v>100</v>
      </c>
      <c r="M1566">
        <f>_xlfn.XLOOKUP(F1566,magnet_list!$A$2:$A$592,magnet_list!$L$2:$L$592,"n/a",0,1)</f>
        <v>23</v>
      </c>
    </row>
    <row r="1567" spans="1:13">
      <c r="A1567" t="s">
        <v>797</v>
      </c>
      <c r="B1567" t="s">
        <v>805</v>
      </c>
      <c r="C1567" t="s">
        <v>1152</v>
      </c>
      <c r="D1567" t="s">
        <v>804</v>
      </c>
      <c r="E1567" s="2" t="s">
        <v>733</v>
      </c>
      <c r="F1567" s="2" t="s">
        <v>370</v>
      </c>
      <c r="G1567">
        <f t="shared" si="31"/>
        <v>368.20795458282907</v>
      </c>
      <c r="H1567">
        <v>-15000</v>
      </c>
      <c r="I1567">
        <v>-103745.89711691999</v>
      </c>
      <c r="J1567">
        <v>-20</v>
      </c>
      <c r="K1567">
        <v>250</v>
      </c>
      <c r="L1567">
        <f>_xlfn.XLOOKUP(F1567,magnet_list!$A$2:$A$592,magnet_list!$M$2:$M$592,"n/a",0,1)</f>
        <v>100</v>
      </c>
      <c r="M1567">
        <f>_xlfn.XLOOKUP(F1567,magnet_list!$A$2:$A$592,magnet_list!$L$2:$L$592,"n/a",0,1)</f>
        <v>23</v>
      </c>
    </row>
    <row r="1568" spans="1:13">
      <c r="A1568" t="s">
        <v>797</v>
      </c>
      <c r="B1568" t="s">
        <v>805</v>
      </c>
      <c r="C1568" t="s">
        <v>806</v>
      </c>
      <c r="E1568" s="2" t="s">
        <v>371</v>
      </c>
      <c r="F1568" s="2" t="s">
        <v>2679</v>
      </c>
      <c r="G1568">
        <f t="shared" si="31"/>
        <v>368.41034101229906</v>
      </c>
      <c r="H1568">
        <v>-15000</v>
      </c>
      <c r="I1568">
        <v>-103948.28354639</v>
      </c>
      <c r="J1568">
        <v>-70</v>
      </c>
      <c r="K1568">
        <v>200</v>
      </c>
      <c r="L1568">
        <f>_xlfn.XLOOKUP(F1568,magnet_list!$A$2:$A$592,magnet_list!$M$2:$M$592,"n/a",0,1)</f>
        <v>100</v>
      </c>
      <c r="M1568">
        <f>_xlfn.XLOOKUP(F1568,magnet_list!$A$2:$A$592,magnet_list!$L$2:$L$592,"n/a",0,1)</f>
        <v>44</v>
      </c>
    </row>
    <row r="1569" spans="1:13">
      <c r="A1569" t="s">
        <v>797</v>
      </c>
      <c r="B1569" t="s">
        <v>805</v>
      </c>
      <c r="C1569" t="s">
        <v>1152</v>
      </c>
      <c r="D1569" t="s">
        <v>804</v>
      </c>
      <c r="E1569" s="2" t="s">
        <v>735</v>
      </c>
      <c r="F1569" s="2" t="s">
        <v>2679</v>
      </c>
      <c r="G1569">
        <f t="shared" si="31"/>
        <v>368.45035151229905</v>
      </c>
      <c r="H1569">
        <v>-15000</v>
      </c>
      <c r="I1569">
        <v>-103988.29404638999</v>
      </c>
      <c r="J1569">
        <v>-70</v>
      </c>
      <c r="K1569">
        <v>200</v>
      </c>
      <c r="L1569">
        <f>_xlfn.XLOOKUP(F1569,magnet_list!$A$2:$A$592,magnet_list!$M$2:$M$592,"n/a",0,1)</f>
        <v>100</v>
      </c>
      <c r="M1569">
        <f>_xlfn.XLOOKUP(F1569,magnet_list!$A$2:$A$592,magnet_list!$L$2:$L$592,"n/a",0,1)</f>
        <v>44</v>
      </c>
    </row>
    <row r="1570" spans="1:13">
      <c r="A1570" t="s">
        <v>797</v>
      </c>
      <c r="B1570" t="s">
        <v>805</v>
      </c>
      <c r="C1570" t="s">
        <v>806</v>
      </c>
      <c r="E1570" s="2" t="s">
        <v>372</v>
      </c>
      <c r="F1570" s="2" t="s">
        <v>2679</v>
      </c>
      <c r="G1570">
        <f t="shared" si="31"/>
        <v>368.49037524403906</v>
      </c>
      <c r="H1570">
        <v>-15000</v>
      </c>
      <c r="I1570">
        <v>-104028.31777813</v>
      </c>
      <c r="J1570">
        <v>-70</v>
      </c>
      <c r="K1570">
        <v>200</v>
      </c>
      <c r="L1570">
        <f>_xlfn.XLOOKUP(F1570,magnet_list!$A$2:$A$592,magnet_list!$M$2:$M$592,"n/a",0,1)</f>
        <v>100</v>
      </c>
      <c r="M1570">
        <f>_xlfn.XLOOKUP(F1570,magnet_list!$A$2:$A$592,magnet_list!$L$2:$L$592,"n/a",0,1)</f>
        <v>44</v>
      </c>
    </row>
    <row r="1571" spans="1:13">
      <c r="A1571" t="s">
        <v>797</v>
      </c>
      <c r="B1571" t="s">
        <v>805</v>
      </c>
      <c r="C1571" t="s">
        <v>1152</v>
      </c>
      <c r="D1571" t="s">
        <v>804</v>
      </c>
      <c r="E1571" s="2" t="s">
        <v>734</v>
      </c>
      <c r="F1571" s="2" t="s">
        <v>373</v>
      </c>
      <c r="G1571">
        <f t="shared" si="31"/>
        <v>368.69548313014906</v>
      </c>
      <c r="H1571">
        <v>-15000</v>
      </c>
      <c r="I1571">
        <v>-104233.42566424</v>
      </c>
      <c r="J1571">
        <v>-20</v>
      </c>
      <c r="K1571">
        <v>250</v>
      </c>
      <c r="L1571">
        <f>_xlfn.XLOOKUP(F1571,magnet_list!$A$2:$A$592,magnet_list!$M$2:$M$592,"n/a",0,1)</f>
        <v>100</v>
      </c>
      <c r="M1571">
        <f>_xlfn.XLOOKUP(F1571,magnet_list!$A$2:$A$592,magnet_list!$L$2:$L$592,"n/a",0,1)</f>
        <v>23</v>
      </c>
    </row>
    <row r="1572" spans="1:13">
      <c r="A1572" t="s">
        <v>797</v>
      </c>
      <c r="B1572" t="s">
        <v>805</v>
      </c>
      <c r="C1572" t="s">
        <v>806</v>
      </c>
      <c r="E1572" s="2" t="s">
        <v>373</v>
      </c>
      <c r="F1572" s="2" t="s">
        <v>373</v>
      </c>
      <c r="G1572">
        <f t="shared" si="31"/>
        <v>368.72548313014903</v>
      </c>
      <c r="H1572">
        <v>-15000</v>
      </c>
      <c r="I1572">
        <v>-104263.42566424</v>
      </c>
      <c r="J1572">
        <v>-20</v>
      </c>
      <c r="K1572">
        <v>250</v>
      </c>
      <c r="L1572">
        <f>_xlfn.XLOOKUP(F1572,magnet_list!$A$2:$A$592,magnet_list!$M$2:$M$592,"n/a",0,1)</f>
        <v>100</v>
      </c>
      <c r="M1572">
        <f>_xlfn.XLOOKUP(F1572,magnet_list!$A$2:$A$592,magnet_list!$L$2:$L$592,"n/a",0,1)</f>
        <v>23</v>
      </c>
    </row>
    <row r="1573" spans="1:13">
      <c r="A1573" t="s">
        <v>797</v>
      </c>
      <c r="B1573" t="s">
        <v>1152</v>
      </c>
      <c r="C1573" t="s">
        <v>1152</v>
      </c>
      <c r="D1573" t="s">
        <v>804</v>
      </c>
      <c r="E1573" s="3" t="s">
        <v>2114</v>
      </c>
      <c r="F1573" s="3" t="s">
        <v>2114</v>
      </c>
      <c r="G1573">
        <f>$G$1565+ABS($I$1573-$I$1565)/1000</f>
        <v>368.88280756136919</v>
      </c>
      <c r="H1573">
        <v>-15000</v>
      </c>
      <c r="I1573">
        <f>$I$1565-868.4198</f>
        <v>-104420.75009546004</v>
      </c>
      <c r="J1573">
        <v>-270</v>
      </c>
      <c r="K1573">
        <v>0</v>
      </c>
    </row>
    <row r="1574" spans="1:13">
      <c r="A1574" t="s">
        <v>797</v>
      </c>
      <c r="B1574" t="s">
        <v>804</v>
      </c>
      <c r="C1574" t="s">
        <v>1152</v>
      </c>
      <c r="D1574" t="s">
        <v>804</v>
      </c>
      <c r="E1574" s="10" t="s">
        <v>1632</v>
      </c>
      <c r="F1574" s="10" t="s">
        <v>2680</v>
      </c>
      <c r="G1574">
        <f>$G$1577-ABS($I$1577-$I$1574)/1000</f>
        <v>369.01280716136915</v>
      </c>
      <c r="H1574">
        <v>-15000</v>
      </c>
      <c r="I1574">
        <f>$I$1577+$L$1574/2</f>
        <v>-104550.74969546004</v>
      </c>
      <c r="J1574">
        <v>-270</v>
      </c>
      <c r="K1574">
        <v>0</v>
      </c>
      <c r="L1574">
        <v>1889.4492</v>
      </c>
    </row>
    <row r="1575" spans="1:13">
      <c r="A1575" t="s">
        <v>797</v>
      </c>
      <c r="B1575" t="s">
        <v>3855</v>
      </c>
      <c r="C1575" t="s">
        <v>1152</v>
      </c>
      <c r="D1575" t="s">
        <v>804</v>
      </c>
      <c r="E1575" t="s">
        <v>2115</v>
      </c>
      <c r="F1575" t="s">
        <v>2115</v>
      </c>
      <c r="G1575">
        <f>$G$1573+ABS($I$1575-$I$1573)/1000</f>
        <v>369.65030756136917</v>
      </c>
      <c r="H1575">
        <v>-15000</v>
      </c>
      <c r="I1575">
        <f>$I$1573-767.5</f>
        <v>-105188.25009546004</v>
      </c>
      <c r="J1575">
        <v>-270</v>
      </c>
      <c r="K1575">
        <v>0</v>
      </c>
      <c r="L1575">
        <f>_xlfn.XLOOKUP(F1575,magnet_list!$A$2:$A$592,magnet_list!$M$2:$M$592,"n/a",0,1)</f>
        <v>800</v>
      </c>
      <c r="M1575">
        <f>_xlfn.XLOOKUP(F1575,magnet_list!$A$2:$A$592,magnet_list!$L$2:$L$592,"n/a",0,1)</f>
        <v>120</v>
      </c>
    </row>
    <row r="1576" spans="1:13">
      <c r="A1576" t="s">
        <v>797</v>
      </c>
      <c r="B1576" t="s">
        <v>3855</v>
      </c>
      <c r="C1576" t="s">
        <v>1152</v>
      </c>
      <c r="D1576" t="s">
        <v>804</v>
      </c>
      <c r="E1576" t="s">
        <v>2116</v>
      </c>
      <c r="F1576" t="s">
        <v>2116</v>
      </c>
      <c r="G1576">
        <f>$G$1573+ABS($I$1575-$I$1573)/1000</f>
        <v>369.65030756136917</v>
      </c>
      <c r="H1576">
        <v>-15000</v>
      </c>
      <c r="I1576">
        <f>$I$1573-767.5</f>
        <v>-105188.25009546004</v>
      </c>
      <c r="J1576">
        <v>-270</v>
      </c>
      <c r="K1576">
        <v>0</v>
      </c>
      <c r="L1576">
        <f>_xlfn.XLOOKUP(F1576,magnet_list!$A$2:$A$592,magnet_list!$M$2:$M$592,"n/a",0,1)</f>
        <v>800</v>
      </c>
      <c r="M1576">
        <f>_xlfn.XLOOKUP(F1576,magnet_list!$A$2:$A$592,magnet_list!$L$2:$L$592,"n/a",0,1)</f>
        <v>120</v>
      </c>
    </row>
    <row r="1577" spans="1:13">
      <c r="A1577" t="s">
        <v>797</v>
      </c>
      <c r="B1577" t="s">
        <v>804</v>
      </c>
      <c r="C1577" t="s">
        <v>1152</v>
      </c>
      <c r="D1577" t="s">
        <v>804</v>
      </c>
      <c r="E1577" s="10" t="s">
        <v>1252</v>
      </c>
      <c r="F1577" s="10" t="s">
        <v>2680</v>
      </c>
      <c r="G1577">
        <f>$G$1573+ABS($I$1577-$I$1573)/1000</f>
        <v>369.95753176136918</v>
      </c>
      <c r="H1577">
        <v>-15000</v>
      </c>
      <c r="I1577">
        <f>$I$1573-1074.7242</f>
        <v>-105495.47429546004</v>
      </c>
      <c r="J1577">
        <v>-270</v>
      </c>
      <c r="K1577">
        <v>0</v>
      </c>
      <c r="L1577">
        <v>1889.4492</v>
      </c>
    </row>
    <row r="1578" spans="1:13">
      <c r="A1578" t="s">
        <v>797</v>
      </c>
      <c r="B1578" t="s">
        <v>804</v>
      </c>
      <c r="C1578" t="s">
        <v>1152</v>
      </c>
      <c r="D1578" t="s">
        <v>804</v>
      </c>
      <c r="E1578" s="10" t="s">
        <v>1633</v>
      </c>
      <c r="F1578" s="10" t="s">
        <v>2680</v>
      </c>
      <c r="G1578">
        <f>$G$1577+ABS($I$1578-$I$1577)/1000</f>
        <v>370.90225636136921</v>
      </c>
      <c r="H1578">
        <v>-15000</v>
      </c>
      <c r="I1578">
        <f>$I$1577-$L$1578/2</f>
        <v>-106440.19889546004</v>
      </c>
      <c r="J1578">
        <v>-270</v>
      </c>
      <c r="K1578">
        <v>0</v>
      </c>
      <c r="L1578">
        <v>1889.4492</v>
      </c>
    </row>
    <row r="1579" spans="1:13">
      <c r="A1579" t="s">
        <v>797</v>
      </c>
      <c r="B1579" t="s">
        <v>1152</v>
      </c>
      <c r="C1579" t="s">
        <v>1152</v>
      </c>
      <c r="D1579" t="s">
        <v>804</v>
      </c>
      <c r="E1579" s="3" t="s">
        <v>2117</v>
      </c>
      <c r="F1579" s="3" t="s">
        <v>2117</v>
      </c>
      <c r="G1579">
        <f>$G$1577+ABS($I$1579-$I$1577)/1000</f>
        <v>371.03225686136921</v>
      </c>
      <c r="H1579">
        <v>-15000</v>
      </c>
      <c r="I1579">
        <f>$I$1577-1074.7251</f>
        <v>-106570.19939546003</v>
      </c>
      <c r="J1579">
        <v>-270</v>
      </c>
      <c r="K1579">
        <v>0</v>
      </c>
    </row>
    <row r="1580" spans="1:13">
      <c r="A1580" t="s">
        <v>797</v>
      </c>
      <c r="B1580" t="s">
        <v>803</v>
      </c>
      <c r="C1580" t="s">
        <v>806</v>
      </c>
      <c r="E1580" t="s">
        <v>850</v>
      </c>
      <c r="F1580" t="s">
        <v>850</v>
      </c>
      <c r="G1580">
        <f t="shared" si="31"/>
        <v>371.13473889598919</v>
      </c>
      <c r="H1580">
        <v>-17469.482888639999</v>
      </c>
      <c r="I1580">
        <v>-106672.68143008</v>
      </c>
      <c r="J1580">
        <v>-30.384594360000001</v>
      </c>
      <c r="K1580">
        <v>239.61540564000001</v>
      </c>
    </row>
    <row r="1581" spans="1:13">
      <c r="A1581" t="s">
        <v>797</v>
      </c>
      <c r="B1581" t="s">
        <v>805</v>
      </c>
      <c r="C1581" t="s">
        <v>806</v>
      </c>
      <c r="E1581" s="2" t="s">
        <v>374</v>
      </c>
      <c r="F1581" s="2" t="s">
        <v>374</v>
      </c>
      <c r="G1581">
        <f t="shared" si="31"/>
        <v>371.19227439669919</v>
      </c>
      <c r="H1581">
        <v>-15000</v>
      </c>
      <c r="I1581">
        <v>-106730.21693079</v>
      </c>
      <c r="J1581">
        <v>-20</v>
      </c>
      <c r="K1581">
        <v>250</v>
      </c>
      <c r="L1581">
        <f>_xlfn.XLOOKUP(F1581,magnet_list!$A$2:$A$592,magnet_list!$M$2:$M$592,"n/a",0,1)</f>
        <v>100</v>
      </c>
      <c r="M1581">
        <f>_xlfn.XLOOKUP(F1581,magnet_list!$A$2:$A$592,magnet_list!$L$2:$L$592,"n/a",0,1)</f>
        <v>23</v>
      </c>
    </row>
    <row r="1582" spans="1:13">
      <c r="A1582" t="s">
        <v>797</v>
      </c>
      <c r="B1582" t="s">
        <v>805</v>
      </c>
      <c r="C1582" t="s">
        <v>1152</v>
      </c>
      <c r="D1582" t="s">
        <v>804</v>
      </c>
      <c r="E1582" s="2" t="s">
        <v>736</v>
      </c>
      <c r="F1582" s="2" t="s">
        <v>374</v>
      </c>
      <c r="G1582">
        <f t="shared" si="31"/>
        <v>371.22227439669916</v>
      </c>
      <c r="H1582">
        <v>-15000</v>
      </c>
      <c r="I1582">
        <v>-106760.21693079</v>
      </c>
      <c r="J1582">
        <v>-20</v>
      </c>
      <c r="K1582">
        <v>250</v>
      </c>
      <c r="L1582">
        <f>_xlfn.XLOOKUP(F1582,magnet_list!$A$2:$A$592,magnet_list!$M$2:$M$592,"n/a",0,1)</f>
        <v>100</v>
      </c>
      <c r="M1582">
        <f>_xlfn.XLOOKUP(F1582,magnet_list!$A$2:$A$592,magnet_list!$L$2:$L$592,"n/a",0,1)</f>
        <v>23</v>
      </c>
    </row>
    <row r="1583" spans="1:13">
      <c r="A1583" t="s">
        <v>797</v>
      </c>
      <c r="B1583" t="s">
        <v>803</v>
      </c>
      <c r="E1583" t="s">
        <v>851</v>
      </c>
      <c r="F1583" t="s">
        <v>851</v>
      </c>
      <c r="G1583">
        <f t="shared" si="31"/>
        <v>371.53689824037917</v>
      </c>
      <c r="H1583">
        <v>-13513.387539789999</v>
      </c>
      <c r="I1583">
        <v>-107074.84077446999</v>
      </c>
      <c r="J1583">
        <v>-29.187712990000001</v>
      </c>
      <c r="K1583">
        <v>240.81228701000001</v>
      </c>
    </row>
    <row r="1584" spans="1:13">
      <c r="A1584" t="s">
        <v>797</v>
      </c>
      <c r="B1584" t="s">
        <v>805</v>
      </c>
      <c r="C1584" t="s">
        <v>1152</v>
      </c>
      <c r="D1584" t="s">
        <v>804</v>
      </c>
      <c r="E1584" s="2" t="s">
        <v>737</v>
      </c>
      <c r="F1584" s="2" t="s">
        <v>375</v>
      </c>
      <c r="G1584">
        <f t="shared" si="31"/>
        <v>371.7106347217192</v>
      </c>
      <c r="H1584">
        <v>-15000</v>
      </c>
      <c r="I1584">
        <v>-107248.57725581</v>
      </c>
      <c r="J1584">
        <v>-20</v>
      </c>
      <c r="K1584">
        <v>250</v>
      </c>
      <c r="L1584">
        <f>_xlfn.XLOOKUP(F1584,magnet_list!$A$2:$A$592,magnet_list!$M$2:$M$592,"n/a",0,1)</f>
        <v>100</v>
      </c>
      <c r="M1584">
        <f>_xlfn.XLOOKUP(F1584,magnet_list!$A$2:$A$592,magnet_list!$L$2:$L$592,"n/a",0,1)</f>
        <v>23</v>
      </c>
    </row>
    <row r="1585" spans="1:13">
      <c r="A1585" t="s">
        <v>797</v>
      </c>
      <c r="B1585" t="s">
        <v>805</v>
      </c>
      <c r="C1585" t="s">
        <v>806</v>
      </c>
      <c r="E1585" s="2" t="s">
        <v>375</v>
      </c>
      <c r="F1585" s="2" t="s">
        <v>375</v>
      </c>
      <c r="G1585">
        <f t="shared" si="31"/>
        <v>371.74063472171918</v>
      </c>
      <c r="H1585">
        <v>-15000</v>
      </c>
      <c r="I1585">
        <v>-107278.57725581</v>
      </c>
      <c r="J1585">
        <v>-20</v>
      </c>
      <c r="K1585">
        <v>250</v>
      </c>
      <c r="L1585">
        <f>_xlfn.XLOOKUP(F1585,magnet_list!$A$2:$A$592,magnet_list!$M$2:$M$592,"n/a",0,1)</f>
        <v>100</v>
      </c>
      <c r="M1585">
        <f>_xlfn.XLOOKUP(F1585,magnet_list!$A$2:$A$592,magnet_list!$L$2:$L$592,"n/a",0,1)</f>
        <v>23</v>
      </c>
    </row>
    <row r="1586" spans="1:13">
      <c r="A1586" t="s">
        <v>797</v>
      </c>
      <c r="B1586" t="s">
        <v>1152</v>
      </c>
      <c r="C1586" t="s">
        <v>1152</v>
      </c>
      <c r="D1586" t="s">
        <v>804</v>
      </c>
      <c r="E1586" s="3" t="s">
        <v>2118</v>
      </c>
      <c r="F1586" s="3" t="s">
        <v>2118</v>
      </c>
      <c r="G1586">
        <f>$G$1579+ABS($I$1586-$I$1579)/1000</f>
        <v>371.97940366136919</v>
      </c>
      <c r="H1586">
        <v>-15000</v>
      </c>
      <c r="I1586">
        <f>$I$1579-947.1468</f>
        <v>-107517.34619546004</v>
      </c>
      <c r="J1586">
        <v>-270</v>
      </c>
      <c r="K1586">
        <v>0</v>
      </c>
    </row>
    <row r="1587" spans="1:13">
      <c r="A1587" t="s">
        <v>797</v>
      </c>
      <c r="B1587" t="s">
        <v>804</v>
      </c>
      <c r="C1587" t="s">
        <v>1152</v>
      </c>
      <c r="D1587" t="s">
        <v>804</v>
      </c>
      <c r="E1587" s="10" t="s">
        <v>1634</v>
      </c>
      <c r="F1587" s="10" t="s">
        <v>2681</v>
      </c>
      <c r="G1587">
        <f>$G$1590-ABS($I$1590-$I$1587)/1000</f>
        <v>372.10940326136915</v>
      </c>
      <c r="H1587">
        <v>-15000</v>
      </c>
      <c r="I1587">
        <f>$I$1590+$L$1587/2</f>
        <v>-107647.34579546003</v>
      </c>
      <c r="J1587">
        <v>-270</v>
      </c>
      <c r="K1587">
        <v>0</v>
      </c>
      <c r="L1587">
        <v>1889.4492</v>
      </c>
    </row>
    <row r="1588" spans="1:13">
      <c r="A1588" t="s">
        <v>797</v>
      </c>
      <c r="B1588" t="s">
        <v>3855</v>
      </c>
      <c r="C1588" t="s">
        <v>1152</v>
      </c>
      <c r="D1588" t="s">
        <v>804</v>
      </c>
      <c r="E1588" t="s">
        <v>2119</v>
      </c>
      <c r="F1588" t="s">
        <v>2119</v>
      </c>
      <c r="G1588">
        <f>$G$1586+ABS($I$1588-$I$1586)/1000</f>
        <v>372.74690366136917</v>
      </c>
      <c r="H1588">
        <v>-15000</v>
      </c>
      <c r="I1588">
        <f>$I$1586-767.5</f>
        <v>-108284.84619546004</v>
      </c>
      <c r="J1588">
        <v>-270</v>
      </c>
      <c r="K1588">
        <v>0</v>
      </c>
      <c r="L1588">
        <f>_xlfn.XLOOKUP(F1588,magnet_list!$A$2:$A$592,magnet_list!$M$2:$M$592,"n/a",0,1)</f>
        <v>800</v>
      </c>
      <c r="M1588">
        <f>_xlfn.XLOOKUP(F1588,magnet_list!$A$2:$A$592,magnet_list!$L$2:$L$592,"n/a",0,1)</f>
        <v>120</v>
      </c>
    </row>
    <row r="1589" spans="1:13">
      <c r="A1589" t="s">
        <v>797</v>
      </c>
      <c r="B1589" t="s">
        <v>3855</v>
      </c>
      <c r="C1589" t="s">
        <v>1152</v>
      </c>
      <c r="D1589" t="s">
        <v>804</v>
      </c>
      <c r="E1589" t="s">
        <v>2120</v>
      </c>
      <c r="F1589" t="s">
        <v>2120</v>
      </c>
      <c r="G1589">
        <f>$G$1586+ABS($I$1588-$I$1586)/1000</f>
        <v>372.74690366136917</v>
      </c>
      <c r="H1589">
        <v>-15000</v>
      </c>
      <c r="I1589">
        <f>$I$1586-767.5</f>
        <v>-108284.84619546004</v>
      </c>
      <c r="J1589">
        <v>-270</v>
      </c>
      <c r="K1589">
        <v>0</v>
      </c>
      <c r="L1589">
        <f>_xlfn.XLOOKUP(F1589,magnet_list!$A$2:$A$592,magnet_list!$M$2:$M$592,"n/a",0,1)</f>
        <v>800</v>
      </c>
      <c r="M1589">
        <f>_xlfn.XLOOKUP(F1589,magnet_list!$A$2:$A$592,magnet_list!$L$2:$L$592,"n/a",0,1)</f>
        <v>120</v>
      </c>
    </row>
    <row r="1590" spans="1:13">
      <c r="A1590" t="s">
        <v>797</v>
      </c>
      <c r="B1590" t="s">
        <v>804</v>
      </c>
      <c r="C1590" t="s">
        <v>1152</v>
      </c>
      <c r="D1590" t="s">
        <v>804</v>
      </c>
      <c r="E1590" s="10" t="s">
        <v>1306</v>
      </c>
      <c r="F1590" s="10" t="s">
        <v>2681</v>
      </c>
      <c r="G1590">
        <f>$G$1586+ABS($I$1590-$I$1586)/1000</f>
        <v>373.05412786136918</v>
      </c>
      <c r="H1590">
        <v>-15000</v>
      </c>
      <c r="I1590">
        <f>$I$1586-1074.7242</f>
        <v>-108592.07039546003</v>
      </c>
      <c r="J1590">
        <v>-270</v>
      </c>
      <c r="K1590">
        <v>0</v>
      </c>
      <c r="L1590">
        <v>1889.4492</v>
      </c>
    </row>
    <row r="1591" spans="1:13">
      <c r="A1591" t="s">
        <v>797</v>
      </c>
      <c r="B1591" t="s">
        <v>804</v>
      </c>
      <c r="C1591" t="s">
        <v>1152</v>
      </c>
      <c r="D1591" t="s">
        <v>804</v>
      </c>
      <c r="E1591" s="10" t="s">
        <v>1635</v>
      </c>
      <c r="F1591" s="10" t="s">
        <v>2681</v>
      </c>
      <c r="G1591">
        <f>$G$1590+ABS($I$1591-$I$1590)/1000</f>
        <v>373.99885246136921</v>
      </c>
      <c r="H1591">
        <v>-15000</v>
      </c>
      <c r="I1591">
        <f>$I$1590-$L$1591/2</f>
        <v>-109536.79499546003</v>
      </c>
      <c r="J1591">
        <v>-270</v>
      </c>
      <c r="K1591">
        <v>0</v>
      </c>
      <c r="L1591">
        <v>1889.4492</v>
      </c>
    </row>
    <row r="1592" spans="1:13">
      <c r="A1592" t="s">
        <v>797</v>
      </c>
      <c r="B1592" t="s">
        <v>1152</v>
      </c>
      <c r="C1592" t="s">
        <v>1152</v>
      </c>
      <c r="D1592" t="s">
        <v>804</v>
      </c>
      <c r="E1592" s="3" t="s">
        <v>2121</v>
      </c>
      <c r="F1592" s="3" t="s">
        <v>2121</v>
      </c>
      <c r="G1592">
        <f>$G$1590+ABS($I$1592-$I$1590)/1000</f>
        <v>374.1288529613692</v>
      </c>
      <c r="H1592">
        <v>-15000</v>
      </c>
      <c r="I1592">
        <f>$I$1590-1074.7251</f>
        <v>-109666.79549546003</v>
      </c>
      <c r="J1592">
        <v>-270</v>
      </c>
      <c r="K1592">
        <v>0</v>
      </c>
    </row>
    <row r="1593" spans="1:13">
      <c r="A1593" t="s">
        <v>797</v>
      </c>
      <c r="B1593" t="s">
        <v>805</v>
      </c>
      <c r="C1593" t="s">
        <v>806</v>
      </c>
      <c r="E1593" s="2" t="s">
        <v>376</v>
      </c>
      <c r="F1593" s="2" t="s">
        <v>376</v>
      </c>
      <c r="G1593">
        <f t="shared" ref="G1593:G1652" si="32">G1592-(I1593-I1592)/1000</f>
        <v>374.2849635059992</v>
      </c>
      <c r="H1593">
        <v>-15000</v>
      </c>
      <c r="I1593">
        <v>-109822.90604009001</v>
      </c>
      <c r="J1593">
        <v>-20</v>
      </c>
      <c r="K1593">
        <v>250</v>
      </c>
      <c r="L1593">
        <f>_xlfn.XLOOKUP(F1593,magnet_list!$A$2:$A$592,magnet_list!$M$2:$M$592,"n/a",0,1)</f>
        <v>100</v>
      </c>
      <c r="M1593">
        <f>_xlfn.XLOOKUP(F1593,magnet_list!$A$2:$A$592,magnet_list!$L$2:$L$592,"n/a",0,1)</f>
        <v>23</v>
      </c>
    </row>
    <row r="1594" spans="1:13">
      <c r="A1594" t="s">
        <v>797</v>
      </c>
      <c r="B1594" t="s">
        <v>805</v>
      </c>
      <c r="C1594" t="s">
        <v>1152</v>
      </c>
      <c r="D1594" t="s">
        <v>804</v>
      </c>
      <c r="E1594" s="2" t="s">
        <v>738</v>
      </c>
      <c r="F1594" s="2" t="s">
        <v>376</v>
      </c>
      <c r="G1594">
        <f t="shared" si="32"/>
        <v>374.31496350599917</v>
      </c>
      <c r="H1594">
        <v>-15000</v>
      </c>
      <c r="I1594">
        <v>-109852.90604009001</v>
      </c>
      <c r="J1594">
        <v>-20</v>
      </c>
      <c r="K1594">
        <v>250</v>
      </c>
      <c r="L1594">
        <f>_xlfn.XLOOKUP(F1594,magnet_list!$A$2:$A$592,magnet_list!$M$2:$M$592,"n/a",0,1)</f>
        <v>100</v>
      </c>
      <c r="M1594">
        <f>_xlfn.XLOOKUP(F1594,magnet_list!$A$2:$A$592,magnet_list!$L$2:$L$592,"n/a",0,1)</f>
        <v>23</v>
      </c>
    </row>
    <row r="1595" spans="1:13">
      <c r="A1595" t="s">
        <v>797</v>
      </c>
      <c r="B1595" t="s">
        <v>805</v>
      </c>
      <c r="C1595" t="s">
        <v>1152</v>
      </c>
      <c r="D1595" t="s">
        <v>804</v>
      </c>
      <c r="E1595" s="2" t="s">
        <v>739</v>
      </c>
      <c r="F1595" s="2" t="s">
        <v>377</v>
      </c>
      <c r="G1595">
        <f t="shared" si="32"/>
        <v>374.80426975785917</v>
      </c>
      <c r="H1595">
        <v>-15000</v>
      </c>
      <c r="I1595">
        <v>-110342.21229195</v>
      </c>
      <c r="J1595">
        <v>-20</v>
      </c>
      <c r="K1595">
        <v>250</v>
      </c>
      <c r="L1595">
        <f>_xlfn.XLOOKUP(F1595,magnet_list!$A$2:$A$592,magnet_list!$M$2:$M$592,"n/a",0,1)</f>
        <v>100</v>
      </c>
      <c r="M1595">
        <f>_xlfn.XLOOKUP(F1595,magnet_list!$A$2:$A$592,magnet_list!$L$2:$L$592,"n/a",0,1)</f>
        <v>23</v>
      </c>
    </row>
    <row r="1596" spans="1:13">
      <c r="A1596" t="s">
        <v>797</v>
      </c>
      <c r="B1596" t="s">
        <v>805</v>
      </c>
      <c r="C1596" t="s">
        <v>806</v>
      </c>
      <c r="E1596" s="2" t="s">
        <v>377</v>
      </c>
      <c r="F1596" s="2" t="s">
        <v>377</v>
      </c>
      <c r="G1596">
        <f t="shared" si="32"/>
        <v>374.83426975785915</v>
      </c>
      <c r="H1596">
        <v>-15000</v>
      </c>
      <c r="I1596">
        <v>-110372.21229195</v>
      </c>
      <c r="J1596">
        <v>-20</v>
      </c>
      <c r="K1596">
        <v>250</v>
      </c>
      <c r="L1596">
        <f>_xlfn.XLOOKUP(F1596,magnet_list!$A$2:$A$592,magnet_list!$M$2:$M$592,"n/a",0,1)</f>
        <v>100</v>
      </c>
      <c r="M1596">
        <f>_xlfn.XLOOKUP(F1596,magnet_list!$A$2:$A$592,magnet_list!$L$2:$L$592,"n/a",0,1)</f>
        <v>23</v>
      </c>
    </row>
    <row r="1597" spans="1:13">
      <c r="A1597" t="s">
        <v>797</v>
      </c>
      <c r="B1597" t="s">
        <v>1152</v>
      </c>
      <c r="C1597" t="s">
        <v>1152</v>
      </c>
      <c r="D1597" t="s">
        <v>804</v>
      </c>
      <c r="E1597" s="3" t="s">
        <v>2122</v>
      </c>
      <c r="F1597" s="3" t="s">
        <v>2122</v>
      </c>
      <c r="G1597">
        <f>$G$1592+ABS($I$1597-$I$1592)/1000</f>
        <v>374.99727176136918</v>
      </c>
      <c r="H1597">
        <v>-15000</v>
      </c>
      <c r="I1597">
        <f>$I$1592-868.4188</f>
        <v>-110535.21429546003</v>
      </c>
      <c r="J1597">
        <v>-270</v>
      </c>
      <c r="K1597">
        <v>0</v>
      </c>
    </row>
    <row r="1598" spans="1:13">
      <c r="A1598" t="s">
        <v>797</v>
      </c>
      <c r="B1598" t="s">
        <v>804</v>
      </c>
      <c r="C1598" t="s">
        <v>1152</v>
      </c>
      <c r="D1598" t="s">
        <v>804</v>
      </c>
      <c r="E1598" s="10" t="s">
        <v>1636</v>
      </c>
      <c r="F1598" s="10" t="s">
        <v>2682</v>
      </c>
      <c r="G1598">
        <f>$G$1601-ABS($I$1601-$I$1598)/1000</f>
        <v>375.12727136136914</v>
      </c>
      <c r="H1598">
        <v>-15000</v>
      </c>
      <c r="I1598">
        <f>$I$1601+$L$1598/2</f>
        <v>-110665.21389546002</v>
      </c>
      <c r="J1598">
        <v>-270</v>
      </c>
      <c r="K1598">
        <v>0</v>
      </c>
      <c r="L1598">
        <v>1889.4492</v>
      </c>
    </row>
    <row r="1599" spans="1:13">
      <c r="A1599" t="s">
        <v>797</v>
      </c>
      <c r="B1599" t="s">
        <v>3855</v>
      </c>
      <c r="C1599" t="s">
        <v>1152</v>
      </c>
      <c r="D1599" t="s">
        <v>804</v>
      </c>
      <c r="E1599" t="s">
        <v>2123</v>
      </c>
      <c r="F1599" t="s">
        <v>2123</v>
      </c>
      <c r="G1599">
        <f>$G$1597+ABS($I$1599-$I$1597)/1000</f>
        <v>375.76477176136916</v>
      </c>
      <c r="H1599">
        <v>-15000</v>
      </c>
      <c r="I1599">
        <f>$I$1597-767.5</f>
        <v>-111302.71429546003</v>
      </c>
      <c r="J1599">
        <v>-270</v>
      </c>
      <c r="K1599">
        <v>0</v>
      </c>
      <c r="L1599">
        <f>_xlfn.XLOOKUP(F1599,magnet_list!$A$2:$A$592,magnet_list!$M$2:$M$592,"n/a",0,1)</f>
        <v>800</v>
      </c>
      <c r="M1599">
        <f>_xlfn.XLOOKUP(F1599,magnet_list!$A$2:$A$592,magnet_list!$L$2:$L$592,"n/a",0,1)</f>
        <v>120</v>
      </c>
    </row>
    <row r="1600" spans="1:13">
      <c r="A1600" t="s">
        <v>797</v>
      </c>
      <c r="B1600" t="s">
        <v>3855</v>
      </c>
      <c r="C1600" t="s">
        <v>1152</v>
      </c>
      <c r="D1600" t="s">
        <v>804</v>
      </c>
      <c r="E1600" t="s">
        <v>2124</v>
      </c>
      <c r="F1600" t="s">
        <v>2124</v>
      </c>
      <c r="G1600">
        <f>$G$1597+ABS($I$1599-$I$1597)/1000</f>
        <v>375.76477176136916</v>
      </c>
      <c r="H1600">
        <v>-15000</v>
      </c>
      <c r="I1600">
        <f>$I$1597-767.5</f>
        <v>-111302.71429546003</v>
      </c>
      <c r="J1600">
        <v>-270</v>
      </c>
      <c r="K1600">
        <v>0</v>
      </c>
      <c r="L1600">
        <f>_xlfn.XLOOKUP(F1600,magnet_list!$A$2:$A$592,magnet_list!$M$2:$M$592,"n/a",0,1)</f>
        <v>800</v>
      </c>
      <c r="M1600">
        <f>_xlfn.XLOOKUP(F1600,magnet_list!$A$2:$A$592,magnet_list!$L$2:$L$592,"n/a",0,1)</f>
        <v>120</v>
      </c>
    </row>
    <row r="1601" spans="1:13">
      <c r="A1601" t="s">
        <v>797</v>
      </c>
      <c r="B1601" t="s">
        <v>804</v>
      </c>
      <c r="C1601" t="s">
        <v>1152</v>
      </c>
      <c r="D1601" t="s">
        <v>804</v>
      </c>
      <c r="E1601" s="10" t="s">
        <v>1360</v>
      </c>
      <c r="F1601" s="10" t="s">
        <v>2682</v>
      </c>
      <c r="G1601">
        <f>$G$1597+ABS($I$1601-$I$1597)/1000</f>
        <v>376.07199596136917</v>
      </c>
      <c r="H1601">
        <v>-15000</v>
      </c>
      <c r="I1601">
        <f>$I$1597-1074.7242</f>
        <v>-111609.93849546002</v>
      </c>
      <c r="J1601">
        <v>-270</v>
      </c>
      <c r="K1601">
        <v>0</v>
      </c>
      <c r="L1601">
        <v>1889.4492</v>
      </c>
    </row>
    <row r="1602" spans="1:13">
      <c r="A1602" t="s">
        <v>797</v>
      </c>
      <c r="B1602" t="s">
        <v>804</v>
      </c>
      <c r="C1602" t="s">
        <v>1152</v>
      </c>
      <c r="D1602" t="s">
        <v>804</v>
      </c>
      <c r="E1602" s="10" t="s">
        <v>1637</v>
      </c>
      <c r="F1602" s="10" t="s">
        <v>2682</v>
      </c>
      <c r="G1602">
        <f>$G$1601+ABS($I$1602-$I$1601)/1000</f>
        <v>377.0167205613692</v>
      </c>
      <c r="H1602">
        <v>-15000</v>
      </c>
      <c r="I1602">
        <f>$I$1601-$L$1602/2</f>
        <v>-112554.66309546003</v>
      </c>
      <c r="J1602">
        <v>-270</v>
      </c>
      <c r="K1602">
        <v>0</v>
      </c>
      <c r="L1602">
        <v>1889.4492</v>
      </c>
    </row>
    <row r="1603" spans="1:13">
      <c r="A1603" t="s">
        <v>797</v>
      </c>
      <c r="B1603" t="s">
        <v>803</v>
      </c>
      <c r="C1603" t="s">
        <v>806</v>
      </c>
      <c r="E1603" t="s">
        <v>852</v>
      </c>
      <c r="F1603" t="s">
        <v>852</v>
      </c>
      <c r="G1603">
        <f t="shared" si="32"/>
        <v>377.02784698505917</v>
      </c>
      <c r="H1603">
        <v>-17461.98282904</v>
      </c>
      <c r="I1603">
        <v>-112565.78951915</v>
      </c>
      <c r="J1603">
        <v>-27.049259729999999</v>
      </c>
      <c r="K1603">
        <v>242.95074027000001</v>
      </c>
    </row>
    <row r="1604" spans="1:13">
      <c r="A1604" t="s">
        <v>797</v>
      </c>
      <c r="B1604" t="s">
        <v>803</v>
      </c>
      <c r="C1604" t="s">
        <v>806</v>
      </c>
      <c r="E1604" t="s">
        <v>1022</v>
      </c>
      <c r="F1604" t="s">
        <v>1022</v>
      </c>
      <c r="G1604">
        <f t="shared" si="32"/>
        <v>377.02816331186915</v>
      </c>
      <c r="H1604">
        <v>-15400</v>
      </c>
      <c r="I1604">
        <v>-112566.10584596</v>
      </c>
      <c r="J1604">
        <v>-689</v>
      </c>
      <c r="K1604">
        <v>-419</v>
      </c>
    </row>
    <row r="1605" spans="1:13">
      <c r="A1605" t="s">
        <v>797</v>
      </c>
      <c r="B1605" t="s">
        <v>2288</v>
      </c>
      <c r="C1605" t="s">
        <v>1152</v>
      </c>
      <c r="D1605" t="s">
        <v>804</v>
      </c>
      <c r="E1605" s="8" t="s">
        <v>2342</v>
      </c>
      <c r="F1605" s="8" t="s">
        <v>2342</v>
      </c>
      <c r="G1605">
        <f>$G$1601+ABS($I$1605-$I$1601)/1000</f>
        <v>377.14672106136919</v>
      </c>
      <c r="H1605">
        <v>-15000</v>
      </c>
      <c r="I1605">
        <f>$I$1601-1074.7251</f>
        <v>-112684.66359546002</v>
      </c>
      <c r="J1605">
        <v>-270</v>
      </c>
      <c r="K1605">
        <v>0</v>
      </c>
    </row>
    <row r="1606" spans="1:13">
      <c r="A1606" t="s">
        <v>797</v>
      </c>
      <c r="B1606" t="s">
        <v>1152</v>
      </c>
      <c r="C1606" t="s">
        <v>1152</v>
      </c>
      <c r="D1606" t="s">
        <v>804</v>
      </c>
      <c r="E1606" s="7" t="s">
        <v>2125</v>
      </c>
      <c r="F1606" s="7" t="s">
        <v>2125</v>
      </c>
      <c r="G1606">
        <f>$G$1605+ABS($I$1606-$I$1605)/1000</f>
        <v>377.23172106136917</v>
      </c>
      <c r="H1606">
        <v>-15000</v>
      </c>
      <c r="I1606">
        <f>$I$1605-85</f>
        <v>-112769.66359546002</v>
      </c>
      <c r="J1606">
        <v>-270</v>
      </c>
      <c r="K1606">
        <v>0</v>
      </c>
    </row>
    <row r="1607" spans="1:13">
      <c r="A1607" t="s">
        <v>797</v>
      </c>
      <c r="B1607" t="s">
        <v>805</v>
      </c>
      <c r="C1607" t="s">
        <v>806</v>
      </c>
      <c r="E1607" s="2" t="s">
        <v>378</v>
      </c>
      <c r="F1607" s="2" t="s">
        <v>378</v>
      </c>
      <c r="G1607">
        <f t="shared" si="32"/>
        <v>377.38944935394915</v>
      </c>
      <c r="H1607">
        <v>-15000</v>
      </c>
      <c r="I1607">
        <v>-112927.39188804</v>
      </c>
      <c r="J1607">
        <v>-20</v>
      </c>
      <c r="K1607">
        <v>250</v>
      </c>
      <c r="L1607">
        <f>_xlfn.XLOOKUP(F1607,magnet_list!$A$2:$A$592,magnet_list!$M$2:$M$592,"n/a",0,1)</f>
        <v>100</v>
      </c>
      <c r="M1607">
        <f>_xlfn.XLOOKUP(F1607,magnet_list!$A$2:$A$592,magnet_list!$L$2:$L$592,"n/a",0,1)</f>
        <v>23</v>
      </c>
    </row>
    <row r="1608" spans="1:13">
      <c r="A1608" t="s">
        <v>797</v>
      </c>
      <c r="B1608" t="s">
        <v>805</v>
      </c>
      <c r="C1608" t="s">
        <v>1152</v>
      </c>
      <c r="D1608" t="s">
        <v>804</v>
      </c>
      <c r="E1608" s="2" t="s">
        <v>740</v>
      </c>
      <c r="F1608" s="2" t="s">
        <v>378</v>
      </c>
      <c r="G1608">
        <f t="shared" si="32"/>
        <v>377.41944935394912</v>
      </c>
      <c r="H1608">
        <v>-15000</v>
      </c>
      <c r="I1608">
        <v>-112957.39188804</v>
      </c>
      <c r="J1608">
        <v>-20</v>
      </c>
      <c r="K1608">
        <v>250</v>
      </c>
      <c r="L1608">
        <f>_xlfn.XLOOKUP(F1608,magnet_list!$A$2:$A$592,magnet_list!$M$2:$M$592,"n/a",0,1)</f>
        <v>100</v>
      </c>
      <c r="M1608">
        <f>_xlfn.XLOOKUP(F1608,magnet_list!$A$2:$A$592,magnet_list!$L$2:$L$592,"n/a",0,1)</f>
        <v>23</v>
      </c>
    </row>
    <row r="1609" spans="1:13">
      <c r="A1609" t="s">
        <v>797</v>
      </c>
      <c r="B1609" t="s">
        <v>805</v>
      </c>
      <c r="C1609" t="s">
        <v>806</v>
      </c>
      <c r="E1609" s="2" t="s">
        <v>379</v>
      </c>
      <c r="F1609" s="2" t="s">
        <v>2683</v>
      </c>
      <c r="G1609">
        <f t="shared" si="32"/>
        <v>377.62425707698912</v>
      </c>
      <c r="H1609">
        <v>-15000</v>
      </c>
      <c r="I1609">
        <v>-113162.19961108</v>
      </c>
      <c r="J1609">
        <v>-70</v>
      </c>
      <c r="K1609">
        <v>200</v>
      </c>
      <c r="L1609">
        <f>_xlfn.XLOOKUP(F1609,magnet_list!$A$2:$A$592,magnet_list!$M$2:$M$592,"n/a",0,1)</f>
        <v>100</v>
      </c>
      <c r="M1609">
        <f>_xlfn.XLOOKUP(F1609,magnet_list!$A$2:$A$592,magnet_list!$L$2:$L$592,"n/a",0,1)</f>
        <v>44</v>
      </c>
    </row>
    <row r="1610" spans="1:13">
      <c r="A1610" t="s">
        <v>797</v>
      </c>
      <c r="B1610" t="s">
        <v>805</v>
      </c>
      <c r="C1610" t="s">
        <v>1152</v>
      </c>
      <c r="D1610" t="s">
        <v>804</v>
      </c>
      <c r="E1610" s="2" t="s">
        <v>742</v>
      </c>
      <c r="F1610" s="2" t="s">
        <v>2683</v>
      </c>
      <c r="G1610">
        <f t="shared" si="32"/>
        <v>377.66426457698913</v>
      </c>
      <c r="H1610">
        <v>-15000</v>
      </c>
      <c r="I1610">
        <v>-113202.20711107999</v>
      </c>
      <c r="J1610">
        <v>-70</v>
      </c>
      <c r="K1610">
        <v>200</v>
      </c>
      <c r="L1610">
        <f>_xlfn.XLOOKUP(F1610,magnet_list!$A$2:$A$592,magnet_list!$M$2:$M$592,"n/a",0,1)</f>
        <v>100</v>
      </c>
      <c r="M1610">
        <f>_xlfn.XLOOKUP(F1610,magnet_list!$A$2:$A$592,magnet_list!$L$2:$L$592,"n/a",0,1)</f>
        <v>44</v>
      </c>
    </row>
    <row r="1611" spans="1:13">
      <c r="A1611" t="s">
        <v>797</v>
      </c>
      <c r="B1611" t="s">
        <v>805</v>
      </c>
      <c r="C1611" t="s">
        <v>806</v>
      </c>
      <c r="E1611" s="2" t="s">
        <v>380</v>
      </c>
      <c r="F1611" s="2" t="s">
        <v>2683</v>
      </c>
      <c r="G1611">
        <f t="shared" si="32"/>
        <v>377.70423919881915</v>
      </c>
      <c r="H1611">
        <v>-15000</v>
      </c>
      <c r="I1611">
        <v>-113242.18173291</v>
      </c>
      <c r="J1611">
        <v>-70</v>
      </c>
      <c r="K1611">
        <v>200</v>
      </c>
      <c r="L1611">
        <f>_xlfn.XLOOKUP(F1611,magnet_list!$A$2:$A$592,magnet_list!$M$2:$M$592,"n/a",0,1)</f>
        <v>100</v>
      </c>
      <c r="M1611">
        <f>_xlfn.XLOOKUP(F1611,magnet_list!$A$2:$A$592,magnet_list!$L$2:$L$592,"n/a",0,1)</f>
        <v>44</v>
      </c>
    </row>
    <row r="1612" spans="1:13">
      <c r="A1612" t="s">
        <v>797</v>
      </c>
      <c r="B1612" t="s">
        <v>805</v>
      </c>
      <c r="C1612" t="s">
        <v>1152</v>
      </c>
      <c r="D1612" t="s">
        <v>804</v>
      </c>
      <c r="E1612" s="2" t="s">
        <v>741</v>
      </c>
      <c r="F1612" s="2" t="s">
        <v>381</v>
      </c>
      <c r="G1612">
        <f t="shared" si="32"/>
        <v>377.90848039231918</v>
      </c>
      <c r="H1612">
        <v>-15000</v>
      </c>
      <c r="I1612">
        <v>-113446.42292641</v>
      </c>
      <c r="J1612">
        <v>-20</v>
      </c>
      <c r="K1612">
        <v>250</v>
      </c>
      <c r="L1612">
        <f>_xlfn.XLOOKUP(F1612,magnet_list!$A$2:$A$592,magnet_list!$M$2:$M$592,"n/a",0,1)</f>
        <v>100</v>
      </c>
      <c r="M1612">
        <f>_xlfn.XLOOKUP(F1612,magnet_list!$A$2:$A$592,magnet_list!$L$2:$L$592,"n/a",0,1)</f>
        <v>23</v>
      </c>
    </row>
    <row r="1613" spans="1:13">
      <c r="A1613" t="s">
        <v>797</v>
      </c>
      <c r="B1613" t="s">
        <v>805</v>
      </c>
      <c r="C1613" t="s">
        <v>806</v>
      </c>
      <c r="E1613" s="2" t="s">
        <v>381</v>
      </c>
      <c r="F1613" s="2" t="s">
        <v>381</v>
      </c>
      <c r="G1613">
        <f t="shared" si="32"/>
        <v>377.93848039231915</v>
      </c>
      <c r="H1613">
        <v>-15000</v>
      </c>
      <c r="I1613">
        <v>-113476.42292641</v>
      </c>
      <c r="J1613">
        <v>-20</v>
      </c>
      <c r="K1613">
        <v>250</v>
      </c>
      <c r="L1613">
        <f>_xlfn.XLOOKUP(F1613,magnet_list!$A$2:$A$592,magnet_list!$M$2:$M$592,"n/a",0,1)</f>
        <v>100</v>
      </c>
      <c r="M1613">
        <f>_xlfn.XLOOKUP(F1613,magnet_list!$A$2:$A$592,magnet_list!$L$2:$L$592,"n/a",0,1)</f>
        <v>23</v>
      </c>
    </row>
    <row r="1614" spans="1:13">
      <c r="A1614" t="s">
        <v>797</v>
      </c>
      <c r="B1614" t="s">
        <v>1152</v>
      </c>
      <c r="C1614" t="s">
        <v>1152</v>
      </c>
      <c r="D1614" t="s">
        <v>804</v>
      </c>
      <c r="E1614" s="7" t="s">
        <v>2126</v>
      </c>
      <c r="F1614" s="7" t="s">
        <v>2126</v>
      </c>
      <c r="G1614">
        <f>$G$1606+ABS($I$1614-$I$1606)/1000</f>
        <v>378.15593906136917</v>
      </c>
      <c r="H1614">
        <v>-15000</v>
      </c>
      <c r="I1614">
        <f>$I$1606-924.218</f>
        <v>-113693.88159546001</v>
      </c>
      <c r="J1614">
        <v>-270</v>
      </c>
      <c r="K1614">
        <v>0</v>
      </c>
    </row>
    <row r="1615" spans="1:13">
      <c r="A1615" t="s">
        <v>797</v>
      </c>
      <c r="B1615" t="s">
        <v>804</v>
      </c>
      <c r="C1615" t="s">
        <v>1152</v>
      </c>
      <c r="D1615" t="s">
        <v>804</v>
      </c>
      <c r="E1615" s="10" t="s">
        <v>1638</v>
      </c>
      <c r="F1615" s="10" t="s">
        <v>2684</v>
      </c>
      <c r="G1615">
        <f>$G$1619-ABS($I$1619-$I$1615)/1000</f>
        <v>378.35693836136915</v>
      </c>
      <c r="H1615">
        <v>-15000</v>
      </c>
      <c r="I1615">
        <f>$I$1619+$L$1615/2</f>
        <v>-113894.88089546001</v>
      </c>
      <c r="J1615">
        <v>-270</v>
      </c>
      <c r="K1615">
        <v>0</v>
      </c>
      <c r="L1615">
        <v>1889.4492</v>
      </c>
    </row>
    <row r="1616" spans="1:13">
      <c r="A1616" t="s">
        <v>797</v>
      </c>
      <c r="B1616" t="s">
        <v>803</v>
      </c>
      <c r="C1616" t="s">
        <v>806</v>
      </c>
      <c r="E1616" t="s">
        <v>1025</v>
      </c>
      <c r="F1616" t="s">
        <v>1025</v>
      </c>
      <c r="G1616">
        <f t="shared" si="32"/>
        <v>378.60801488634911</v>
      </c>
      <c r="H1616">
        <v>-15400</v>
      </c>
      <c r="I1616">
        <v>-114145.95742044</v>
      </c>
      <c r="J1616">
        <v>-689</v>
      </c>
      <c r="K1616">
        <v>-419</v>
      </c>
    </row>
    <row r="1617" spans="1:13">
      <c r="A1617" t="s">
        <v>797</v>
      </c>
      <c r="B1617" t="s">
        <v>3855</v>
      </c>
      <c r="C1617" t="s">
        <v>1152</v>
      </c>
      <c r="D1617" t="s">
        <v>804</v>
      </c>
      <c r="E1617" t="s">
        <v>2127</v>
      </c>
      <c r="F1617" t="s">
        <v>2127</v>
      </c>
      <c r="G1617">
        <f>$G$1614+ABS($I$1617-$I$1614)/1000</f>
        <v>378.99443886136919</v>
      </c>
      <c r="H1617">
        <v>-15000</v>
      </c>
      <c r="I1617">
        <f>$I$1614-838.4998</f>
        <v>-114532.38139546002</v>
      </c>
      <c r="J1617">
        <v>-270</v>
      </c>
      <c r="K1617">
        <v>0</v>
      </c>
      <c r="L1617">
        <f>_xlfn.XLOOKUP(F1617,magnet_list!$A$2:$A$592,magnet_list!$M$2:$M$592,"n/a",0,1)</f>
        <v>800</v>
      </c>
      <c r="M1617">
        <f>_xlfn.XLOOKUP(F1617,magnet_list!$A$2:$A$592,magnet_list!$L$2:$L$592,"n/a",0,1)</f>
        <v>120</v>
      </c>
    </row>
    <row r="1618" spans="1:13">
      <c r="A1618" t="s">
        <v>797</v>
      </c>
      <c r="B1618" t="s">
        <v>3855</v>
      </c>
      <c r="C1618" t="s">
        <v>1152</v>
      </c>
      <c r="D1618" t="s">
        <v>804</v>
      </c>
      <c r="E1618" t="s">
        <v>2128</v>
      </c>
      <c r="F1618" t="s">
        <v>2128</v>
      </c>
      <c r="G1618">
        <f>$G$1614+ABS($I$1617-$I$1614)/1000</f>
        <v>378.99443886136919</v>
      </c>
      <c r="H1618">
        <v>-15000</v>
      </c>
      <c r="I1618">
        <f>$I$1614-838.4998</f>
        <v>-114532.38139546002</v>
      </c>
      <c r="J1618">
        <v>-270</v>
      </c>
      <c r="K1618">
        <v>0</v>
      </c>
      <c r="L1618">
        <f>_xlfn.XLOOKUP(F1618,magnet_list!$A$2:$A$592,magnet_list!$M$2:$M$592,"n/a",0,1)</f>
        <v>800</v>
      </c>
      <c r="M1618">
        <f>_xlfn.XLOOKUP(F1618,magnet_list!$A$2:$A$592,magnet_list!$L$2:$L$592,"n/a",0,1)</f>
        <v>120</v>
      </c>
    </row>
    <row r="1619" spans="1:13">
      <c r="A1619" t="s">
        <v>797</v>
      </c>
      <c r="B1619" t="s">
        <v>804</v>
      </c>
      <c r="C1619" t="s">
        <v>1152</v>
      </c>
      <c r="D1619" t="s">
        <v>804</v>
      </c>
      <c r="E1619" s="10" t="s">
        <v>1197</v>
      </c>
      <c r="F1619" s="10" t="s">
        <v>2684</v>
      </c>
      <c r="G1619">
        <f>$G$1614+ABS($I$1619-$I$1614)/1000</f>
        <v>379.30166296136917</v>
      </c>
      <c r="H1619">
        <v>-15000</v>
      </c>
      <c r="I1619">
        <f>$I$1614-1145.7239</f>
        <v>-114839.60549546001</v>
      </c>
      <c r="J1619">
        <v>-270</v>
      </c>
      <c r="K1619">
        <v>0</v>
      </c>
      <c r="L1619">
        <v>1889.4492</v>
      </c>
    </row>
    <row r="1620" spans="1:13">
      <c r="A1620" t="s">
        <v>797</v>
      </c>
      <c r="B1620" t="s">
        <v>804</v>
      </c>
      <c r="C1620" t="s">
        <v>1152</v>
      </c>
      <c r="D1620" t="s">
        <v>804</v>
      </c>
      <c r="E1620" s="10" t="s">
        <v>1639</v>
      </c>
      <c r="F1620" s="10" t="s">
        <v>2684</v>
      </c>
      <c r="G1620">
        <f>$G$1619+ABS($I$1620-$I$1619)/1000</f>
        <v>380.2463875613692</v>
      </c>
      <c r="H1620">
        <v>-15000</v>
      </c>
      <c r="I1620">
        <f>$I$1619-$L$1620/2</f>
        <v>-115784.33009546001</v>
      </c>
      <c r="J1620">
        <v>-270</v>
      </c>
      <c r="K1620">
        <v>0</v>
      </c>
      <c r="L1620">
        <v>1889.4492</v>
      </c>
    </row>
    <row r="1621" spans="1:13">
      <c r="A1621" t="s">
        <v>797</v>
      </c>
      <c r="B1621" t="s">
        <v>804</v>
      </c>
      <c r="C1621" t="s">
        <v>1152</v>
      </c>
      <c r="D1621" t="s">
        <v>804</v>
      </c>
      <c r="E1621" s="10" t="s">
        <v>1640</v>
      </c>
      <c r="F1621" s="10" t="s">
        <v>2685</v>
      </c>
      <c r="G1621">
        <f>$G$1622-ABS($I$1622-$I$1621)/1000</f>
        <v>380.43008736136915</v>
      </c>
      <c r="H1621">
        <v>-15000</v>
      </c>
      <c r="I1621">
        <f>$I$1622+$L$1621/2</f>
        <v>-115968.02989546001</v>
      </c>
      <c r="J1621">
        <v>-270</v>
      </c>
      <c r="K1621">
        <v>0</v>
      </c>
      <c r="L1621">
        <v>1889.4492</v>
      </c>
    </row>
    <row r="1622" spans="1:13">
      <c r="A1622" t="s">
        <v>797</v>
      </c>
      <c r="B1622" t="s">
        <v>804</v>
      </c>
      <c r="C1622" t="s">
        <v>1152</v>
      </c>
      <c r="D1622" t="s">
        <v>804</v>
      </c>
      <c r="E1622" s="10" t="s">
        <v>1253</v>
      </c>
      <c r="F1622" s="10" t="s">
        <v>2685</v>
      </c>
      <c r="G1622">
        <f>$G$1619+ABS($I$1622-$I$1619)/1000</f>
        <v>381.37481196136918</v>
      </c>
      <c r="H1622">
        <v>-15000</v>
      </c>
      <c r="I1622">
        <f>$I$1619-2073.149</f>
        <v>-116912.75449546002</v>
      </c>
      <c r="J1622">
        <v>-270</v>
      </c>
      <c r="K1622">
        <v>0</v>
      </c>
      <c r="L1622">
        <v>1889.4492</v>
      </c>
    </row>
    <row r="1623" spans="1:13">
      <c r="A1623" t="s">
        <v>797</v>
      </c>
      <c r="B1623" t="s">
        <v>804</v>
      </c>
      <c r="C1623" t="s">
        <v>1152</v>
      </c>
      <c r="D1623" t="s">
        <v>804</v>
      </c>
      <c r="E1623" s="10" t="s">
        <v>1641</v>
      </c>
      <c r="F1623" s="10" t="s">
        <v>2685</v>
      </c>
      <c r="G1623">
        <f>$G$1622+ABS($I$1623-$I$1622)/1000</f>
        <v>382.3195365613692</v>
      </c>
      <c r="H1623">
        <v>-15000</v>
      </c>
      <c r="I1623">
        <f>$I$1622-$L$1623/2</f>
        <v>-117857.47909546002</v>
      </c>
      <c r="J1623">
        <v>-270</v>
      </c>
      <c r="K1623">
        <v>0</v>
      </c>
      <c r="L1623">
        <v>1889.4492</v>
      </c>
    </row>
    <row r="1624" spans="1:13">
      <c r="A1624" t="s">
        <v>797</v>
      </c>
      <c r="B1624" t="s">
        <v>1152</v>
      </c>
      <c r="C1624" t="s">
        <v>1152</v>
      </c>
      <c r="D1624" t="s">
        <v>804</v>
      </c>
      <c r="E1624" s="3" t="s">
        <v>2129</v>
      </c>
      <c r="F1624" s="3" t="s">
        <v>2129</v>
      </c>
      <c r="G1624">
        <f>$G$1622+ABS($I$1624-$I$1622)/1000</f>
        <v>382.44953186136917</v>
      </c>
      <c r="H1624">
        <v>-15000</v>
      </c>
      <c r="I1624">
        <f>$I$1622-1074.7199</f>
        <v>-117987.47439546001</v>
      </c>
      <c r="J1624">
        <v>-270</v>
      </c>
      <c r="K1624">
        <v>0</v>
      </c>
    </row>
    <row r="1625" spans="1:13">
      <c r="A1625" t="s">
        <v>797</v>
      </c>
      <c r="B1625" t="s">
        <v>803</v>
      </c>
      <c r="C1625" t="s">
        <v>806</v>
      </c>
      <c r="E1625" t="s">
        <v>854</v>
      </c>
      <c r="F1625" t="s">
        <v>854</v>
      </c>
      <c r="G1625">
        <f t="shared" si="32"/>
        <v>382.50428231035914</v>
      </c>
      <c r="H1625">
        <v>-13514.92851706</v>
      </c>
      <c r="I1625">
        <v>-118042.22484445</v>
      </c>
      <c r="J1625">
        <v>-26.131375380000001</v>
      </c>
      <c r="K1625">
        <v>243.86862461999999</v>
      </c>
    </row>
    <row r="1626" spans="1:13">
      <c r="A1626" t="s">
        <v>797</v>
      </c>
      <c r="B1626" t="s">
        <v>805</v>
      </c>
      <c r="C1626" t="s">
        <v>806</v>
      </c>
      <c r="E1626" s="2" t="s">
        <v>743</v>
      </c>
      <c r="F1626" s="2" t="s">
        <v>743</v>
      </c>
      <c r="G1626">
        <f t="shared" si="32"/>
        <v>382.62324562764911</v>
      </c>
      <c r="H1626">
        <v>-15000</v>
      </c>
      <c r="I1626">
        <v>-118161.18816173999</v>
      </c>
      <c r="J1626">
        <v>-60</v>
      </c>
      <c r="K1626">
        <v>210</v>
      </c>
      <c r="L1626">
        <f>_xlfn.XLOOKUP(F1626,magnet_list!$A$2:$A$592,magnet_list!$M$2:$M$592,"n/a",0,1)</f>
        <v>120</v>
      </c>
      <c r="M1626">
        <f>_xlfn.XLOOKUP(F1626,magnet_list!$A$2:$A$592,magnet_list!$L$2:$L$592,"n/a",0,1)</f>
        <v>23</v>
      </c>
    </row>
    <row r="1627" spans="1:13">
      <c r="A1627" t="s">
        <v>797</v>
      </c>
      <c r="B1627" t="s">
        <v>805</v>
      </c>
      <c r="C1627" t="s">
        <v>1152</v>
      </c>
      <c r="D1627" t="s">
        <v>804</v>
      </c>
      <c r="E1627" s="2" t="s">
        <v>744</v>
      </c>
      <c r="F1627" s="2" t="s">
        <v>743</v>
      </c>
      <c r="G1627">
        <f t="shared" si="32"/>
        <v>382.66324562764913</v>
      </c>
      <c r="H1627">
        <v>-15000</v>
      </c>
      <c r="I1627">
        <v>-118201.18816173999</v>
      </c>
      <c r="J1627">
        <v>-60</v>
      </c>
      <c r="K1627">
        <v>210</v>
      </c>
      <c r="L1627">
        <f>_xlfn.XLOOKUP(F1627,magnet_list!$A$2:$A$592,magnet_list!$M$2:$M$592,"n/a",0,1)</f>
        <v>120</v>
      </c>
      <c r="M1627">
        <f>_xlfn.XLOOKUP(F1627,magnet_list!$A$2:$A$592,magnet_list!$L$2:$L$592,"n/a",0,1)</f>
        <v>23</v>
      </c>
    </row>
    <row r="1628" spans="1:13">
      <c r="A1628" t="s">
        <v>797</v>
      </c>
      <c r="B1628" t="s">
        <v>803</v>
      </c>
      <c r="E1628" t="s">
        <v>853</v>
      </c>
      <c r="F1628" t="s">
        <v>853</v>
      </c>
      <c r="G1628">
        <f t="shared" si="32"/>
        <v>382.90121133106913</v>
      </c>
      <c r="H1628">
        <v>-17457.68023953</v>
      </c>
      <c r="I1628">
        <v>-118439.15386516</v>
      </c>
      <c r="J1628">
        <v>-24.977782529999999</v>
      </c>
      <c r="K1628">
        <v>245.02221746999999</v>
      </c>
    </row>
    <row r="1629" spans="1:13">
      <c r="A1629" t="s">
        <v>797</v>
      </c>
      <c r="B1629" t="s">
        <v>805</v>
      </c>
      <c r="C1629" t="s">
        <v>806</v>
      </c>
      <c r="E1629" s="2" t="s">
        <v>382</v>
      </c>
      <c r="F1629" s="2" t="s">
        <v>2686</v>
      </c>
      <c r="G1629">
        <f t="shared" si="32"/>
        <v>382.90327762764912</v>
      </c>
      <c r="H1629">
        <v>-15000</v>
      </c>
      <c r="I1629">
        <v>-118441.22016174</v>
      </c>
      <c r="J1629">
        <v>-70</v>
      </c>
      <c r="K1629">
        <v>200</v>
      </c>
      <c r="L1629">
        <f>_xlfn.XLOOKUP(F1629,magnet_list!$A$2:$A$592,magnet_list!$M$2:$M$592,"n/a",0,1)</f>
        <v>100</v>
      </c>
      <c r="M1629">
        <f>_xlfn.XLOOKUP(F1629,magnet_list!$A$2:$A$592,magnet_list!$L$2:$L$592,"n/a",0,1)</f>
        <v>44</v>
      </c>
    </row>
    <row r="1630" spans="1:13">
      <c r="A1630" t="s">
        <v>797</v>
      </c>
      <c r="B1630" t="s">
        <v>805</v>
      </c>
      <c r="C1630" t="s">
        <v>1152</v>
      </c>
      <c r="D1630" t="s">
        <v>804</v>
      </c>
      <c r="E1630" s="2" t="s">
        <v>746</v>
      </c>
      <c r="F1630" s="2" t="s">
        <v>2686</v>
      </c>
      <c r="G1630">
        <f t="shared" si="32"/>
        <v>382.9432936276491</v>
      </c>
      <c r="H1630">
        <v>-15000</v>
      </c>
      <c r="I1630">
        <v>-118481.23616174</v>
      </c>
      <c r="J1630">
        <v>-70</v>
      </c>
      <c r="K1630">
        <v>200</v>
      </c>
      <c r="L1630">
        <f>_xlfn.XLOOKUP(F1630,magnet_list!$A$2:$A$592,magnet_list!$M$2:$M$592,"n/a",0,1)</f>
        <v>100</v>
      </c>
      <c r="M1630">
        <f>_xlfn.XLOOKUP(F1630,magnet_list!$A$2:$A$592,magnet_list!$L$2:$L$592,"n/a",0,1)</f>
        <v>44</v>
      </c>
    </row>
    <row r="1631" spans="1:13">
      <c r="A1631" t="s">
        <v>797</v>
      </c>
      <c r="B1631" t="s">
        <v>805</v>
      </c>
      <c r="C1631" t="s">
        <v>806</v>
      </c>
      <c r="E1631" s="2" t="s">
        <v>383</v>
      </c>
      <c r="F1631" s="2" t="s">
        <v>2686</v>
      </c>
      <c r="G1631">
        <f t="shared" si="32"/>
        <v>382.98334896852913</v>
      </c>
      <c r="H1631">
        <v>-15000</v>
      </c>
      <c r="I1631">
        <v>-118521.29150262001</v>
      </c>
      <c r="J1631">
        <v>-70</v>
      </c>
      <c r="K1631">
        <v>200</v>
      </c>
      <c r="L1631">
        <f>_xlfn.XLOOKUP(F1631,magnet_list!$A$2:$A$592,magnet_list!$M$2:$M$592,"n/a",0,1)</f>
        <v>100</v>
      </c>
      <c r="M1631">
        <f>_xlfn.XLOOKUP(F1631,magnet_list!$A$2:$A$592,magnet_list!$L$2:$L$592,"n/a",0,1)</f>
        <v>44</v>
      </c>
    </row>
    <row r="1632" spans="1:13">
      <c r="A1632" t="s">
        <v>797</v>
      </c>
      <c r="B1632" t="s">
        <v>805</v>
      </c>
      <c r="C1632" t="s">
        <v>1152</v>
      </c>
      <c r="D1632" t="s">
        <v>804</v>
      </c>
      <c r="E1632" s="2" t="s">
        <v>745</v>
      </c>
      <c r="F1632" s="2" t="s">
        <v>384</v>
      </c>
      <c r="G1632">
        <f t="shared" si="32"/>
        <v>383.2227254062891</v>
      </c>
      <c r="H1632">
        <v>-15000</v>
      </c>
      <c r="I1632">
        <v>-118760.66794037999</v>
      </c>
      <c r="J1632">
        <v>-60</v>
      </c>
      <c r="K1632">
        <v>210</v>
      </c>
      <c r="L1632">
        <f>_xlfn.XLOOKUP(F1632,magnet_list!$A$2:$A$592,magnet_list!$M$2:$M$592,"n/a",0,1)</f>
        <v>120</v>
      </c>
      <c r="M1632">
        <f>_xlfn.XLOOKUP(F1632,magnet_list!$A$2:$A$592,magnet_list!$L$2:$L$592,"n/a",0,1)</f>
        <v>23</v>
      </c>
    </row>
    <row r="1633" spans="1:13">
      <c r="A1633" t="s">
        <v>797</v>
      </c>
      <c r="B1633" t="s">
        <v>805</v>
      </c>
      <c r="C1633" t="s">
        <v>806</v>
      </c>
      <c r="E1633" s="2" t="s">
        <v>384</v>
      </c>
      <c r="F1633" s="2" t="s">
        <v>384</v>
      </c>
      <c r="G1633">
        <f t="shared" si="32"/>
        <v>383.26272540628912</v>
      </c>
      <c r="H1633">
        <v>-15000</v>
      </c>
      <c r="I1633">
        <v>-118800.66794037999</v>
      </c>
      <c r="J1633">
        <v>-60</v>
      </c>
      <c r="K1633">
        <v>210</v>
      </c>
      <c r="L1633">
        <f>_xlfn.XLOOKUP(F1633,magnet_list!$A$2:$A$592,magnet_list!$M$2:$M$592,"n/a",0,1)</f>
        <v>120</v>
      </c>
      <c r="M1633">
        <f>_xlfn.XLOOKUP(F1633,magnet_list!$A$2:$A$592,magnet_list!$L$2:$L$592,"n/a",0,1)</f>
        <v>23</v>
      </c>
    </row>
    <row r="1634" spans="1:13">
      <c r="A1634" t="s">
        <v>797</v>
      </c>
      <c r="B1634" t="s">
        <v>1152</v>
      </c>
      <c r="C1634" t="s">
        <v>1152</v>
      </c>
      <c r="D1634" t="s">
        <v>804</v>
      </c>
      <c r="E1634" s="3" t="s">
        <v>2130</v>
      </c>
      <c r="F1634" s="3" t="s">
        <v>2130</v>
      </c>
      <c r="G1634">
        <f>$G$1624+ABS($I$1634-$I$1624)/1000</f>
        <v>383.43064886136915</v>
      </c>
      <c r="H1634">
        <v>-15000</v>
      </c>
      <c r="I1634">
        <f>$I$1624-981.117</f>
        <v>-118968.59139546001</v>
      </c>
      <c r="J1634">
        <v>-270</v>
      </c>
      <c r="K1634">
        <v>0</v>
      </c>
    </row>
    <row r="1635" spans="1:13">
      <c r="A1635" t="s">
        <v>797</v>
      </c>
      <c r="B1635" t="s">
        <v>804</v>
      </c>
      <c r="C1635" t="s">
        <v>1152</v>
      </c>
      <c r="D1635" t="s">
        <v>804</v>
      </c>
      <c r="E1635" s="10" t="s">
        <v>1642</v>
      </c>
      <c r="F1635" s="10" t="s">
        <v>2687</v>
      </c>
      <c r="G1635">
        <f>$G$1638-ABS($I$1638-$I$1635)/1000</f>
        <v>383.63164836136912</v>
      </c>
      <c r="H1635">
        <v>-15000</v>
      </c>
      <c r="I1635">
        <f>$I$1638+$L$1635/2</f>
        <v>-119169.59089546002</v>
      </c>
      <c r="J1635">
        <v>-270</v>
      </c>
      <c r="K1635">
        <v>0</v>
      </c>
      <c r="L1635">
        <v>1889.4492</v>
      </c>
    </row>
    <row r="1636" spans="1:13">
      <c r="A1636" t="s">
        <v>797</v>
      </c>
      <c r="B1636" t="s">
        <v>3855</v>
      </c>
      <c r="C1636" t="s">
        <v>1152</v>
      </c>
      <c r="D1636" t="s">
        <v>804</v>
      </c>
      <c r="E1636" t="s">
        <v>2131</v>
      </c>
      <c r="F1636" t="s">
        <v>2131</v>
      </c>
      <c r="G1636">
        <f>$G$1634+ABS($I$1636-$I$1634)/1000</f>
        <v>384.26914886136916</v>
      </c>
      <c r="H1636">
        <v>-15000</v>
      </c>
      <c r="I1636">
        <f>$I$1634-838.5</f>
        <v>-119807.09139546001</v>
      </c>
      <c r="J1636">
        <v>-270</v>
      </c>
      <c r="K1636">
        <v>0</v>
      </c>
      <c r="L1636">
        <f>_xlfn.XLOOKUP(F1636,magnet_list!$A$2:$A$592,magnet_list!$M$2:$M$592,"n/a",0,1)</f>
        <v>800</v>
      </c>
      <c r="M1636">
        <f>_xlfn.XLOOKUP(F1636,magnet_list!$A$2:$A$592,magnet_list!$L$2:$L$592,"n/a",0,1)</f>
        <v>120</v>
      </c>
    </row>
    <row r="1637" spans="1:13">
      <c r="A1637" t="s">
        <v>797</v>
      </c>
      <c r="B1637" t="s">
        <v>3855</v>
      </c>
      <c r="C1637" t="s">
        <v>1152</v>
      </c>
      <c r="D1637" t="s">
        <v>804</v>
      </c>
      <c r="E1637" t="s">
        <v>2132</v>
      </c>
      <c r="F1637" t="s">
        <v>2132</v>
      </c>
      <c r="G1637">
        <f>$G$1634+ABS($I$1636-$I$1634)/1000</f>
        <v>384.26914886136916</v>
      </c>
      <c r="H1637">
        <v>-15000</v>
      </c>
      <c r="I1637">
        <f>$I$1634-838.5</f>
        <v>-119807.09139546001</v>
      </c>
      <c r="J1637">
        <v>-270</v>
      </c>
      <c r="K1637">
        <v>0</v>
      </c>
      <c r="L1637">
        <f>_xlfn.XLOOKUP(F1637,magnet_list!$A$2:$A$592,magnet_list!$M$2:$M$592,"n/a",0,1)</f>
        <v>800</v>
      </c>
      <c r="M1637">
        <f>_xlfn.XLOOKUP(F1637,magnet_list!$A$2:$A$592,magnet_list!$L$2:$L$592,"n/a",0,1)</f>
        <v>120</v>
      </c>
    </row>
    <row r="1638" spans="1:13">
      <c r="A1638" t="s">
        <v>797</v>
      </c>
      <c r="B1638" t="s">
        <v>804</v>
      </c>
      <c r="C1638" t="s">
        <v>1152</v>
      </c>
      <c r="D1638" t="s">
        <v>804</v>
      </c>
      <c r="E1638" s="10" t="s">
        <v>1307</v>
      </c>
      <c r="F1638" s="10" t="s">
        <v>2687</v>
      </c>
      <c r="G1638">
        <f>$G$1634+ABS($I$1638-$I$1634)/1000</f>
        <v>384.57637296136915</v>
      </c>
      <c r="H1638">
        <v>-15000</v>
      </c>
      <c r="I1638">
        <f>$I$1634-1145.7241</f>
        <v>-120114.31549546002</v>
      </c>
      <c r="J1638">
        <v>-270</v>
      </c>
      <c r="K1638">
        <v>0</v>
      </c>
      <c r="L1638">
        <v>1889.4492</v>
      </c>
    </row>
    <row r="1639" spans="1:13">
      <c r="A1639" t="s">
        <v>797</v>
      </c>
      <c r="B1639" t="s">
        <v>804</v>
      </c>
      <c r="C1639" t="s">
        <v>1152</v>
      </c>
      <c r="D1639" t="s">
        <v>804</v>
      </c>
      <c r="E1639" s="10" t="s">
        <v>1643</v>
      </c>
      <c r="F1639" s="10" t="s">
        <v>2687</v>
      </c>
      <c r="G1639">
        <f>$G$1638+ABS($I$1639-$I$1638)/1000</f>
        <v>385.52109756136917</v>
      </c>
      <c r="H1639">
        <v>-15000</v>
      </c>
      <c r="I1639">
        <f>$I$1638-$L$1639/2</f>
        <v>-121059.04009546002</v>
      </c>
      <c r="J1639">
        <v>-270</v>
      </c>
      <c r="K1639">
        <v>0</v>
      </c>
      <c r="L1639">
        <v>1889.4492</v>
      </c>
    </row>
    <row r="1640" spans="1:13">
      <c r="A1640" t="s">
        <v>797</v>
      </c>
      <c r="B1640" t="s">
        <v>804</v>
      </c>
      <c r="C1640" t="s">
        <v>1152</v>
      </c>
      <c r="D1640" t="s">
        <v>804</v>
      </c>
      <c r="E1640" s="10" t="s">
        <v>1644</v>
      </c>
      <c r="F1640" s="10" t="s">
        <v>2688</v>
      </c>
      <c r="G1640">
        <f>$G$1641-ABS($I$1641-$I$1640)/1000</f>
        <v>385.70479636136912</v>
      </c>
      <c r="H1640">
        <v>-15000</v>
      </c>
      <c r="I1640">
        <f>$I$1641+$L$1640/2</f>
        <v>-121242.73889546002</v>
      </c>
      <c r="J1640">
        <v>-270</v>
      </c>
      <c r="K1640">
        <v>0</v>
      </c>
      <c r="L1640">
        <v>1889.4492</v>
      </c>
    </row>
    <row r="1641" spans="1:13">
      <c r="A1641" t="s">
        <v>797</v>
      </c>
      <c r="B1641" t="s">
        <v>804</v>
      </c>
      <c r="C1641" t="s">
        <v>1152</v>
      </c>
      <c r="D1641" t="s">
        <v>804</v>
      </c>
      <c r="E1641" s="10" t="s">
        <v>1361</v>
      </c>
      <c r="F1641" s="10" t="s">
        <v>2688</v>
      </c>
      <c r="G1641">
        <f>$G$1638+ABS($I$1641-$I$1638)/1000</f>
        <v>386.64952096136915</v>
      </c>
      <c r="H1641">
        <v>-15000</v>
      </c>
      <c r="I1641">
        <f>$I$1638-2073.148</f>
        <v>-122187.46349546002</v>
      </c>
      <c r="J1641">
        <v>-270</v>
      </c>
      <c r="K1641">
        <v>0</v>
      </c>
      <c r="L1641">
        <v>1889.4492</v>
      </c>
    </row>
    <row r="1642" spans="1:13">
      <c r="A1642" t="s">
        <v>797</v>
      </c>
      <c r="B1642" t="s">
        <v>803</v>
      </c>
      <c r="C1642" t="s">
        <v>806</v>
      </c>
      <c r="E1642" t="s">
        <v>1024</v>
      </c>
      <c r="F1642" t="s">
        <v>1024</v>
      </c>
      <c r="G1642">
        <f t="shared" si="32"/>
        <v>387.3240692619791</v>
      </c>
      <c r="H1642">
        <v>-15400</v>
      </c>
      <c r="I1642">
        <v>-122862.01179607</v>
      </c>
      <c r="J1642">
        <v>-689</v>
      </c>
      <c r="K1642">
        <v>-419</v>
      </c>
    </row>
    <row r="1643" spans="1:13">
      <c r="A1643" t="s">
        <v>797</v>
      </c>
      <c r="B1643" t="s">
        <v>804</v>
      </c>
      <c r="C1643" t="s">
        <v>1152</v>
      </c>
      <c r="D1643" t="s">
        <v>804</v>
      </c>
      <c r="E1643" s="10" t="s">
        <v>1645</v>
      </c>
      <c r="F1643" s="10" t="s">
        <v>2688</v>
      </c>
      <c r="G1643">
        <f>$G$1641+ABS($I$1643-$I$1641)/1000</f>
        <v>387.59424556136918</v>
      </c>
      <c r="H1643">
        <v>-15000</v>
      </c>
      <c r="I1643">
        <f>$I$1641-$L$1643/2</f>
        <v>-123132.18809546002</v>
      </c>
      <c r="J1643">
        <v>-270</v>
      </c>
      <c r="K1643">
        <v>0</v>
      </c>
      <c r="L1643">
        <v>1889.4492</v>
      </c>
    </row>
    <row r="1644" spans="1:13">
      <c r="A1644" t="s">
        <v>797</v>
      </c>
      <c r="B1644" t="s">
        <v>1152</v>
      </c>
      <c r="C1644" t="s">
        <v>1152</v>
      </c>
      <c r="D1644" t="s">
        <v>804</v>
      </c>
      <c r="E1644" s="3" t="s">
        <v>2133</v>
      </c>
      <c r="F1644" s="3" t="s">
        <v>2133</v>
      </c>
      <c r="G1644">
        <f>$G$1641+ABS($I$1644-$I$1641)/1000</f>
        <v>387.72424186136914</v>
      </c>
      <c r="H1644">
        <v>-15000</v>
      </c>
      <c r="I1644">
        <f>$I$1641-1074.7209</f>
        <v>-123262.18439546002</v>
      </c>
      <c r="J1644">
        <v>-270</v>
      </c>
      <c r="K1644">
        <v>0</v>
      </c>
    </row>
    <row r="1645" spans="1:13">
      <c r="A1645" t="s">
        <v>797</v>
      </c>
      <c r="B1645" t="s">
        <v>805</v>
      </c>
      <c r="C1645" t="s">
        <v>806</v>
      </c>
      <c r="E1645" s="2" t="s">
        <v>385</v>
      </c>
      <c r="F1645" s="2" t="s">
        <v>385</v>
      </c>
      <c r="G1645">
        <f t="shared" si="32"/>
        <v>387.89809791411909</v>
      </c>
      <c r="H1645">
        <v>-15000</v>
      </c>
      <c r="I1645">
        <v>-123436.04044821</v>
      </c>
      <c r="J1645">
        <v>-60</v>
      </c>
      <c r="K1645">
        <v>210</v>
      </c>
      <c r="L1645">
        <f>_xlfn.XLOOKUP(F1645,magnet_list!$A$2:$A$592,magnet_list!$M$2:$M$592,"n/a",0,1)</f>
        <v>120</v>
      </c>
      <c r="M1645">
        <f>_xlfn.XLOOKUP(F1645,magnet_list!$A$2:$A$592,magnet_list!$L$2:$L$592,"n/a",0,1)</f>
        <v>23</v>
      </c>
    </row>
    <row r="1646" spans="1:13">
      <c r="A1646" t="s">
        <v>797</v>
      </c>
      <c r="B1646" t="s">
        <v>805</v>
      </c>
      <c r="C1646" t="s">
        <v>1152</v>
      </c>
      <c r="D1646" t="s">
        <v>804</v>
      </c>
      <c r="E1646" s="2" t="s">
        <v>747</v>
      </c>
      <c r="F1646" s="2" t="s">
        <v>385</v>
      </c>
      <c r="G1646">
        <f t="shared" si="32"/>
        <v>387.93809791411911</v>
      </c>
      <c r="H1646">
        <v>-15000</v>
      </c>
      <c r="I1646">
        <v>-123476.04044821</v>
      </c>
      <c r="J1646">
        <v>-60</v>
      </c>
      <c r="K1646">
        <v>210</v>
      </c>
      <c r="L1646">
        <f>_xlfn.XLOOKUP(F1646,magnet_list!$A$2:$A$592,magnet_list!$M$2:$M$592,"n/a",0,1)</f>
        <v>120</v>
      </c>
      <c r="M1646">
        <f>_xlfn.XLOOKUP(F1646,magnet_list!$A$2:$A$592,magnet_list!$L$2:$L$592,"n/a",0,1)</f>
        <v>23</v>
      </c>
    </row>
    <row r="1647" spans="1:13">
      <c r="A1647" t="s">
        <v>797</v>
      </c>
      <c r="B1647" t="s">
        <v>805</v>
      </c>
      <c r="C1647" t="s">
        <v>806</v>
      </c>
      <c r="E1647" s="2" t="s">
        <v>749</v>
      </c>
      <c r="F1647" s="2" t="s">
        <v>749</v>
      </c>
      <c r="G1647">
        <f t="shared" si="32"/>
        <v>388.11813456294914</v>
      </c>
      <c r="H1647">
        <v>-15000</v>
      </c>
      <c r="I1647">
        <v>-123656.07709704</v>
      </c>
      <c r="J1647">
        <v>-60</v>
      </c>
      <c r="K1647">
        <v>210</v>
      </c>
      <c r="L1647">
        <f>_xlfn.XLOOKUP(F1647,magnet_list!$A$2:$A$592,magnet_list!$M$2:$M$592,"n/a",0,1)</f>
        <v>240</v>
      </c>
      <c r="M1647">
        <f>_xlfn.XLOOKUP(F1647,magnet_list!$A$2:$A$592,magnet_list!$L$2:$L$592,"n/a",0,1)</f>
        <v>23</v>
      </c>
    </row>
    <row r="1648" spans="1:13">
      <c r="A1648" t="s">
        <v>797</v>
      </c>
      <c r="B1648" t="s">
        <v>805</v>
      </c>
      <c r="C1648" t="s">
        <v>1152</v>
      </c>
      <c r="D1648" t="s">
        <v>804</v>
      </c>
      <c r="E1648" s="2" t="s">
        <v>748</v>
      </c>
      <c r="F1648" s="2" t="s">
        <v>749</v>
      </c>
      <c r="G1648">
        <f t="shared" si="32"/>
        <v>388.21813456294916</v>
      </c>
      <c r="H1648">
        <v>-15000</v>
      </c>
      <c r="I1648">
        <v>-123756.07709704</v>
      </c>
      <c r="J1648">
        <v>-60</v>
      </c>
      <c r="K1648">
        <v>210</v>
      </c>
      <c r="L1648">
        <f>_xlfn.XLOOKUP(F1648,magnet_list!$A$2:$A$592,magnet_list!$M$2:$M$592,"n/a",0,1)</f>
        <v>240</v>
      </c>
      <c r="M1648">
        <f>_xlfn.XLOOKUP(F1648,magnet_list!$A$2:$A$592,magnet_list!$L$2:$L$592,"n/a",0,1)</f>
        <v>23</v>
      </c>
    </row>
    <row r="1649" spans="1:13">
      <c r="A1649" t="s">
        <v>797</v>
      </c>
      <c r="B1649" t="s">
        <v>803</v>
      </c>
      <c r="C1649" t="s">
        <v>806</v>
      </c>
      <c r="E1649" t="s">
        <v>855</v>
      </c>
      <c r="F1649" t="s">
        <v>855</v>
      </c>
      <c r="G1649">
        <f t="shared" si="32"/>
        <v>388.75700031640918</v>
      </c>
      <c r="H1649">
        <v>-17456.672513540001</v>
      </c>
      <c r="I1649">
        <v>-124294.9428505</v>
      </c>
      <c r="J1649">
        <v>-24.98128247</v>
      </c>
      <c r="K1649">
        <v>245.01871753</v>
      </c>
    </row>
    <row r="1650" spans="1:13">
      <c r="A1650" t="s">
        <v>797</v>
      </c>
      <c r="B1650" t="s">
        <v>1152</v>
      </c>
      <c r="C1650" t="s">
        <v>1152</v>
      </c>
      <c r="D1650" t="s">
        <v>804</v>
      </c>
      <c r="E1650" s="3" t="s">
        <v>2134</v>
      </c>
      <c r="F1650" s="3" t="s">
        <v>2134</v>
      </c>
      <c r="G1650">
        <f>$G$1644+ABS($I$1650-$I$1644)/1000</f>
        <v>388.91424186136913</v>
      </c>
      <c r="H1650">
        <v>-15000</v>
      </c>
      <c r="I1650">
        <f>$I$1644-1190</f>
        <v>-124452.18439546002</v>
      </c>
      <c r="J1650">
        <v>-270</v>
      </c>
      <c r="K1650">
        <v>0</v>
      </c>
    </row>
    <row r="1651" spans="1:13">
      <c r="A1651" t="s">
        <v>797</v>
      </c>
      <c r="B1651" t="s">
        <v>804</v>
      </c>
      <c r="C1651" t="s">
        <v>1152</v>
      </c>
      <c r="D1651" t="s">
        <v>804</v>
      </c>
      <c r="E1651" s="10" t="s">
        <v>1646</v>
      </c>
      <c r="F1651" s="10" t="s">
        <v>2689</v>
      </c>
      <c r="G1651">
        <f>$G$1655-ABS($I$1655-$I$1651)/1000</f>
        <v>389.18693836136913</v>
      </c>
      <c r="H1651">
        <v>-15000</v>
      </c>
      <c r="I1651">
        <f>$I$1655+$L$1651/2</f>
        <v>-124724.88089546002</v>
      </c>
      <c r="J1651">
        <v>-270</v>
      </c>
      <c r="K1651">
        <v>0</v>
      </c>
      <c r="L1651">
        <v>1889.4492</v>
      </c>
    </row>
    <row r="1652" spans="1:13">
      <c r="A1652" t="s">
        <v>797</v>
      </c>
      <c r="B1652" t="s">
        <v>803</v>
      </c>
      <c r="C1652" t="s">
        <v>806</v>
      </c>
      <c r="E1652" t="s">
        <v>1027</v>
      </c>
      <c r="F1652" t="s">
        <v>1027</v>
      </c>
      <c r="G1652">
        <f t="shared" si="32"/>
        <v>389.43947893733912</v>
      </c>
      <c r="H1652">
        <v>-15400</v>
      </c>
      <c r="I1652">
        <v>-124977.42147143</v>
      </c>
      <c r="J1652">
        <v>-689</v>
      </c>
      <c r="K1652">
        <v>-419</v>
      </c>
    </row>
    <row r="1653" spans="1:13">
      <c r="A1653" t="s">
        <v>797</v>
      </c>
      <c r="B1653" t="s">
        <v>3855</v>
      </c>
      <c r="C1653" t="s">
        <v>1152</v>
      </c>
      <c r="D1653" t="s">
        <v>804</v>
      </c>
      <c r="E1653" t="s">
        <v>2135</v>
      </c>
      <c r="F1653" t="s">
        <v>2135</v>
      </c>
      <c r="G1653">
        <f>$G$1650+ABS($I$1653-$I$1650)/1000</f>
        <v>389.82443886136912</v>
      </c>
      <c r="H1653">
        <v>-15000</v>
      </c>
      <c r="I1653">
        <f>$I$1650-910.197</f>
        <v>-125362.38139546002</v>
      </c>
      <c r="J1653">
        <v>-270</v>
      </c>
      <c r="K1653">
        <v>0</v>
      </c>
      <c r="L1653">
        <f>_xlfn.XLOOKUP(F1653,magnet_list!$A$2:$A$592,magnet_list!$M$2:$M$592,"n/a",0,1)</f>
        <v>800</v>
      </c>
      <c r="M1653">
        <f>_xlfn.XLOOKUP(F1653,magnet_list!$A$2:$A$592,magnet_list!$L$2:$L$592,"n/a",0,1)</f>
        <v>120</v>
      </c>
    </row>
    <row r="1654" spans="1:13">
      <c r="A1654" t="s">
        <v>797</v>
      </c>
      <c r="B1654" t="s">
        <v>3855</v>
      </c>
      <c r="C1654" t="s">
        <v>1152</v>
      </c>
      <c r="D1654" t="s">
        <v>804</v>
      </c>
      <c r="E1654" t="s">
        <v>2136</v>
      </c>
      <c r="F1654" t="s">
        <v>2136</v>
      </c>
      <c r="G1654">
        <f>$G$1650+ABS($I$1653-$I$1650)/1000</f>
        <v>389.82443886136912</v>
      </c>
      <c r="H1654">
        <v>-15000</v>
      </c>
      <c r="I1654">
        <f>$I$1650-910.197</f>
        <v>-125362.38139546002</v>
      </c>
      <c r="J1654">
        <v>-270</v>
      </c>
      <c r="K1654">
        <v>0</v>
      </c>
      <c r="L1654">
        <f>_xlfn.XLOOKUP(F1654,magnet_list!$A$2:$A$592,magnet_list!$M$2:$M$592,"n/a",0,1)</f>
        <v>800</v>
      </c>
      <c r="M1654">
        <f>_xlfn.XLOOKUP(F1654,magnet_list!$A$2:$A$592,magnet_list!$L$2:$L$592,"n/a",0,1)</f>
        <v>120</v>
      </c>
    </row>
    <row r="1655" spans="1:13">
      <c r="A1655" t="s">
        <v>797</v>
      </c>
      <c r="B1655" t="s">
        <v>804</v>
      </c>
      <c r="C1655" t="s">
        <v>1152</v>
      </c>
      <c r="D1655" t="s">
        <v>804</v>
      </c>
      <c r="E1655" s="10" t="s">
        <v>1198</v>
      </c>
      <c r="F1655" s="10" t="s">
        <v>2689</v>
      </c>
      <c r="G1655">
        <f>$G$1650+ABS($I$1655-$I$1650)/1000</f>
        <v>390.13166296136916</v>
      </c>
      <c r="H1655">
        <v>-15000</v>
      </c>
      <c r="I1655">
        <f>$I$1650-1217.4211</f>
        <v>-125669.60549546003</v>
      </c>
      <c r="J1655">
        <v>-270</v>
      </c>
      <c r="K1655">
        <v>0</v>
      </c>
      <c r="L1655">
        <v>1889.4492</v>
      </c>
    </row>
    <row r="1656" spans="1:13">
      <c r="A1656" t="s">
        <v>797</v>
      </c>
      <c r="B1656" t="s">
        <v>804</v>
      </c>
      <c r="C1656" t="s">
        <v>1152</v>
      </c>
      <c r="D1656" t="s">
        <v>804</v>
      </c>
      <c r="E1656" s="10" t="s">
        <v>1647</v>
      </c>
      <c r="F1656" s="10" t="s">
        <v>2689</v>
      </c>
      <c r="G1656">
        <f>$G$1655+ABS($I$1656-$I$1655)/1000</f>
        <v>391.07638756136919</v>
      </c>
      <c r="H1656">
        <v>-15000</v>
      </c>
      <c r="I1656">
        <f>$I$1655-$L$1656/2</f>
        <v>-126614.33009546003</v>
      </c>
      <c r="J1656">
        <v>-270</v>
      </c>
      <c r="K1656">
        <v>0</v>
      </c>
      <c r="L1656">
        <v>1889.4492</v>
      </c>
    </row>
    <row r="1657" spans="1:13">
      <c r="A1657" t="s">
        <v>797</v>
      </c>
      <c r="B1657" t="s">
        <v>804</v>
      </c>
      <c r="C1657" t="s">
        <v>1152</v>
      </c>
      <c r="D1657" t="s">
        <v>804</v>
      </c>
      <c r="E1657" s="10" t="s">
        <v>1648</v>
      </c>
      <c r="F1657" s="10" t="s">
        <v>2690</v>
      </c>
      <c r="G1657">
        <f>$G$1658-ABS($I$1658-$I$1657)/1000</f>
        <v>391.26008636136913</v>
      </c>
      <c r="H1657">
        <v>-15000</v>
      </c>
      <c r="I1657">
        <f>$I$1658+$L$1657/2</f>
        <v>-126798.02889546003</v>
      </c>
      <c r="J1657">
        <v>-270</v>
      </c>
      <c r="K1657">
        <v>0</v>
      </c>
      <c r="L1657">
        <v>1889.4492</v>
      </c>
    </row>
    <row r="1658" spans="1:13">
      <c r="A1658" t="s">
        <v>797</v>
      </c>
      <c r="B1658" t="s">
        <v>804</v>
      </c>
      <c r="C1658" t="s">
        <v>1152</v>
      </c>
      <c r="D1658" t="s">
        <v>804</v>
      </c>
      <c r="E1658" s="10" t="s">
        <v>1254</v>
      </c>
      <c r="F1658" s="10" t="s">
        <v>2690</v>
      </c>
      <c r="G1658">
        <f>$G$1655+ABS($I$1658-$I$1655)/1000</f>
        <v>392.20481096136916</v>
      </c>
      <c r="H1658">
        <v>-15000</v>
      </c>
      <c r="I1658">
        <f>$I$1655-2073.148</f>
        <v>-127742.75349546003</v>
      </c>
      <c r="J1658">
        <v>-270</v>
      </c>
      <c r="K1658">
        <v>0</v>
      </c>
      <c r="L1658">
        <v>1889.4492</v>
      </c>
    </row>
    <row r="1659" spans="1:13">
      <c r="A1659" t="s">
        <v>797</v>
      </c>
      <c r="B1659" t="s">
        <v>803</v>
      </c>
      <c r="C1659" t="s">
        <v>806</v>
      </c>
      <c r="E1659" t="s">
        <v>857</v>
      </c>
      <c r="F1659" t="s">
        <v>857</v>
      </c>
      <c r="G1659">
        <f t="shared" ref="G1659:G1691" si="33">G1658-(I1659-I1658)/1000</f>
        <v>393.04049368393913</v>
      </c>
      <c r="H1659">
        <v>-13514.63174427</v>
      </c>
      <c r="I1659">
        <v>-128578.43621802999</v>
      </c>
      <c r="J1659">
        <v>-29.284444329999999</v>
      </c>
      <c r="K1659">
        <v>240.71555567000001</v>
      </c>
    </row>
    <row r="1660" spans="1:13">
      <c r="A1660" t="s">
        <v>797</v>
      </c>
      <c r="B1660" t="s">
        <v>804</v>
      </c>
      <c r="C1660" t="s">
        <v>1152</v>
      </c>
      <c r="D1660" t="s">
        <v>804</v>
      </c>
      <c r="E1660" s="10" t="s">
        <v>1649</v>
      </c>
      <c r="F1660" s="10" t="s">
        <v>2690</v>
      </c>
      <c r="G1660">
        <f>$G$1658+ABS($I$1660-$I$1658)/1000</f>
        <v>393.14953556136919</v>
      </c>
      <c r="H1660">
        <v>-15000</v>
      </c>
      <c r="I1660">
        <f>$I$1658-$L$1660/2</f>
        <v>-128687.47809546003</v>
      </c>
      <c r="J1660">
        <v>-270</v>
      </c>
      <c r="K1660">
        <v>0</v>
      </c>
      <c r="L1660">
        <v>1889.4492</v>
      </c>
    </row>
    <row r="1661" spans="1:13">
      <c r="A1661" t="s">
        <v>797</v>
      </c>
      <c r="B1661" t="s">
        <v>1152</v>
      </c>
      <c r="C1661" t="s">
        <v>1152</v>
      </c>
      <c r="D1661" t="s">
        <v>804</v>
      </c>
      <c r="E1661" s="3" t="s">
        <v>2137</v>
      </c>
      <c r="F1661" s="3" t="s">
        <v>2137</v>
      </c>
      <c r="G1661">
        <f>$G$1658+ABS($I$1661-$I$1658)/1000</f>
        <v>393.27953186136915</v>
      </c>
      <c r="H1661">
        <v>-15000</v>
      </c>
      <c r="I1661">
        <f>$I$1658-1074.7209</f>
        <v>-128817.47439546003</v>
      </c>
      <c r="J1661">
        <v>-270</v>
      </c>
      <c r="K1661">
        <v>0</v>
      </c>
    </row>
    <row r="1662" spans="1:13">
      <c r="A1662" t="s">
        <v>797</v>
      </c>
      <c r="B1662" t="s">
        <v>805</v>
      </c>
      <c r="C1662" t="s">
        <v>806</v>
      </c>
      <c r="E1662" s="2" t="s">
        <v>386</v>
      </c>
      <c r="F1662" s="2" t="s">
        <v>386</v>
      </c>
      <c r="G1662">
        <f t="shared" si="33"/>
        <v>393.45694665425913</v>
      </c>
      <c r="H1662">
        <v>-15000</v>
      </c>
      <c r="I1662">
        <v>-128994.88918835</v>
      </c>
      <c r="J1662">
        <v>-60</v>
      </c>
      <c r="K1662">
        <v>210</v>
      </c>
      <c r="L1662">
        <f>_xlfn.XLOOKUP(F1662,magnet_list!$A$2:$A$592,magnet_list!$M$2:$M$592,"n/a",0,1)</f>
        <v>120</v>
      </c>
      <c r="M1662">
        <f>_xlfn.XLOOKUP(F1662,magnet_list!$A$2:$A$592,magnet_list!$L$2:$L$592,"n/a",0,1)</f>
        <v>23</v>
      </c>
    </row>
    <row r="1663" spans="1:13">
      <c r="A1663" t="s">
        <v>797</v>
      </c>
      <c r="B1663" t="s">
        <v>805</v>
      </c>
      <c r="C1663" t="s">
        <v>1152</v>
      </c>
      <c r="D1663" t="s">
        <v>804</v>
      </c>
      <c r="E1663" s="2" t="s">
        <v>750</v>
      </c>
      <c r="F1663" s="2" t="s">
        <v>386</v>
      </c>
      <c r="G1663">
        <f t="shared" si="33"/>
        <v>393.49694665425915</v>
      </c>
      <c r="H1663">
        <v>-15000</v>
      </c>
      <c r="I1663">
        <v>-129034.88918835</v>
      </c>
      <c r="J1663">
        <v>-60</v>
      </c>
      <c r="K1663">
        <v>210</v>
      </c>
      <c r="L1663">
        <f>_xlfn.XLOOKUP(F1663,magnet_list!$A$2:$A$592,magnet_list!$M$2:$M$592,"n/a",0,1)</f>
        <v>120</v>
      </c>
      <c r="M1663">
        <f>_xlfn.XLOOKUP(F1663,magnet_list!$A$2:$A$592,magnet_list!$L$2:$L$592,"n/a",0,1)</f>
        <v>23</v>
      </c>
    </row>
    <row r="1664" spans="1:13">
      <c r="A1664" t="s">
        <v>797</v>
      </c>
      <c r="B1664" t="s">
        <v>805</v>
      </c>
      <c r="C1664" t="s">
        <v>806</v>
      </c>
      <c r="E1664" s="2" t="s">
        <v>387</v>
      </c>
      <c r="F1664" s="2" t="s">
        <v>2691</v>
      </c>
      <c r="G1664">
        <f t="shared" si="33"/>
        <v>393.73683187634913</v>
      </c>
      <c r="H1664">
        <v>-15000</v>
      </c>
      <c r="I1664">
        <v>-129274.77441044</v>
      </c>
      <c r="J1664">
        <v>-70</v>
      </c>
      <c r="K1664">
        <v>200</v>
      </c>
      <c r="L1664">
        <f>_xlfn.XLOOKUP(F1664,magnet_list!$A$2:$A$592,magnet_list!$M$2:$M$592,"n/a",0,1)</f>
        <v>100</v>
      </c>
      <c r="M1664">
        <f>_xlfn.XLOOKUP(F1664,magnet_list!$A$2:$A$592,magnet_list!$L$2:$L$592,"n/a",0,1)</f>
        <v>44</v>
      </c>
    </row>
    <row r="1665" spans="1:13">
      <c r="A1665" t="s">
        <v>797</v>
      </c>
      <c r="B1665" t="s">
        <v>805</v>
      </c>
      <c r="C1665" t="s">
        <v>1152</v>
      </c>
      <c r="D1665" t="s">
        <v>804</v>
      </c>
      <c r="E1665" s="2" t="s">
        <v>751</v>
      </c>
      <c r="F1665" s="2" t="s">
        <v>2691</v>
      </c>
      <c r="G1665">
        <f t="shared" si="33"/>
        <v>393.77683837634913</v>
      </c>
      <c r="H1665">
        <v>-15000</v>
      </c>
      <c r="I1665">
        <v>-129314.78091044001</v>
      </c>
      <c r="J1665">
        <v>-70</v>
      </c>
      <c r="K1665">
        <v>200</v>
      </c>
      <c r="L1665">
        <f>_xlfn.XLOOKUP(F1665,magnet_list!$A$2:$A$592,magnet_list!$M$2:$M$592,"n/a",0,1)</f>
        <v>100</v>
      </c>
      <c r="M1665">
        <f>_xlfn.XLOOKUP(F1665,magnet_list!$A$2:$A$592,magnet_list!$L$2:$L$592,"n/a",0,1)</f>
        <v>44</v>
      </c>
    </row>
    <row r="1666" spans="1:13">
      <c r="A1666" t="s">
        <v>797</v>
      </c>
      <c r="B1666" t="s">
        <v>805</v>
      </c>
      <c r="C1666" t="s">
        <v>806</v>
      </c>
      <c r="E1666" s="2" t="s">
        <v>388</v>
      </c>
      <c r="F1666" s="2" t="s">
        <v>2691</v>
      </c>
      <c r="G1666">
        <f t="shared" si="33"/>
        <v>393.8168537937691</v>
      </c>
      <c r="H1666">
        <v>-15000</v>
      </c>
      <c r="I1666">
        <v>-129354.79632785999</v>
      </c>
      <c r="J1666">
        <v>-70</v>
      </c>
      <c r="K1666">
        <v>200</v>
      </c>
      <c r="L1666">
        <f>_xlfn.XLOOKUP(F1666,magnet_list!$A$2:$A$592,magnet_list!$M$2:$M$592,"n/a",0,1)</f>
        <v>100</v>
      </c>
      <c r="M1666">
        <f>_xlfn.XLOOKUP(F1666,magnet_list!$A$2:$A$592,magnet_list!$L$2:$L$592,"n/a",0,1)</f>
        <v>44</v>
      </c>
    </row>
    <row r="1667" spans="1:13">
      <c r="A1667" t="s">
        <v>797</v>
      </c>
      <c r="B1667" t="s">
        <v>803</v>
      </c>
      <c r="C1667" t="s">
        <v>806</v>
      </c>
      <c r="E1667" t="s">
        <v>856</v>
      </c>
      <c r="F1667" t="s">
        <v>856</v>
      </c>
      <c r="G1667">
        <f t="shared" si="33"/>
        <v>393.95411319978911</v>
      </c>
      <c r="H1667">
        <v>-17461.863024810002</v>
      </c>
      <c r="I1667">
        <v>-129492.05573388</v>
      </c>
      <c r="J1667">
        <v>-27.73815836</v>
      </c>
      <c r="K1667">
        <v>242.26184164</v>
      </c>
    </row>
    <row r="1668" spans="1:13">
      <c r="A1668" t="s">
        <v>797</v>
      </c>
      <c r="B1668" t="s">
        <v>805</v>
      </c>
      <c r="C1668" t="s">
        <v>1152</v>
      </c>
      <c r="D1668" t="s">
        <v>804</v>
      </c>
      <c r="E1668" s="2" t="s">
        <v>752</v>
      </c>
      <c r="F1668" s="2" t="s">
        <v>389</v>
      </c>
      <c r="G1668">
        <f t="shared" si="33"/>
        <v>394.05708079549908</v>
      </c>
      <c r="H1668">
        <v>-15000</v>
      </c>
      <c r="I1668">
        <v>-129595.02332959</v>
      </c>
      <c r="J1668">
        <v>-60</v>
      </c>
      <c r="K1668">
        <v>210</v>
      </c>
      <c r="L1668">
        <f>_xlfn.XLOOKUP(F1668,magnet_list!$A$2:$A$592,magnet_list!$M$2:$M$592,"n/a",0,1)</f>
        <v>120</v>
      </c>
      <c r="M1668">
        <f>_xlfn.XLOOKUP(F1668,magnet_list!$A$2:$A$592,magnet_list!$L$2:$L$592,"n/a",0,1)</f>
        <v>23</v>
      </c>
    </row>
    <row r="1669" spans="1:13">
      <c r="A1669" t="s">
        <v>797</v>
      </c>
      <c r="B1669" t="s">
        <v>805</v>
      </c>
      <c r="C1669" t="s">
        <v>806</v>
      </c>
      <c r="E1669" s="2" t="s">
        <v>389</v>
      </c>
      <c r="F1669" s="2" t="s">
        <v>389</v>
      </c>
      <c r="G1669">
        <f t="shared" si="33"/>
        <v>394.0970807954991</v>
      </c>
      <c r="H1669">
        <v>-15000</v>
      </c>
      <c r="I1669">
        <v>-129635.02332959</v>
      </c>
      <c r="J1669">
        <v>-60</v>
      </c>
      <c r="K1669">
        <v>210</v>
      </c>
      <c r="L1669">
        <f>_xlfn.XLOOKUP(F1669,magnet_list!$A$2:$A$592,magnet_list!$M$2:$M$592,"n/a",0,1)</f>
        <v>120</v>
      </c>
      <c r="M1669">
        <f>_xlfn.XLOOKUP(F1669,magnet_list!$A$2:$A$592,magnet_list!$L$2:$L$592,"n/a",0,1)</f>
        <v>23</v>
      </c>
    </row>
    <row r="1670" spans="1:13">
      <c r="A1670" t="s">
        <v>797</v>
      </c>
      <c r="B1670" t="s">
        <v>1152</v>
      </c>
      <c r="C1670" t="s">
        <v>1152</v>
      </c>
      <c r="D1670" t="s">
        <v>804</v>
      </c>
      <c r="E1670" s="7" t="s">
        <v>2138</v>
      </c>
      <c r="F1670" s="7" t="s">
        <v>2138</v>
      </c>
      <c r="G1670">
        <f>$G$1661+ABS($I$1670-$I$1661)/1000</f>
        <v>394.26064886136913</v>
      </c>
      <c r="H1670">
        <v>-15000</v>
      </c>
      <c r="I1670">
        <f>$I$1661-981.117</f>
        <v>-129798.59139546003</v>
      </c>
      <c r="J1670">
        <v>-270</v>
      </c>
      <c r="K1670">
        <v>0</v>
      </c>
    </row>
    <row r="1671" spans="1:13">
      <c r="A1671" t="s">
        <v>797</v>
      </c>
      <c r="B1671" t="s">
        <v>804</v>
      </c>
      <c r="C1671" t="s">
        <v>1152</v>
      </c>
      <c r="D1671" t="s">
        <v>804</v>
      </c>
      <c r="E1671" s="10" t="s">
        <v>1650</v>
      </c>
      <c r="F1671" s="10" t="s">
        <v>2692</v>
      </c>
      <c r="G1671">
        <f>$G$1674-ABS($I$1674-$I$1671)/1000</f>
        <v>394.4616483613691</v>
      </c>
      <c r="H1671">
        <v>-15000</v>
      </c>
      <c r="I1671">
        <f>$I$1674+$L$1671/2</f>
        <v>-129999.59089546003</v>
      </c>
      <c r="J1671">
        <v>-270</v>
      </c>
      <c r="K1671">
        <v>0</v>
      </c>
      <c r="L1671">
        <v>1889.4492</v>
      </c>
    </row>
    <row r="1672" spans="1:13">
      <c r="A1672" t="s">
        <v>797</v>
      </c>
      <c r="B1672" t="s">
        <v>3855</v>
      </c>
      <c r="C1672" t="s">
        <v>1152</v>
      </c>
      <c r="D1672" t="s">
        <v>804</v>
      </c>
      <c r="E1672" t="s">
        <v>2139</v>
      </c>
      <c r="F1672" t="s">
        <v>2139</v>
      </c>
      <c r="G1672">
        <f>$G$1670+ABS($I$1672-$I$1670)/1000</f>
        <v>395.09914886136914</v>
      </c>
      <c r="H1672">
        <v>-15000</v>
      </c>
      <c r="I1672">
        <f>$I$1670-838.5</f>
        <v>-130637.09139546003</v>
      </c>
      <c r="J1672">
        <v>-270</v>
      </c>
      <c r="K1672">
        <v>0</v>
      </c>
      <c r="L1672">
        <f>_xlfn.XLOOKUP(F1672,magnet_list!$A$2:$A$592,magnet_list!$M$2:$M$592,"n/a",0,1)</f>
        <v>800</v>
      </c>
      <c r="M1672">
        <f>_xlfn.XLOOKUP(F1672,magnet_list!$A$2:$A$592,magnet_list!$L$2:$L$592,"n/a",0,1)</f>
        <v>120</v>
      </c>
    </row>
    <row r="1673" spans="1:13">
      <c r="A1673" t="s">
        <v>797</v>
      </c>
      <c r="B1673" t="s">
        <v>3855</v>
      </c>
      <c r="C1673" t="s">
        <v>1152</v>
      </c>
      <c r="D1673" t="s">
        <v>804</v>
      </c>
      <c r="E1673" t="s">
        <v>2140</v>
      </c>
      <c r="F1673" t="s">
        <v>2140</v>
      </c>
      <c r="G1673">
        <f>$G$1670+ABS($I$1672-$I$1670)/1000</f>
        <v>395.09914886136914</v>
      </c>
      <c r="H1673">
        <v>-15000</v>
      </c>
      <c r="I1673">
        <f>$I$1670-838.5</f>
        <v>-130637.09139546003</v>
      </c>
      <c r="J1673">
        <v>-270</v>
      </c>
      <c r="K1673">
        <v>0</v>
      </c>
      <c r="L1673">
        <f>_xlfn.XLOOKUP(F1673,magnet_list!$A$2:$A$592,magnet_list!$M$2:$M$592,"n/a",0,1)</f>
        <v>800</v>
      </c>
      <c r="M1673">
        <f>_xlfn.XLOOKUP(F1673,magnet_list!$A$2:$A$592,magnet_list!$L$2:$L$592,"n/a",0,1)</f>
        <v>120</v>
      </c>
    </row>
    <row r="1674" spans="1:13">
      <c r="A1674" t="s">
        <v>797</v>
      </c>
      <c r="B1674" t="s">
        <v>804</v>
      </c>
      <c r="C1674" t="s">
        <v>1152</v>
      </c>
      <c r="D1674" t="s">
        <v>804</v>
      </c>
      <c r="E1674" s="10" t="s">
        <v>1308</v>
      </c>
      <c r="F1674" s="10" t="s">
        <v>2692</v>
      </c>
      <c r="G1674">
        <f>$G$1670+ABS($I$1674-$I$1670)/1000</f>
        <v>395.40637296136913</v>
      </c>
      <c r="H1674">
        <v>-15000</v>
      </c>
      <c r="I1674">
        <f>$I$1670-1145.7241</f>
        <v>-130944.31549546003</v>
      </c>
      <c r="J1674">
        <v>-270</v>
      </c>
      <c r="K1674">
        <v>0</v>
      </c>
      <c r="L1674">
        <v>1889.4492</v>
      </c>
    </row>
    <row r="1675" spans="1:13">
      <c r="A1675" t="s">
        <v>797</v>
      </c>
      <c r="B1675" t="s">
        <v>804</v>
      </c>
      <c r="C1675" t="s">
        <v>1152</v>
      </c>
      <c r="D1675" t="s">
        <v>804</v>
      </c>
      <c r="E1675" s="10" t="s">
        <v>1651</v>
      </c>
      <c r="F1675" s="10" t="s">
        <v>2692</v>
      </c>
      <c r="G1675">
        <f>$G$1674+ABS($I$1675-$I$1674)/1000</f>
        <v>396.3510975613691</v>
      </c>
      <c r="H1675">
        <v>-15000</v>
      </c>
      <c r="I1675">
        <f>$I$1674-$L$1675/2</f>
        <v>-131889.04009546002</v>
      </c>
      <c r="J1675">
        <v>-270</v>
      </c>
      <c r="K1675">
        <v>0</v>
      </c>
      <c r="L1675">
        <v>1889.4492</v>
      </c>
    </row>
    <row r="1676" spans="1:13">
      <c r="A1676" t="s">
        <v>797</v>
      </c>
      <c r="B1676" t="s">
        <v>804</v>
      </c>
      <c r="C1676" t="s">
        <v>1152</v>
      </c>
      <c r="D1676" t="s">
        <v>804</v>
      </c>
      <c r="E1676" s="10" t="s">
        <v>1652</v>
      </c>
      <c r="F1676" s="10" t="s">
        <v>2693</v>
      </c>
      <c r="G1676">
        <f>$G$1678-ABS($I$1678-$I$1676)/1000</f>
        <v>396.53479636136916</v>
      </c>
      <c r="H1676">
        <v>-15000</v>
      </c>
      <c r="I1676">
        <f>$I$1678+$L$1676/2</f>
        <v>-132072.73889546003</v>
      </c>
      <c r="J1676">
        <v>-270</v>
      </c>
      <c r="K1676">
        <v>0</v>
      </c>
      <c r="L1676">
        <v>1889.4492</v>
      </c>
    </row>
    <row r="1677" spans="1:13">
      <c r="A1677" t="s">
        <v>797</v>
      </c>
      <c r="B1677" t="s">
        <v>803</v>
      </c>
      <c r="C1677" t="s">
        <v>806</v>
      </c>
      <c r="E1677" t="s">
        <v>858</v>
      </c>
      <c r="F1677" t="s">
        <v>858</v>
      </c>
      <c r="G1677">
        <f t="shared" si="33"/>
        <v>396.89731698599911</v>
      </c>
      <c r="H1677">
        <v>-13523.28692656</v>
      </c>
      <c r="I1677">
        <v>-132435.25952009001</v>
      </c>
      <c r="J1677">
        <v>-25.176532590000001</v>
      </c>
      <c r="K1677">
        <v>244.82346741000001</v>
      </c>
    </row>
    <row r="1678" spans="1:13">
      <c r="A1678" t="s">
        <v>797</v>
      </c>
      <c r="B1678" t="s">
        <v>804</v>
      </c>
      <c r="C1678" t="s">
        <v>1152</v>
      </c>
      <c r="D1678" t="s">
        <v>804</v>
      </c>
      <c r="E1678" s="10" t="s">
        <v>1362</v>
      </c>
      <c r="F1678" s="10" t="s">
        <v>2693</v>
      </c>
      <c r="G1678">
        <f>$G$1674+ABS($I$1678-$I$1674)/1000</f>
        <v>397.47952096136913</v>
      </c>
      <c r="H1678">
        <v>-15000</v>
      </c>
      <c r="I1678">
        <f>$I$1674-2073.148</f>
        <v>-133017.46349546002</v>
      </c>
      <c r="J1678">
        <v>-270</v>
      </c>
      <c r="K1678">
        <v>0</v>
      </c>
      <c r="L1678">
        <v>1889.4492</v>
      </c>
    </row>
    <row r="1679" spans="1:13">
      <c r="A1679" t="s">
        <v>797</v>
      </c>
      <c r="B1679" t="s">
        <v>803</v>
      </c>
      <c r="C1679" t="s">
        <v>806</v>
      </c>
      <c r="E1679" t="s">
        <v>1026</v>
      </c>
      <c r="F1679" t="s">
        <v>1026</v>
      </c>
      <c r="G1679">
        <f t="shared" si="33"/>
        <v>398.1557324209391</v>
      </c>
      <c r="H1679">
        <v>-15400</v>
      </c>
      <c r="I1679">
        <v>-133693.67495503</v>
      </c>
      <c r="J1679">
        <v>-689</v>
      </c>
      <c r="K1679">
        <v>-419</v>
      </c>
    </row>
    <row r="1680" spans="1:13">
      <c r="A1680" t="s">
        <v>797</v>
      </c>
      <c r="B1680" t="s">
        <v>804</v>
      </c>
      <c r="C1680" t="s">
        <v>1152</v>
      </c>
      <c r="D1680" t="s">
        <v>804</v>
      </c>
      <c r="E1680" s="10" t="s">
        <v>1653</v>
      </c>
      <c r="F1680" s="10" t="s">
        <v>2693</v>
      </c>
      <c r="G1680">
        <f>$G$1678+ABS($I$1680-$I$1678)/1000</f>
        <v>398.4242455613691</v>
      </c>
      <c r="H1680">
        <v>-15000</v>
      </c>
      <c r="I1680">
        <f>$I$1678-$L$1680/2</f>
        <v>-133962.18809546001</v>
      </c>
      <c r="J1680">
        <v>-270</v>
      </c>
      <c r="K1680">
        <v>0</v>
      </c>
      <c r="L1680">
        <v>1889.4492</v>
      </c>
    </row>
    <row r="1681" spans="1:16">
      <c r="A1681" t="s">
        <v>797</v>
      </c>
      <c r="B1681" t="s">
        <v>2288</v>
      </c>
      <c r="C1681" t="s">
        <v>1152</v>
      </c>
      <c r="D1681" t="s">
        <v>804</v>
      </c>
      <c r="E1681" s="8" t="s">
        <v>3797</v>
      </c>
      <c r="F1681" s="8" t="s">
        <v>3797</v>
      </c>
      <c r="G1681">
        <f>$G$1678+ABS($I$1681-$I$1678)/1000</f>
        <v>398.55424186136912</v>
      </c>
      <c r="H1681">
        <v>-15000</v>
      </c>
      <c r="I1681">
        <f>$I$1678-1074.7209</f>
        <v>-134092.18439546</v>
      </c>
      <c r="J1681">
        <v>-270</v>
      </c>
      <c r="K1681">
        <v>0</v>
      </c>
    </row>
    <row r="1682" spans="1:16">
      <c r="A1682" t="s">
        <v>797</v>
      </c>
      <c r="B1682" t="s">
        <v>1152</v>
      </c>
      <c r="C1682" t="s">
        <v>1152</v>
      </c>
      <c r="D1682" t="s">
        <v>804</v>
      </c>
      <c r="E1682" s="3" t="s">
        <v>2141</v>
      </c>
      <c r="F1682" s="3" t="s">
        <v>2141</v>
      </c>
      <c r="G1682">
        <f>$G$1681+ABS($I$1682-$I$1681)/1000</f>
        <v>398.6392418613691</v>
      </c>
      <c r="H1682">
        <v>-15000</v>
      </c>
      <c r="I1682">
        <f>$I$1681-85</f>
        <v>-134177.18439546</v>
      </c>
      <c r="J1682">
        <v>-270</v>
      </c>
      <c r="K1682">
        <v>0</v>
      </c>
    </row>
    <row r="1683" spans="1:16">
      <c r="A1683" t="s">
        <v>797</v>
      </c>
      <c r="B1683" t="s">
        <v>805</v>
      </c>
      <c r="C1683" t="s">
        <v>806</v>
      </c>
      <c r="E1683" s="2" t="s">
        <v>390</v>
      </c>
      <c r="F1683" s="2" t="s">
        <v>390</v>
      </c>
      <c r="G1683">
        <f t="shared" si="33"/>
        <v>398.81154577292909</v>
      </c>
      <c r="H1683">
        <v>-15000</v>
      </c>
      <c r="I1683">
        <v>-134349.48830701999</v>
      </c>
      <c r="J1683">
        <v>-60</v>
      </c>
      <c r="K1683">
        <v>210</v>
      </c>
      <c r="L1683">
        <f>_xlfn.XLOOKUP(F1683,magnet_list!$A$2:$A$592,magnet_list!$M$2:$M$592,"n/a",0,1)</f>
        <v>120</v>
      </c>
      <c r="M1683">
        <f>_xlfn.XLOOKUP(F1683,magnet_list!$A$2:$A$592,magnet_list!$L$2:$L$592,"n/a",0,1)</f>
        <v>23</v>
      </c>
    </row>
    <row r="1684" spans="1:16">
      <c r="A1684" t="s">
        <v>797</v>
      </c>
      <c r="B1684" t="s">
        <v>805</v>
      </c>
      <c r="C1684" t="s">
        <v>1152</v>
      </c>
      <c r="D1684" t="s">
        <v>804</v>
      </c>
      <c r="E1684" s="2" t="s">
        <v>753</v>
      </c>
      <c r="F1684" s="2" t="s">
        <v>390</v>
      </c>
      <c r="G1684">
        <f t="shared" si="33"/>
        <v>398.85154577292911</v>
      </c>
      <c r="H1684">
        <v>-15000</v>
      </c>
      <c r="I1684">
        <v>-134389.48830701999</v>
      </c>
      <c r="J1684">
        <v>-60</v>
      </c>
      <c r="K1684">
        <v>210</v>
      </c>
      <c r="L1684">
        <f>_xlfn.XLOOKUP(F1684,magnet_list!$A$2:$A$592,magnet_list!$M$2:$M$592,"n/a",0,1)</f>
        <v>120</v>
      </c>
      <c r="M1684">
        <f>_xlfn.XLOOKUP(F1684,magnet_list!$A$2:$A$592,magnet_list!$L$2:$L$592,"n/a",0,1)</f>
        <v>23</v>
      </c>
    </row>
    <row r="1685" spans="1:16">
      <c r="A1685" t="s">
        <v>797</v>
      </c>
      <c r="B1685" t="s">
        <v>805</v>
      </c>
      <c r="C1685" t="s">
        <v>1152</v>
      </c>
      <c r="D1685" t="s">
        <v>804</v>
      </c>
      <c r="E1685" s="2" t="s">
        <v>754</v>
      </c>
      <c r="F1685" s="2" t="s">
        <v>391</v>
      </c>
      <c r="G1685">
        <f t="shared" si="33"/>
        <v>399.4118005741791</v>
      </c>
      <c r="H1685">
        <v>-15000</v>
      </c>
      <c r="I1685">
        <v>-134949.74310826999</v>
      </c>
      <c r="J1685">
        <v>-60</v>
      </c>
      <c r="K1685">
        <v>210</v>
      </c>
      <c r="L1685">
        <f>_xlfn.XLOOKUP(F1685,magnet_list!$A$2:$A$592,magnet_list!$M$2:$M$592,"n/a",0,1)</f>
        <v>120</v>
      </c>
      <c r="M1685">
        <f>_xlfn.XLOOKUP(F1685,magnet_list!$A$2:$A$592,magnet_list!$L$2:$L$592,"n/a",0,1)</f>
        <v>23</v>
      </c>
    </row>
    <row r="1686" spans="1:16">
      <c r="A1686" t="s">
        <v>797</v>
      </c>
      <c r="B1686" t="s">
        <v>805</v>
      </c>
      <c r="C1686" t="s">
        <v>806</v>
      </c>
      <c r="E1686" s="2" t="s">
        <v>391</v>
      </c>
      <c r="F1686" s="2" t="s">
        <v>391</v>
      </c>
      <c r="G1686">
        <f t="shared" si="33"/>
        <v>399.45180057417912</v>
      </c>
      <c r="H1686">
        <v>-15000</v>
      </c>
      <c r="I1686">
        <v>-134989.74310826999</v>
      </c>
      <c r="J1686">
        <v>-60</v>
      </c>
      <c r="K1686">
        <v>210</v>
      </c>
      <c r="L1686">
        <f>_xlfn.XLOOKUP(F1686,magnet_list!$A$2:$A$592,magnet_list!$M$2:$M$592,"n/a",0,1)</f>
        <v>120</v>
      </c>
      <c r="M1686">
        <f>_xlfn.XLOOKUP(F1686,magnet_list!$A$2:$A$592,magnet_list!$L$2:$L$592,"n/a",0,1)</f>
        <v>23</v>
      </c>
    </row>
    <row r="1687" spans="1:16">
      <c r="A1687" t="s">
        <v>797</v>
      </c>
      <c r="B1687" t="s">
        <v>1152</v>
      </c>
      <c r="C1687" t="s">
        <v>1152</v>
      </c>
      <c r="D1687" t="s">
        <v>804</v>
      </c>
      <c r="E1687" s="3" t="s">
        <v>2142</v>
      </c>
      <c r="F1687" s="3" t="s">
        <v>2142</v>
      </c>
      <c r="G1687">
        <f>$G$1682+ABS($I$1687-$I$1682)/1000</f>
        <v>399.6892276613691</v>
      </c>
      <c r="H1687">
        <v>-15000</v>
      </c>
      <c r="I1687">
        <f>$I$1682-1049.9858</f>
        <v>-135227.17019546</v>
      </c>
      <c r="J1687">
        <v>-270</v>
      </c>
      <c r="K1687">
        <v>0</v>
      </c>
    </row>
    <row r="1688" spans="1:16">
      <c r="A1688" t="s">
        <v>797</v>
      </c>
      <c r="B1688" t="s">
        <v>805</v>
      </c>
      <c r="C1688" t="s">
        <v>806</v>
      </c>
      <c r="D1688" t="s">
        <v>804</v>
      </c>
      <c r="E1688" s="2" t="s">
        <v>755</v>
      </c>
      <c r="F1688" s="2" t="s">
        <v>2694</v>
      </c>
      <c r="G1688" s="2">
        <f>$G$1687+387.5053/1000</f>
        <v>400.07673296136909</v>
      </c>
      <c r="H1688">
        <v>-14942</v>
      </c>
      <c r="I1688">
        <v>-135602.30859104</v>
      </c>
      <c r="J1688">
        <v>112</v>
      </c>
      <c r="K1688">
        <v>382</v>
      </c>
      <c r="L1688">
        <v>1000</v>
      </c>
      <c r="M1688">
        <v>50</v>
      </c>
      <c r="P1688" s="2"/>
    </row>
    <row r="1689" spans="1:16">
      <c r="A1689" t="s">
        <v>797</v>
      </c>
      <c r="B1689" t="s">
        <v>805</v>
      </c>
      <c r="C1689" t="s">
        <v>806</v>
      </c>
      <c r="D1689" t="s">
        <v>804</v>
      </c>
      <c r="E1689" s="2" t="s">
        <v>392</v>
      </c>
      <c r="F1689" s="2" t="s">
        <v>2695</v>
      </c>
      <c r="G1689" s="2">
        <f>$G$1687+387.5053/1000</f>
        <v>400.07673296136909</v>
      </c>
      <c r="H1689">
        <v>-14942</v>
      </c>
      <c r="I1689">
        <v>-135602.30859104</v>
      </c>
      <c r="J1689">
        <v>112</v>
      </c>
      <c r="K1689">
        <v>382</v>
      </c>
      <c r="L1689">
        <v>1000</v>
      </c>
      <c r="M1689">
        <v>50</v>
      </c>
    </row>
    <row r="1690" spans="1:16">
      <c r="A1690" t="s">
        <v>797</v>
      </c>
      <c r="B1690" t="s">
        <v>803</v>
      </c>
      <c r="C1690" t="s">
        <v>806</v>
      </c>
      <c r="E1690" t="s">
        <v>859</v>
      </c>
      <c r="F1690" t="s">
        <v>859</v>
      </c>
      <c r="G1690" s="2">
        <f t="shared" si="33"/>
        <v>400.3908709755591</v>
      </c>
      <c r="H1690">
        <v>-18451.96460299</v>
      </c>
      <c r="I1690">
        <v>-135916.44660523001</v>
      </c>
      <c r="J1690">
        <v>-27.402110449999999</v>
      </c>
      <c r="K1690">
        <v>242.59788954999999</v>
      </c>
    </row>
    <row r="1691" spans="1:16">
      <c r="A1691" t="s">
        <v>797</v>
      </c>
      <c r="B1691" t="s">
        <v>803</v>
      </c>
      <c r="C1691" t="s">
        <v>806</v>
      </c>
      <c r="E1691" t="s">
        <v>860</v>
      </c>
      <c r="F1691" t="s">
        <v>860</v>
      </c>
      <c r="G1691" s="2">
        <f t="shared" si="33"/>
        <v>400.43774146320908</v>
      </c>
      <c r="H1691">
        <v>-13514.487530369999</v>
      </c>
      <c r="I1691">
        <v>-135963.31709288</v>
      </c>
      <c r="J1691">
        <v>-25.85642502</v>
      </c>
      <c r="K1691">
        <v>244.14357498000001</v>
      </c>
    </row>
    <row r="1692" spans="1:16">
      <c r="A1692" t="s">
        <v>797</v>
      </c>
      <c r="B1692" t="s">
        <v>805</v>
      </c>
      <c r="C1692" t="s">
        <v>1152</v>
      </c>
      <c r="D1692" t="s">
        <v>804</v>
      </c>
      <c r="E1692" s="2" t="s">
        <v>1390</v>
      </c>
      <c r="F1692" s="2" t="s">
        <v>2694</v>
      </c>
      <c r="G1692" s="2">
        <f>$G$1688+(860.6363/2)/1000</f>
        <v>400.50705111136909</v>
      </c>
      <c r="H1692">
        <v>-14942</v>
      </c>
      <c r="I1692">
        <v>-136032.30859104</v>
      </c>
      <c r="J1692">
        <v>112</v>
      </c>
      <c r="K1692">
        <v>382</v>
      </c>
      <c r="L1692">
        <v>1000</v>
      </c>
      <c r="M1692">
        <v>50</v>
      </c>
      <c r="P1692" s="2"/>
    </row>
    <row r="1693" spans="1:16">
      <c r="A1693" t="s">
        <v>797</v>
      </c>
      <c r="B1693" t="s">
        <v>805</v>
      </c>
      <c r="C1693" t="s">
        <v>1152</v>
      </c>
      <c r="D1693" t="s">
        <v>804</v>
      </c>
      <c r="E1693" s="2" t="s">
        <v>1391</v>
      </c>
      <c r="F1693" s="2" t="s">
        <v>2695</v>
      </c>
      <c r="G1693" s="2">
        <f>$G$1688+(860.6363/2)/1000</f>
        <v>400.50705111136909</v>
      </c>
      <c r="H1693">
        <v>-14942</v>
      </c>
      <c r="I1693">
        <v>-136032.30859104</v>
      </c>
      <c r="J1693">
        <v>112</v>
      </c>
      <c r="K1693">
        <v>382</v>
      </c>
      <c r="L1693">
        <v>1000</v>
      </c>
      <c r="M1693">
        <v>50</v>
      </c>
      <c r="P1693" s="2"/>
    </row>
    <row r="1694" spans="1:16">
      <c r="A1694" t="s">
        <v>797</v>
      </c>
      <c r="B1694" t="s">
        <v>803</v>
      </c>
      <c r="C1694" t="s">
        <v>806</v>
      </c>
      <c r="E1694" t="s">
        <v>861</v>
      </c>
      <c r="F1694" t="s">
        <v>861</v>
      </c>
      <c r="G1694" s="2">
        <f>G1691-(I1694-I1691)/1000</f>
        <v>400.82303689101906</v>
      </c>
      <c r="H1694">
        <v>-18458.445299530002</v>
      </c>
      <c r="I1694">
        <v>-136348.61252068999</v>
      </c>
      <c r="J1694">
        <v>-26.267817310000002</v>
      </c>
      <c r="K1694">
        <v>243.73218269</v>
      </c>
    </row>
    <row r="1695" spans="1:16">
      <c r="A1695" t="s">
        <v>797</v>
      </c>
      <c r="B1695" t="s">
        <v>805</v>
      </c>
      <c r="C1695" t="s">
        <v>806</v>
      </c>
      <c r="D1695" t="s">
        <v>804</v>
      </c>
      <c r="E1695" s="2" t="s">
        <v>756</v>
      </c>
      <c r="F1695" s="2" t="s">
        <v>2694</v>
      </c>
      <c r="G1695" s="2">
        <f>$G$1688+860.6363/1000</f>
        <v>400.9373692613691</v>
      </c>
      <c r="H1695">
        <v>-14942</v>
      </c>
      <c r="I1695">
        <v>-136462.38482693001</v>
      </c>
      <c r="J1695">
        <v>112</v>
      </c>
      <c r="K1695">
        <v>382</v>
      </c>
      <c r="L1695">
        <v>1000</v>
      </c>
      <c r="M1695">
        <v>50</v>
      </c>
      <c r="P1695" s="2"/>
    </row>
    <row r="1696" spans="1:16">
      <c r="A1696" t="s">
        <v>797</v>
      </c>
      <c r="B1696" t="s">
        <v>805</v>
      </c>
      <c r="C1696" t="s">
        <v>806</v>
      </c>
      <c r="D1696" t="s">
        <v>804</v>
      </c>
      <c r="E1696" s="2" t="s">
        <v>393</v>
      </c>
      <c r="F1696" s="2" t="s">
        <v>2695</v>
      </c>
      <c r="G1696" s="2">
        <f>$G$1688+860.6363/1000</f>
        <v>400.9373692613691</v>
      </c>
      <c r="H1696">
        <v>-14942</v>
      </c>
      <c r="I1696">
        <v>-136462.38482693001</v>
      </c>
      <c r="J1696">
        <v>112</v>
      </c>
      <c r="K1696">
        <v>382</v>
      </c>
      <c r="L1696">
        <v>1000</v>
      </c>
      <c r="M1696">
        <v>50</v>
      </c>
    </row>
    <row r="1697" spans="1:16">
      <c r="A1697" t="s">
        <v>797</v>
      </c>
      <c r="B1697" t="s">
        <v>803</v>
      </c>
      <c r="C1697" t="s">
        <v>806</v>
      </c>
      <c r="E1697" t="s">
        <v>863</v>
      </c>
      <c r="F1697" t="s">
        <v>863</v>
      </c>
      <c r="G1697" s="2">
        <v>400.95233699999989</v>
      </c>
      <c r="H1697">
        <v>-13516.48353403</v>
      </c>
      <c r="I1697">
        <v>-136590.44881788999</v>
      </c>
      <c r="J1697">
        <v>-26.710905010000001</v>
      </c>
      <c r="K1697">
        <v>243.28909499</v>
      </c>
    </row>
    <row r="1698" spans="1:16">
      <c r="A1698" t="s">
        <v>797</v>
      </c>
      <c r="B1698" t="s">
        <v>805</v>
      </c>
      <c r="C1698" t="s">
        <v>806</v>
      </c>
      <c r="D1698" t="s">
        <v>804</v>
      </c>
      <c r="E1698" s="2" t="s">
        <v>757</v>
      </c>
      <c r="F1698" s="2" t="s">
        <v>2696</v>
      </c>
      <c r="G1698" s="2">
        <f>$G$1695+1862.2689/1000</f>
        <v>402.7996381613691</v>
      </c>
      <c r="H1698">
        <v>-15175.5</v>
      </c>
      <c r="I1698">
        <v>-138319.21727416001</v>
      </c>
      <c r="J1698">
        <v>127</v>
      </c>
      <c r="K1698">
        <v>397</v>
      </c>
      <c r="L1698">
        <v>1220</v>
      </c>
      <c r="M1698">
        <v>26</v>
      </c>
      <c r="P1698" s="2"/>
    </row>
    <row r="1699" spans="1:16">
      <c r="A1699" t="s">
        <v>797</v>
      </c>
      <c r="B1699" t="s">
        <v>805</v>
      </c>
      <c r="C1699" t="s">
        <v>806</v>
      </c>
      <c r="D1699" t="s">
        <v>804</v>
      </c>
      <c r="E1699" s="2" t="s">
        <v>394</v>
      </c>
      <c r="F1699" s="2" t="s">
        <v>2697</v>
      </c>
      <c r="G1699" s="2">
        <f>$G$1695+1862.2689/1000</f>
        <v>402.7996381613691</v>
      </c>
      <c r="H1699">
        <v>-15175.5</v>
      </c>
      <c r="I1699">
        <v>-138319.21727416001</v>
      </c>
      <c r="J1699">
        <v>127</v>
      </c>
      <c r="K1699">
        <v>397</v>
      </c>
      <c r="L1699">
        <v>1220</v>
      </c>
      <c r="M1699">
        <v>26</v>
      </c>
    </row>
    <row r="1700" spans="1:16">
      <c r="A1700" t="s">
        <v>797</v>
      </c>
      <c r="B1700" t="s">
        <v>805</v>
      </c>
      <c r="C1700" t="s">
        <v>806</v>
      </c>
      <c r="D1700" t="s">
        <v>804</v>
      </c>
      <c r="E1700" s="2" t="s">
        <v>758</v>
      </c>
      <c r="F1700" s="2" t="s">
        <v>2696</v>
      </c>
      <c r="G1700" s="2">
        <f>$G$1698+915.4/2/1000</f>
        <v>403.25733816136909</v>
      </c>
      <c r="H1700">
        <v>-15225</v>
      </c>
      <c r="I1700">
        <v>-138775.2960801</v>
      </c>
      <c r="J1700">
        <v>127</v>
      </c>
      <c r="K1700">
        <v>397</v>
      </c>
      <c r="L1700">
        <v>1220</v>
      </c>
      <c r="M1700">
        <v>26</v>
      </c>
      <c r="P1700" s="2"/>
    </row>
    <row r="1701" spans="1:16">
      <c r="A1701" t="s">
        <v>797</v>
      </c>
      <c r="B1701" t="s">
        <v>805</v>
      </c>
      <c r="C1701" t="s">
        <v>806</v>
      </c>
      <c r="D1701" t="s">
        <v>804</v>
      </c>
      <c r="E1701" s="2" t="s">
        <v>395</v>
      </c>
      <c r="F1701" s="2" t="s">
        <v>2697</v>
      </c>
      <c r="G1701" s="2">
        <f t="shared" ref="G1701:G1705" si="34">$G$1698+915.4/2/1000</f>
        <v>403.25733816136909</v>
      </c>
      <c r="H1701">
        <v>-15225</v>
      </c>
      <c r="I1701">
        <v>-138775.2960801</v>
      </c>
      <c r="J1701">
        <v>127</v>
      </c>
      <c r="K1701">
        <v>397</v>
      </c>
      <c r="L1701">
        <v>1220</v>
      </c>
      <c r="M1701">
        <v>26</v>
      </c>
    </row>
    <row r="1702" spans="1:16">
      <c r="A1702" t="s">
        <v>797</v>
      </c>
      <c r="B1702" t="s">
        <v>805</v>
      </c>
      <c r="C1702" t="s">
        <v>1152</v>
      </c>
      <c r="D1702" t="s">
        <v>804</v>
      </c>
      <c r="E1702" s="2" t="s">
        <v>1392</v>
      </c>
      <c r="F1702" s="2" t="s">
        <v>2696</v>
      </c>
      <c r="G1702" s="2">
        <f t="shared" si="34"/>
        <v>403.25733816136909</v>
      </c>
      <c r="H1702">
        <v>-15193</v>
      </c>
      <c r="I1702">
        <v>-138776.59221901</v>
      </c>
      <c r="J1702">
        <v>127</v>
      </c>
      <c r="K1702">
        <v>397</v>
      </c>
      <c r="L1702">
        <v>1220</v>
      </c>
      <c r="M1702">
        <v>26</v>
      </c>
      <c r="P1702" s="2"/>
    </row>
    <row r="1703" spans="1:16">
      <c r="A1703" t="s">
        <v>797</v>
      </c>
      <c r="B1703" t="s">
        <v>805</v>
      </c>
      <c r="C1703" t="s">
        <v>1152</v>
      </c>
      <c r="D1703" t="s">
        <v>804</v>
      </c>
      <c r="E1703" s="2" t="s">
        <v>1393</v>
      </c>
      <c r="F1703" s="2" t="s">
        <v>2697</v>
      </c>
      <c r="G1703" s="2">
        <f t="shared" si="34"/>
        <v>403.25733816136909</v>
      </c>
      <c r="H1703">
        <v>-15193</v>
      </c>
      <c r="I1703">
        <v>-138776.59221901</v>
      </c>
      <c r="J1703">
        <v>127</v>
      </c>
      <c r="K1703">
        <v>397</v>
      </c>
      <c r="L1703">
        <v>1220</v>
      </c>
      <c r="M1703">
        <v>26</v>
      </c>
      <c r="P1703" s="2"/>
    </row>
    <row r="1704" spans="1:16">
      <c r="A1704" t="s">
        <v>797</v>
      </c>
      <c r="B1704" t="s">
        <v>805</v>
      </c>
      <c r="C1704" t="s">
        <v>806</v>
      </c>
      <c r="D1704" t="s">
        <v>804</v>
      </c>
      <c r="E1704" s="2" t="s">
        <v>759</v>
      </c>
      <c r="F1704" s="2" t="s">
        <v>2696</v>
      </c>
      <c r="G1704" s="2">
        <f t="shared" si="34"/>
        <v>403.25733816136909</v>
      </c>
      <c r="H1704">
        <v>-15161</v>
      </c>
      <c r="I1704">
        <v>-138777.77251901</v>
      </c>
      <c r="J1704">
        <v>127</v>
      </c>
      <c r="K1704">
        <v>397</v>
      </c>
      <c r="L1704">
        <v>1220</v>
      </c>
      <c r="M1704">
        <v>26</v>
      </c>
      <c r="P1704" s="2"/>
    </row>
    <row r="1705" spans="1:16">
      <c r="A1705" t="s">
        <v>797</v>
      </c>
      <c r="B1705" t="s">
        <v>805</v>
      </c>
      <c r="C1705" t="s">
        <v>806</v>
      </c>
      <c r="D1705" t="s">
        <v>804</v>
      </c>
      <c r="E1705" s="2" t="s">
        <v>396</v>
      </c>
      <c r="F1705" s="2" t="s">
        <v>2697</v>
      </c>
      <c r="G1705" s="2">
        <f t="shared" si="34"/>
        <v>403.25733816136909</v>
      </c>
      <c r="H1705">
        <v>-15161</v>
      </c>
      <c r="I1705">
        <v>-138777.77251901</v>
      </c>
      <c r="J1705">
        <v>127</v>
      </c>
      <c r="K1705">
        <v>397</v>
      </c>
      <c r="L1705">
        <v>1220</v>
      </c>
      <c r="M1705">
        <v>26</v>
      </c>
    </row>
    <row r="1706" spans="1:16">
      <c r="A1706" t="s">
        <v>797</v>
      </c>
      <c r="B1706" t="s">
        <v>805</v>
      </c>
      <c r="C1706" t="s">
        <v>806</v>
      </c>
      <c r="D1706" t="s">
        <v>804</v>
      </c>
      <c r="E1706" s="2" t="s">
        <v>760</v>
      </c>
      <c r="F1706" s="2" t="s">
        <v>2696</v>
      </c>
      <c r="G1706" s="2">
        <f>$G$1702+915.4/2/1000</f>
        <v>403.71503816136908</v>
      </c>
      <c r="H1706">
        <v>-15210.5</v>
      </c>
      <c r="I1706">
        <v>-139233.84966313001</v>
      </c>
      <c r="J1706">
        <v>127</v>
      </c>
      <c r="K1706">
        <v>397</v>
      </c>
      <c r="L1706">
        <v>1220</v>
      </c>
      <c r="M1706">
        <v>26</v>
      </c>
      <c r="P1706" s="2"/>
    </row>
    <row r="1707" spans="1:16">
      <c r="A1707" t="s">
        <v>797</v>
      </c>
      <c r="B1707" t="s">
        <v>805</v>
      </c>
      <c r="C1707" t="s">
        <v>806</v>
      </c>
      <c r="D1707" t="s">
        <v>804</v>
      </c>
      <c r="E1707" s="2" t="s">
        <v>397</v>
      </c>
      <c r="F1707" s="2" t="s">
        <v>2697</v>
      </c>
      <c r="G1707" s="2">
        <f>$G$1702+915.4/2/1000</f>
        <v>403.71503816136908</v>
      </c>
      <c r="H1707">
        <v>-15210.5</v>
      </c>
      <c r="I1707">
        <v>-139233.84966313001</v>
      </c>
      <c r="J1707">
        <v>127</v>
      </c>
      <c r="K1707">
        <v>397</v>
      </c>
      <c r="L1707">
        <v>1220</v>
      </c>
      <c r="M1707">
        <v>26</v>
      </c>
    </row>
    <row r="1708" spans="1:16">
      <c r="A1708" t="s">
        <v>797</v>
      </c>
      <c r="B1708" t="s">
        <v>803</v>
      </c>
      <c r="C1708" t="s">
        <v>806</v>
      </c>
      <c r="E1708" t="s">
        <v>862</v>
      </c>
      <c r="F1708" t="s">
        <v>862</v>
      </c>
      <c r="G1708" s="2">
        <v>404.38529499999987</v>
      </c>
      <c r="H1708">
        <v>-17466.341626760001</v>
      </c>
      <c r="I1708">
        <v>-140024.78366372999</v>
      </c>
      <c r="J1708">
        <v>258.45706595000001</v>
      </c>
      <c r="K1708">
        <v>528.45706595000001</v>
      </c>
    </row>
    <row r="1709" spans="1:16">
      <c r="A1709" t="s">
        <v>797</v>
      </c>
      <c r="B1709" t="s">
        <v>1152</v>
      </c>
      <c r="C1709" t="s">
        <v>1152</v>
      </c>
      <c r="D1709" t="s">
        <v>804</v>
      </c>
      <c r="E1709" s="3" t="s">
        <v>2143</v>
      </c>
      <c r="F1709" s="3" t="s">
        <v>2143</v>
      </c>
      <c r="G1709" s="2">
        <f>$G$1706+2457.2955/1000</f>
        <v>406.17233366136907</v>
      </c>
      <c r="H1709">
        <f>-15000-211.436</f>
        <v>-15211.436</v>
      </c>
      <c r="I1709">
        <f>$I$1687-6476.283</f>
        <v>-141703.45319546</v>
      </c>
      <c r="J1709">
        <v>-270</v>
      </c>
      <c r="K1709">
        <v>0</v>
      </c>
    </row>
    <row r="1710" spans="1:16">
      <c r="A1710" t="s">
        <v>797</v>
      </c>
      <c r="B1710" t="s">
        <v>1152</v>
      </c>
      <c r="C1710" t="s">
        <v>1152</v>
      </c>
      <c r="D1710" t="s">
        <v>804</v>
      </c>
      <c r="E1710" s="3" t="s">
        <v>2144</v>
      </c>
      <c r="F1710" s="3" t="s">
        <v>2144</v>
      </c>
      <c r="G1710" s="2">
        <f>$G$1709+317.5/1000</f>
        <v>406.48983366136906</v>
      </c>
      <c r="H1710">
        <f>-15000-211.436</f>
        <v>-15211.436</v>
      </c>
      <c r="I1710">
        <f>$I$1709-317.5</f>
        <v>-142020.95319546</v>
      </c>
      <c r="J1710">
        <v>-270</v>
      </c>
      <c r="K1710">
        <v>0</v>
      </c>
    </row>
    <row r="1711" spans="1:16">
      <c r="A1711" t="s">
        <v>797</v>
      </c>
      <c r="B1711" t="s">
        <v>803</v>
      </c>
      <c r="C1711" t="s">
        <v>806</v>
      </c>
      <c r="E1711" t="s">
        <v>1113</v>
      </c>
      <c r="F1711" t="s">
        <v>1113</v>
      </c>
      <c r="G1711" s="2">
        <v>406.64654309999992</v>
      </c>
      <c r="H1711">
        <v>-15400</v>
      </c>
      <c r="I1711">
        <v>-142285.79539688001</v>
      </c>
      <c r="J1711">
        <v>-689</v>
      </c>
      <c r="K1711">
        <v>-419</v>
      </c>
    </row>
    <row r="1712" spans="1:16">
      <c r="A1712" t="s">
        <v>797</v>
      </c>
      <c r="B1712" t="s">
        <v>803</v>
      </c>
      <c r="C1712" t="s">
        <v>806</v>
      </c>
      <c r="E1712" t="s">
        <v>864</v>
      </c>
      <c r="F1712" t="s">
        <v>864</v>
      </c>
      <c r="G1712" s="2">
        <v>406.96101899999991</v>
      </c>
      <c r="H1712">
        <v>-17461.449302640001</v>
      </c>
      <c r="I1712">
        <v>-142600.45246296001</v>
      </c>
      <c r="J1712">
        <v>-26.655706739999999</v>
      </c>
      <c r="K1712">
        <v>243.34429326</v>
      </c>
    </row>
    <row r="1713" spans="1:16">
      <c r="A1713" t="s">
        <v>797</v>
      </c>
      <c r="B1713" t="s">
        <v>805</v>
      </c>
      <c r="C1713" t="s">
        <v>806</v>
      </c>
      <c r="D1713" t="s">
        <v>804</v>
      </c>
      <c r="E1713" s="2" t="s">
        <v>761</v>
      </c>
      <c r="F1713" s="2" t="s">
        <v>2698</v>
      </c>
      <c r="G1713" s="2">
        <f>$G$1710+1375.356/1000</f>
        <v>407.86518966136907</v>
      </c>
      <c r="H1713">
        <v>-15210.5</v>
      </c>
      <c r="I1713">
        <v>-143383.62246765001</v>
      </c>
      <c r="J1713">
        <v>127</v>
      </c>
      <c r="K1713">
        <v>397</v>
      </c>
      <c r="L1713">
        <v>1220</v>
      </c>
      <c r="M1713">
        <v>26</v>
      </c>
      <c r="P1713" s="2"/>
    </row>
    <row r="1714" spans="1:16">
      <c r="A1714" t="s">
        <v>797</v>
      </c>
      <c r="B1714" t="s">
        <v>805</v>
      </c>
      <c r="C1714" t="s">
        <v>806</v>
      </c>
      <c r="D1714" t="s">
        <v>804</v>
      </c>
      <c r="E1714" s="2" t="s">
        <v>398</v>
      </c>
      <c r="F1714" s="2" t="s">
        <v>2699</v>
      </c>
      <c r="G1714" s="2">
        <f>$G$1710+1375.356/1000</f>
        <v>407.86518966136907</v>
      </c>
      <c r="H1714">
        <v>-15210.5</v>
      </c>
      <c r="I1714">
        <v>-143383.62246765001</v>
      </c>
      <c r="J1714">
        <v>127</v>
      </c>
      <c r="K1714">
        <v>397</v>
      </c>
      <c r="L1714">
        <v>1220</v>
      </c>
      <c r="M1714">
        <v>26</v>
      </c>
    </row>
    <row r="1715" spans="1:16">
      <c r="A1715" t="s">
        <v>797</v>
      </c>
      <c r="B1715" t="s">
        <v>805</v>
      </c>
      <c r="C1715" t="s">
        <v>806</v>
      </c>
      <c r="D1715" t="s">
        <v>804</v>
      </c>
      <c r="E1715" s="2" t="s">
        <v>763</v>
      </c>
      <c r="F1715" s="2" t="s">
        <v>2698</v>
      </c>
      <c r="G1715" s="2">
        <f t="shared" ref="G1715:G1720" si="35">$G$1713+915.3756/1000/2</f>
        <v>408.32287746136905</v>
      </c>
      <c r="H1715">
        <v>-15161</v>
      </c>
      <c r="I1715">
        <v>-143839.71041992999</v>
      </c>
      <c r="J1715">
        <v>127</v>
      </c>
      <c r="K1715">
        <v>397</v>
      </c>
      <c r="L1715">
        <v>1220</v>
      </c>
      <c r="M1715">
        <v>26</v>
      </c>
      <c r="P1715" s="2"/>
    </row>
    <row r="1716" spans="1:16">
      <c r="A1716" t="s">
        <v>797</v>
      </c>
      <c r="B1716" t="s">
        <v>805</v>
      </c>
      <c r="C1716" t="s">
        <v>806</v>
      </c>
      <c r="D1716" t="s">
        <v>804</v>
      </c>
      <c r="E1716" s="2" t="s">
        <v>399</v>
      </c>
      <c r="F1716" s="2" t="s">
        <v>2699</v>
      </c>
      <c r="G1716" s="2">
        <f t="shared" si="35"/>
        <v>408.32287746136905</v>
      </c>
      <c r="H1716">
        <v>-15161</v>
      </c>
      <c r="I1716">
        <v>-143839.71041992999</v>
      </c>
      <c r="J1716">
        <v>127</v>
      </c>
      <c r="K1716">
        <v>397</v>
      </c>
      <c r="L1716">
        <v>1220</v>
      </c>
      <c r="M1716">
        <v>26</v>
      </c>
    </row>
    <row r="1717" spans="1:16">
      <c r="A1717" t="s">
        <v>797</v>
      </c>
      <c r="B1717" t="s">
        <v>805</v>
      </c>
      <c r="C1717" t="s">
        <v>1152</v>
      </c>
      <c r="D1717" t="s">
        <v>804</v>
      </c>
      <c r="E1717" s="2" t="s">
        <v>1394</v>
      </c>
      <c r="F1717" s="2" t="s">
        <v>2698</v>
      </c>
      <c r="G1717" s="2">
        <f t="shared" si="35"/>
        <v>408.32287746136905</v>
      </c>
      <c r="H1717">
        <v>-15193</v>
      </c>
      <c r="I1717">
        <v>-143840.91656992998</v>
      </c>
      <c r="J1717">
        <v>127</v>
      </c>
      <c r="K1717">
        <v>397</v>
      </c>
      <c r="L1717">
        <v>1220</v>
      </c>
      <c r="M1717">
        <v>26</v>
      </c>
      <c r="P1717" s="2"/>
    </row>
    <row r="1718" spans="1:16">
      <c r="A1718" t="s">
        <v>797</v>
      </c>
      <c r="B1718" t="s">
        <v>805</v>
      </c>
      <c r="C1718" t="s">
        <v>1152</v>
      </c>
      <c r="D1718" t="s">
        <v>804</v>
      </c>
      <c r="E1718" s="2" t="s">
        <v>1395</v>
      </c>
      <c r="F1718" s="2" t="s">
        <v>2699</v>
      </c>
      <c r="G1718" s="2">
        <f t="shared" si="35"/>
        <v>408.32287746136905</v>
      </c>
      <c r="H1718">
        <v>-15193</v>
      </c>
      <c r="I1718">
        <v>-143840.91656992998</v>
      </c>
      <c r="J1718">
        <v>127</v>
      </c>
      <c r="K1718">
        <v>397</v>
      </c>
      <c r="L1718">
        <v>1220</v>
      </c>
      <c r="M1718">
        <v>26</v>
      </c>
      <c r="P1718" s="2"/>
    </row>
    <row r="1719" spans="1:16">
      <c r="A1719" t="s">
        <v>797</v>
      </c>
      <c r="B1719" t="s">
        <v>805</v>
      </c>
      <c r="C1719" t="s">
        <v>806</v>
      </c>
      <c r="D1719" t="s">
        <v>804</v>
      </c>
      <c r="E1719" s="2" t="s">
        <v>762</v>
      </c>
      <c r="F1719" s="2" t="s">
        <v>2698</v>
      </c>
      <c r="G1719" s="2">
        <f t="shared" si="35"/>
        <v>408.32287746136905</v>
      </c>
      <c r="H1719">
        <v>-15225</v>
      </c>
      <c r="I1719">
        <v>-143842.19662301001</v>
      </c>
      <c r="J1719">
        <v>127</v>
      </c>
      <c r="K1719">
        <v>397</v>
      </c>
      <c r="L1719">
        <v>1220</v>
      </c>
      <c r="M1719">
        <v>26</v>
      </c>
      <c r="P1719" s="2"/>
    </row>
    <row r="1720" spans="1:16">
      <c r="A1720" t="s">
        <v>797</v>
      </c>
      <c r="B1720" t="s">
        <v>805</v>
      </c>
      <c r="C1720" t="s">
        <v>806</v>
      </c>
      <c r="D1720" t="s">
        <v>804</v>
      </c>
      <c r="E1720" s="2" t="s">
        <v>400</v>
      </c>
      <c r="F1720" s="2" t="s">
        <v>2699</v>
      </c>
      <c r="G1720" s="2">
        <f t="shared" si="35"/>
        <v>408.32287746136905</v>
      </c>
      <c r="H1720">
        <v>-15225</v>
      </c>
      <c r="I1720">
        <v>-143842.19662301001</v>
      </c>
      <c r="J1720">
        <v>127</v>
      </c>
      <c r="K1720">
        <v>397</v>
      </c>
      <c r="L1720">
        <v>1220</v>
      </c>
      <c r="M1720">
        <v>26</v>
      </c>
    </row>
    <row r="1721" spans="1:16">
      <c r="A1721" t="s">
        <v>797</v>
      </c>
      <c r="B1721" t="s">
        <v>805</v>
      </c>
      <c r="C1721" t="s">
        <v>806</v>
      </c>
      <c r="D1721" t="s">
        <v>804</v>
      </c>
      <c r="E1721" s="2" t="s">
        <v>764</v>
      </c>
      <c r="F1721" s="2" t="s">
        <v>2698</v>
      </c>
      <c r="G1721" s="2">
        <f>$G$1717+915.3756/2/1000</f>
        <v>408.78056526136902</v>
      </c>
      <c r="H1721">
        <v>-15175.5</v>
      </c>
      <c r="I1721">
        <v>-144298.37080895001</v>
      </c>
      <c r="J1721">
        <v>127</v>
      </c>
      <c r="K1721">
        <v>397</v>
      </c>
      <c r="L1721">
        <v>1220</v>
      </c>
      <c r="M1721">
        <v>26</v>
      </c>
      <c r="P1721" s="2"/>
    </row>
    <row r="1722" spans="1:16">
      <c r="A1722" t="s">
        <v>797</v>
      </c>
      <c r="B1722" t="s">
        <v>805</v>
      </c>
      <c r="C1722" t="s">
        <v>806</v>
      </c>
      <c r="D1722" t="s">
        <v>804</v>
      </c>
      <c r="E1722" s="2" t="s">
        <v>401</v>
      </c>
      <c r="F1722" s="2" t="s">
        <v>2699</v>
      </c>
      <c r="G1722" s="2">
        <f>$G$1717+915.3756/2/1000</f>
        <v>408.78056526136902</v>
      </c>
      <c r="H1722">
        <v>-15175.5</v>
      </c>
      <c r="I1722">
        <v>-144298.37080895001</v>
      </c>
      <c r="J1722">
        <v>127</v>
      </c>
      <c r="K1722">
        <v>397</v>
      </c>
      <c r="L1722">
        <v>1220</v>
      </c>
      <c r="M1722">
        <v>26</v>
      </c>
    </row>
    <row r="1723" spans="1:16">
      <c r="A1723" t="s">
        <v>797</v>
      </c>
      <c r="B1723" t="s">
        <v>803</v>
      </c>
      <c r="C1723" t="s">
        <v>806</v>
      </c>
      <c r="E1723" t="s">
        <v>865</v>
      </c>
      <c r="F1723" t="s">
        <v>865</v>
      </c>
      <c r="G1723" s="2">
        <v>409.20023399999997</v>
      </c>
      <c r="H1723">
        <v>-17460.0451306</v>
      </c>
      <c r="I1723">
        <v>-144839.63897885001</v>
      </c>
      <c r="J1723">
        <v>253.97771939</v>
      </c>
      <c r="K1723">
        <v>523.97771938999995</v>
      </c>
    </row>
    <row r="1724" spans="1:16">
      <c r="A1724" t="s">
        <v>797</v>
      </c>
      <c r="B1724" t="s">
        <v>805</v>
      </c>
      <c r="C1724" t="s">
        <v>806</v>
      </c>
      <c r="D1724" t="s">
        <v>804</v>
      </c>
      <c r="E1724" s="2" t="s">
        <v>765</v>
      </c>
      <c r="F1724" s="2" t="s">
        <v>2700</v>
      </c>
      <c r="G1724" s="2">
        <f>$G$1721+1861.7335/1000</f>
        <v>410.64229876136903</v>
      </c>
      <c r="H1724">
        <v>-14942</v>
      </c>
      <c r="I1724">
        <v>-146154.94133366999</v>
      </c>
      <c r="J1724">
        <v>112</v>
      </c>
      <c r="K1724">
        <v>382</v>
      </c>
      <c r="L1724">
        <v>1000</v>
      </c>
      <c r="M1724">
        <v>50</v>
      </c>
      <c r="P1724" s="2"/>
    </row>
    <row r="1725" spans="1:16">
      <c r="A1725" t="s">
        <v>797</v>
      </c>
      <c r="B1725" t="s">
        <v>805</v>
      </c>
      <c r="C1725" t="s">
        <v>806</v>
      </c>
      <c r="D1725" t="s">
        <v>804</v>
      </c>
      <c r="E1725" s="2" t="s">
        <v>402</v>
      </c>
      <c r="F1725" s="2" t="s">
        <v>2701</v>
      </c>
      <c r="G1725" s="2">
        <f>$G$1721+1861.7335/1000</f>
        <v>410.64229876136903</v>
      </c>
      <c r="H1725">
        <v>-14942</v>
      </c>
      <c r="I1725">
        <v>-146154.94133366999</v>
      </c>
      <c r="J1725">
        <v>112</v>
      </c>
      <c r="K1725">
        <v>382</v>
      </c>
      <c r="L1725">
        <v>1000</v>
      </c>
      <c r="M1725">
        <v>50</v>
      </c>
    </row>
    <row r="1726" spans="1:16">
      <c r="A1726" t="s">
        <v>797</v>
      </c>
      <c r="B1726" t="s">
        <v>805</v>
      </c>
      <c r="C1726" t="s">
        <v>1152</v>
      </c>
      <c r="D1726" t="s">
        <v>804</v>
      </c>
      <c r="E1726" s="2" t="s">
        <v>1396</v>
      </c>
      <c r="F1726" s="2" t="s">
        <v>2700</v>
      </c>
      <c r="G1726" s="2">
        <f>$G$1724+430.4766/1000</f>
        <v>411.07277536136905</v>
      </c>
      <c r="H1726">
        <v>-14942</v>
      </c>
      <c r="I1726">
        <v>-146584.94133366999</v>
      </c>
      <c r="J1726">
        <v>112</v>
      </c>
      <c r="K1726">
        <v>382</v>
      </c>
      <c r="L1726">
        <v>1000</v>
      </c>
      <c r="M1726">
        <v>50</v>
      </c>
      <c r="P1726" s="2"/>
    </row>
    <row r="1727" spans="1:16">
      <c r="A1727" t="s">
        <v>797</v>
      </c>
      <c r="B1727" t="s">
        <v>805</v>
      </c>
      <c r="C1727" t="s">
        <v>1152</v>
      </c>
      <c r="D1727" t="s">
        <v>804</v>
      </c>
      <c r="E1727" s="2" t="s">
        <v>1397</v>
      </c>
      <c r="F1727" s="2" t="s">
        <v>2701</v>
      </c>
      <c r="G1727" s="2">
        <f>$G$1724+430.4766/1000</f>
        <v>411.07277536136905</v>
      </c>
      <c r="H1727">
        <v>-14942</v>
      </c>
      <c r="I1727">
        <v>-146584.94133366999</v>
      </c>
      <c r="J1727">
        <v>112</v>
      </c>
      <c r="K1727">
        <v>382</v>
      </c>
      <c r="L1727">
        <v>1000</v>
      </c>
      <c r="M1727">
        <v>50</v>
      </c>
      <c r="P1727" s="2"/>
    </row>
    <row r="1728" spans="1:16">
      <c r="A1728" t="s">
        <v>797</v>
      </c>
      <c r="B1728" t="s">
        <v>805</v>
      </c>
      <c r="C1728" t="s">
        <v>806</v>
      </c>
      <c r="D1728" t="s">
        <v>804</v>
      </c>
      <c r="E1728" s="2" t="s">
        <v>766</v>
      </c>
      <c r="F1728" s="2" t="s">
        <v>2700</v>
      </c>
      <c r="G1728" s="2">
        <f>$G$1726+430.797/1000</f>
        <v>411.50357236136904</v>
      </c>
      <c r="H1728">
        <v>-14942</v>
      </c>
      <c r="I1728">
        <v>-147015.00423757001</v>
      </c>
      <c r="J1728">
        <v>112</v>
      </c>
      <c r="K1728">
        <v>382</v>
      </c>
      <c r="L1728">
        <v>1000</v>
      </c>
      <c r="M1728">
        <v>50</v>
      </c>
      <c r="P1728" s="2"/>
    </row>
    <row r="1729" spans="1:13">
      <c r="A1729" t="s">
        <v>797</v>
      </c>
      <c r="B1729" t="s">
        <v>805</v>
      </c>
      <c r="C1729" t="s">
        <v>806</v>
      </c>
      <c r="D1729" t="s">
        <v>804</v>
      </c>
      <c r="E1729" s="2" t="s">
        <v>403</v>
      </c>
      <c r="F1729" s="2" t="s">
        <v>2701</v>
      </c>
      <c r="G1729" s="2">
        <f>$G$1726+430.797/1000</f>
        <v>411.50357236136904</v>
      </c>
      <c r="H1729">
        <v>-14942</v>
      </c>
      <c r="I1729">
        <v>-147015.00423757001</v>
      </c>
      <c r="J1729">
        <v>112</v>
      </c>
      <c r="K1729">
        <v>382</v>
      </c>
      <c r="L1729">
        <v>1000</v>
      </c>
      <c r="M1729">
        <v>50</v>
      </c>
    </row>
    <row r="1730" spans="1:13">
      <c r="A1730" t="s">
        <v>797</v>
      </c>
      <c r="B1730" t="s">
        <v>2288</v>
      </c>
      <c r="C1730" t="s">
        <v>1152</v>
      </c>
      <c r="D1730" t="s">
        <v>804</v>
      </c>
      <c r="E1730" s="8" t="s">
        <v>2343</v>
      </c>
      <c r="F1730" s="8" t="s">
        <v>2343</v>
      </c>
      <c r="G1730" s="1">
        <f>$G$1729+432.5/1000</f>
        <v>411.93607236136904</v>
      </c>
      <c r="H1730">
        <v>-15000</v>
      </c>
      <c r="I1730">
        <f>$I$1710-5438.7783</f>
        <v>-147459.73149546</v>
      </c>
      <c r="J1730">
        <v>-270</v>
      </c>
      <c r="K1730">
        <v>0</v>
      </c>
    </row>
    <row r="1731" spans="1:13">
      <c r="A1731" t="s">
        <v>797</v>
      </c>
      <c r="B1731" t="s">
        <v>1152</v>
      </c>
      <c r="C1731" t="s">
        <v>1152</v>
      </c>
      <c r="D1731" t="s">
        <v>804</v>
      </c>
      <c r="E1731" s="3" t="s">
        <v>2151</v>
      </c>
      <c r="F1731" s="3" t="s">
        <v>2151</v>
      </c>
      <c r="G1731" s="1">
        <f>$G$1730+ABS($I$1731-$I$1730)/1000</f>
        <v>412.17107336136905</v>
      </c>
      <c r="H1731">
        <v>-15000</v>
      </c>
      <c r="I1731">
        <f>$I$1730-235.001</f>
        <v>-147694.73249545999</v>
      </c>
      <c r="J1731">
        <v>-270</v>
      </c>
      <c r="K1731">
        <v>0</v>
      </c>
    </row>
    <row r="1732" spans="1:13">
      <c r="A1732" t="s">
        <v>797</v>
      </c>
      <c r="B1732" t="s">
        <v>2288</v>
      </c>
      <c r="C1732" t="s">
        <v>1152</v>
      </c>
      <c r="D1732" t="s">
        <v>804</v>
      </c>
      <c r="E1732" s="8" t="s">
        <v>2152</v>
      </c>
      <c r="F1732" s="8" t="s">
        <v>2152</v>
      </c>
      <c r="G1732" s="1">
        <f>$G$1731+ABS($I$1732-$I$1731)/1000</f>
        <v>412.31357336136904</v>
      </c>
      <c r="H1732">
        <v>-15000</v>
      </c>
      <c r="I1732">
        <f>$I$1731-142.5</f>
        <v>-147837.23249545999</v>
      </c>
      <c r="J1732">
        <v>-270</v>
      </c>
      <c r="K1732">
        <v>0</v>
      </c>
      <c r="L1732">
        <v>100</v>
      </c>
    </row>
    <row r="1733" spans="1:13">
      <c r="A1733" t="s">
        <v>797</v>
      </c>
      <c r="B1733" t="s">
        <v>1152</v>
      </c>
      <c r="C1733" t="s">
        <v>1152</v>
      </c>
      <c r="D1733" t="s">
        <v>804</v>
      </c>
      <c r="E1733" s="3" t="s">
        <v>2150</v>
      </c>
      <c r="F1733" s="3" t="s">
        <v>2150</v>
      </c>
      <c r="G1733" s="1">
        <f>$G$1732+ABS($I$1733-$I$1732)/1000</f>
        <v>412.71224336136908</v>
      </c>
      <c r="H1733">
        <v>-15000</v>
      </c>
      <c r="I1733">
        <f>$I$1732-398.67</f>
        <v>-148235.90249546</v>
      </c>
      <c r="J1733">
        <v>-270</v>
      </c>
      <c r="K1733">
        <v>0</v>
      </c>
    </row>
    <row r="1734" spans="1:13">
      <c r="A1734" t="s">
        <v>797</v>
      </c>
      <c r="B1734" t="s">
        <v>805</v>
      </c>
      <c r="C1734" t="s">
        <v>806</v>
      </c>
      <c r="E1734" s="2" t="s">
        <v>404</v>
      </c>
      <c r="F1734" s="2" t="s">
        <v>2702</v>
      </c>
      <c r="G1734" s="1">
        <v>412.80771099999993</v>
      </c>
      <c r="H1734">
        <v>-15000</v>
      </c>
      <c r="I1734">
        <v>-148443.47881507999</v>
      </c>
      <c r="J1734">
        <v>-50</v>
      </c>
      <c r="K1734">
        <v>220</v>
      </c>
      <c r="L1734">
        <f>_xlfn.XLOOKUP(F1734,magnet_list!$A$2:$A$592,magnet_list!$M$2:$M$592,"n/a",0,1)</f>
        <v>200</v>
      </c>
      <c r="M1734">
        <f>_xlfn.XLOOKUP(F1734,magnet_list!$A$2:$A$592,magnet_list!$L$2:$L$592,"n/a",0,1)</f>
        <v>20</v>
      </c>
    </row>
    <row r="1735" spans="1:13">
      <c r="A1735" t="s">
        <v>797</v>
      </c>
      <c r="B1735" t="s">
        <v>805</v>
      </c>
      <c r="C1735" t="s">
        <v>1152</v>
      </c>
      <c r="D1735" t="s">
        <v>804</v>
      </c>
      <c r="E1735" s="2" t="s">
        <v>767</v>
      </c>
      <c r="F1735" s="2" t="s">
        <v>2702</v>
      </c>
      <c r="G1735" s="1">
        <v>412.88271049999992</v>
      </c>
      <c r="H1735">
        <v>-15000</v>
      </c>
      <c r="I1735">
        <v>-148518.47831507999</v>
      </c>
      <c r="J1735">
        <v>-50</v>
      </c>
      <c r="K1735">
        <v>220</v>
      </c>
      <c r="L1735">
        <f>_xlfn.XLOOKUP(F1735,magnet_list!$A$2:$A$592,magnet_list!$M$2:$M$592,"n/a",0,1)</f>
        <v>200</v>
      </c>
      <c r="M1735">
        <f>_xlfn.XLOOKUP(F1735,magnet_list!$A$2:$A$592,magnet_list!$L$2:$L$592,"n/a",0,1)</f>
        <v>20</v>
      </c>
    </row>
    <row r="1736" spans="1:13">
      <c r="A1736" t="s">
        <v>797</v>
      </c>
      <c r="B1736" t="s">
        <v>805</v>
      </c>
      <c r="C1736" t="s">
        <v>806</v>
      </c>
      <c r="E1736" s="2" t="s">
        <v>405</v>
      </c>
      <c r="F1736" s="2" t="s">
        <v>2702</v>
      </c>
      <c r="G1736" s="1">
        <v>412.95770999999996</v>
      </c>
      <c r="H1736">
        <v>-15000</v>
      </c>
      <c r="I1736">
        <v>-148593.45653043</v>
      </c>
      <c r="J1736">
        <v>-50</v>
      </c>
      <c r="K1736">
        <v>220</v>
      </c>
      <c r="L1736">
        <f>_xlfn.XLOOKUP(F1736,magnet_list!$A$2:$A$592,magnet_list!$M$2:$M$592,"n/a",0,1)</f>
        <v>200</v>
      </c>
      <c r="M1736">
        <f>_xlfn.XLOOKUP(F1736,magnet_list!$A$2:$A$592,magnet_list!$L$2:$L$592,"n/a",0,1)</f>
        <v>20</v>
      </c>
    </row>
    <row r="1737" spans="1:13">
      <c r="A1737" t="s">
        <v>797</v>
      </c>
      <c r="B1737" t="s">
        <v>805</v>
      </c>
      <c r="C1737" t="s">
        <v>806</v>
      </c>
      <c r="E1737" s="2" t="s">
        <v>406</v>
      </c>
      <c r="F1737" s="2" t="s">
        <v>406</v>
      </c>
      <c r="G1737" s="1">
        <v>413.21270999999996</v>
      </c>
      <c r="H1737">
        <v>-15000</v>
      </c>
      <c r="I1737">
        <v>-148848.47195119</v>
      </c>
      <c r="J1737">
        <v>-90</v>
      </c>
      <c r="K1737">
        <v>180</v>
      </c>
      <c r="L1737">
        <f>_xlfn.XLOOKUP(F1737,magnet_list!$A$2:$A$592,magnet_list!$M$2:$M$592,"n/a",0,1)</f>
        <v>80</v>
      </c>
      <c r="M1737">
        <f>_xlfn.XLOOKUP(F1737,magnet_list!$A$2:$A$592,magnet_list!$L$2:$L$592,"n/a",0,1)</f>
        <v>20</v>
      </c>
    </row>
    <row r="1738" spans="1:13">
      <c r="A1738" t="s">
        <v>797</v>
      </c>
      <c r="B1738" t="s">
        <v>805</v>
      </c>
      <c r="C1738" t="s">
        <v>1152</v>
      </c>
      <c r="D1738" t="s">
        <v>804</v>
      </c>
      <c r="E1738" s="2" t="s">
        <v>1889</v>
      </c>
      <c r="F1738" s="2" t="s">
        <v>406</v>
      </c>
      <c r="G1738" s="1">
        <v>413.21270999999996</v>
      </c>
      <c r="H1738">
        <v>-15000</v>
      </c>
      <c r="I1738">
        <v>-148848.47195119</v>
      </c>
      <c r="J1738">
        <v>-90</v>
      </c>
      <c r="K1738">
        <v>180</v>
      </c>
      <c r="L1738">
        <f>_xlfn.XLOOKUP(F1738,magnet_list!$A$2:$A$592,magnet_list!$M$2:$M$592,"n/a",0,1)</f>
        <v>80</v>
      </c>
      <c r="M1738">
        <f>_xlfn.XLOOKUP(F1738,magnet_list!$A$2:$A$592,magnet_list!$L$2:$L$592,"n/a",0,1)</f>
        <v>20</v>
      </c>
    </row>
    <row r="1739" spans="1:13">
      <c r="A1739" t="s">
        <v>797</v>
      </c>
      <c r="B1739" t="s">
        <v>805</v>
      </c>
      <c r="C1739" t="s">
        <v>806</v>
      </c>
      <c r="E1739" s="2" t="s">
        <v>407</v>
      </c>
      <c r="F1739" s="2" t="s">
        <v>407</v>
      </c>
      <c r="G1739" s="1">
        <v>413.41272399999997</v>
      </c>
      <c r="H1739">
        <v>-15000</v>
      </c>
      <c r="I1739">
        <v>-149048.47244042001</v>
      </c>
      <c r="J1739">
        <v>-90</v>
      </c>
      <c r="K1739">
        <v>180</v>
      </c>
      <c r="L1739">
        <f>_xlfn.XLOOKUP(F1739,magnet_list!$A$2:$A$592,magnet_list!$M$2:$M$592,"n/a",0,1)</f>
        <v>80</v>
      </c>
      <c r="M1739">
        <f>_xlfn.XLOOKUP(F1739,magnet_list!$A$2:$A$592,magnet_list!$L$2:$L$592,"n/a",0,1)</f>
        <v>20</v>
      </c>
    </row>
    <row r="1740" spans="1:13">
      <c r="A1740" t="s">
        <v>797</v>
      </c>
      <c r="B1740" t="s">
        <v>805</v>
      </c>
      <c r="C1740" t="s">
        <v>1152</v>
      </c>
      <c r="D1740" t="s">
        <v>804</v>
      </c>
      <c r="E1740" s="2" t="s">
        <v>1890</v>
      </c>
      <c r="F1740" s="2" t="s">
        <v>407</v>
      </c>
      <c r="G1740" s="1">
        <v>413.41272399999997</v>
      </c>
      <c r="H1740">
        <v>-15000</v>
      </c>
      <c r="I1740">
        <v>-149048.47244042001</v>
      </c>
      <c r="J1740">
        <v>-90</v>
      </c>
      <c r="K1740">
        <v>180</v>
      </c>
      <c r="L1740">
        <f>_xlfn.XLOOKUP(F1740,magnet_list!$A$2:$A$592,magnet_list!$M$2:$M$592,"n/a",0,1)</f>
        <v>80</v>
      </c>
      <c r="M1740">
        <f>_xlfn.XLOOKUP(F1740,magnet_list!$A$2:$A$592,magnet_list!$L$2:$L$592,"n/a",0,1)</f>
        <v>20</v>
      </c>
    </row>
    <row r="1741" spans="1:13">
      <c r="A1741" t="s">
        <v>797</v>
      </c>
      <c r="B1741" t="s">
        <v>805</v>
      </c>
      <c r="C1741" t="s">
        <v>806</v>
      </c>
      <c r="E1741" s="2" t="s">
        <v>408</v>
      </c>
      <c r="F1741" s="2" t="s">
        <v>2703</v>
      </c>
      <c r="G1741" s="1">
        <v>413.66774499999997</v>
      </c>
      <c r="H1741">
        <v>-15000</v>
      </c>
      <c r="I1741">
        <v>-149303.49221105999</v>
      </c>
      <c r="J1741">
        <v>-50</v>
      </c>
      <c r="K1741">
        <v>220</v>
      </c>
      <c r="L1741">
        <f>_xlfn.XLOOKUP(F1741,magnet_list!$A$2:$A$592,magnet_list!$M$2:$M$592,"n/a",0,1)</f>
        <v>200</v>
      </c>
      <c r="M1741">
        <f>_xlfn.XLOOKUP(F1741,magnet_list!$A$2:$A$592,magnet_list!$L$2:$L$592,"n/a",0,1)</f>
        <v>20</v>
      </c>
    </row>
    <row r="1742" spans="1:13">
      <c r="A1742" t="s">
        <v>797</v>
      </c>
      <c r="B1742" t="s">
        <v>805</v>
      </c>
      <c r="C1742" t="s">
        <v>1152</v>
      </c>
      <c r="D1742" t="s">
        <v>804</v>
      </c>
      <c r="E1742" s="2" t="s">
        <v>768</v>
      </c>
      <c r="F1742" s="2" t="s">
        <v>2703</v>
      </c>
      <c r="G1742" s="1">
        <v>413.74275</v>
      </c>
      <c r="H1742">
        <v>-15000</v>
      </c>
      <c r="I1742">
        <v>-149378.49721105999</v>
      </c>
      <c r="J1742">
        <v>-50</v>
      </c>
      <c r="K1742">
        <v>220</v>
      </c>
      <c r="L1742">
        <f>_xlfn.XLOOKUP(F1742,magnet_list!$A$2:$A$592,magnet_list!$M$2:$M$592,"n/a",0,1)</f>
        <v>200</v>
      </c>
      <c r="M1742">
        <f>_xlfn.XLOOKUP(F1742,magnet_list!$A$2:$A$592,magnet_list!$L$2:$L$592,"n/a",0,1)</f>
        <v>20</v>
      </c>
    </row>
    <row r="1743" spans="1:13">
      <c r="A1743" t="s">
        <v>797</v>
      </c>
      <c r="B1743" t="s">
        <v>805</v>
      </c>
      <c r="C1743" t="s">
        <v>806</v>
      </c>
      <c r="E1743" s="2" t="s">
        <v>409</v>
      </c>
      <c r="F1743" s="2" t="s">
        <v>2703</v>
      </c>
      <c r="G1743" s="1">
        <v>413.81775499999998</v>
      </c>
      <c r="H1743">
        <v>-15000</v>
      </c>
      <c r="I1743">
        <v>-149453.50484790001</v>
      </c>
      <c r="J1743">
        <v>-50</v>
      </c>
      <c r="K1743">
        <v>220</v>
      </c>
      <c r="L1743">
        <f>_xlfn.XLOOKUP(F1743,magnet_list!$A$2:$A$592,magnet_list!$M$2:$M$592,"n/a",0,1)</f>
        <v>200</v>
      </c>
      <c r="M1743">
        <f>_xlfn.XLOOKUP(F1743,magnet_list!$A$2:$A$592,magnet_list!$L$2:$L$592,"n/a",0,1)</f>
        <v>20</v>
      </c>
    </row>
    <row r="1744" spans="1:13">
      <c r="A1744" t="s">
        <v>797</v>
      </c>
      <c r="B1744" t="s">
        <v>803</v>
      </c>
      <c r="C1744" t="s">
        <v>806</v>
      </c>
      <c r="E1744" t="s">
        <v>1029</v>
      </c>
      <c r="F1744" t="s">
        <v>1029</v>
      </c>
      <c r="G1744" s="1">
        <v>414.04992299999981</v>
      </c>
      <c r="H1744">
        <v>-15400</v>
      </c>
      <c r="I1744">
        <v>-149688.72099423001</v>
      </c>
      <c r="J1744">
        <v>-689</v>
      </c>
      <c r="K1744">
        <v>-419</v>
      </c>
    </row>
    <row r="1745" spans="1:12">
      <c r="A1745" t="s">
        <v>797</v>
      </c>
      <c r="B1745" t="s">
        <v>804</v>
      </c>
      <c r="C1745" t="s">
        <v>1152</v>
      </c>
      <c r="D1745" t="s">
        <v>804</v>
      </c>
      <c r="E1745" s="10" t="s">
        <v>1654</v>
      </c>
      <c r="F1745" s="10" t="s">
        <v>2704</v>
      </c>
      <c r="G1745" s="1">
        <f>$G$1746-ABS($I$1746-$I$1745)/1000</f>
        <v>414.25722156136908</v>
      </c>
      <c r="H1745">
        <v>-15000</v>
      </c>
      <c r="I1745">
        <f>$I$1746+$L$1745/2</f>
        <v>-149780.88069546001</v>
      </c>
      <c r="J1745">
        <v>-270</v>
      </c>
      <c r="K1745">
        <v>0</v>
      </c>
      <c r="L1745">
        <v>1889.4492</v>
      </c>
    </row>
    <row r="1746" spans="1:12">
      <c r="A1746" t="s">
        <v>797</v>
      </c>
      <c r="B1746" t="s">
        <v>804</v>
      </c>
      <c r="C1746" t="s">
        <v>1152</v>
      </c>
      <c r="D1746" t="s">
        <v>804</v>
      </c>
      <c r="E1746" s="10" t="s">
        <v>1199</v>
      </c>
      <c r="F1746" s="10" t="s">
        <v>2704</v>
      </c>
      <c r="G1746" s="1">
        <f>$G$1733+ABS($I$1746-$I$1733)/1000</f>
        <v>415.20194616136905</v>
      </c>
      <c r="H1746">
        <v>-15000</v>
      </c>
      <c r="I1746">
        <f>$I$1733-2489.7028</f>
        <v>-150725.60529546</v>
      </c>
      <c r="J1746">
        <v>-270</v>
      </c>
      <c r="K1746">
        <v>0</v>
      </c>
      <c r="L1746">
        <v>1889.4492</v>
      </c>
    </row>
    <row r="1747" spans="1:12">
      <c r="A1747" t="s">
        <v>797</v>
      </c>
      <c r="B1747" t="s">
        <v>804</v>
      </c>
      <c r="C1747" t="s">
        <v>1152</v>
      </c>
      <c r="D1747" t="s">
        <v>804</v>
      </c>
      <c r="E1747" s="10" t="s">
        <v>1655</v>
      </c>
      <c r="F1747" s="10" t="s">
        <v>2704</v>
      </c>
      <c r="G1747" s="1">
        <f>$G$1746+ABS($I$1747-$I$1746)/1000</f>
        <v>416.14667076136902</v>
      </c>
      <c r="H1747">
        <v>-15000</v>
      </c>
      <c r="I1747">
        <f>$I$1746-$L$1747/2</f>
        <v>-151670.32989545999</v>
      </c>
      <c r="J1747">
        <v>-270</v>
      </c>
      <c r="K1747">
        <v>0</v>
      </c>
      <c r="L1747">
        <v>1889.4492</v>
      </c>
    </row>
    <row r="1748" spans="1:12">
      <c r="A1748" t="s">
        <v>797</v>
      </c>
      <c r="B1748" t="s">
        <v>804</v>
      </c>
      <c r="C1748" t="s">
        <v>1152</v>
      </c>
      <c r="D1748" t="s">
        <v>804</v>
      </c>
      <c r="E1748" s="10" t="s">
        <v>1656</v>
      </c>
      <c r="F1748" s="10" t="s">
        <v>2705</v>
      </c>
      <c r="G1748" s="1">
        <f>$G$1749-ABS($I$1749-$I$1748)/1000</f>
        <v>416.3566125613691</v>
      </c>
      <c r="H1748">
        <v>-15000</v>
      </c>
      <c r="I1748">
        <f>$I$1749+$L$1748/2</f>
        <v>-151880.27169546002</v>
      </c>
      <c r="J1748">
        <v>-270</v>
      </c>
      <c r="K1748">
        <v>0</v>
      </c>
      <c r="L1748">
        <v>1889.4492</v>
      </c>
    </row>
    <row r="1749" spans="1:12">
      <c r="A1749" t="s">
        <v>797</v>
      </c>
      <c r="B1749" t="s">
        <v>804</v>
      </c>
      <c r="C1749" t="s">
        <v>1152</v>
      </c>
      <c r="D1749" t="s">
        <v>804</v>
      </c>
      <c r="E1749" s="10" t="s">
        <v>1255</v>
      </c>
      <c r="F1749" s="10" t="s">
        <v>2705</v>
      </c>
      <c r="G1749" s="1">
        <f>$G$1746+ABS($I$1749-$I$1746)/1000</f>
        <v>417.30133716136908</v>
      </c>
      <c r="H1749">
        <v>-15000</v>
      </c>
      <c r="I1749">
        <f>$I$1746-2099.391</f>
        <v>-152824.99629546001</v>
      </c>
      <c r="J1749">
        <v>-270</v>
      </c>
      <c r="K1749">
        <v>0</v>
      </c>
      <c r="L1749">
        <v>1889.4492</v>
      </c>
    </row>
    <row r="1750" spans="1:12">
      <c r="A1750" t="s">
        <v>797</v>
      </c>
      <c r="B1750" t="s">
        <v>803</v>
      </c>
      <c r="C1750" t="s">
        <v>806</v>
      </c>
      <c r="E1750" t="s">
        <v>866</v>
      </c>
      <c r="F1750" t="s">
        <v>866</v>
      </c>
      <c r="G1750" s="1">
        <v>417.33172899999988</v>
      </c>
      <c r="H1750">
        <v>-13510.577964919999</v>
      </c>
      <c r="I1750">
        <v>-152969.81658059999</v>
      </c>
      <c r="J1750">
        <v>-28.444479619999999</v>
      </c>
      <c r="K1750">
        <v>241.55552037999999</v>
      </c>
    </row>
    <row r="1751" spans="1:12">
      <c r="A1751" t="s">
        <v>797</v>
      </c>
      <c r="B1751" t="s">
        <v>804</v>
      </c>
      <c r="C1751" t="s">
        <v>1152</v>
      </c>
      <c r="D1751" t="s">
        <v>804</v>
      </c>
      <c r="E1751" s="10" t="s">
        <v>1657</v>
      </c>
      <c r="F1751" s="10" t="s">
        <v>2705</v>
      </c>
      <c r="G1751" s="1">
        <f>$G$1749+ABS($I$1751-$I$1749)/1000</f>
        <v>418.24606176136905</v>
      </c>
      <c r="H1751">
        <v>-15000</v>
      </c>
      <c r="I1751">
        <f>$I$1749-$L$1751/2</f>
        <v>-153769.72089545999</v>
      </c>
      <c r="J1751">
        <v>-270</v>
      </c>
      <c r="K1751">
        <v>0</v>
      </c>
      <c r="L1751">
        <v>1889.4492</v>
      </c>
    </row>
    <row r="1752" spans="1:12">
      <c r="A1752" t="s">
        <v>797</v>
      </c>
      <c r="B1752" t="s">
        <v>1152</v>
      </c>
      <c r="C1752" t="s">
        <v>1152</v>
      </c>
      <c r="D1752" t="s">
        <v>804</v>
      </c>
      <c r="E1752" s="3" t="s">
        <v>2153</v>
      </c>
      <c r="F1752" s="3" t="s">
        <v>2153</v>
      </c>
      <c r="G1752" s="1">
        <f>$G$1749+ABS($I$1752-$I$1749)/1000</f>
        <v>418.54093436136907</v>
      </c>
      <c r="H1752">
        <v>-15000</v>
      </c>
      <c r="I1752">
        <f>$I$1749-1239.5972</f>
        <v>-154064.59349545999</v>
      </c>
      <c r="J1752">
        <v>-270</v>
      </c>
      <c r="K1752">
        <v>0</v>
      </c>
    </row>
    <row r="1753" spans="1:12">
      <c r="A1753" t="s">
        <v>797</v>
      </c>
      <c r="B1753" t="s">
        <v>804</v>
      </c>
      <c r="C1753" t="s">
        <v>1152</v>
      </c>
      <c r="D1753" t="s">
        <v>804</v>
      </c>
      <c r="E1753" s="10" t="s">
        <v>1658</v>
      </c>
      <c r="F1753" s="10" t="s">
        <v>2706</v>
      </c>
      <c r="G1753" s="1">
        <f>$G$1754-ABS($I$1754-$I$1753)/1000</f>
        <v>418.7709035613691</v>
      </c>
      <c r="H1753">
        <v>-15000</v>
      </c>
      <c r="I1753">
        <f>$I$1754+$L$1753/2</f>
        <v>-154294.56269546002</v>
      </c>
      <c r="J1753">
        <v>-270</v>
      </c>
      <c r="K1753">
        <v>0</v>
      </c>
      <c r="L1753">
        <v>1889.4492</v>
      </c>
    </row>
    <row r="1754" spans="1:12">
      <c r="A1754" t="s">
        <v>797</v>
      </c>
      <c r="B1754" t="s">
        <v>804</v>
      </c>
      <c r="C1754" t="s">
        <v>1152</v>
      </c>
      <c r="D1754" t="s">
        <v>804</v>
      </c>
      <c r="E1754" s="10" t="s">
        <v>1309</v>
      </c>
      <c r="F1754" s="10" t="s">
        <v>2706</v>
      </c>
      <c r="G1754" s="1">
        <f>$G$1752+ABS($I$1754-$I$1752)/1000</f>
        <v>419.71562816136907</v>
      </c>
      <c r="H1754">
        <v>-15000</v>
      </c>
      <c r="I1754">
        <f>$I$1752-1174.6938</f>
        <v>-155239.28729546</v>
      </c>
      <c r="J1754">
        <v>-270</v>
      </c>
      <c r="K1754">
        <v>0</v>
      </c>
      <c r="L1754">
        <v>1889.4492</v>
      </c>
    </row>
    <row r="1755" spans="1:12">
      <c r="A1755" t="s">
        <v>797</v>
      </c>
      <c r="B1755" t="s">
        <v>803</v>
      </c>
      <c r="C1755" t="s">
        <v>806</v>
      </c>
      <c r="E1755" t="s">
        <v>867</v>
      </c>
      <c r="F1755" t="s">
        <v>867</v>
      </c>
      <c r="G1755" s="1">
        <v>420.34829799999989</v>
      </c>
      <c r="H1755">
        <v>-17463.814384860001</v>
      </c>
      <c r="I1755">
        <v>-155987.70740283001</v>
      </c>
      <c r="J1755">
        <v>-30.058025820000001</v>
      </c>
      <c r="K1755">
        <v>239.94197417999999</v>
      </c>
    </row>
    <row r="1756" spans="1:12">
      <c r="A1756" t="s">
        <v>797</v>
      </c>
      <c r="B1756" t="s">
        <v>804</v>
      </c>
      <c r="C1756" t="s">
        <v>1152</v>
      </c>
      <c r="D1756" t="s">
        <v>804</v>
      </c>
      <c r="E1756" s="10" t="s">
        <v>1659</v>
      </c>
      <c r="F1756" s="10" t="s">
        <v>2706</v>
      </c>
      <c r="G1756" s="1">
        <f>$G$1754+ABS($I$1756-$I$1754)/1000</f>
        <v>420.66035276136904</v>
      </c>
      <c r="H1756">
        <v>-15000</v>
      </c>
      <c r="I1756">
        <f>$I$1754-$L$1756/2</f>
        <v>-156184.01189545999</v>
      </c>
      <c r="J1756">
        <v>-270</v>
      </c>
      <c r="K1756">
        <v>0</v>
      </c>
      <c r="L1756">
        <v>1889.4492</v>
      </c>
    </row>
    <row r="1757" spans="1:12">
      <c r="A1757" t="s">
        <v>797</v>
      </c>
      <c r="B1757" t="s">
        <v>804</v>
      </c>
      <c r="C1757" t="s">
        <v>1152</v>
      </c>
      <c r="D1757" t="s">
        <v>804</v>
      </c>
      <c r="E1757" s="10" t="s">
        <v>1660</v>
      </c>
      <c r="F1757" s="10" t="s">
        <v>2707</v>
      </c>
      <c r="G1757" s="1">
        <f>$G$1758-ABS($I$1758-$I$1757)/1000</f>
        <v>420.87029456136912</v>
      </c>
      <c r="H1757">
        <v>-15000</v>
      </c>
      <c r="I1757">
        <f>$I$1758+$L$1757/2</f>
        <v>-156393.95369546002</v>
      </c>
      <c r="J1757">
        <v>-270</v>
      </c>
      <c r="K1757">
        <v>0</v>
      </c>
      <c r="L1757">
        <v>1889.4492</v>
      </c>
    </row>
    <row r="1758" spans="1:12">
      <c r="A1758" t="s">
        <v>797</v>
      </c>
      <c r="B1758" t="s">
        <v>804</v>
      </c>
      <c r="C1758" t="s">
        <v>1152</v>
      </c>
      <c r="D1758" t="s">
        <v>804</v>
      </c>
      <c r="E1758" s="10" t="s">
        <v>1363</v>
      </c>
      <c r="F1758" s="10" t="s">
        <v>2707</v>
      </c>
      <c r="G1758" s="1">
        <f>$G$1754+ABS($I$1758-$I$1754)/1000</f>
        <v>421.81501916136909</v>
      </c>
      <c r="H1758">
        <v>-15000</v>
      </c>
      <c r="I1758">
        <f>$I$1754-2099.391</f>
        <v>-157338.67829546001</v>
      </c>
      <c r="J1758">
        <v>-270</v>
      </c>
      <c r="K1758">
        <v>0</v>
      </c>
      <c r="L1758">
        <v>1889.4492</v>
      </c>
    </row>
    <row r="1759" spans="1:12">
      <c r="A1759" t="s">
        <v>797</v>
      </c>
      <c r="B1759" t="s">
        <v>803</v>
      </c>
      <c r="C1759" t="s">
        <v>806</v>
      </c>
      <c r="E1759" t="s">
        <v>868</v>
      </c>
      <c r="F1759" t="s">
        <v>868</v>
      </c>
      <c r="G1759" s="1">
        <v>422.14777599999991</v>
      </c>
      <c r="H1759">
        <v>-13512.427073549999</v>
      </c>
      <c r="I1759">
        <v>-157785.84888415001</v>
      </c>
      <c r="J1759">
        <v>170.28483123999999</v>
      </c>
      <c r="K1759">
        <v>440.28483124000002</v>
      </c>
    </row>
    <row r="1760" spans="1:12">
      <c r="A1760" t="s">
        <v>797</v>
      </c>
      <c r="B1760" t="s">
        <v>804</v>
      </c>
      <c r="C1760" t="s">
        <v>1152</v>
      </c>
      <c r="D1760" t="s">
        <v>804</v>
      </c>
      <c r="E1760" s="10" t="s">
        <v>1661</v>
      </c>
      <c r="F1760" s="10" t="s">
        <v>2707</v>
      </c>
      <c r="G1760" s="1">
        <f>$G$1758+ABS($I$1760-$I$1758)/1000</f>
        <v>422.75974376136907</v>
      </c>
      <c r="H1760">
        <v>-15000</v>
      </c>
      <c r="I1760">
        <f>$I$1758-$L$1760/2</f>
        <v>-158283.40289545999</v>
      </c>
      <c r="J1760">
        <v>-270</v>
      </c>
      <c r="K1760">
        <v>0</v>
      </c>
      <c r="L1760">
        <v>1889.4492</v>
      </c>
    </row>
    <row r="1761" spans="1:13">
      <c r="A1761" t="s">
        <v>797</v>
      </c>
      <c r="B1761" t="s">
        <v>803</v>
      </c>
      <c r="C1761" t="s">
        <v>806</v>
      </c>
      <c r="E1761" t="s">
        <v>1028</v>
      </c>
      <c r="F1761" t="s">
        <v>1028</v>
      </c>
      <c r="G1761" s="1">
        <v>422.76940299999984</v>
      </c>
      <c r="H1761">
        <v>-15400</v>
      </c>
      <c r="I1761">
        <v>-158408.1844647</v>
      </c>
      <c r="J1761">
        <v>-689</v>
      </c>
      <c r="K1761">
        <v>-419</v>
      </c>
    </row>
    <row r="1762" spans="1:13">
      <c r="A1762" t="s">
        <v>797</v>
      </c>
      <c r="B1762" t="s">
        <v>1152</v>
      </c>
      <c r="C1762" t="s">
        <v>1152</v>
      </c>
      <c r="D1762" t="s">
        <v>804</v>
      </c>
      <c r="E1762" s="3" t="s">
        <v>2154</v>
      </c>
      <c r="F1762" s="3" t="s">
        <v>2154</v>
      </c>
      <c r="G1762" s="1">
        <f>$G$1758+ABS($I$1762-$I$1758)/1000</f>
        <v>422.91223966136909</v>
      </c>
      <c r="H1762">
        <v>-15000</v>
      </c>
      <c r="I1762">
        <f>$I$1758-1097.2205</f>
        <v>-158435.89879546</v>
      </c>
      <c r="J1762">
        <v>-270</v>
      </c>
      <c r="K1762">
        <v>0</v>
      </c>
    </row>
    <row r="1763" spans="1:13">
      <c r="A1763" t="s">
        <v>797</v>
      </c>
      <c r="B1763" t="s">
        <v>805</v>
      </c>
      <c r="C1763" t="s">
        <v>806</v>
      </c>
      <c r="E1763" s="2" t="s">
        <v>410</v>
      </c>
      <c r="F1763" s="2" t="s">
        <v>2708</v>
      </c>
      <c r="G1763" s="1">
        <v>423.008195</v>
      </c>
      <c r="H1763">
        <v>-15000</v>
      </c>
      <c r="I1763">
        <v>-158643.91131798</v>
      </c>
      <c r="J1763">
        <v>-50</v>
      </c>
      <c r="K1763">
        <v>220</v>
      </c>
      <c r="L1763">
        <f>_xlfn.XLOOKUP(F1763,magnet_list!$A$2:$A$592,magnet_list!$M$2:$M$592,"n/a",0,1)</f>
        <v>200</v>
      </c>
      <c r="M1763">
        <f>_xlfn.XLOOKUP(F1763,magnet_list!$A$2:$A$592,magnet_list!$L$2:$L$592,"n/a",0,1)</f>
        <v>20</v>
      </c>
    </row>
    <row r="1764" spans="1:13">
      <c r="A1764" t="s">
        <v>797</v>
      </c>
      <c r="B1764" t="s">
        <v>805</v>
      </c>
      <c r="C1764" t="s">
        <v>1152</v>
      </c>
      <c r="D1764" t="s">
        <v>804</v>
      </c>
      <c r="E1764" s="2" t="s">
        <v>769</v>
      </c>
      <c r="F1764" s="2" t="s">
        <v>2708</v>
      </c>
      <c r="G1764" s="1">
        <v>423.08318250000002</v>
      </c>
      <c r="H1764">
        <v>-15000</v>
      </c>
      <c r="I1764">
        <v>-158718.89881798002</v>
      </c>
      <c r="J1764">
        <v>-50</v>
      </c>
      <c r="K1764">
        <v>220</v>
      </c>
      <c r="L1764">
        <f>_xlfn.XLOOKUP(F1764,magnet_list!$A$2:$A$592,magnet_list!$M$2:$M$592,"n/a",0,1)</f>
        <v>200</v>
      </c>
      <c r="M1764">
        <f>_xlfn.XLOOKUP(F1764,magnet_list!$A$2:$A$592,magnet_list!$L$2:$L$592,"n/a",0,1)</f>
        <v>20</v>
      </c>
    </row>
    <row r="1765" spans="1:13">
      <c r="A1765" t="s">
        <v>797</v>
      </c>
      <c r="B1765" t="s">
        <v>805</v>
      </c>
      <c r="C1765" t="s">
        <v>806</v>
      </c>
      <c r="E1765" s="2" t="s">
        <v>411</v>
      </c>
      <c r="F1765" s="2" t="s">
        <v>2708</v>
      </c>
      <c r="G1765" s="1">
        <v>423.15816999999998</v>
      </c>
      <c r="H1765">
        <v>-15000</v>
      </c>
      <c r="I1765">
        <v>-158793.87828986999</v>
      </c>
      <c r="J1765">
        <v>-50</v>
      </c>
      <c r="K1765">
        <v>220</v>
      </c>
      <c r="L1765">
        <f>_xlfn.XLOOKUP(F1765,magnet_list!$A$2:$A$592,magnet_list!$M$2:$M$592,"n/a",0,1)</f>
        <v>200</v>
      </c>
      <c r="M1765">
        <f>_xlfn.XLOOKUP(F1765,magnet_list!$A$2:$A$592,magnet_list!$L$2:$L$592,"n/a",0,1)</f>
        <v>20</v>
      </c>
    </row>
    <row r="1766" spans="1:13">
      <c r="A1766" t="s">
        <v>797</v>
      </c>
      <c r="B1766" t="s">
        <v>805</v>
      </c>
      <c r="C1766" t="s">
        <v>806</v>
      </c>
      <c r="E1766" s="2" t="s">
        <v>412</v>
      </c>
      <c r="F1766" s="2" t="s">
        <v>412</v>
      </c>
      <c r="G1766" s="1">
        <v>423.41319199999998</v>
      </c>
      <c r="H1766">
        <v>-15000</v>
      </c>
      <c r="I1766">
        <v>-159048.89270965999</v>
      </c>
      <c r="J1766">
        <v>-90</v>
      </c>
      <c r="K1766">
        <v>180</v>
      </c>
      <c r="L1766">
        <f>_xlfn.XLOOKUP(F1766,magnet_list!$A$2:$A$592,magnet_list!$M$2:$M$592,"n/a",0,1)</f>
        <v>80</v>
      </c>
      <c r="M1766">
        <f>_xlfn.XLOOKUP(F1766,magnet_list!$A$2:$A$592,magnet_list!$L$2:$L$592,"n/a",0,1)</f>
        <v>20</v>
      </c>
    </row>
    <row r="1767" spans="1:13">
      <c r="A1767" t="s">
        <v>797</v>
      </c>
      <c r="B1767" t="s">
        <v>805</v>
      </c>
      <c r="C1767" t="s">
        <v>1152</v>
      </c>
      <c r="D1767" t="s">
        <v>804</v>
      </c>
      <c r="E1767" s="2" t="s">
        <v>1891</v>
      </c>
      <c r="F1767" s="2" t="s">
        <v>412</v>
      </c>
      <c r="G1767" s="1">
        <v>423.41319199999998</v>
      </c>
      <c r="H1767">
        <v>-15000</v>
      </c>
      <c r="I1767">
        <v>-159048.89270965999</v>
      </c>
      <c r="J1767">
        <v>-90</v>
      </c>
      <c r="K1767">
        <v>180</v>
      </c>
      <c r="L1767">
        <f>_xlfn.XLOOKUP(F1767,magnet_list!$A$2:$A$592,magnet_list!$M$2:$M$592,"n/a",0,1)</f>
        <v>80</v>
      </c>
      <c r="M1767">
        <f>_xlfn.XLOOKUP(F1767,magnet_list!$A$2:$A$592,magnet_list!$L$2:$L$592,"n/a",0,1)</f>
        <v>20</v>
      </c>
    </row>
    <row r="1768" spans="1:13">
      <c r="A1768" t="s">
        <v>797</v>
      </c>
      <c r="B1768" t="s">
        <v>805</v>
      </c>
      <c r="C1768" t="s">
        <v>806</v>
      </c>
      <c r="E1768" s="2" t="s">
        <v>413</v>
      </c>
      <c r="F1768" s="2" t="s">
        <v>413</v>
      </c>
      <c r="G1768" s="1">
        <v>423.61316299999999</v>
      </c>
      <c r="H1768">
        <v>-15000</v>
      </c>
      <c r="I1768">
        <v>-159248.8745679</v>
      </c>
      <c r="J1768">
        <v>-90</v>
      </c>
      <c r="K1768">
        <v>180</v>
      </c>
      <c r="L1768">
        <f>_xlfn.XLOOKUP(F1768,magnet_list!$A$2:$A$592,magnet_list!$M$2:$M$592,"n/a",0,1)</f>
        <v>80</v>
      </c>
      <c r="M1768">
        <f>_xlfn.XLOOKUP(F1768,magnet_list!$A$2:$A$592,magnet_list!$L$2:$L$592,"n/a",0,1)</f>
        <v>20</v>
      </c>
    </row>
    <row r="1769" spans="1:13">
      <c r="A1769" t="s">
        <v>797</v>
      </c>
      <c r="B1769" t="s">
        <v>805</v>
      </c>
      <c r="C1769" t="s">
        <v>1152</v>
      </c>
      <c r="D1769" t="s">
        <v>804</v>
      </c>
      <c r="E1769" s="2" t="s">
        <v>1892</v>
      </c>
      <c r="F1769" s="2" t="s">
        <v>413</v>
      </c>
      <c r="G1769" s="1">
        <v>423.61316299999999</v>
      </c>
      <c r="H1769">
        <v>-15000</v>
      </c>
      <c r="I1769">
        <v>-159248.8745679</v>
      </c>
      <c r="J1769">
        <v>-90</v>
      </c>
      <c r="K1769">
        <v>180</v>
      </c>
      <c r="L1769">
        <f>_xlfn.XLOOKUP(F1769,magnet_list!$A$2:$A$592,magnet_list!$M$2:$M$592,"n/a",0,1)</f>
        <v>80</v>
      </c>
      <c r="M1769">
        <f>_xlfn.XLOOKUP(F1769,magnet_list!$A$2:$A$592,magnet_list!$L$2:$L$592,"n/a",0,1)</f>
        <v>20</v>
      </c>
    </row>
    <row r="1770" spans="1:13">
      <c r="A1770" t="s">
        <v>797</v>
      </c>
      <c r="B1770" t="s">
        <v>805</v>
      </c>
      <c r="C1770" t="s">
        <v>806</v>
      </c>
      <c r="E1770" s="2" t="s">
        <v>414</v>
      </c>
      <c r="F1770" s="2" t="s">
        <v>2709</v>
      </c>
      <c r="G1770" s="1">
        <v>423.86814199999998</v>
      </c>
      <c r="H1770">
        <v>-15000</v>
      </c>
      <c r="I1770">
        <v>-159503.83450823001</v>
      </c>
      <c r="J1770">
        <v>-50</v>
      </c>
      <c r="K1770">
        <v>220</v>
      </c>
      <c r="L1770">
        <f>_xlfn.XLOOKUP(F1770,magnet_list!$A$2:$A$592,magnet_list!$M$2:$M$592,"n/a",0,1)</f>
        <v>200</v>
      </c>
      <c r="M1770">
        <f>_xlfn.XLOOKUP(F1770,magnet_list!$A$2:$A$592,magnet_list!$L$2:$L$592,"n/a",0,1)</f>
        <v>20</v>
      </c>
    </row>
    <row r="1771" spans="1:13">
      <c r="A1771" t="s">
        <v>797</v>
      </c>
      <c r="B1771" t="s">
        <v>805</v>
      </c>
      <c r="C1771" t="s">
        <v>1152</v>
      </c>
      <c r="D1771" t="s">
        <v>804</v>
      </c>
      <c r="E1771" s="2" t="s">
        <v>770</v>
      </c>
      <c r="F1771" s="2" t="s">
        <v>2709</v>
      </c>
      <c r="G1771" s="1">
        <v>423.94313099999999</v>
      </c>
      <c r="H1771">
        <v>-15000</v>
      </c>
      <c r="I1771">
        <v>-159578.82350823001</v>
      </c>
      <c r="J1771">
        <v>-50</v>
      </c>
      <c r="K1771">
        <v>220</v>
      </c>
      <c r="L1771">
        <f>_xlfn.XLOOKUP(F1771,magnet_list!$A$2:$A$592,magnet_list!$M$2:$M$592,"n/a",0,1)</f>
        <v>200</v>
      </c>
      <c r="M1771">
        <f>_xlfn.XLOOKUP(F1771,magnet_list!$A$2:$A$592,magnet_list!$L$2:$L$592,"n/a",0,1)</f>
        <v>20</v>
      </c>
    </row>
    <row r="1772" spans="1:13">
      <c r="A1772" t="s">
        <v>797</v>
      </c>
      <c r="B1772" t="s">
        <v>805</v>
      </c>
      <c r="C1772" t="s">
        <v>806</v>
      </c>
      <c r="E1772" s="2" t="s">
        <v>415</v>
      </c>
      <c r="F1772" s="2" t="s">
        <v>2709</v>
      </c>
      <c r="G1772" s="1">
        <v>424.01812000000001</v>
      </c>
      <c r="H1772">
        <v>-15000</v>
      </c>
      <c r="I1772">
        <v>-159653.84668391</v>
      </c>
      <c r="J1772">
        <v>-50</v>
      </c>
      <c r="K1772">
        <v>220</v>
      </c>
      <c r="L1772">
        <f>_xlfn.XLOOKUP(F1772,magnet_list!$A$2:$A$592,magnet_list!$M$2:$M$592,"n/a",0,1)</f>
        <v>200</v>
      </c>
      <c r="M1772">
        <f>_xlfn.XLOOKUP(F1772,magnet_list!$A$2:$A$592,magnet_list!$L$2:$L$592,"n/a",0,1)</f>
        <v>20</v>
      </c>
    </row>
    <row r="1773" spans="1:13">
      <c r="A1773" t="s">
        <v>797</v>
      </c>
      <c r="B1773" t="s">
        <v>2288</v>
      </c>
      <c r="C1773" t="s">
        <v>1152</v>
      </c>
      <c r="D1773" t="s">
        <v>804</v>
      </c>
      <c r="E1773" s="8" t="s">
        <v>2287</v>
      </c>
      <c r="F1773" s="8" t="s">
        <v>2287</v>
      </c>
      <c r="G1773" s="1">
        <f>$G$1762+ABS($I$1773-$I$1762)/1000</f>
        <v>424.27675236136906</v>
      </c>
      <c r="H1773">
        <v>-15000</v>
      </c>
      <c r="I1773">
        <f>$I$1762-1364.5127</f>
        <v>-159800.41149545999</v>
      </c>
      <c r="J1773">
        <v>-270</v>
      </c>
      <c r="K1773">
        <v>0</v>
      </c>
    </row>
    <row r="1774" spans="1:13">
      <c r="A1774" t="s">
        <v>797</v>
      </c>
      <c r="B1774" t="s">
        <v>803</v>
      </c>
      <c r="C1774" t="s">
        <v>806</v>
      </c>
      <c r="E1774" t="s">
        <v>1031</v>
      </c>
      <c r="F1774" t="s">
        <v>1031</v>
      </c>
      <c r="G1774" s="1">
        <v>424.25118599999979</v>
      </c>
      <c r="H1774">
        <v>-15400</v>
      </c>
      <c r="I1774">
        <v>-159889.87573514</v>
      </c>
      <c r="J1774">
        <v>-689</v>
      </c>
      <c r="K1774">
        <v>-419</v>
      </c>
    </row>
    <row r="1775" spans="1:13">
      <c r="A1775" t="s">
        <v>797</v>
      </c>
      <c r="B1775" t="s">
        <v>804</v>
      </c>
      <c r="C1775" t="s">
        <v>1152</v>
      </c>
      <c r="D1775" t="s">
        <v>804</v>
      </c>
      <c r="E1775" s="10" t="s">
        <v>1662</v>
      </c>
      <c r="F1775" s="10" t="s">
        <v>2710</v>
      </c>
      <c r="G1775" s="1">
        <f>$G$1776-ABS($I$1776-$I$1775)/1000</f>
        <v>424.45722156136912</v>
      </c>
      <c r="H1775">
        <v>-15000</v>
      </c>
      <c r="I1775">
        <f>$I$1776+$L$1775/2</f>
        <v>-159980.88069546001</v>
      </c>
      <c r="J1775">
        <v>-270</v>
      </c>
      <c r="K1775">
        <v>0</v>
      </c>
      <c r="L1775">
        <v>1889.4492</v>
      </c>
    </row>
    <row r="1776" spans="1:13">
      <c r="A1776" t="s">
        <v>797</v>
      </c>
      <c r="B1776" t="s">
        <v>804</v>
      </c>
      <c r="C1776" t="s">
        <v>1152</v>
      </c>
      <c r="D1776" t="s">
        <v>804</v>
      </c>
      <c r="E1776" s="10" t="s">
        <v>1200</v>
      </c>
      <c r="F1776" s="10" t="s">
        <v>2710</v>
      </c>
      <c r="G1776" s="1">
        <f>$G$1773+ABS($I$1776-$I$1773)/1000</f>
        <v>425.4019461613691</v>
      </c>
      <c r="H1776">
        <v>-15000</v>
      </c>
      <c r="I1776">
        <f>$I$1773-1125.1938</f>
        <v>-160925.60529546</v>
      </c>
      <c r="J1776">
        <v>-270</v>
      </c>
      <c r="K1776">
        <v>0</v>
      </c>
      <c r="L1776">
        <v>1889.4492</v>
      </c>
    </row>
    <row r="1777" spans="1:12">
      <c r="A1777" t="s">
        <v>797</v>
      </c>
      <c r="B1777" t="s">
        <v>804</v>
      </c>
      <c r="C1777" t="s">
        <v>1152</v>
      </c>
      <c r="D1777" t="s">
        <v>804</v>
      </c>
      <c r="E1777" s="10" t="s">
        <v>1663</v>
      </c>
      <c r="F1777" s="10" t="s">
        <v>2710</v>
      </c>
      <c r="G1777" s="1">
        <f>$G$1776+ABS($I$1777-$I$1776)/1000</f>
        <v>426.34667076136907</v>
      </c>
      <c r="H1777">
        <v>-15000</v>
      </c>
      <c r="I1777">
        <f>$I$1776-$L$1777/2</f>
        <v>-161870.32989545999</v>
      </c>
      <c r="J1777">
        <v>-270</v>
      </c>
      <c r="K1777">
        <v>0</v>
      </c>
      <c r="L1777">
        <v>1889.4492</v>
      </c>
    </row>
    <row r="1778" spans="1:12">
      <c r="A1778" t="s">
        <v>797</v>
      </c>
      <c r="B1778" t="s">
        <v>804</v>
      </c>
      <c r="C1778" t="s">
        <v>1152</v>
      </c>
      <c r="D1778" t="s">
        <v>804</v>
      </c>
      <c r="E1778" s="10" t="s">
        <v>1664</v>
      </c>
      <c r="F1778" s="10" t="s">
        <v>2711</v>
      </c>
      <c r="G1778" s="1">
        <f>$G$1779-ABS($I$1779-$I$1778)/1000</f>
        <v>426.55661256136915</v>
      </c>
      <c r="H1778">
        <v>-15000</v>
      </c>
      <c r="I1778">
        <f>$I$1779+$L$1778/2</f>
        <v>-162080.27169546002</v>
      </c>
      <c r="J1778">
        <v>-270</v>
      </c>
      <c r="K1778">
        <v>0</v>
      </c>
      <c r="L1778">
        <v>1889.4492</v>
      </c>
    </row>
    <row r="1779" spans="1:12">
      <c r="A1779" t="s">
        <v>797</v>
      </c>
      <c r="B1779" t="s">
        <v>804</v>
      </c>
      <c r="C1779" t="s">
        <v>1152</v>
      </c>
      <c r="D1779" t="s">
        <v>804</v>
      </c>
      <c r="E1779" s="10" t="s">
        <v>1256</v>
      </c>
      <c r="F1779" s="10" t="s">
        <v>2711</v>
      </c>
      <c r="G1779" s="1">
        <f>$G$1776+ABS($I$1779-$I$1776)/1000</f>
        <v>427.50133716136912</v>
      </c>
      <c r="H1779">
        <v>-15000</v>
      </c>
      <c r="I1779">
        <f>$I$1776-2099.391</f>
        <v>-163024.99629546001</v>
      </c>
      <c r="J1779">
        <v>-270</v>
      </c>
      <c r="K1779">
        <v>0</v>
      </c>
      <c r="L1779">
        <v>1889.4492</v>
      </c>
    </row>
    <row r="1780" spans="1:12">
      <c r="A1780" t="s">
        <v>797</v>
      </c>
      <c r="B1780" t="s">
        <v>803</v>
      </c>
      <c r="C1780" t="s">
        <v>806</v>
      </c>
      <c r="E1780" t="s">
        <v>870</v>
      </c>
      <c r="F1780" t="s">
        <v>870</v>
      </c>
      <c r="G1780" s="1">
        <v>427.56458799999984</v>
      </c>
      <c r="H1780">
        <v>-13512.693096430001</v>
      </c>
      <c r="I1780">
        <v>-163202.64484734001</v>
      </c>
      <c r="J1780">
        <v>-28.95170559</v>
      </c>
      <c r="K1780">
        <v>241.04829441000001</v>
      </c>
    </row>
    <row r="1781" spans="1:12">
      <c r="A1781" t="s">
        <v>797</v>
      </c>
      <c r="B1781" t="s">
        <v>803</v>
      </c>
      <c r="C1781" t="s">
        <v>806</v>
      </c>
      <c r="E1781" t="s">
        <v>869</v>
      </c>
      <c r="F1781" t="s">
        <v>869</v>
      </c>
      <c r="G1781" s="1">
        <v>427.98187599999989</v>
      </c>
      <c r="H1781">
        <v>-17455.606430970001</v>
      </c>
      <c r="I1781">
        <v>-163621.28078266999</v>
      </c>
      <c r="J1781">
        <v>-27.401873470000002</v>
      </c>
      <c r="K1781">
        <v>242.59812653</v>
      </c>
    </row>
    <row r="1782" spans="1:12">
      <c r="A1782" t="s">
        <v>797</v>
      </c>
      <c r="B1782" t="s">
        <v>804</v>
      </c>
      <c r="C1782" t="s">
        <v>1152</v>
      </c>
      <c r="D1782" t="s">
        <v>804</v>
      </c>
      <c r="E1782" s="10" t="s">
        <v>1665</v>
      </c>
      <c r="F1782" s="10" t="s">
        <v>2711</v>
      </c>
      <c r="G1782" s="1">
        <f>$G$1779+ABS($I$1782-$I$1779)/1000</f>
        <v>428.44606176136909</v>
      </c>
      <c r="H1782">
        <v>-15000</v>
      </c>
      <c r="I1782">
        <f>$I$1779-$L$1782/2</f>
        <v>-163969.72089545999</v>
      </c>
      <c r="J1782">
        <v>-270</v>
      </c>
      <c r="K1782">
        <v>0</v>
      </c>
      <c r="L1782">
        <v>1889.4492</v>
      </c>
    </row>
    <row r="1783" spans="1:12">
      <c r="A1783" t="s">
        <v>797</v>
      </c>
      <c r="B1783" t="s">
        <v>1152</v>
      </c>
      <c r="C1783" t="s">
        <v>1152</v>
      </c>
      <c r="D1783" t="s">
        <v>804</v>
      </c>
      <c r="E1783" s="3" t="s">
        <v>2155</v>
      </c>
      <c r="F1783" s="3" t="s">
        <v>2155</v>
      </c>
      <c r="G1783" s="1">
        <f>$G$1779+ABS($I$1783-$I$1779)/1000</f>
        <v>428.74093436136911</v>
      </c>
      <c r="H1783">
        <v>-15000</v>
      </c>
      <c r="I1783">
        <f>$I$1779-1239.5972</f>
        <v>-164264.59349545999</v>
      </c>
      <c r="J1783">
        <v>-270</v>
      </c>
      <c r="K1783">
        <v>0</v>
      </c>
    </row>
    <row r="1784" spans="1:12">
      <c r="A1784" t="s">
        <v>797</v>
      </c>
      <c r="B1784" t="s">
        <v>804</v>
      </c>
      <c r="C1784" t="s">
        <v>1152</v>
      </c>
      <c r="D1784" t="s">
        <v>804</v>
      </c>
      <c r="E1784" s="10" t="s">
        <v>1666</v>
      </c>
      <c r="F1784" s="10" t="s">
        <v>2712</v>
      </c>
      <c r="G1784" s="1">
        <f>$G$1785-ABS($I$1785-$I$1784)/1000</f>
        <v>428.97090356136914</v>
      </c>
      <c r="H1784">
        <v>-15000</v>
      </c>
      <c r="I1784">
        <f>$I$1785+$L$1784/2</f>
        <v>-164494.56269546002</v>
      </c>
      <c r="J1784">
        <v>-270</v>
      </c>
      <c r="K1784">
        <v>0</v>
      </c>
      <c r="L1784">
        <v>1889.4492</v>
      </c>
    </row>
    <row r="1785" spans="1:12">
      <c r="A1785" t="s">
        <v>797</v>
      </c>
      <c r="B1785" t="s">
        <v>804</v>
      </c>
      <c r="C1785" t="s">
        <v>1152</v>
      </c>
      <c r="D1785" t="s">
        <v>804</v>
      </c>
      <c r="E1785" s="10" t="s">
        <v>1310</v>
      </c>
      <c r="F1785" s="10" t="s">
        <v>2712</v>
      </c>
      <c r="G1785" s="1">
        <f>$G$1783+ABS($I$1785-$I$1783)/1000</f>
        <v>429.91562816136911</v>
      </c>
      <c r="H1785">
        <v>-15000</v>
      </c>
      <c r="I1785">
        <f>$I$1783-1174.6938</f>
        <v>-165439.28729546</v>
      </c>
      <c r="J1785">
        <v>-270</v>
      </c>
      <c r="K1785">
        <v>0</v>
      </c>
      <c r="L1785">
        <v>1889.4492</v>
      </c>
    </row>
    <row r="1786" spans="1:12">
      <c r="A1786" t="s">
        <v>797</v>
      </c>
      <c r="B1786" t="s">
        <v>804</v>
      </c>
      <c r="C1786" t="s">
        <v>1152</v>
      </c>
      <c r="D1786" t="s">
        <v>804</v>
      </c>
      <c r="E1786" s="10" t="s">
        <v>1667</v>
      </c>
      <c r="F1786" s="10" t="s">
        <v>2712</v>
      </c>
      <c r="G1786" s="1">
        <f>$G$1785+ABS($I$1786-$I$1785)/1000</f>
        <v>430.86035276136909</v>
      </c>
      <c r="H1786">
        <v>-15000</v>
      </c>
      <c r="I1786">
        <f>$I$1785-$L$1786/2</f>
        <v>-166384.01189545999</v>
      </c>
      <c r="J1786">
        <v>-270</v>
      </c>
      <c r="K1786">
        <v>0</v>
      </c>
      <c r="L1786">
        <v>1889.4492</v>
      </c>
    </row>
    <row r="1787" spans="1:12">
      <c r="A1787" t="s">
        <v>797</v>
      </c>
      <c r="B1787" t="s">
        <v>804</v>
      </c>
      <c r="C1787" t="s">
        <v>1152</v>
      </c>
      <c r="D1787" t="s">
        <v>804</v>
      </c>
      <c r="E1787" s="10" t="s">
        <v>1668</v>
      </c>
      <c r="F1787" s="10" t="s">
        <v>2713</v>
      </c>
      <c r="G1787" s="1">
        <f>$G$1788-ABS($I$1788-$I$1787)/1000</f>
        <v>431.07029456136917</v>
      </c>
      <c r="H1787">
        <v>-15000</v>
      </c>
      <c r="I1787">
        <f>$I$1788+$L$1787/2</f>
        <v>-166593.95369546002</v>
      </c>
      <c r="J1787">
        <v>-270</v>
      </c>
      <c r="K1787">
        <v>0</v>
      </c>
      <c r="L1787">
        <v>1889.4492</v>
      </c>
    </row>
    <row r="1788" spans="1:12">
      <c r="A1788" t="s">
        <v>797</v>
      </c>
      <c r="B1788" t="s">
        <v>804</v>
      </c>
      <c r="C1788" t="s">
        <v>1152</v>
      </c>
      <c r="D1788" t="s">
        <v>804</v>
      </c>
      <c r="E1788" s="10" t="s">
        <v>1364</v>
      </c>
      <c r="F1788" s="10" t="s">
        <v>2713</v>
      </c>
      <c r="G1788" s="1">
        <f>$G$1785+ABS($I$1788-$I$1785)/1000</f>
        <v>432.01501916136914</v>
      </c>
      <c r="H1788">
        <v>-15000</v>
      </c>
      <c r="I1788">
        <f>$I$1785-2099.391</f>
        <v>-167538.67829546001</v>
      </c>
      <c r="J1788">
        <v>-270</v>
      </c>
      <c r="K1788">
        <v>0</v>
      </c>
      <c r="L1788">
        <v>1889.4492</v>
      </c>
    </row>
    <row r="1789" spans="1:12">
      <c r="A1789" t="s">
        <v>797</v>
      </c>
      <c r="B1789" t="s">
        <v>804</v>
      </c>
      <c r="C1789" t="s">
        <v>1152</v>
      </c>
      <c r="D1789" t="s">
        <v>804</v>
      </c>
      <c r="E1789" s="10" t="s">
        <v>1669</v>
      </c>
      <c r="F1789" s="10" t="s">
        <v>2713</v>
      </c>
      <c r="G1789" s="1">
        <f>$G$1788+ABS($I$1789-$I$1788)/1000</f>
        <v>432.95974376136911</v>
      </c>
      <c r="H1789">
        <v>-15000</v>
      </c>
      <c r="I1789">
        <f>$I$1788-$L$1789/2</f>
        <v>-168483.40289545999</v>
      </c>
      <c r="J1789">
        <v>-270</v>
      </c>
      <c r="K1789">
        <v>0</v>
      </c>
      <c r="L1789">
        <v>1889.4492</v>
      </c>
    </row>
    <row r="1790" spans="1:12">
      <c r="A1790" t="s">
        <v>797</v>
      </c>
      <c r="B1790" t="s">
        <v>803</v>
      </c>
      <c r="C1790" t="s">
        <v>806</v>
      </c>
      <c r="E1790" t="s">
        <v>1030</v>
      </c>
      <c r="F1790" t="s">
        <v>1030</v>
      </c>
      <c r="G1790" s="1">
        <v>432.96672199999983</v>
      </c>
      <c r="H1790">
        <v>-15400</v>
      </c>
      <c r="I1790">
        <v>-168605.39680051</v>
      </c>
      <c r="J1790">
        <v>-689</v>
      </c>
      <c r="K1790">
        <v>-419</v>
      </c>
    </row>
    <row r="1791" spans="1:12">
      <c r="A1791" t="s">
        <v>797</v>
      </c>
      <c r="B1791" t="s">
        <v>2288</v>
      </c>
      <c r="C1791" t="s">
        <v>1152</v>
      </c>
      <c r="D1791" t="s">
        <v>804</v>
      </c>
      <c r="E1791" s="8" t="s">
        <v>2289</v>
      </c>
      <c r="F1791" s="8" t="s">
        <v>2289</v>
      </c>
      <c r="G1791" s="1">
        <f>$G$1788+ABS($I$1791-$I$1788)/1000</f>
        <v>433.12324016136915</v>
      </c>
      <c r="H1791">
        <v>-15000</v>
      </c>
      <c r="I1791">
        <f>$I$1788-1108.221</f>
        <v>-168646.89929546</v>
      </c>
      <c r="J1791">
        <v>-270</v>
      </c>
      <c r="K1791">
        <v>0</v>
      </c>
    </row>
    <row r="1792" spans="1:12">
      <c r="A1792" t="s">
        <v>797</v>
      </c>
      <c r="B1792" t="s">
        <v>803</v>
      </c>
      <c r="C1792" t="s">
        <v>806</v>
      </c>
      <c r="E1792" t="s">
        <v>1033</v>
      </c>
      <c r="F1792" t="s">
        <v>1033</v>
      </c>
      <c r="G1792" s="1">
        <v>433.25072199999983</v>
      </c>
      <c r="H1792">
        <v>-15400</v>
      </c>
      <c r="I1792">
        <v>-168889.44289963</v>
      </c>
      <c r="J1792">
        <v>-689</v>
      </c>
      <c r="K1792">
        <v>-419</v>
      </c>
    </row>
    <row r="1793" spans="1:12">
      <c r="A1793" t="s">
        <v>797</v>
      </c>
      <c r="B1793" t="s">
        <v>804</v>
      </c>
      <c r="C1793" t="s">
        <v>1152</v>
      </c>
      <c r="D1793" t="s">
        <v>804</v>
      </c>
      <c r="E1793" s="10" t="s">
        <v>1670</v>
      </c>
      <c r="F1793" s="10" t="s">
        <v>2714</v>
      </c>
      <c r="G1793" s="1">
        <f>$G$1794-ABS($I$1794-$I$1793)/1000</f>
        <v>433.45722146136916</v>
      </c>
      <c r="H1793">
        <v>-15000</v>
      </c>
      <c r="I1793">
        <f>$I$1794+$L$1793/2</f>
        <v>-168980.88059546001</v>
      </c>
      <c r="J1793">
        <v>-270</v>
      </c>
      <c r="K1793">
        <v>0</v>
      </c>
      <c r="L1793">
        <v>1889.4492</v>
      </c>
    </row>
    <row r="1794" spans="1:12">
      <c r="A1794" t="s">
        <v>797</v>
      </c>
      <c r="B1794" t="s">
        <v>804</v>
      </c>
      <c r="C1794" t="s">
        <v>1152</v>
      </c>
      <c r="D1794" t="s">
        <v>804</v>
      </c>
      <c r="E1794" s="10" t="s">
        <v>1201</v>
      </c>
      <c r="F1794" s="10" t="s">
        <v>2714</v>
      </c>
      <c r="G1794" s="1">
        <f>$G$1791+ABS($I$1794-$I$1791)/1000</f>
        <v>434.40194606136913</v>
      </c>
      <c r="H1794">
        <v>-15000</v>
      </c>
      <c r="I1794">
        <f>$I$1791-1278.7059</f>
        <v>-169925.60519546</v>
      </c>
      <c r="J1794">
        <v>-270</v>
      </c>
      <c r="K1794">
        <v>0</v>
      </c>
      <c r="L1794">
        <v>1889.4492</v>
      </c>
    </row>
    <row r="1795" spans="1:12">
      <c r="A1795" t="s">
        <v>797</v>
      </c>
      <c r="B1795" t="s">
        <v>804</v>
      </c>
      <c r="C1795" t="s">
        <v>1152</v>
      </c>
      <c r="D1795" t="s">
        <v>804</v>
      </c>
      <c r="E1795" s="10" t="s">
        <v>1671</v>
      </c>
      <c r="F1795" s="10" t="s">
        <v>2714</v>
      </c>
      <c r="G1795" s="1">
        <f>$G$1794+ABS($I$1795-$I$1794)/1000</f>
        <v>435.3466706613691</v>
      </c>
      <c r="H1795">
        <v>-15000</v>
      </c>
      <c r="I1795">
        <f>$I$1794-$L$1795/2</f>
        <v>-170870.32979545998</v>
      </c>
      <c r="J1795">
        <v>-270</v>
      </c>
      <c r="K1795">
        <v>0</v>
      </c>
      <c r="L1795">
        <v>1889.4492</v>
      </c>
    </row>
    <row r="1796" spans="1:12">
      <c r="A1796" t="s">
        <v>797</v>
      </c>
      <c r="B1796" t="s">
        <v>804</v>
      </c>
      <c r="C1796" t="s">
        <v>1152</v>
      </c>
      <c r="D1796" t="s">
        <v>804</v>
      </c>
      <c r="E1796" s="10" t="s">
        <v>1672</v>
      </c>
      <c r="F1796" s="10" t="s">
        <v>2715</v>
      </c>
      <c r="G1796" s="1">
        <f>$G$1797-ABS($I$1797-$I$1796)/1000</f>
        <v>435.55661246136918</v>
      </c>
      <c r="H1796">
        <v>-15000</v>
      </c>
      <c r="I1796">
        <f>$I$1797+$L$1796/2</f>
        <v>-171080.27159546001</v>
      </c>
      <c r="J1796">
        <v>-270</v>
      </c>
      <c r="K1796">
        <v>0</v>
      </c>
      <c r="L1796">
        <v>1889.4492</v>
      </c>
    </row>
    <row r="1797" spans="1:12">
      <c r="A1797" t="s">
        <v>797</v>
      </c>
      <c r="B1797" t="s">
        <v>804</v>
      </c>
      <c r="C1797" t="s">
        <v>1152</v>
      </c>
      <c r="D1797" t="s">
        <v>804</v>
      </c>
      <c r="E1797" s="10" t="s">
        <v>1257</v>
      </c>
      <c r="F1797" s="10" t="s">
        <v>2715</v>
      </c>
      <c r="G1797" s="1">
        <f>$G$1794+ABS($I$1797-$I$1794)/1000</f>
        <v>436.50133706136916</v>
      </c>
      <c r="H1797">
        <v>-15000</v>
      </c>
      <c r="I1797">
        <f>$I$1794-2099.391</f>
        <v>-172024.99619546</v>
      </c>
      <c r="J1797">
        <v>-270</v>
      </c>
      <c r="K1797">
        <v>0</v>
      </c>
      <c r="L1797">
        <v>1889.4492</v>
      </c>
    </row>
    <row r="1798" spans="1:12">
      <c r="A1798" t="s">
        <v>797</v>
      </c>
      <c r="B1798" t="s">
        <v>803</v>
      </c>
      <c r="C1798" t="s">
        <v>806</v>
      </c>
      <c r="E1798" t="s">
        <v>872</v>
      </c>
      <c r="F1798" t="s">
        <v>872</v>
      </c>
      <c r="G1798" s="1">
        <v>436.77003699999983</v>
      </c>
      <c r="H1798">
        <v>-13516.86940342</v>
      </c>
      <c r="I1798">
        <v>-172408.09960963999</v>
      </c>
      <c r="J1798">
        <v>-27.546167270000002</v>
      </c>
      <c r="K1798">
        <v>242.45383272999999</v>
      </c>
    </row>
    <row r="1799" spans="1:12">
      <c r="A1799" t="s">
        <v>797</v>
      </c>
      <c r="B1799" t="s">
        <v>804</v>
      </c>
      <c r="C1799" t="s">
        <v>1152</v>
      </c>
      <c r="D1799" t="s">
        <v>804</v>
      </c>
      <c r="E1799" s="10" t="s">
        <v>1673</v>
      </c>
      <c r="F1799" s="10" t="s">
        <v>2715</v>
      </c>
      <c r="G1799" s="1">
        <f>$G$1797+ABS($I$1799-$I$1797)/1000</f>
        <v>437.44606166136913</v>
      </c>
      <c r="H1799">
        <v>-15000</v>
      </c>
      <c r="I1799">
        <f>$I$1797-$L$1799/2</f>
        <v>-172969.72079545999</v>
      </c>
      <c r="J1799">
        <v>-270</v>
      </c>
      <c r="K1799">
        <v>0</v>
      </c>
      <c r="L1799">
        <v>1889.4492</v>
      </c>
    </row>
    <row r="1800" spans="1:12">
      <c r="A1800" t="s">
        <v>797</v>
      </c>
      <c r="B1800" t="s">
        <v>1152</v>
      </c>
      <c r="C1800" t="s">
        <v>1152</v>
      </c>
      <c r="D1800" t="s">
        <v>804</v>
      </c>
      <c r="E1800" s="3" t="s">
        <v>2156</v>
      </c>
      <c r="F1800" s="3" t="s">
        <v>2156</v>
      </c>
      <c r="G1800" s="1">
        <f>$G$1797+ABS($I$1800-$I$1797)/1000</f>
        <v>437.60515756136914</v>
      </c>
      <c r="H1800">
        <v>-15000</v>
      </c>
      <c r="I1800">
        <f>$I$1797-1103.8205</f>
        <v>-173128.81669546</v>
      </c>
      <c r="J1800">
        <v>-270</v>
      </c>
      <c r="K1800">
        <v>0</v>
      </c>
    </row>
    <row r="1801" spans="1:12">
      <c r="A1801" t="s">
        <v>797</v>
      </c>
      <c r="B1801" t="s">
        <v>803</v>
      </c>
      <c r="C1801" t="s">
        <v>806</v>
      </c>
      <c r="E1801" t="s">
        <v>871</v>
      </c>
      <c r="F1801" t="s">
        <v>871</v>
      </c>
      <c r="G1801" s="1">
        <v>437.55364399999979</v>
      </c>
      <c r="H1801">
        <v>-17457.25289711</v>
      </c>
      <c r="I1801">
        <v>-173193.02719825</v>
      </c>
      <c r="J1801">
        <v>-26.753144549999998</v>
      </c>
      <c r="K1801">
        <v>243.24685545</v>
      </c>
    </row>
    <row r="1802" spans="1:12">
      <c r="A1802" t="s">
        <v>797</v>
      </c>
      <c r="B1802" t="s">
        <v>804</v>
      </c>
      <c r="C1802" t="s">
        <v>1152</v>
      </c>
      <c r="D1802" t="s">
        <v>804</v>
      </c>
      <c r="E1802" s="10" t="s">
        <v>1674</v>
      </c>
      <c r="F1802" s="10" t="s">
        <v>2716</v>
      </c>
      <c r="G1802" s="1">
        <f>$G$1803-ABS($I$1803-$I$1802)/1000</f>
        <v>437.97090346136918</v>
      </c>
      <c r="H1802">
        <v>-15000</v>
      </c>
      <c r="I1802">
        <f>$I$1803+$L$1802/2</f>
        <v>-173494.56259546001</v>
      </c>
      <c r="J1802">
        <v>-270</v>
      </c>
      <c r="K1802">
        <v>0</v>
      </c>
      <c r="L1802">
        <v>1889.4492</v>
      </c>
    </row>
    <row r="1803" spans="1:12">
      <c r="A1803" t="s">
        <v>797</v>
      </c>
      <c r="B1803" t="s">
        <v>804</v>
      </c>
      <c r="C1803" t="s">
        <v>1152</v>
      </c>
      <c r="D1803" t="s">
        <v>804</v>
      </c>
      <c r="E1803" s="10" t="s">
        <v>1311</v>
      </c>
      <c r="F1803" s="10" t="s">
        <v>2716</v>
      </c>
      <c r="G1803" s="1">
        <f>$G$1800+ABS($I$1803-$I$1800)/1000</f>
        <v>438.91562806136915</v>
      </c>
      <c r="H1803">
        <v>-15000</v>
      </c>
      <c r="I1803">
        <f>$I$1800-1310.4705</f>
        <v>-174439.28719546</v>
      </c>
      <c r="J1803">
        <v>-270</v>
      </c>
      <c r="K1803">
        <v>0</v>
      </c>
      <c r="L1803">
        <v>1889.4492</v>
      </c>
    </row>
    <row r="1804" spans="1:12">
      <c r="A1804" t="s">
        <v>797</v>
      </c>
      <c r="B1804" t="s">
        <v>804</v>
      </c>
      <c r="C1804" t="s">
        <v>1152</v>
      </c>
      <c r="D1804" t="s">
        <v>804</v>
      </c>
      <c r="E1804" s="10" t="s">
        <v>1675</v>
      </c>
      <c r="F1804" s="10" t="s">
        <v>2716</v>
      </c>
      <c r="G1804" s="1">
        <f>$G$1803+ABS($I$1804-$I$1803)/1000</f>
        <v>439.86035266136912</v>
      </c>
      <c r="H1804">
        <v>-15000</v>
      </c>
      <c r="I1804">
        <f>$I$1803-$L$1804/2</f>
        <v>-175384.01179545998</v>
      </c>
      <c r="J1804">
        <v>-270</v>
      </c>
      <c r="K1804">
        <v>0</v>
      </c>
      <c r="L1804">
        <v>1889.4492</v>
      </c>
    </row>
    <row r="1805" spans="1:12">
      <c r="A1805" t="s">
        <v>797</v>
      </c>
      <c r="B1805" t="s">
        <v>804</v>
      </c>
      <c r="C1805" t="s">
        <v>1152</v>
      </c>
      <c r="D1805" t="s">
        <v>804</v>
      </c>
      <c r="E1805" s="10" t="s">
        <v>1676</v>
      </c>
      <c r="F1805" s="10" t="s">
        <v>2717</v>
      </c>
      <c r="G1805" s="1">
        <f>$G$1806-ABS($I$1806-$I$1805)/1000</f>
        <v>440.0702944613692</v>
      </c>
      <c r="H1805">
        <v>-15000</v>
      </c>
      <c r="I1805">
        <f>$I$1806+$L$1805/2</f>
        <v>-175593.95359546001</v>
      </c>
      <c r="J1805">
        <v>-270</v>
      </c>
      <c r="K1805">
        <v>0</v>
      </c>
      <c r="L1805">
        <v>1889.4492</v>
      </c>
    </row>
    <row r="1806" spans="1:12">
      <c r="A1806" t="s">
        <v>797</v>
      </c>
      <c r="B1806" t="s">
        <v>804</v>
      </c>
      <c r="C1806" t="s">
        <v>1152</v>
      </c>
      <c r="D1806" t="s">
        <v>804</v>
      </c>
      <c r="E1806" s="10" t="s">
        <v>1365</v>
      </c>
      <c r="F1806" s="10" t="s">
        <v>2717</v>
      </c>
      <c r="G1806" s="1">
        <f>$G$1803+ABS($I$1806-$I$1803)/1000</f>
        <v>441.01501906136917</v>
      </c>
      <c r="H1806">
        <v>-15000</v>
      </c>
      <c r="I1806">
        <f>$I$1803-2099.391</f>
        <v>-176538.67819546</v>
      </c>
      <c r="J1806">
        <v>-270</v>
      </c>
      <c r="K1806">
        <v>0</v>
      </c>
      <c r="L1806">
        <v>1889.4492</v>
      </c>
    </row>
    <row r="1807" spans="1:12">
      <c r="A1807" t="s">
        <v>797</v>
      </c>
      <c r="B1807" t="s">
        <v>804</v>
      </c>
      <c r="C1807" t="s">
        <v>1152</v>
      </c>
      <c r="D1807" t="s">
        <v>804</v>
      </c>
      <c r="E1807" s="10" t="s">
        <v>1677</v>
      </c>
      <c r="F1807" s="10" t="s">
        <v>2717</v>
      </c>
      <c r="G1807" s="1">
        <f>$G$1806+ABS($I$1807-$I$1806)/1000</f>
        <v>441.95974366136915</v>
      </c>
      <c r="H1807">
        <v>-15000</v>
      </c>
      <c r="I1807">
        <f>$I$1806-$L$1807/2</f>
        <v>-177483.40279545999</v>
      </c>
      <c r="J1807">
        <v>-270</v>
      </c>
      <c r="K1807">
        <v>0</v>
      </c>
      <c r="L1807">
        <v>1889.4492</v>
      </c>
    </row>
    <row r="1808" spans="1:12">
      <c r="A1808" t="s">
        <v>797</v>
      </c>
      <c r="B1808" t="s">
        <v>803</v>
      </c>
      <c r="C1808" t="s">
        <v>806</v>
      </c>
      <c r="E1808" t="s">
        <v>1032</v>
      </c>
      <c r="F1808" t="s">
        <v>1032</v>
      </c>
      <c r="G1808" s="1">
        <v>441.96738399999987</v>
      </c>
      <c r="H1808">
        <v>-15400</v>
      </c>
      <c r="I1808">
        <v>-177606.05967957</v>
      </c>
      <c r="J1808">
        <v>-689</v>
      </c>
      <c r="K1808">
        <v>-419</v>
      </c>
    </row>
    <row r="1809" spans="1:13">
      <c r="A1809" t="s">
        <v>797</v>
      </c>
      <c r="B1809" t="s">
        <v>1152</v>
      </c>
      <c r="C1809" t="s">
        <v>1152</v>
      </c>
      <c r="D1809" t="s">
        <v>804</v>
      </c>
      <c r="E1809" s="3" t="s">
        <v>2157</v>
      </c>
      <c r="F1809" s="3" t="s">
        <v>2157</v>
      </c>
      <c r="G1809" s="1">
        <f>$G$1806+ABS($I$1809-$I$1806)/1000</f>
        <v>442.11223956136917</v>
      </c>
      <c r="H1809">
        <v>-15000</v>
      </c>
      <c r="I1809">
        <f>$I$1806-1097.2205</f>
        <v>-177635.89869546</v>
      </c>
      <c r="J1809">
        <v>-270</v>
      </c>
      <c r="K1809">
        <v>0</v>
      </c>
    </row>
    <row r="1810" spans="1:13">
      <c r="A1810" t="s">
        <v>797</v>
      </c>
      <c r="B1810" t="s">
        <v>805</v>
      </c>
      <c r="C1810" t="s">
        <v>806</v>
      </c>
      <c r="E1810" s="2" t="s">
        <v>416</v>
      </c>
      <c r="F1810" s="2" t="s">
        <v>2718</v>
      </c>
      <c r="G1810" s="1">
        <v>442.20941599999998</v>
      </c>
      <c r="H1810">
        <v>-15000</v>
      </c>
      <c r="I1810">
        <v>-177845.10785860001</v>
      </c>
      <c r="J1810">
        <v>-50</v>
      </c>
      <c r="K1810">
        <v>220</v>
      </c>
      <c r="L1810">
        <f>_xlfn.XLOOKUP(F1810,magnet_list!$A$2:$A$592,magnet_list!$M$2:$M$592,"n/a",0,1)</f>
        <v>200</v>
      </c>
      <c r="M1810">
        <f>_xlfn.XLOOKUP(F1810,magnet_list!$A$2:$A$592,magnet_list!$L$2:$L$592,"n/a",0,1)</f>
        <v>20</v>
      </c>
    </row>
    <row r="1811" spans="1:13">
      <c r="A1811" t="s">
        <v>797</v>
      </c>
      <c r="B1811" t="s">
        <v>805</v>
      </c>
      <c r="C1811" t="s">
        <v>1152</v>
      </c>
      <c r="D1811" t="s">
        <v>804</v>
      </c>
      <c r="E1811" s="2" t="s">
        <v>771</v>
      </c>
      <c r="F1811" s="2" t="s">
        <v>2718</v>
      </c>
      <c r="G1811" s="1">
        <v>442.28442149999995</v>
      </c>
      <c r="H1811">
        <v>-15000</v>
      </c>
      <c r="I1811">
        <v>-177920.11335860001</v>
      </c>
      <c r="J1811">
        <v>-50</v>
      </c>
      <c r="K1811">
        <v>220</v>
      </c>
      <c r="L1811">
        <f>_xlfn.XLOOKUP(F1811,magnet_list!$A$2:$A$592,magnet_list!$M$2:$M$592,"n/a",0,1)</f>
        <v>200</v>
      </c>
      <c r="M1811">
        <f>_xlfn.XLOOKUP(F1811,magnet_list!$A$2:$A$592,magnet_list!$L$2:$L$592,"n/a",0,1)</f>
        <v>20</v>
      </c>
    </row>
    <row r="1812" spans="1:13">
      <c r="A1812" t="s">
        <v>797</v>
      </c>
      <c r="B1812" t="s">
        <v>805</v>
      </c>
      <c r="C1812" t="s">
        <v>806</v>
      </c>
      <c r="E1812" s="2" t="s">
        <v>417</v>
      </c>
      <c r="F1812" s="2" t="s">
        <v>2718</v>
      </c>
      <c r="G1812" s="1">
        <v>442.35942699999998</v>
      </c>
      <c r="H1812">
        <v>-15000</v>
      </c>
      <c r="I1812">
        <v>-177995.10437638001</v>
      </c>
      <c r="J1812">
        <v>-50</v>
      </c>
      <c r="K1812">
        <v>220</v>
      </c>
      <c r="L1812">
        <f>_xlfn.XLOOKUP(F1812,magnet_list!$A$2:$A$592,magnet_list!$M$2:$M$592,"n/a",0,1)</f>
        <v>200</v>
      </c>
      <c r="M1812">
        <f>_xlfn.XLOOKUP(F1812,magnet_list!$A$2:$A$592,magnet_list!$L$2:$L$592,"n/a",0,1)</f>
        <v>20</v>
      </c>
    </row>
    <row r="1813" spans="1:13">
      <c r="A1813" t="s">
        <v>797</v>
      </c>
      <c r="B1813" t="s">
        <v>805</v>
      </c>
      <c r="C1813" t="s">
        <v>806</v>
      </c>
      <c r="E1813" s="2" t="s">
        <v>418</v>
      </c>
      <c r="F1813" s="2" t="s">
        <v>418</v>
      </c>
      <c r="G1813" s="1">
        <v>442.61436899999995</v>
      </c>
      <c r="H1813">
        <v>-15000</v>
      </c>
      <c r="I1813">
        <v>-178250.03830961999</v>
      </c>
      <c r="J1813">
        <v>-90</v>
      </c>
      <c r="K1813">
        <v>180</v>
      </c>
      <c r="L1813">
        <f>_xlfn.XLOOKUP(F1813,magnet_list!$A$2:$A$592,magnet_list!$M$2:$M$592,"n/a",0,1)</f>
        <v>80</v>
      </c>
      <c r="M1813">
        <f>_xlfn.XLOOKUP(F1813,magnet_list!$A$2:$A$592,magnet_list!$L$2:$L$592,"n/a",0,1)</f>
        <v>20</v>
      </c>
    </row>
    <row r="1814" spans="1:13">
      <c r="A1814" t="s">
        <v>797</v>
      </c>
      <c r="B1814" t="s">
        <v>805</v>
      </c>
      <c r="C1814" t="s">
        <v>1152</v>
      </c>
      <c r="D1814" t="s">
        <v>804</v>
      </c>
      <c r="E1814" s="2" t="s">
        <v>1894</v>
      </c>
      <c r="F1814" s="2" t="s">
        <v>418</v>
      </c>
      <c r="G1814" s="1">
        <v>442.61436899999995</v>
      </c>
      <c r="H1814">
        <v>-15000</v>
      </c>
      <c r="I1814">
        <v>-178250.03830961999</v>
      </c>
      <c r="J1814">
        <v>-90</v>
      </c>
      <c r="K1814">
        <v>180</v>
      </c>
      <c r="L1814">
        <f>_xlfn.XLOOKUP(F1814,magnet_list!$A$2:$A$592,magnet_list!$M$2:$M$592,"n/a",0,1)</f>
        <v>80</v>
      </c>
      <c r="M1814">
        <f>_xlfn.XLOOKUP(F1814,magnet_list!$A$2:$A$592,magnet_list!$L$2:$L$592,"n/a",0,1)</f>
        <v>20</v>
      </c>
    </row>
    <row r="1815" spans="1:13">
      <c r="A1815" t="s">
        <v>797</v>
      </c>
      <c r="B1815" t="s">
        <v>805</v>
      </c>
      <c r="C1815" t="s">
        <v>806</v>
      </c>
      <c r="E1815" s="2" t="s">
        <v>419</v>
      </c>
      <c r="F1815" s="2" t="s">
        <v>419</v>
      </c>
      <c r="G1815" s="1">
        <v>442.81439599999993</v>
      </c>
      <c r="H1815">
        <v>-15000</v>
      </c>
      <c r="I1815">
        <v>-178450.07286267</v>
      </c>
      <c r="J1815">
        <v>-90</v>
      </c>
      <c r="K1815">
        <v>180</v>
      </c>
      <c r="L1815">
        <f>_xlfn.XLOOKUP(F1815,magnet_list!$A$2:$A$592,magnet_list!$M$2:$M$592,"n/a",0,1)</f>
        <v>80</v>
      </c>
      <c r="M1815">
        <f>_xlfn.XLOOKUP(F1815,magnet_list!$A$2:$A$592,magnet_list!$L$2:$L$592,"n/a",0,1)</f>
        <v>20</v>
      </c>
    </row>
    <row r="1816" spans="1:13">
      <c r="A1816" t="s">
        <v>797</v>
      </c>
      <c r="B1816" t="s">
        <v>805</v>
      </c>
      <c r="C1816" t="s">
        <v>1152</v>
      </c>
      <c r="D1816" t="s">
        <v>804</v>
      </c>
      <c r="E1816" s="2" t="s">
        <v>1893</v>
      </c>
      <c r="F1816" s="2" t="s">
        <v>419</v>
      </c>
      <c r="G1816" s="1">
        <v>442.81439599999993</v>
      </c>
      <c r="H1816">
        <v>-15000</v>
      </c>
      <c r="I1816">
        <v>-178450.07286267</v>
      </c>
      <c r="J1816">
        <v>-90</v>
      </c>
      <c r="K1816">
        <v>180</v>
      </c>
      <c r="L1816">
        <f>_xlfn.XLOOKUP(F1816,magnet_list!$A$2:$A$592,magnet_list!$M$2:$M$592,"n/a",0,1)</f>
        <v>80</v>
      </c>
      <c r="M1816">
        <f>_xlfn.XLOOKUP(F1816,magnet_list!$A$2:$A$592,magnet_list!$L$2:$L$592,"n/a",0,1)</f>
        <v>20</v>
      </c>
    </row>
    <row r="1817" spans="1:13">
      <c r="A1817" t="s">
        <v>797</v>
      </c>
      <c r="B1817" t="s">
        <v>805</v>
      </c>
      <c r="C1817" t="s">
        <v>806</v>
      </c>
      <c r="E1817" s="2" t="s">
        <v>420</v>
      </c>
      <c r="F1817" s="2" t="s">
        <v>2719</v>
      </c>
      <c r="G1817" s="1">
        <v>443.06941399999994</v>
      </c>
      <c r="H1817">
        <v>-15000</v>
      </c>
      <c r="I1817">
        <v>-178705.06577148999</v>
      </c>
      <c r="J1817">
        <v>-50</v>
      </c>
      <c r="K1817">
        <v>220</v>
      </c>
      <c r="L1817">
        <f>_xlfn.XLOOKUP(F1817,magnet_list!$A$2:$A$592,magnet_list!$M$2:$M$592,"n/a",0,1)</f>
        <v>200</v>
      </c>
      <c r="M1817">
        <f>_xlfn.XLOOKUP(F1817,magnet_list!$A$2:$A$592,magnet_list!$L$2:$L$592,"n/a",0,1)</f>
        <v>20</v>
      </c>
    </row>
    <row r="1818" spans="1:13">
      <c r="A1818" t="s">
        <v>797</v>
      </c>
      <c r="B1818" t="s">
        <v>805</v>
      </c>
      <c r="C1818" t="s">
        <v>1152</v>
      </c>
      <c r="D1818" t="s">
        <v>804</v>
      </c>
      <c r="E1818" s="2" t="s">
        <v>772</v>
      </c>
      <c r="F1818" s="2" t="s">
        <v>2719</v>
      </c>
      <c r="G1818" s="1">
        <v>443.14441099999999</v>
      </c>
      <c r="H1818">
        <v>-15000</v>
      </c>
      <c r="I1818">
        <v>-178780.06277148999</v>
      </c>
      <c r="J1818">
        <v>-50</v>
      </c>
      <c r="K1818">
        <v>220</v>
      </c>
      <c r="L1818">
        <f>_xlfn.XLOOKUP(F1818,magnet_list!$A$2:$A$592,magnet_list!$M$2:$M$592,"n/a",0,1)</f>
        <v>200</v>
      </c>
      <c r="M1818">
        <f>_xlfn.XLOOKUP(F1818,magnet_list!$A$2:$A$592,magnet_list!$L$2:$L$592,"n/a",0,1)</f>
        <v>20</v>
      </c>
    </row>
    <row r="1819" spans="1:13">
      <c r="A1819" t="s">
        <v>797</v>
      </c>
      <c r="B1819" t="s">
        <v>805</v>
      </c>
      <c r="C1819" t="s">
        <v>806</v>
      </c>
      <c r="E1819" s="2" t="s">
        <v>421</v>
      </c>
      <c r="F1819" s="2" t="s">
        <v>2719</v>
      </c>
      <c r="G1819" s="1">
        <v>443.21940799999993</v>
      </c>
      <c r="H1819">
        <v>-15000</v>
      </c>
      <c r="I1819">
        <v>-178855.07579305</v>
      </c>
      <c r="J1819">
        <v>-50</v>
      </c>
      <c r="K1819">
        <v>220</v>
      </c>
      <c r="L1819">
        <f>_xlfn.XLOOKUP(F1819,magnet_list!$A$2:$A$592,magnet_list!$M$2:$M$592,"n/a",0,1)</f>
        <v>200</v>
      </c>
      <c r="M1819">
        <f>_xlfn.XLOOKUP(F1819,magnet_list!$A$2:$A$592,magnet_list!$L$2:$L$592,"n/a",0,1)</f>
        <v>20</v>
      </c>
    </row>
    <row r="1820" spans="1:13">
      <c r="A1820" t="s">
        <v>797</v>
      </c>
      <c r="B1820" t="s">
        <v>2288</v>
      </c>
      <c r="C1820" t="s">
        <v>1152</v>
      </c>
      <c r="D1820" t="s">
        <v>804</v>
      </c>
      <c r="E1820" s="8" t="s">
        <v>2290</v>
      </c>
      <c r="F1820" s="8" t="s">
        <v>2290</v>
      </c>
      <c r="G1820" s="1">
        <f>$G$1809+ABS($I$1820-$I$1809)/1000</f>
        <v>443.47675226136914</v>
      </c>
      <c r="H1820">
        <v>-15000</v>
      </c>
      <c r="I1820">
        <f>$I$1809-1364.5127</f>
        <v>-179000.41139545999</v>
      </c>
      <c r="J1820">
        <v>-270</v>
      </c>
      <c r="K1820">
        <v>0</v>
      </c>
    </row>
    <row r="1821" spans="1:13">
      <c r="A1821" t="s">
        <v>797</v>
      </c>
      <c r="B1821" t="s">
        <v>803</v>
      </c>
      <c r="C1821" t="s">
        <v>806</v>
      </c>
      <c r="E1821" t="s">
        <v>1035</v>
      </c>
      <c r="F1821" t="s">
        <v>1035</v>
      </c>
      <c r="G1821" s="1">
        <v>443.45673799999986</v>
      </c>
      <c r="H1821">
        <v>-15400</v>
      </c>
      <c r="I1821">
        <v>-179095.40847970999</v>
      </c>
      <c r="J1821">
        <v>-689</v>
      </c>
      <c r="K1821">
        <v>-419</v>
      </c>
    </row>
    <row r="1822" spans="1:13">
      <c r="A1822" t="s">
        <v>797</v>
      </c>
      <c r="B1822" t="s">
        <v>804</v>
      </c>
      <c r="C1822" t="s">
        <v>1152</v>
      </c>
      <c r="D1822" t="s">
        <v>804</v>
      </c>
      <c r="E1822" s="10" t="s">
        <v>1678</v>
      </c>
      <c r="F1822" s="10" t="s">
        <v>2720</v>
      </c>
      <c r="G1822" s="1">
        <f>$G$1823-ABS($I$1823-$I$1822)/1000</f>
        <v>443.6572214613692</v>
      </c>
      <c r="H1822">
        <v>-15000</v>
      </c>
      <c r="I1822">
        <f>$I$1823+$L$1822/2</f>
        <v>-179180.88059546001</v>
      </c>
      <c r="J1822">
        <v>-270</v>
      </c>
      <c r="K1822">
        <v>0</v>
      </c>
      <c r="L1822">
        <v>1889.4492</v>
      </c>
    </row>
    <row r="1823" spans="1:13">
      <c r="A1823" t="s">
        <v>797</v>
      </c>
      <c r="B1823" t="s">
        <v>804</v>
      </c>
      <c r="C1823" t="s">
        <v>1152</v>
      </c>
      <c r="D1823" t="s">
        <v>804</v>
      </c>
      <c r="E1823" s="10" t="s">
        <v>1202</v>
      </c>
      <c r="F1823" s="10" t="s">
        <v>2720</v>
      </c>
      <c r="G1823" s="1">
        <f>$G$1820+ABS($I$1823-$I$1820)/1000</f>
        <v>444.60194606136918</v>
      </c>
      <c r="H1823">
        <v>-15000</v>
      </c>
      <c r="I1823">
        <f>$I$1820-1125.1938</f>
        <v>-180125.60519546</v>
      </c>
      <c r="J1823">
        <v>-270</v>
      </c>
      <c r="K1823">
        <v>0</v>
      </c>
      <c r="L1823">
        <v>1889.4492</v>
      </c>
    </row>
    <row r="1824" spans="1:13">
      <c r="A1824" t="s">
        <v>797</v>
      </c>
      <c r="B1824" t="s">
        <v>804</v>
      </c>
      <c r="C1824" t="s">
        <v>1152</v>
      </c>
      <c r="D1824" t="s">
        <v>804</v>
      </c>
      <c r="E1824" s="10" t="s">
        <v>1679</v>
      </c>
      <c r="F1824" s="10" t="s">
        <v>2720</v>
      </c>
      <c r="G1824" s="1">
        <f>$G$1823+ABS($I$1824-$I$1823)/1000</f>
        <v>445.54667066136915</v>
      </c>
      <c r="H1824">
        <v>-15000</v>
      </c>
      <c r="I1824">
        <f>$I$1823-$L$1824/2</f>
        <v>-181070.32979545998</v>
      </c>
      <c r="J1824">
        <v>-270</v>
      </c>
      <c r="K1824">
        <v>0</v>
      </c>
      <c r="L1824">
        <v>1889.4492</v>
      </c>
    </row>
    <row r="1825" spans="1:12">
      <c r="A1825" t="s">
        <v>797</v>
      </c>
      <c r="B1825" t="s">
        <v>804</v>
      </c>
      <c r="C1825" t="s">
        <v>1152</v>
      </c>
      <c r="D1825" t="s">
        <v>804</v>
      </c>
      <c r="E1825" s="10" t="s">
        <v>1680</v>
      </c>
      <c r="F1825" s="10" t="s">
        <v>2721</v>
      </c>
      <c r="G1825" s="1">
        <f>$G$1826-ABS($I$1826-$I$1825)/1000</f>
        <v>445.75661246136923</v>
      </c>
      <c r="H1825">
        <v>-15000</v>
      </c>
      <c r="I1825">
        <f>$I$1826+$L$1825/2</f>
        <v>-181280.27159546001</v>
      </c>
      <c r="J1825">
        <v>-270</v>
      </c>
      <c r="K1825">
        <v>0</v>
      </c>
      <c r="L1825">
        <v>1889.4492</v>
      </c>
    </row>
    <row r="1826" spans="1:12">
      <c r="A1826" t="s">
        <v>797</v>
      </c>
      <c r="B1826" t="s">
        <v>804</v>
      </c>
      <c r="C1826" t="s">
        <v>1152</v>
      </c>
      <c r="D1826" t="s">
        <v>804</v>
      </c>
      <c r="E1826" s="10" t="s">
        <v>1258</v>
      </c>
      <c r="F1826" s="10" t="s">
        <v>2721</v>
      </c>
      <c r="G1826" s="1">
        <f>$G$1823+ABS($I$1826-$I$1823)/1000</f>
        <v>446.7013370613692</v>
      </c>
      <c r="H1826">
        <v>-15000</v>
      </c>
      <c r="I1826">
        <f>$I$1823-2099.391</f>
        <v>-182224.99619546</v>
      </c>
      <c r="J1826">
        <v>-270</v>
      </c>
      <c r="K1826">
        <v>0</v>
      </c>
      <c r="L1826">
        <v>1889.4492</v>
      </c>
    </row>
    <row r="1827" spans="1:12">
      <c r="A1827" t="s">
        <v>797</v>
      </c>
      <c r="B1827" t="s">
        <v>803</v>
      </c>
      <c r="C1827" t="s">
        <v>806</v>
      </c>
      <c r="E1827" t="s">
        <v>874</v>
      </c>
      <c r="F1827" t="s">
        <v>874</v>
      </c>
      <c r="G1827" s="1">
        <v>446.96546399999983</v>
      </c>
      <c r="H1827">
        <v>-13514.86632836</v>
      </c>
      <c r="I1827">
        <v>-182603.51257279</v>
      </c>
      <c r="J1827">
        <v>-27.40269485</v>
      </c>
      <c r="K1827">
        <v>242.59730515000001</v>
      </c>
    </row>
    <row r="1828" spans="1:12">
      <c r="A1828" t="s">
        <v>797</v>
      </c>
      <c r="B1828" t="s">
        <v>803</v>
      </c>
      <c r="C1828" t="s">
        <v>806</v>
      </c>
      <c r="E1828" t="s">
        <v>873</v>
      </c>
      <c r="F1828" t="s">
        <v>873</v>
      </c>
      <c r="G1828" s="1">
        <v>447.01047099999977</v>
      </c>
      <c r="H1828">
        <v>-17460.111777909999</v>
      </c>
      <c r="I1828">
        <v>-182649.82482462999</v>
      </c>
      <c r="J1828">
        <v>-25.602609950000002</v>
      </c>
      <c r="K1828">
        <v>244.39739005000001</v>
      </c>
    </row>
    <row r="1829" spans="1:12">
      <c r="A1829" t="s">
        <v>797</v>
      </c>
      <c r="B1829" t="s">
        <v>804</v>
      </c>
      <c r="C1829" t="s">
        <v>1152</v>
      </c>
      <c r="D1829" t="s">
        <v>804</v>
      </c>
      <c r="E1829" s="10" t="s">
        <v>1681</v>
      </c>
      <c r="F1829" s="10" t="s">
        <v>2721</v>
      </c>
      <c r="G1829" s="1">
        <f>$G$1826+ABS($I$1829-$I$1826)/1000</f>
        <v>447.64606166136917</v>
      </c>
      <c r="H1829">
        <v>-15000</v>
      </c>
      <c r="I1829">
        <f>$I$1826-$L$1829/2</f>
        <v>-183169.72079545999</v>
      </c>
      <c r="J1829">
        <v>-270</v>
      </c>
      <c r="K1829">
        <v>0</v>
      </c>
      <c r="L1829">
        <v>1889.4492</v>
      </c>
    </row>
    <row r="1830" spans="1:12">
      <c r="A1830" t="s">
        <v>797</v>
      </c>
      <c r="B1830" t="s">
        <v>1152</v>
      </c>
      <c r="C1830" t="s">
        <v>1152</v>
      </c>
      <c r="D1830" t="s">
        <v>804</v>
      </c>
      <c r="E1830" s="3" t="s">
        <v>2159</v>
      </c>
      <c r="F1830" s="3" t="s">
        <v>2159</v>
      </c>
      <c r="G1830" s="1">
        <f>$G$1826+ABS($I$1830-$I$1826)/1000</f>
        <v>447.80505756136921</v>
      </c>
      <c r="H1830">
        <v>-15000</v>
      </c>
      <c r="I1830">
        <f>$I$1826-1103.7205</f>
        <v>-183328.71669546</v>
      </c>
      <c r="J1830">
        <v>-270</v>
      </c>
      <c r="K1830">
        <v>0</v>
      </c>
    </row>
    <row r="1831" spans="1:12">
      <c r="A1831" t="s">
        <v>797</v>
      </c>
      <c r="B1831" t="s">
        <v>1152</v>
      </c>
      <c r="C1831" t="s">
        <v>1152</v>
      </c>
      <c r="D1831" t="s">
        <v>804</v>
      </c>
      <c r="E1831" s="3" t="s">
        <v>2158</v>
      </c>
      <c r="F1831" s="3" t="s">
        <v>2158</v>
      </c>
      <c r="G1831" s="1">
        <f>$G$1830+ABS($I$1831-$I$1830)/1000</f>
        <v>447.94093426136919</v>
      </c>
      <c r="H1831">
        <v>-15000</v>
      </c>
      <c r="I1831">
        <f>$I$1830-135.8767</f>
        <v>-183464.59339545999</v>
      </c>
      <c r="J1831">
        <v>-270</v>
      </c>
      <c r="K1831">
        <v>0</v>
      </c>
    </row>
    <row r="1832" spans="1:12">
      <c r="A1832" t="s">
        <v>797</v>
      </c>
      <c r="B1832" t="s">
        <v>804</v>
      </c>
      <c r="C1832" t="s">
        <v>1152</v>
      </c>
      <c r="D1832" t="s">
        <v>804</v>
      </c>
      <c r="E1832" s="10" t="s">
        <v>1682</v>
      </c>
      <c r="F1832" s="10" t="s">
        <v>2722</v>
      </c>
      <c r="G1832" s="1">
        <f>$G$1833-ABS($I$1833-$I$1832)/1000</f>
        <v>448.17090346136922</v>
      </c>
      <c r="H1832">
        <v>-15000</v>
      </c>
      <c r="I1832">
        <f>$I$1833+$L$1832/2</f>
        <v>-183694.56259546001</v>
      </c>
      <c r="J1832">
        <v>-270</v>
      </c>
      <c r="K1832">
        <v>0</v>
      </c>
      <c r="L1832">
        <v>1889.4492</v>
      </c>
    </row>
    <row r="1833" spans="1:12">
      <c r="A1833" t="s">
        <v>797</v>
      </c>
      <c r="B1833" t="s">
        <v>804</v>
      </c>
      <c r="C1833" t="s">
        <v>1152</v>
      </c>
      <c r="D1833" t="s">
        <v>804</v>
      </c>
      <c r="E1833" s="10" t="s">
        <v>1312</v>
      </c>
      <c r="F1833" s="10" t="s">
        <v>2722</v>
      </c>
      <c r="G1833" s="1">
        <f>$G$1831+ABS($I$1833-$I$1831)/1000</f>
        <v>449.11562806136919</v>
      </c>
      <c r="H1833">
        <v>-15000</v>
      </c>
      <c r="I1833">
        <f>$I$1831-1174.6938</f>
        <v>-184639.28719546</v>
      </c>
      <c r="J1833">
        <v>-270</v>
      </c>
      <c r="K1833">
        <v>0</v>
      </c>
      <c r="L1833">
        <v>1889.4492</v>
      </c>
    </row>
    <row r="1834" spans="1:12">
      <c r="A1834" t="s">
        <v>797</v>
      </c>
      <c r="B1834" t="s">
        <v>804</v>
      </c>
      <c r="C1834" t="s">
        <v>1152</v>
      </c>
      <c r="D1834" t="s">
        <v>804</v>
      </c>
      <c r="E1834" s="10" t="s">
        <v>1683</v>
      </c>
      <c r="F1834" s="10" t="s">
        <v>2722</v>
      </c>
      <c r="G1834" s="1">
        <f>$G$1833+ABS($I$1834-$I$1833)/1000</f>
        <v>450.06035266136917</v>
      </c>
      <c r="H1834">
        <v>-15000</v>
      </c>
      <c r="I1834">
        <f>$I$1833-$L$1834/2</f>
        <v>-185584.01179545998</v>
      </c>
      <c r="J1834">
        <v>-270</v>
      </c>
      <c r="K1834">
        <v>0</v>
      </c>
      <c r="L1834">
        <v>1889.4492</v>
      </c>
    </row>
    <row r="1835" spans="1:12">
      <c r="A1835" t="s">
        <v>797</v>
      </c>
      <c r="B1835" t="s">
        <v>804</v>
      </c>
      <c r="C1835" t="s">
        <v>1152</v>
      </c>
      <c r="D1835" t="s">
        <v>804</v>
      </c>
      <c r="E1835" s="10" t="s">
        <v>1684</v>
      </c>
      <c r="F1835" s="10" t="s">
        <v>2723</v>
      </c>
      <c r="G1835" s="1">
        <f>$G$1836-ABS($I$1836-$I$1835)/1000</f>
        <v>450.27029446136925</v>
      </c>
      <c r="H1835">
        <v>-15000</v>
      </c>
      <c r="I1835">
        <f>$I$1836+$L$1835/2</f>
        <v>-185793.95359546001</v>
      </c>
      <c r="J1835">
        <v>-270</v>
      </c>
      <c r="K1835">
        <v>0</v>
      </c>
      <c r="L1835">
        <v>1889.4492</v>
      </c>
    </row>
    <row r="1836" spans="1:12">
      <c r="A1836" t="s">
        <v>797</v>
      </c>
      <c r="B1836" t="s">
        <v>804</v>
      </c>
      <c r="C1836" t="s">
        <v>1152</v>
      </c>
      <c r="D1836" t="s">
        <v>804</v>
      </c>
      <c r="E1836" s="10" t="s">
        <v>1366</v>
      </c>
      <c r="F1836" s="10" t="s">
        <v>2723</v>
      </c>
      <c r="G1836" s="1">
        <f>$G$1833+ABS($I$1836-$I$1833)/1000</f>
        <v>451.21501906136922</v>
      </c>
      <c r="H1836">
        <v>-15000</v>
      </c>
      <c r="I1836">
        <f>$I$1833-2099.391</f>
        <v>-186738.67819546</v>
      </c>
      <c r="J1836">
        <v>-270</v>
      </c>
      <c r="K1836">
        <v>0</v>
      </c>
      <c r="L1836">
        <v>1889.4492</v>
      </c>
    </row>
    <row r="1837" spans="1:12">
      <c r="A1837" t="s">
        <v>797</v>
      </c>
      <c r="B1837" t="s">
        <v>804</v>
      </c>
      <c r="C1837" t="s">
        <v>1152</v>
      </c>
      <c r="D1837" t="s">
        <v>804</v>
      </c>
      <c r="E1837" s="10" t="s">
        <v>1685</v>
      </c>
      <c r="F1837" s="10" t="s">
        <v>2723</v>
      </c>
      <c r="G1837" s="1">
        <f>$G$1836+ABS($I$1837-$I$1836)/1000</f>
        <v>452.15974366136919</v>
      </c>
      <c r="H1837">
        <v>-15000</v>
      </c>
      <c r="I1837">
        <f>$I$1836-$L$1837/2</f>
        <v>-187683.40279545999</v>
      </c>
      <c r="J1837">
        <v>-270</v>
      </c>
      <c r="K1837">
        <v>0</v>
      </c>
      <c r="L1837">
        <v>1889.4492</v>
      </c>
    </row>
    <row r="1838" spans="1:12">
      <c r="A1838" t="s">
        <v>797</v>
      </c>
      <c r="B1838" t="s">
        <v>803</v>
      </c>
      <c r="C1838" t="s">
        <v>806</v>
      </c>
      <c r="E1838" t="s">
        <v>1034</v>
      </c>
      <c r="F1838" t="s">
        <v>1034</v>
      </c>
      <c r="G1838" s="1">
        <v>452.17305599999986</v>
      </c>
      <c r="H1838">
        <v>-15400</v>
      </c>
      <c r="I1838">
        <v>-187811.69471000999</v>
      </c>
      <c r="J1838">
        <v>-689</v>
      </c>
      <c r="K1838">
        <v>-419</v>
      </c>
    </row>
    <row r="1839" spans="1:12">
      <c r="A1839" t="s">
        <v>797</v>
      </c>
      <c r="B1839" t="s">
        <v>2288</v>
      </c>
      <c r="C1839" t="s">
        <v>1152</v>
      </c>
      <c r="D1839" t="s">
        <v>804</v>
      </c>
      <c r="E1839" s="8" t="s">
        <v>2291</v>
      </c>
      <c r="F1839" s="8" t="s">
        <v>2291</v>
      </c>
      <c r="G1839" s="1">
        <f>$G$1836+ABS($I$1839-$I$1836)/1000</f>
        <v>452.32323956136923</v>
      </c>
      <c r="H1839">
        <v>-15000</v>
      </c>
      <c r="I1839">
        <f>$I$1836-1108.2205</f>
        <v>-187846.89869546</v>
      </c>
      <c r="J1839">
        <v>-270</v>
      </c>
      <c r="K1839">
        <v>0</v>
      </c>
    </row>
    <row r="1840" spans="1:12">
      <c r="A1840" t="s">
        <v>797</v>
      </c>
      <c r="B1840" t="s">
        <v>803</v>
      </c>
      <c r="C1840" t="s">
        <v>806</v>
      </c>
      <c r="E1840" t="s">
        <v>1037</v>
      </c>
      <c r="F1840" t="s">
        <v>1037</v>
      </c>
      <c r="G1840" s="1">
        <v>452.4525119999999</v>
      </c>
      <c r="H1840">
        <v>-15400</v>
      </c>
      <c r="I1840">
        <v>-188091.12080385</v>
      </c>
      <c r="J1840">
        <v>-689</v>
      </c>
      <c r="K1840">
        <v>-419</v>
      </c>
    </row>
    <row r="1841" spans="1:12">
      <c r="A1841" t="s">
        <v>797</v>
      </c>
      <c r="B1841" t="s">
        <v>804</v>
      </c>
      <c r="C1841" t="s">
        <v>1152</v>
      </c>
      <c r="D1841" t="s">
        <v>804</v>
      </c>
      <c r="E1841" s="10" t="s">
        <v>1686</v>
      </c>
      <c r="F1841" s="10" t="s">
        <v>2724</v>
      </c>
      <c r="G1841" s="1">
        <f>$G$1842-ABS($I$1842-$I$1841)/1000</f>
        <v>452.65722136136924</v>
      </c>
      <c r="H1841">
        <v>-15000</v>
      </c>
      <c r="I1841">
        <f>$I$1842+$L$1841/2</f>
        <v>-188180.88049546001</v>
      </c>
      <c r="J1841">
        <v>-270</v>
      </c>
      <c r="K1841">
        <v>0</v>
      </c>
      <c r="L1841">
        <v>1889.4492</v>
      </c>
    </row>
    <row r="1842" spans="1:12">
      <c r="A1842" t="s">
        <v>797</v>
      </c>
      <c r="B1842" t="s">
        <v>804</v>
      </c>
      <c r="C1842" t="s">
        <v>1152</v>
      </c>
      <c r="D1842" t="s">
        <v>804</v>
      </c>
      <c r="E1842" s="10" t="s">
        <v>1203</v>
      </c>
      <c r="F1842" s="10" t="s">
        <v>2724</v>
      </c>
      <c r="G1842" s="1">
        <f>$G$1839+ABS($I$1842-$I$1839)/1000</f>
        <v>453.60194596136921</v>
      </c>
      <c r="H1842">
        <v>-15000</v>
      </c>
      <c r="I1842">
        <f>$I$1839-1278.7064</f>
        <v>-189125.60509545999</v>
      </c>
      <c r="J1842">
        <v>-270</v>
      </c>
      <c r="K1842">
        <v>0</v>
      </c>
      <c r="L1842">
        <v>1889.4492</v>
      </c>
    </row>
    <row r="1843" spans="1:12">
      <c r="A1843" t="s">
        <v>797</v>
      </c>
      <c r="B1843" t="s">
        <v>804</v>
      </c>
      <c r="C1843" t="s">
        <v>1152</v>
      </c>
      <c r="D1843" t="s">
        <v>804</v>
      </c>
      <c r="E1843" s="10" t="s">
        <v>1687</v>
      </c>
      <c r="F1843" s="10" t="s">
        <v>2724</v>
      </c>
      <c r="G1843" s="1">
        <f>$G$1842+ABS($I$1843-$I$1842)/1000</f>
        <v>454.54667056136918</v>
      </c>
      <c r="H1843">
        <v>-15000</v>
      </c>
      <c r="I1843">
        <f>$I$1842-$L$1843/2</f>
        <v>-190070.32969545998</v>
      </c>
      <c r="J1843">
        <v>-270</v>
      </c>
      <c r="K1843">
        <v>0</v>
      </c>
      <c r="L1843">
        <v>1889.4492</v>
      </c>
    </row>
    <row r="1844" spans="1:12">
      <c r="A1844" t="s">
        <v>797</v>
      </c>
      <c r="B1844" t="s">
        <v>804</v>
      </c>
      <c r="C1844" t="s">
        <v>1152</v>
      </c>
      <c r="D1844" t="s">
        <v>804</v>
      </c>
      <c r="E1844" s="10" t="s">
        <v>1688</v>
      </c>
      <c r="F1844" s="10" t="s">
        <v>2725</v>
      </c>
      <c r="G1844" s="1">
        <f>$G$1845-ABS($I$1845-$I$1844)/1000</f>
        <v>454.75661236136926</v>
      </c>
      <c r="H1844">
        <v>-15000</v>
      </c>
      <c r="I1844">
        <f>$I$1845+$L$1844/2</f>
        <v>-190280.27149546001</v>
      </c>
      <c r="J1844">
        <v>-270</v>
      </c>
      <c r="K1844">
        <v>0</v>
      </c>
      <c r="L1844">
        <v>1889.4492</v>
      </c>
    </row>
    <row r="1845" spans="1:12">
      <c r="A1845" t="s">
        <v>797</v>
      </c>
      <c r="B1845" t="s">
        <v>804</v>
      </c>
      <c r="C1845" t="s">
        <v>1152</v>
      </c>
      <c r="D1845" t="s">
        <v>804</v>
      </c>
      <c r="E1845" s="10" t="s">
        <v>1259</v>
      </c>
      <c r="F1845" s="10" t="s">
        <v>2725</v>
      </c>
      <c r="G1845" s="1">
        <f>$G$1842+ABS($I$1845-$I$1842)/1000</f>
        <v>455.70133696136924</v>
      </c>
      <c r="H1845">
        <v>-15000</v>
      </c>
      <c r="I1845">
        <f>$I$1842-2099.391</f>
        <v>-191224.99609546</v>
      </c>
      <c r="J1845">
        <v>-270</v>
      </c>
      <c r="K1845">
        <v>0</v>
      </c>
      <c r="L1845">
        <v>1889.4492</v>
      </c>
    </row>
    <row r="1846" spans="1:12">
      <c r="A1846" t="s">
        <v>797</v>
      </c>
      <c r="B1846" t="s">
        <v>803</v>
      </c>
      <c r="C1846" t="s">
        <v>806</v>
      </c>
      <c r="E1846" t="s">
        <v>876</v>
      </c>
      <c r="F1846" t="s">
        <v>876</v>
      </c>
      <c r="G1846" s="1">
        <v>456.25410499999981</v>
      </c>
      <c r="H1846">
        <v>-13521.97466838</v>
      </c>
      <c r="I1846">
        <v>-191892.08532699</v>
      </c>
      <c r="J1846">
        <v>-25.876422470000001</v>
      </c>
      <c r="K1846">
        <v>244.12357753000001</v>
      </c>
    </row>
    <row r="1847" spans="1:12">
      <c r="A1847" t="s">
        <v>797</v>
      </c>
      <c r="B1847" t="s">
        <v>804</v>
      </c>
      <c r="C1847" t="s">
        <v>1152</v>
      </c>
      <c r="D1847" t="s">
        <v>804</v>
      </c>
      <c r="E1847" s="10" t="s">
        <v>1689</v>
      </c>
      <c r="F1847" s="10" t="s">
        <v>2725</v>
      </c>
      <c r="G1847" s="1">
        <f>$G$1845+ABS($I$1847-$I$1845)/1000</f>
        <v>456.64606156136921</v>
      </c>
      <c r="H1847">
        <v>-15000</v>
      </c>
      <c r="I1847">
        <f>$I$1845-$L$1847/2</f>
        <v>-192169.72069545998</v>
      </c>
      <c r="J1847">
        <v>-270</v>
      </c>
      <c r="K1847">
        <v>0</v>
      </c>
      <c r="L1847">
        <v>1889.4492</v>
      </c>
    </row>
    <row r="1848" spans="1:12">
      <c r="A1848" t="s">
        <v>797</v>
      </c>
      <c r="B1848" t="s">
        <v>1152</v>
      </c>
      <c r="C1848" t="s">
        <v>1152</v>
      </c>
      <c r="D1848" t="s">
        <v>804</v>
      </c>
      <c r="E1848" s="3" t="s">
        <v>2160</v>
      </c>
      <c r="F1848" s="3" t="s">
        <v>2160</v>
      </c>
      <c r="G1848" s="1">
        <f>$G$1845+ABS($I$1848-$I$1845)/1000</f>
        <v>456.80505746136924</v>
      </c>
      <c r="H1848">
        <v>-15000</v>
      </c>
      <c r="I1848">
        <f>$I$1845-1103.7205</f>
        <v>-192328.71659545999</v>
      </c>
      <c r="J1848">
        <v>-270</v>
      </c>
      <c r="K1848">
        <v>0</v>
      </c>
    </row>
    <row r="1849" spans="1:12">
      <c r="A1849" t="s">
        <v>797</v>
      </c>
      <c r="B1849" t="s">
        <v>803</v>
      </c>
      <c r="C1849" t="s">
        <v>806</v>
      </c>
      <c r="E1849" t="s">
        <v>875</v>
      </c>
      <c r="F1849" t="s">
        <v>875</v>
      </c>
      <c r="G1849" s="1">
        <v>456.82243399999982</v>
      </c>
      <c r="H1849">
        <v>-17469.689745309999</v>
      </c>
      <c r="I1849">
        <v>-192461.71814918</v>
      </c>
      <c r="J1849">
        <v>-25.472578410000001</v>
      </c>
      <c r="K1849">
        <v>244.52742158999999</v>
      </c>
    </row>
    <row r="1850" spans="1:12">
      <c r="A1850" t="s">
        <v>797</v>
      </c>
      <c r="B1850" t="s">
        <v>804</v>
      </c>
      <c r="C1850" t="s">
        <v>1152</v>
      </c>
      <c r="D1850" t="s">
        <v>804</v>
      </c>
      <c r="E1850" s="10" t="s">
        <v>1690</v>
      </c>
      <c r="F1850" s="10" t="s">
        <v>2726</v>
      </c>
      <c r="G1850" s="1">
        <f>$G$1851-ABS($I$1851-$I$1850)/1000</f>
        <v>457.17090336136926</v>
      </c>
      <c r="H1850">
        <v>-15000</v>
      </c>
      <c r="I1850">
        <f>$I$1851+$L$1850/2</f>
        <v>-192694.56249546001</v>
      </c>
      <c r="J1850">
        <v>-270</v>
      </c>
      <c r="K1850">
        <v>0</v>
      </c>
      <c r="L1850">
        <v>1889.4492</v>
      </c>
    </row>
    <row r="1851" spans="1:12">
      <c r="A1851" t="s">
        <v>797</v>
      </c>
      <c r="B1851" t="s">
        <v>804</v>
      </c>
      <c r="C1851" t="s">
        <v>1152</v>
      </c>
      <c r="D1851" t="s">
        <v>804</v>
      </c>
      <c r="E1851" s="10" t="s">
        <v>1313</v>
      </c>
      <c r="F1851" s="10" t="s">
        <v>2726</v>
      </c>
      <c r="G1851" s="1">
        <f>$G$1848+ABS($I$1851-$I$1848)/1000</f>
        <v>458.11562796136923</v>
      </c>
      <c r="H1851">
        <v>-15000</v>
      </c>
      <c r="I1851">
        <f>$I$1848-1310.5705</f>
        <v>-193639.28709545999</v>
      </c>
      <c r="J1851">
        <v>-270</v>
      </c>
      <c r="K1851">
        <v>0</v>
      </c>
      <c r="L1851">
        <v>1889.4492</v>
      </c>
    </row>
    <row r="1852" spans="1:12">
      <c r="A1852" t="s">
        <v>797</v>
      </c>
      <c r="B1852" t="s">
        <v>804</v>
      </c>
      <c r="C1852" t="s">
        <v>1152</v>
      </c>
      <c r="D1852" t="s">
        <v>804</v>
      </c>
      <c r="E1852" s="10" t="s">
        <v>1691</v>
      </c>
      <c r="F1852" s="10" t="s">
        <v>2726</v>
      </c>
      <c r="G1852" s="1">
        <f>$G$1851+ABS($I$1852-$I$1851)/1000</f>
        <v>459.0603525613692</v>
      </c>
      <c r="H1852">
        <v>-15000</v>
      </c>
      <c r="I1852">
        <f>$I$1851-$L$1852/2</f>
        <v>-194584.01169545998</v>
      </c>
      <c r="J1852">
        <v>-270</v>
      </c>
      <c r="K1852">
        <v>0</v>
      </c>
      <c r="L1852">
        <v>1889.4492</v>
      </c>
    </row>
    <row r="1853" spans="1:12">
      <c r="A1853" t="s">
        <v>797</v>
      </c>
      <c r="B1853" t="s">
        <v>804</v>
      </c>
      <c r="C1853" t="s">
        <v>1152</v>
      </c>
      <c r="D1853" t="s">
        <v>804</v>
      </c>
      <c r="E1853" s="10" t="s">
        <v>1692</v>
      </c>
      <c r="F1853" s="10" t="s">
        <v>2727</v>
      </c>
      <c r="G1853" s="1">
        <f>$G$1854-ABS($I$1854-$I$1853)/1000</f>
        <v>459.27029436136928</v>
      </c>
      <c r="H1853">
        <v>-15000</v>
      </c>
      <c r="I1853">
        <f>$I$1854+$L$1853/2</f>
        <v>-194793.95349546001</v>
      </c>
      <c r="J1853">
        <v>-270</v>
      </c>
      <c r="K1853">
        <v>0</v>
      </c>
      <c r="L1853">
        <v>1889.4492</v>
      </c>
    </row>
    <row r="1854" spans="1:12">
      <c r="A1854" t="s">
        <v>797</v>
      </c>
      <c r="B1854" t="s">
        <v>804</v>
      </c>
      <c r="C1854" t="s">
        <v>1152</v>
      </c>
      <c r="D1854" t="s">
        <v>804</v>
      </c>
      <c r="E1854" s="10" t="s">
        <v>1367</v>
      </c>
      <c r="F1854" s="10" t="s">
        <v>2727</v>
      </c>
      <c r="G1854" s="1">
        <f>$G$1851+ABS($I$1854-$I$1851)/1000</f>
        <v>460.21501896136925</v>
      </c>
      <c r="H1854">
        <v>-15000</v>
      </c>
      <c r="I1854">
        <f>$I$1851-2099.391</f>
        <v>-195738.67809546</v>
      </c>
      <c r="J1854">
        <v>-270</v>
      </c>
      <c r="K1854">
        <v>0</v>
      </c>
      <c r="L1854">
        <v>1889.4492</v>
      </c>
    </row>
    <row r="1855" spans="1:12">
      <c r="A1855" t="s">
        <v>797</v>
      </c>
      <c r="B1855" t="s">
        <v>804</v>
      </c>
      <c r="C1855" t="s">
        <v>1152</v>
      </c>
      <c r="D1855" t="s">
        <v>804</v>
      </c>
      <c r="E1855" s="10" t="s">
        <v>1693</v>
      </c>
      <c r="F1855" s="10" t="s">
        <v>2727</v>
      </c>
      <c r="G1855" s="1">
        <f>$G$1854+ABS($I$1855-$I$1854)/1000</f>
        <v>461.15974356136923</v>
      </c>
      <c r="H1855">
        <v>-15000</v>
      </c>
      <c r="I1855">
        <f>$I$1854-$L$1855/2</f>
        <v>-196683.40269545998</v>
      </c>
      <c r="J1855">
        <v>-270</v>
      </c>
      <c r="K1855">
        <v>0</v>
      </c>
      <c r="L1855">
        <v>1889.4492</v>
      </c>
    </row>
    <row r="1856" spans="1:12">
      <c r="A1856" t="s">
        <v>797</v>
      </c>
      <c r="B1856" t="s">
        <v>803</v>
      </c>
      <c r="C1856" t="s">
        <v>806</v>
      </c>
      <c r="E1856" t="s">
        <v>1036</v>
      </c>
      <c r="F1856" t="s">
        <v>1036</v>
      </c>
      <c r="G1856" s="1">
        <v>461.16904299999987</v>
      </c>
      <c r="H1856">
        <v>-15400</v>
      </c>
      <c r="I1856">
        <v>-196807.65349293</v>
      </c>
      <c r="J1856">
        <v>-689</v>
      </c>
      <c r="K1856">
        <v>-419</v>
      </c>
    </row>
    <row r="1857" spans="1:13">
      <c r="A1857" t="s">
        <v>797</v>
      </c>
      <c r="B1857" t="s">
        <v>1152</v>
      </c>
      <c r="C1857" t="s">
        <v>1152</v>
      </c>
      <c r="D1857" t="s">
        <v>804</v>
      </c>
      <c r="E1857" s="3" t="s">
        <v>2161</v>
      </c>
      <c r="F1857" s="3" t="s">
        <v>2161</v>
      </c>
      <c r="G1857" s="1">
        <f>$G$1854+ABS($I$1857-$I$1854)/1000</f>
        <v>461.31223946136924</v>
      </c>
      <c r="H1857">
        <v>-15000</v>
      </c>
      <c r="I1857">
        <f>$I$1854-1097.2205</f>
        <v>-196835.89859545999</v>
      </c>
      <c r="J1857">
        <v>-270</v>
      </c>
      <c r="K1857">
        <v>0</v>
      </c>
    </row>
    <row r="1858" spans="1:13">
      <c r="A1858" t="s">
        <v>797</v>
      </c>
      <c r="B1858" t="s">
        <v>805</v>
      </c>
      <c r="C1858" t="s">
        <v>806</v>
      </c>
      <c r="E1858" s="2" t="s">
        <v>422</v>
      </c>
      <c r="F1858" s="2" t="s">
        <v>2728</v>
      </c>
      <c r="G1858" s="1">
        <v>461.41054399999996</v>
      </c>
      <c r="H1858">
        <v>-15000</v>
      </c>
      <c r="I1858">
        <v>-197046.19785811001</v>
      </c>
      <c r="J1858">
        <v>-50</v>
      </c>
      <c r="K1858">
        <v>220</v>
      </c>
      <c r="L1858">
        <f>_xlfn.XLOOKUP(F1858,magnet_list!$A$2:$A$592,magnet_list!$M$2:$M$592,"n/a",0,1)</f>
        <v>200</v>
      </c>
      <c r="M1858">
        <f>_xlfn.XLOOKUP(F1858,magnet_list!$A$2:$A$592,magnet_list!$L$2:$L$592,"n/a",0,1)</f>
        <v>20</v>
      </c>
    </row>
    <row r="1859" spans="1:13">
      <c r="A1859" t="s">
        <v>797</v>
      </c>
      <c r="B1859" t="s">
        <v>805</v>
      </c>
      <c r="C1859" t="s">
        <v>1152</v>
      </c>
      <c r="D1859" t="s">
        <v>804</v>
      </c>
      <c r="E1859" s="2" t="s">
        <v>773</v>
      </c>
      <c r="F1859" s="2" t="s">
        <v>2728</v>
      </c>
      <c r="G1859" s="1">
        <v>461.48554649999994</v>
      </c>
      <c r="H1859">
        <v>-15000</v>
      </c>
      <c r="I1859">
        <v>-197121.20035811001</v>
      </c>
      <c r="J1859">
        <v>-50</v>
      </c>
      <c r="K1859">
        <v>220</v>
      </c>
      <c r="L1859">
        <f>_xlfn.XLOOKUP(F1859,magnet_list!$A$2:$A$592,magnet_list!$M$2:$M$592,"n/a",0,1)</f>
        <v>200</v>
      </c>
      <c r="M1859">
        <f>_xlfn.XLOOKUP(F1859,magnet_list!$A$2:$A$592,magnet_list!$L$2:$L$592,"n/a",0,1)</f>
        <v>20</v>
      </c>
    </row>
    <row r="1860" spans="1:13">
      <c r="A1860" t="s">
        <v>797</v>
      </c>
      <c r="B1860" t="s">
        <v>805</v>
      </c>
      <c r="C1860" t="s">
        <v>806</v>
      </c>
      <c r="E1860" s="2" t="s">
        <v>423</v>
      </c>
      <c r="F1860" s="2" t="s">
        <v>2728</v>
      </c>
      <c r="G1860" s="1">
        <v>461.56054899999992</v>
      </c>
      <c r="H1860">
        <v>-15000</v>
      </c>
      <c r="I1860">
        <v>-197196.20147078001</v>
      </c>
      <c r="J1860">
        <v>-50</v>
      </c>
      <c r="K1860">
        <v>220</v>
      </c>
      <c r="L1860">
        <f>_xlfn.XLOOKUP(F1860,magnet_list!$A$2:$A$592,magnet_list!$M$2:$M$592,"n/a",0,1)</f>
        <v>200</v>
      </c>
      <c r="M1860">
        <f>_xlfn.XLOOKUP(F1860,magnet_list!$A$2:$A$592,magnet_list!$L$2:$L$592,"n/a",0,1)</f>
        <v>20</v>
      </c>
    </row>
    <row r="1861" spans="1:13">
      <c r="A1861" t="s">
        <v>797</v>
      </c>
      <c r="B1861" t="s">
        <v>805</v>
      </c>
      <c r="C1861" t="s">
        <v>806</v>
      </c>
      <c r="E1861" s="2" t="s">
        <v>424</v>
      </c>
      <c r="F1861" s="2" t="s">
        <v>424</v>
      </c>
      <c r="G1861" s="1">
        <v>461.81556899999998</v>
      </c>
      <c r="H1861">
        <v>-15000</v>
      </c>
      <c r="I1861">
        <v>-197451.23142304999</v>
      </c>
      <c r="J1861">
        <v>-90</v>
      </c>
      <c r="K1861">
        <v>180</v>
      </c>
      <c r="L1861">
        <f>_xlfn.XLOOKUP(F1861,magnet_list!$A$2:$A$592,magnet_list!$M$2:$M$592,"n/a",0,1)</f>
        <v>80</v>
      </c>
      <c r="M1861">
        <f>_xlfn.XLOOKUP(F1861,magnet_list!$A$2:$A$592,magnet_list!$L$2:$L$592,"n/a",0,1)</f>
        <v>20</v>
      </c>
    </row>
    <row r="1862" spans="1:13">
      <c r="A1862" t="s">
        <v>797</v>
      </c>
      <c r="B1862" t="s">
        <v>805</v>
      </c>
      <c r="C1862" t="s">
        <v>1152</v>
      </c>
      <c r="D1862" t="s">
        <v>804</v>
      </c>
      <c r="E1862" s="2" t="s">
        <v>1895</v>
      </c>
      <c r="F1862" s="2" t="s">
        <v>424</v>
      </c>
      <c r="G1862" s="1">
        <v>461.81556899999998</v>
      </c>
      <c r="H1862">
        <v>-15000</v>
      </c>
      <c r="I1862">
        <v>-197451.23142304999</v>
      </c>
      <c r="J1862">
        <v>-90</v>
      </c>
      <c r="K1862">
        <v>180</v>
      </c>
      <c r="L1862">
        <f>_xlfn.XLOOKUP(F1862,magnet_list!$A$2:$A$592,magnet_list!$M$2:$M$592,"n/a",0,1)</f>
        <v>80</v>
      </c>
      <c r="M1862">
        <f>_xlfn.XLOOKUP(F1862,magnet_list!$A$2:$A$592,magnet_list!$L$2:$L$592,"n/a",0,1)</f>
        <v>20</v>
      </c>
    </row>
    <row r="1863" spans="1:13">
      <c r="A1863" t="s">
        <v>797</v>
      </c>
      <c r="B1863" t="s">
        <v>805</v>
      </c>
      <c r="C1863" t="s">
        <v>806</v>
      </c>
      <c r="E1863" s="2" t="s">
        <v>425</v>
      </c>
      <c r="F1863" s="2" t="s">
        <v>425</v>
      </c>
      <c r="G1863" s="1">
        <v>462.01559499999996</v>
      </c>
      <c r="H1863">
        <v>-15000</v>
      </c>
      <c r="I1863">
        <v>-197651.24729545999</v>
      </c>
      <c r="J1863">
        <v>-90</v>
      </c>
      <c r="K1863">
        <v>180</v>
      </c>
      <c r="L1863">
        <f>_xlfn.XLOOKUP(F1863,magnet_list!$A$2:$A$592,magnet_list!$M$2:$M$592,"n/a",0,1)</f>
        <v>80</v>
      </c>
      <c r="M1863">
        <f>_xlfn.XLOOKUP(F1863,magnet_list!$A$2:$A$592,magnet_list!$L$2:$L$592,"n/a",0,1)</f>
        <v>20</v>
      </c>
    </row>
    <row r="1864" spans="1:13">
      <c r="A1864" t="s">
        <v>797</v>
      </c>
      <c r="B1864" t="s">
        <v>805</v>
      </c>
      <c r="C1864" t="s">
        <v>1152</v>
      </c>
      <c r="D1864" t="s">
        <v>804</v>
      </c>
      <c r="E1864" s="2" t="s">
        <v>1896</v>
      </c>
      <c r="F1864" s="2" t="s">
        <v>425</v>
      </c>
      <c r="G1864" s="1">
        <v>462.01559499999996</v>
      </c>
      <c r="H1864">
        <v>-15000</v>
      </c>
      <c r="I1864">
        <v>-197651.24729545999</v>
      </c>
      <c r="J1864">
        <v>-90</v>
      </c>
      <c r="K1864">
        <v>180</v>
      </c>
      <c r="L1864">
        <f>_xlfn.XLOOKUP(F1864,magnet_list!$A$2:$A$592,magnet_list!$M$2:$M$592,"n/a",0,1)</f>
        <v>80</v>
      </c>
      <c r="M1864">
        <f>_xlfn.XLOOKUP(F1864,magnet_list!$A$2:$A$592,magnet_list!$L$2:$L$592,"n/a",0,1)</f>
        <v>20</v>
      </c>
    </row>
    <row r="1865" spans="1:13">
      <c r="A1865" t="s">
        <v>797</v>
      </c>
      <c r="B1865" t="s">
        <v>805</v>
      </c>
      <c r="C1865" t="s">
        <v>806</v>
      </c>
      <c r="E1865" s="2" t="s">
        <v>426</v>
      </c>
      <c r="F1865" s="2" t="s">
        <v>2729</v>
      </c>
      <c r="G1865" s="1">
        <v>462.27047699999997</v>
      </c>
      <c r="H1865">
        <v>-15000</v>
      </c>
      <c r="I1865">
        <v>-197906.12826239</v>
      </c>
      <c r="J1865">
        <v>-50</v>
      </c>
      <c r="K1865">
        <v>220</v>
      </c>
      <c r="L1865">
        <f>_xlfn.XLOOKUP(F1865,magnet_list!$A$2:$A$592,magnet_list!$M$2:$M$592,"n/a",0,1)</f>
        <v>200</v>
      </c>
      <c r="M1865">
        <f>_xlfn.XLOOKUP(F1865,magnet_list!$A$2:$A$592,magnet_list!$L$2:$L$592,"n/a",0,1)</f>
        <v>20</v>
      </c>
    </row>
    <row r="1866" spans="1:13">
      <c r="A1866" t="s">
        <v>797</v>
      </c>
      <c r="B1866" t="s">
        <v>805</v>
      </c>
      <c r="C1866" t="s">
        <v>1152</v>
      </c>
      <c r="D1866" t="s">
        <v>804</v>
      </c>
      <c r="E1866" s="2" t="s">
        <v>774</v>
      </c>
      <c r="F1866" s="2" t="s">
        <v>2729</v>
      </c>
      <c r="G1866" s="1">
        <v>462.34547399999991</v>
      </c>
      <c r="H1866">
        <v>-15000</v>
      </c>
      <c r="I1866">
        <v>-197981.12526239001</v>
      </c>
      <c r="J1866">
        <v>-50</v>
      </c>
      <c r="K1866">
        <v>220</v>
      </c>
      <c r="L1866">
        <f>_xlfn.XLOOKUP(F1866,magnet_list!$A$2:$A$592,magnet_list!$M$2:$M$592,"n/a",0,1)</f>
        <v>200</v>
      </c>
      <c r="M1866">
        <f>_xlfn.XLOOKUP(F1866,magnet_list!$A$2:$A$592,magnet_list!$L$2:$L$592,"n/a",0,1)</f>
        <v>20</v>
      </c>
    </row>
    <row r="1867" spans="1:13">
      <c r="A1867" t="s">
        <v>797</v>
      </c>
      <c r="B1867" t="s">
        <v>805</v>
      </c>
      <c r="C1867" t="s">
        <v>806</v>
      </c>
      <c r="E1867" s="2" t="s">
        <v>427</v>
      </c>
      <c r="F1867" s="2" t="s">
        <v>2729</v>
      </c>
      <c r="G1867" s="1">
        <v>462.42047099999996</v>
      </c>
      <c r="H1867">
        <v>-15000</v>
      </c>
      <c r="I1867">
        <v>-198056.15089428</v>
      </c>
      <c r="J1867">
        <v>-50</v>
      </c>
      <c r="K1867">
        <v>220</v>
      </c>
      <c r="L1867">
        <f>_xlfn.XLOOKUP(F1867,magnet_list!$A$2:$A$592,magnet_list!$M$2:$M$592,"n/a",0,1)</f>
        <v>200</v>
      </c>
      <c r="M1867">
        <f>_xlfn.XLOOKUP(F1867,magnet_list!$A$2:$A$592,magnet_list!$L$2:$L$592,"n/a",0,1)</f>
        <v>20</v>
      </c>
    </row>
    <row r="1868" spans="1:13">
      <c r="A1868" t="s">
        <v>797</v>
      </c>
      <c r="B1868" t="s">
        <v>2288</v>
      </c>
      <c r="C1868" t="s">
        <v>1152</v>
      </c>
      <c r="D1868" t="s">
        <v>804</v>
      </c>
      <c r="E1868" s="8" t="s">
        <v>2292</v>
      </c>
      <c r="F1868" s="8" t="s">
        <v>2292</v>
      </c>
      <c r="G1868" s="1">
        <f>$G$1857+ABS($I$1868-$I$1857)/1000</f>
        <v>462.67675216136922</v>
      </c>
      <c r="H1868">
        <v>-15000</v>
      </c>
      <c r="I1868">
        <f>$I$1857-1364.5127</f>
        <v>-198200.41129545998</v>
      </c>
      <c r="J1868">
        <v>-270</v>
      </c>
      <c r="K1868">
        <v>0</v>
      </c>
    </row>
    <row r="1869" spans="1:13">
      <c r="A1869" t="s">
        <v>797</v>
      </c>
      <c r="B1869" t="s">
        <v>803</v>
      </c>
      <c r="C1869" t="s">
        <v>806</v>
      </c>
      <c r="E1869" t="s">
        <v>1039</v>
      </c>
      <c r="F1869" t="s">
        <v>1039</v>
      </c>
      <c r="G1869" s="1">
        <v>462.6563129999999</v>
      </c>
      <c r="H1869">
        <v>-15400</v>
      </c>
      <c r="I1869">
        <v>-198294.93224083001</v>
      </c>
      <c r="J1869">
        <v>-689</v>
      </c>
      <c r="K1869">
        <v>-419</v>
      </c>
    </row>
    <row r="1870" spans="1:13">
      <c r="A1870" t="s">
        <v>797</v>
      </c>
      <c r="B1870" t="s">
        <v>804</v>
      </c>
      <c r="C1870" t="s">
        <v>1152</v>
      </c>
      <c r="D1870" t="s">
        <v>804</v>
      </c>
      <c r="E1870" s="10" t="s">
        <v>1694</v>
      </c>
      <c r="F1870" s="10" t="s">
        <v>2730</v>
      </c>
      <c r="G1870" s="1">
        <f>$G$1871-ABS($I$1871-$I$1870)/1000</f>
        <v>462.85722136136928</v>
      </c>
      <c r="H1870">
        <v>-15000</v>
      </c>
      <c r="I1870">
        <f>$I$1871+$L$1870/2</f>
        <v>-198380.88049546001</v>
      </c>
      <c r="J1870">
        <v>-270</v>
      </c>
      <c r="K1870">
        <v>0</v>
      </c>
      <c r="L1870">
        <v>1889.4492</v>
      </c>
    </row>
    <row r="1871" spans="1:13">
      <c r="A1871" t="s">
        <v>797</v>
      </c>
      <c r="B1871" t="s">
        <v>804</v>
      </c>
      <c r="C1871" t="s">
        <v>1152</v>
      </c>
      <c r="D1871" t="s">
        <v>804</v>
      </c>
      <c r="E1871" s="10" t="s">
        <v>1204</v>
      </c>
      <c r="F1871" s="10" t="s">
        <v>2730</v>
      </c>
      <c r="G1871" s="1">
        <f>$G$1868+ABS($I$1871-$I$1868)/1000</f>
        <v>463.80194596136926</v>
      </c>
      <c r="H1871">
        <v>-15000</v>
      </c>
      <c r="I1871">
        <f>$I$1868-1125.1938</f>
        <v>-199325.60509545999</v>
      </c>
      <c r="J1871">
        <v>-270</v>
      </c>
      <c r="K1871">
        <v>0</v>
      </c>
      <c r="L1871">
        <v>1889.4492</v>
      </c>
    </row>
    <row r="1872" spans="1:13">
      <c r="A1872" t="s">
        <v>797</v>
      </c>
      <c r="B1872" t="s">
        <v>804</v>
      </c>
      <c r="C1872" t="s">
        <v>1152</v>
      </c>
      <c r="D1872" t="s">
        <v>804</v>
      </c>
      <c r="E1872" s="10" t="s">
        <v>1695</v>
      </c>
      <c r="F1872" s="10" t="s">
        <v>2730</v>
      </c>
      <c r="G1872" s="1">
        <f>$G$1871+ABS($I$1872-$I$1871)/1000</f>
        <v>464.74667056136923</v>
      </c>
      <c r="H1872">
        <v>-15000</v>
      </c>
      <c r="I1872">
        <f>$I$1871-$L$1872/2</f>
        <v>-200270.32969545998</v>
      </c>
      <c r="J1872">
        <v>-270</v>
      </c>
      <c r="K1872">
        <v>0</v>
      </c>
      <c r="L1872">
        <v>1889.4492</v>
      </c>
    </row>
    <row r="1873" spans="1:12">
      <c r="A1873" t="s">
        <v>797</v>
      </c>
      <c r="B1873" t="s">
        <v>804</v>
      </c>
      <c r="C1873" t="s">
        <v>1152</v>
      </c>
      <c r="D1873" t="s">
        <v>804</v>
      </c>
      <c r="E1873" s="10" t="s">
        <v>1696</v>
      </c>
      <c r="F1873" s="10" t="s">
        <v>2731</v>
      </c>
      <c r="G1873" s="1">
        <f>$G$1874-ABS($I$1874-$I$1873)/1000</f>
        <v>464.95661236136931</v>
      </c>
      <c r="H1873">
        <v>-15000</v>
      </c>
      <c r="I1873">
        <f>$I$1874+$L$1873/2</f>
        <v>-200480.27149546001</v>
      </c>
      <c r="J1873">
        <v>-270</v>
      </c>
      <c r="K1873">
        <v>0</v>
      </c>
      <c r="L1873">
        <v>1889.4492</v>
      </c>
    </row>
    <row r="1874" spans="1:12">
      <c r="A1874" t="s">
        <v>797</v>
      </c>
      <c r="B1874" t="s">
        <v>804</v>
      </c>
      <c r="C1874" t="s">
        <v>1152</v>
      </c>
      <c r="D1874" t="s">
        <v>804</v>
      </c>
      <c r="E1874" s="10" t="s">
        <v>1260</v>
      </c>
      <c r="F1874" s="10" t="s">
        <v>2731</v>
      </c>
      <c r="G1874" s="1">
        <f>$G$1871+ABS($I$1874-$I$1871)/1000</f>
        <v>465.90133696136928</v>
      </c>
      <c r="H1874">
        <v>-15000</v>
      </c>
      <c r="I1874">
        <f>$I$1871-2099.391</f>
        <v>-201424.99609546</v>
      </c>
      <c r="J1874">
        <v>-270</v>
      </c>
      <c r="K1874">
        <v>0</v>
      </c>
      <c r="L1874">
        <v>1889.4492</v>
      </c>
    </row>
    <row r="1875" spans="1:12">
      <c r="A1875" t="s">
        <v>797</v>
      </c>
      <c r="B1875" t="s">
        <v>803</v>
      </c>
      <c r="C1875" t="s">
        <v>806</v>
      </c>
      <c r="E1875" t="s">
        <v>877</v>
      </c>
      <c r="F1875" t="s">
        <v>877</v>
      </c>
      <c r="G1875" s="1">
        <v>466.41246199999983</v>
      </c>
      <c r="H1875">
        <v>-13521.739783069999</v>
      </c>
      <c r="I1875">
        <v>-202050.40939521001</v>
      </c>
      <c r="J1875">
        <v>-26.513968819999999</v>
      </c>
      <c r="K1875">
        <v>243.48603118</v>
      </c>
    </row>
    <row r="1876" spans="1:12">
      <c r="A1876" t="s">
        <v>797</v>
      </c>
      <c r="B1876" t="s">
        <v>804</v>
      </c>
      <c r="C1876" t="s">
        <v>1152</v>
      </c>
      <c r="D1876" t="s">
        <v>804</v>
      </c>
      <c r="E1876" s="10" t="s">
        <v>1697</v>
      </c>
      <c r="F1876" s="10" t="s">
        <v>2731</v>
      </c>
      <c r="G1876" s="1">
        <f>$G$1874+ABS($I$1876-$I$1874)/1000</f>
        <v>466.84606156136925</v>
      </c>
      <c r="H1876">
        <v>-15000</v>
      </c>
      <c r="I1876">
        <f>$I$1874-$L$1876/2</f>
        <v>-202369.72069545998</v>
      </c>
      <c r="J1876">
        <v>-270</v>
      </c>
      <c r="K1876">
        <v>0</v>
      </c>
      <c r="L1876">
        <v>1889.4492</v>
      </c>
    </row>
    <row r="1877" spans="1:12">
      <c r="A1877" t="s">
        <v>797</v>
      </c>
      <c r="B1877" t="s">
        <v>1152</v>
      </c>
      <c r="C1877" t="s">
        <v>1152</v>
      </c>
      <c r="D1877" t="s">
        <v>804</v>
      </c>
      <c r="E1877" s="3" t="s">
        <v>2163</v>
      </c>
      <c r="F1877" s="3" t="s">
        <v>2163</v>
      </c>
      <c r="G1877" s="1">
        <f>$G$1874+ABS($I$1877-$I$1874)/1000</f>
        <v>467.00505746136929</v>
      </c>
      <c r="H1877">
        <v>-15000</v>
      </c>
      <c r="I1877">
        <f>$I$1874-1103.7205</f>
        <v>-202528.71659545999</v>
      </c>
      <c r="J1877">
        <v>-270</v>
      </c>
      <c r="K1877">
        <v>0</v>
      </c>
    </row>
    <row r="1878" spans="1:12">
      <c r="A1878" t="s">
        <v>797</v>
      </c>
      <c r="B1878" t="s">
        <v>1152</v>
      </c>
      <c r="C1878" t="s">
        <v>1152</v>
      </c>
      <c r="D1878" t="s">
        <v>804</v>
      </c>
      <c r="E1878" s="3" t="s">
        <v>2162</v>
      </c>
      <c r="F1878" s="3" t="s">
        <v>2162</v>
      </c>
      <c r="G1878" s="1">
        <f>$G$1874+ABS($I$1878-$I$1874)/1000</f>
        <v>467.14093416136927</v>
      </c>
      <c r="H1878">
        <v>-15000</v>
      </c>
      <c r="I1878">
        <f>$I$1877-135.8767</f>
        <v>-202664.59329545998</v>
      </c>
      <c r="J1878">
        <v>-270</v>
      </c>
      <c r="K1878">
        <v>0</v>
      </c>
    </row>
    <row r="1879" spans="1:12">
      <c r="A1879" t="s">
        <v>797</v>
      </c>
      <c r="B1879" t="s">
        <v>804</v>
      </c>
      <c r="C1879" t="s">
        <v>1152</v>
      </c>
      <c r="D1879" t="s">
        <v>804</v>
      </c>
      <c r="E1879" s="10" t="s">
        <v>1698</v>
      </c>
      <c r="F1879" s="10" t="s">
        <v>2732</v>
      </c>
      <c r="G1879" s="1">
        <f>$G$1881-ABS($I$1881-$I$1879)/1000</f>
        <v>467.3709033613693</v>
      </c>
      <c r="H1879">
        <v>-15000</v>
      </c>
      <c r="I1879">
        <f>$I$1881+$L$1879/2</f>
        <v>-202894.56249546001</v>
      </c>
      <c r="J1879">
        <v>-270</v>
      </c>
      <c r="K1879">
        <v>0</v>
      </c>
      <c r="L1879">
        <v>1889.4492</v>
      </c>
    </row>
    <row r="1880" spans="1:12">
      <c r="A1880" t="s">
        <v>797</v>
      </c>
      <c r="B1880" t="s">
        <v>803</v>
      </c>
      <c r="C1880" t="s">
        <v>806</v>
      </c>
      <c r="E1880" t="s">
        <v>878</v>
      </c>
      <c r="F1880" t="s">
        <v>878</v>
      </c>
      <c r="G1880" s="1">
        <v>467.3025379999998</v>
      </c>
      <c r="H1880">
        <v>-17463.46291704</v>
      </c>
      <c r="I1880">
        <v>-202941.79128298</v>
      </c>
      <c r="J1880">
        <v>-24.579569710000001</v>
      </c>
      <c r="K1880">
        <v>245.42043029000001</v>
      </c>
    </row>
    <row r="1881" spans="1:12">
      <c r="A1881" t="s">
        <v>797</v>
      </c>
      <c r="B1881" t="s">
        <v>804</v>
      </c>
      <c r="C1881" t="s">
        <v>1152</v>
      </c>
      <c r="D1881" t="s">
        <v>804</v>
      </c>
      <c r="E1881" s="10" t="s">
        <v>1314</v>
      </c>
      <c r="F1881" s="10" t="s">
        <v>2732</v>
      </c>
      <c r="G1881" s="1">
        <f>$G$1878+ABS($I$1881-$I$1878)/1000</f>
        <v>468.31562796136927</v>
      </c>
      <c r="H1881">
        <v>-15000</v>
      </c>
      <c r="I1881">
        <f>$I$1878-1174.6938</f>
        <v>-203839.28709545999</v>
      </c>
      <c r="J1881">
        <v>-270</v>
      </c>
      <c r="K1881">
        <v>0</v>
      </c>
      <c r="L1881">
        <v>1889.4492</v>
      </c>
    </row>
    <row r="1882" spans="1:12">
      <c r="A1882" t="s">
        <v>797</v>
      </c>
      <c r="B1882" t="s">
        <v>804</v>
      </c>
      <c r="C1882" t="s">
        <v>1152</v>
      </c>
      <c r="D1882" t="s">
        <v>804</v>
      </c>
      <c r="E1882" s="10" t="s">
        <v>1699</v>
      </c>
      <c r="F1882" s="10" t="s">
        <v>2732</v>
      </c>
      <c r="G1882" s="1">
        <f>$G$1881+ABS($I$1882-$I$1881)/1000</f>
        <v>469.26035256136925</v>
      </c>
      <c r="H1882">
        <v>-15000</v>
      </c>
      <c r="I1882">
        <f>$I$1881-$L$1882/2</f>
        <v>-204784.01169545998</v>
      </c>
      <c r="J1882">
        <v>-270</v>
      </c>
      <c r="K1882">
        <v>0</v>
      </c>
      <c r="L1882">
        <v>1889.4492</v>
      </c>
    </row>
    <row r="1883" spans="1:12">
      <c r="A1883" t="s">
        <v>797</v>
      </c>
      <c r="B1883" t="s">
        <v>804</v>
      </c>
      <c r="C1883" t="s">
        <v>1152</v>
      </c>
      <c r="D1883" t="s">
        <v>804</v>
      </c>
      <c r="E1883" s="10" t="s">
        <v>1700</v>
      </c>
      <c r="F1883" s="10" t="s">
        <v>2733</v>
      </c>
      <c r="G1883" s="1">
        <f>$G$1884-ABS($I$1884-$I$1883)/1000</f>
        <v>469.47029436136933</v>
      </c>
      <c r="H1883">
        <v>-15000</v>
      </c>
      <c r="I1883">
        <f>$I$1884+$L$1883/2</f>
        <v>-204993.95349546001</v>
      </c>
      <c r="J1883">
        <v>-270</v>
      </c>
      <c r="K1883">
        <v>0</v>
      </c>
      <c r="L1883">
        <v>1889.4492</v>
      </c>
    </row>
    <row r="1884" spans="1:12">
      <c r="A1884" t="s">
        <v>797</v>
      </c>
      <c r="B1884" t="s">
        <v>804</v>
      </c>
      <c r="C1884" t="s">
        <v>1152</v>
      </c>
      <c r="D1884" t="s">
        <v>804</v>
      </c>
      <c r="E1884" s="10" t="s">
        <v>1368</v>
      </c>
      <c r="F1884" s="10" t="s">
        <v>2733</v>
      </c>
      <c r="G1884" s="1">
        <f>$G$1881+ABS($I$1884-$I$1881)/1000</f>
        <v>470.4150189613693</v>
      </c>
      <c r="H1884">
        <v>-15000</v>
      </c>
      <c r="I1884">
        <f>$I$1881-2099.391</f>
        <v>-205938.67809546</v>
      </c>
      <c r="J1884">
        <v>-270</v>
      </c>
      <c r="K1884">
        <v>0</v>
      </c>
      <c r="L1884">
        <v>1889.4492</v>
      </c>
    </row>
    <row r="1885" spans="1:12">
      <c r="A1885" t="s">
        <v>797</v>
      </c>
      <c r="B1885" t="s">
        <v>804</v>
      </c>
      <c r="C1885" t="s">
        <v>1152</v>
      </c>
      <c r="D1885" t="s">
        <v>804</v>
      </c>
      <c r="E1885" s="10" t="s">
        <v>1701</v>
      </c>
      <c r="F1885" s="10" t="s">
        <v>2733</v>
      </c>
      <c r="G1885" s="1">
        <f>$G$1884+ABS($I$1885-$I$1884)/1000</f>
        <v>471.35974356136927</v>
      </c>
      <c r="H1885">
        <v>-15000</v>
      </c>
      <c r="I1885">
        <f>$I$1884-$L$1885/2</f>
        <v>-206883.40269545998</v>
      </c>
      <c r="J1885">
        <v>-270</v>
      </c>
      <c r="K1885">
        <v>0</v>
      </c>
      <c r="L1885">
        <v>1889.4492</v>
      </c>
    </row>
    <row r="1886" spans="1:12">
      <c r="A1886" t="s">
        <v>797</v>
      </c>
      <c r="B1886" t="s">
        <v>803</v>
      </c>
      <c r="C1886" t="s">
        <v>806</v>
      </c>
      <c r="E1886" t="s">
        <v>1038</v>
      </c>
      <c r="F1886" t="s">
        <v>1038</v>
      </c>
      <c r="G1886" s="1">
        <v>471.37264399999992</v>
      </c>
      <c r="H1886">
        <v>-15400</v>
      </c>
      <c r="I1886">
        <v>-207011.22576457</v>
      </c>
      <c r="J1886">
        <v>-689</v>
      </c>
      <c r="K1886">
        <v>-419</v>
      </c>
    </row>
    <row r="1887" spans="1:12">
      <c r="A1887" t="s">
        <v>797</v>
      </c>
      <c r="B1887" t="s">
        <v>2288</v>
      </c>
      <c r="C1887" t="s">
        <v>1152</v>
      </c>
      <c r="D1887" t="s">
        <v>804</v>
      </c>
      <c r="E1887" s="8" t="s">
        <v>2293</v>
      </c>
      <c r="F1887" s="8" t="s">
        <v>2293</v>
      </c>
      <c r="G1887" s="1">
        <f>$G$1884+ABS($I$1887-$I$1884)/1000</f>
        <v>471.52323946136931</v>
      </c>
      <c r="H1887">
        <v>-15000</v>
      </c>
      <c r="I1887">
        <f>$I$1884-1108.2205</f>
        <v>-207046.89859545999</v>
      </c>
      <c r="J1887">
        <v>-270</v>
      </c>
      <c r="K1887">
        <v>0</v>
      </c>
    </row>
    <row r="1888" spans="1:12">
      <c r="A1888" t="s">
        <v>797</v>
      </c>
      <c r="B1888" t="s">
        <v>803</v>
      </c>
      <c r="C1888" t="s">
        <v>806</v>
      </c>
      <c r="E1888" t="s">
        <v>1041</v>
      </c>
      <c r="F1888" t="s">
        <v>1041</v>
      </c>
      <c r="G1888" s="1">
        <v>471.65109699999988</v>
      </c>
      <c r="H1888">
        <v>-15400</v>
      </c>
      <c r="I1888">
        <v>-207289.62542251</v>
      </c>
      <c r="J1888">
        <v>-689</v>
      </c>
      <c r="K1888">
        <v>-419</v>
      </c>
    </row>
    <row r="1889" spans="1:12">
      <c r="A1889" t="s">
        <v>797</v>
      </c>
      <c r="B1889" t="s">
        <v>804</v>
      </c>
      <c r="C1889" t="s">
        <v>1152</v>
      </c>
      <c r="D1889" t="s">
        <v>804</v>
      </c>
      <c r="E1889" s="10" t="s">
        <v>1702</v>
      </c>
      <c r="F1889" s="10" t="s">
        <v>2734</v>
      </c>
      <c r="G1889" s="1">
        <f>$G$1890-ABS($I$1890-$I$1889)/1000</f>
        <v>471.85722126136932</v>
      </c>
      <c r="H1889">
        <v>-15000</v>
      </c>
      <c r="I1889">
        <f>$I$1890+$L$1889/2</f>
        <v>-207380.88039546</v>
      </c>
      <c r="J1889">
        <v>-270</v>
      </c>
      <c r="K1889">
        <v>0</v>
      </c>
      <c r="L1889">
        <v>1889.4492</v>
      </c>
    </row>
    <row r="1890" spans="1:12">
      <c r="A1890" t="s">
        <v>797</v>
      </c>
      <c r="B1890" t="s">
        <v>804</v>
      </c>
      <c r="C1890" t="s">
        <v>1152</v>
      </c>
      <c r="D1890" t="s">
        <v>804</v>
      </c>
      <c r="E1890" s="10" t="s">
        <v>1205</v>
      </c>
      <c r="F1890" s="10" t="s">
        <v>2734</v>
      </c>
      <c r="G1890" s="1">
        <f>$G$1887+ABS($I$1890-$I$1887)/1000</f>
        <v>472.80194586136929</v>
      </c>
      <c r="H1890">
        <v>-15000</v>
      </c>
      <c r="I1890">
        <f>$I$1887-1278.7064</f>
        <v>-208325.60499545999</v>
      </c>
      <c r="J1890">
        <v>-270</v>
      </c>
      <c r="K1890">
        <v>0</v>
      </c>
      <c r="L1890">
        <v>1889.4492</v>
      </c>
    </row>
    <row r="1891" spans="1:12">
      <c r="A1891" t="s">
        <v>797</v>
      </c>
      <c r="B1891" t="s">
        <v>804</v>
      </c>
      <c r="C1891" t="s">
        <v>1152</v>
      </c>
      <c r="D1891" t="s">
        <v>804</v>
      </c>
      <c r="E1891" s="10" t="s">
        <v>1703</v>
      </c>
      <c r="F1891" s="10" t="s">
        <v>2734</v>
      </c>
      <c r="G1891" s="1">
        <f>$G$1890+ABS($I$1891-$I$1890)/1000</f>
        <v>473.74667046136926</v>
      </c>
      <c r="H1891">
        <v>-15000</v>
      </c>
      <c r="I1891">
        <f>$I$1890-$L$1891/2</f>
        <v>-209270.32959545997</v>
      </c>
      <c r="J1891">
        <v>-270</v>
      </c>
      <c r="K1891">
        <v>0</v>
      </c>
      <c r="L1891">
        <v>1889.4492</v>
      </c>
    </row>
    <row r="1892" spans="1:12">
      <c r="A1892" t="s">
        <v>797</v>
      </c>
      <c r="B1892" t="s">
        <v>804</v>
      </c>
      <c r="C1892" t="s">
        <v>1152</v>
      </c>
      <c r="D1892" t="s">
        <v>804</v>
      </c>
      <c r="E1892" s="10" t="s">
        <v>1704</v>
      </c>
      <c r="F1892" s="10" t="s">
        <v>2735</v>
      </c>
      <c r="G1892" s="1">
        <f>$G$1893-ABS($I$1893-$I$1892)/1000</f>
        <v>473.95661226136934</v>
      </c>
      <c r="H1892">
        <v>-15000</v>
      </c>
      <c r="I1892">
        <f>$I$1893+$L$1892/2</f>
        <v>-209480.27139546</v>
      </c>
      <c r="J1892">
        <v>-270</v>
      </c>
      <c r="K1892">
        <v>0</v>
      </c>
      <c r="L1892">
        <v>1889.4492</v>
      </c>
    </row>
    <row r="1893" spans="1:12">
      <c r="A1893" t="s">
        <v>797</v>
      </c>
      <c r="B1893" t="s">
        <v>804</v>
      </c>
      <c r="C1893" t="s">
        <v>1152</v>
      </c>
      <c r="D1893" t="s">
        <v>804</v>
      </c>
      <c r="E1893" s="10" t="s">
        <v>1261</v>
      </c>
      <c r="F1893" s="10" t="s">
        <v>2735</v>
      </c>
      <c r="G1893" s="1">
        <f>$G$1890+ABS($I$1893-$I$1890)/1000</f>
        <v>474.90133686136932</v>
      </c>
      <c r="H1893">
        <v>-15000</v>
      </c>
      <c r="I1893">
        <f>$I$1890-2099.391</f>
        <v>-210424.99599545999</v>
      </c>
      <c r="J1893">
        <v>-270</v>
      </c>
      <c r="K1893">
        <v>0</v>
      </c>
      <c r="L1893">
        <v>1889.4492</v>
      </c>
    </row>
    <row r="1894" spans="1:12">
      <c r="A1894" t="s">
        <v>797</v>
      </c>
      <c r="B1894" t="s">
        <v>803</v>
      </c>
      <c r="C1894" t="s">
        <v>806</v>
      </c>
      <c r="E1894" t="s">
        <v>880</v>
      </c>
      <c r="F1894" t="s">
        <v>880</v>
      </c>
      <c r="G1894" s="1">
        <v>475.3722409999998</v>
      </c>
      <c r="H1894">
        <v>-13509.10634167</v>
      </c>
      <c r="I1894">
        <v>-211010.14270671</v>
      </c>
      <c r="J1894">
        <v>-26.07616063</v>
      </c>
      <c r="K1894">
        <v>243.92383937</v>
      </c>
    </row>
    <row r="1895" spans="1:12">
      <c r="A1895" t="s">
        <v>797</v>
      </c>
      <c r="B1895" t="s">
        <v>804</v>
      </c>
      <c r="C1895" t="s">
        <v>1152</v>
      </c>
      <c r="D1895" t="s">
        <v>804</v>
      </c>
      <c r="E1895" s="10" t="s">
        <v>1705</v>
      </c>
      <c r="F1895" s="10" t="s">
        <v>2735</v>
      </c>
      <c r="G1895" s="1">
        <f>$G$1893+ABS($I$1895-$I$1893)/1000</f>
        <v>475.84606146136929</v>
      </c>
      <c r="H1895">
        <v>-15000</v>
      </c>
      <c r="I1895">
        <f>$I$1893-$L$1895/2</f>
        <v>-211369.72059545998</v>
      </c>
      <c r="J1895">
        <v>-270</v>
      </c>
      <c r="K1895">
        <v>0</v>
      </c>
      <c r="L1895">
        <v>1889.4492</v>
      </c>
    </row>
    <row r="1896" spans="1:12">
      <c r="A1896" t="s">
        <v>797</v>
      </c>
      <c r="B1896" t="s">
        <v>803</v>
      </c>
      <c r="C1896" t="s">
        <v>806</v>
      </c>
      <c r="E1896" t="s">
        <v>879</v>
      </c>
      <c r="F1896" t="s">
        <v>879</v>
      </c>
      <c r="G1896" s="1">
        <v>475.82916699999976</v>
      </c>
      <c r="H1896">
        <v>-17460.918626539999</v>
      </c>
      <c r="I1896">
        <v>-211468.37350481999</v>
      </c>
      <c r="J1896">
        <v>-25.324792670000001</v>
      </c>
      <c r="K1896">
        <v>244.67520733000001</v>
      </c>
    </row>
    <row r="1897" spans="1:12">
      <c r="A1897" t="s">
        <v>797</v>
      </c>
      <c r="B1897" t="s">
        <v>1152</v>
      </c>
      <c r="C1897" t="s">
        <v>1152</v>
      </c>
      <c r="D1897" t="s">
        <v>804</v>
      </c>
      <c r="E1897" s="3" t="s">
        <v>2164</v>
      </c>
      <c r="F1897" s="3" t="s">
        <v>2164</v>
      </c>
      <c r="G1897" s="1">
        <f>$G$1893+ABS($I$1897-$I$1893)/1000</f>
        <v>476.00505746136929</v>
      </c>
      <c r="H1897">
        <v>-15000</v>
      </c>
      <c r="I1897">
        <f>$I$1893-1103.7206</f>
        <v>-211528.71659545999</v>
      </c>
      <c r="J1897">
        <v>-270</v>
      </c>
      <c r="K1897">
        <v>0</v>
      </c>
    </row>
    <row r="1898" spans="1:12">
      <c r="A1898" t="s">
        <v>797</v>
      </c>
      <c r="B1898" t="s">
        <v>804</v>
      </c>
      <c r="C1898" t="s">
        <v>1152</v>
      </c>
      <c r="D1898" t="s">
        <v>804</v>
      </c>
      <c r="E1898" s="10" t="s">
        <v>1706</v>
      </c>
      <c r="F1898" s="10" t="s">
        <v>2736</v>
      </c>
      <c r="G1898" s="1">
        <f>$G$1899-ABS($I$1899-$I$1898)/1000</f>
        <v>476.37090326136934</v>
      </c>
      <c r="H1898">
        <v>-15000</v>
      </c>
      <c r="I1898">
        <f>$I$1899+$L$1898/2</f>
        <v>-211894.56239546</v>
      </c>
      <c r="J1898">
        <v>-270</v>
      </c>
      <c r="K1898">
        <v>0</v>
      </c>
      <c r="L1898">
        <v>1889.4492</v>
      </c>
    </row>
    <row r="1899" spans="1:12">
      <c r="A1899" t="s">
        <v>797</v>
      </c>
      <c r="B1899" t="s">
        <v>804</v>
      </c>
      <c r="C1899" t="s">
        <v>1152</v>
      </c>
      <c r="D1899" t="s">
        <v>804</v>
      </c>
      <c r="E1899" s="10" t="s">
        <v>1315</v>
      </c>
      <c r="F1899" s="10" t="s">
        <v>2736</v>
      </c>
      <c r="G1899" s="1">
        <f>$G$1897+ABS($I$1899-$I$1897)/1000</f>
        <v>477.31562786136931</v>
      </c>
      <c r="H1899">
        <v>-15000</v>
      </c>
      <c r="I1899">
        <f>$I$1897-1310.5704</f>
        <v>-212839.28699545999</v>
      </c>
      <c r="J1899">
        <v>-270</v>
      </c>
      <c r="K1899">
        <v>0</v>
      </c>
      <c r="L1899">
        <v>1889.4492</v>
      </c>
    </row>
    <row r="1900" spans="1:12">
      <c r="A1900" t="s">
        <v>797</v>
      </c>
      <c r="B1900" t="s">
        <v>804</v>
      </c>
      <c r="C1900" t="s">
        <v>1152</v>
      </c>
      <c r="D1900" t="s">
        <v>804</v>
      </c>
      <c r="E1900" s="10" t="s">
        <v>1707</v>
      </c>
      <c r="F1900" s="10" t="s">
        <v>2736</v>
      </c>
      <c r="G1900" s="1">
        <f>$G$1899+ABS($I$1900-$I$1899)/1000</f>
        <v>478.26035246136928</v>
      </c>
      <c r="H1900">
        <v>-15000</v>
      </c>
      <c r="I1900">
        <f>$I$1899-$L$1900/2</f>
        <v>-213784.01159545998</v>
      </c>
      <c r="J1900">
        <v>-270</v>
      </c>
      <c r="K1900">
        <v>0</v>
      </c>
      <c r="L1900">
        <v>1889.4492</v>
      </c>
    </row>
    <row r="1901" spans="1:12">
      <c r="A1901" t="s">
        <v>797</v>
      </c>
      <c r="B1901" t="s">
        <v>804</v>
      </c>
      <c r="C1901" t="s">
        <v>1152</v>
      </c>
      <c r="D1901" t="s">
        <v>804</v>
      </c>
      <c r="E1901" s="10" t="s">
        <v>1708</v>
      </c>
      <c r="F1901" s="10" t="s">
        <v>2737</v>
      </c>
      <c r="G1901" s="1">
        <f>$G$1902-ABS($I$1902-$I$1901)/1000</f>
        <v>478.47029426136936</v>
      </c>
      <c r="H1901">
        <v>-15000</v>
      </c>
      <c r="I1901">
        <f>$I$1902+$L$1901/2</f>
        <v>-213993.95339546</v>
      </c>
      <c r="J1901">
        <v>-270</v>
      </c>
      <c r="K1901">
        <v>0</v>
      </c>
      <c r="L1901">
        <v>1889.4492</v>
      </c>
    </row>
    <row r="1902" spans="1:12">
      <c r="A1902" t="s">
        <v>797</v>
      </c>
      <c r="B1902" t="s">
        <v>804</v>
      </c>
      <c r="C1902" t="s">
        <v>1152</v>
      </c>
      <c r="D1902" t="s">
        <v>804</v>
      </c>
      <c r="E1902" s="10" t="s">
        <v>1369</v>
      </c>
      <c r="F1902" s="10" t="s">
        <v>2737</v>
      </c>
      <c r="G1902" s="1">
        <f>$G$1899+ABS($I$1902-$I$1899)/1000</f>
        <v>479.41501886136933</v>
      </c>
      <c r="H1902">
        <v>-15000</v>
      </c>
      <c r="I1902">
        <f>$I$1899-2099.391</f>
        <v>-214938.67799545999</v>
      </c>
      <c r="J1902">
        <v>-270</v>
      </c>
      <c r="K1902">
        <v>0</v>
      </c>
      <c r="L1902">
        <v>1889.4492</v>
      </c>
    </row>
    <row r="1903" spans="1:12">
      <c r="A1903" t="s">
        <v>797</v>
      </c>
      <c r="B1903" t="s">
        <v>804</v>
      </c>
      <c r="C1903" t="s">
        <v>1152</v>
      </c>
      <c r="D1903" t="s">
        <v>804</v>
      </c>
      <c r="E1903" s="10" t="s">
        <v>1709</v>
      </c>
      <c r="F1903" s="10" t="s">
        <v>2737</v>
      </c>
      <c r="G1903" s="1">
        <f>$G$1902+ABS($I$1903-$I$1902)/1000</f>
        <v>480.35974346136931</v>
      </c>
      <c r="H1903">
        <v>-15000</v>
      </c>
      <c r="I1903">
        <f>$I$1902-$L$1903/2</f>
        <v>-215883.40259545998</v>
      </c>
      <c r="J1903">
        <v>-270</v>
      </c>
      <c r="K1903">
        <v>0</v>
      </c>
      <c r="L1903">
        <v>1889.4492</v>
      </c>
    </row>
    <row r="1904" spans="1:12">
      <c r="A1904" t="s">
        <v>797</v>
      </c>
      <c r="B1904" t="s">
        <v>803</v>
      </c>
      <c r="C1904" t="s">
        <v>806</v>
      </c>
      <c r="E1904" t="s">
        <v>1040</v>
      </c>
      <c r="F1904" t="s">
        <v>1040</v>
      </c>
      <c r="G1904" s="1">
        <v>480.36716799999988</v>
      </c>
      <c r="H1904">
        <v>-15400</v>
      </c>
      <c r="I1904">
        <v>-216005.70044824001</v>
      </c>
      <c r="J1904">
        <v>-689</v>
      </c>
      <c r="K1904">
        <v>-419</v>
      </c>
    </row>
    <row r="1905" spans="1:13">
      <c r="A1905" t="s">
        <v>797</v>
      </c>
      <c r="B1905" t="s">
        <v>1152</v>
      </c>
      <c r="C1905" t="s">
        <v>1152</v>
      </c>
      <c r="D1905" t="s">
        <v>804</v>
      </c>
      <c r="E1905" s="3" t="s">
        <v>2165</v>
      </c>
      <c r="F1905" s="3" t="s">
        <v>2165</v>
      </c>
      <c r="G1905" s="1">
        <f>$G$1902+ABS($I$1905-$I$1902)/1000</f>
        <v>480.51223936136932</v>
      </c>
      <c r="H1905">
        <v>-15000</v>
      </c>
      <c r="I1905">
        <f>$I$1902-1097.2205</f>
        <v>-216035.89849545999</v>
      </c>
      <c r="J1905">
        <v>-270</v>
      </c>
      <c r="K1905">
        <v>0</v>
      </c>
    </row>
    <row r="1906" spans="1:13">
      <c r="A1906" t="s">
        <v>797</v>
      </c>
      <c r="B1906" t="s">
        <v>803</v>
      </c>
      <c r="C1906" t="s">
        <v>806</v>
      </c>
      <c r="E1906" t="s">
        <v>881</v>
      </c>
      <c r="F1906" t="s">
        <v>881</v>
      </c>
      <c r="G1906" s="1">
        <v>480.47632299999975</v>
      </c>
      <c r="H1906">
        <v>-17459.388557229999</v>
      </c>
      <c r="I1906">
        <v>-216115.52909120999</v>
      </c>
      <c r="J1906">
        <v>-24.034796889999999</v>
      </c>
      <c r="K1906">
        <v>245.96520311</v>
      </c>
    </row>
    <row r="1907" spans="1:13">
      <c r="A1907" t="s">
        <v>797</v>
      </c>
      <c r="B1907" t="s">
        <v>803</v>
      </c>
      <c r="C1907" t="s">
        <v>806</v>
      </c>
      <c r="E1907" t="s">
        <v>882</v>
      </c>
      <c r="F1907" t="s">
        <v>882</v>
      </c>
      <c r="G1907" s="1">
        <v>480.49413199999975</v>
      </c>
      <c r="H1907">
        <v>-13503.413893139999</v>
      </c>
      <c r="I1907">
        <v>-216132.00472033999</v>
      </c>
      <c r="J1907">
        <v>-26.820196299999999</v>
      </c>
      <c r="K1907">
        <v>243.17980370000001</v>
      </c>
    </row>
    <row r="1908" spans="1:13">
      <c r="A1908" t="s">
        <v>797</v>
      </c>
      <c r="B1908" t="s">
        <v>805</v>
      </c>
      <c r="C1908" t="s">
        <v>806</v>
      </c>
      <c r="E1908" s="2" t="s">
        <v>428</v>
      </c>
      <c r="F1908" s="2" t="s">
        <v>2738</v>
      </c>
      <c r="G1908" s="1">
        <v>480.60954599999997</v>
      </c>
      <c r="H1908">
        <v>-15000</v>
      </c>
      <c r="I1908">
        <v>-216244.99532849001</v>
      </c>
      <c r="J1908">
        <v>-50</v>
      </c>
      <c r="K1908">
        <v>220</v>
      </c>
      <c r="L1908">
        <f>_xlfn.XLOOKUP(F1908,magnet_list!$A$2:$A$592,magnet_list!$M$2:$M$592,"n/a",0,1)</f>
        <v>200</v>
      </c>
      <c r="M1908">
        <f>_xlfn.XLOOKUP(F1908,magnet_list!$A$2:$A$592,magnet_list!$L$2:$L$592,"n/a",0,1)</f>
        <v>20</v>
      </c>
    </row>
    <row r="1909" spans="1:13">
      <c r="A1909" t="s">
        <v>797</v>
      </c>
      <c r="B1909" t="s">
        <v>805</v>
      </c>
      <c r="C1909" t="s">
        <v>1152</v>
      </c>
      <c r="D1909" t="s">
        <v>804</v>
      </c>
      <c r="E1909" s="2" t="s">
        <v>775</v>
      </c>
      <c r="F1909" s="2" t="s">
        <v>2738</v>
      </c>
      <c r="G1909" s="1">
        <v>480.68453849999997</v>
      </c>
      <c r="H1909">
        <v>-15000</v>
      </c>
      <c r="I1909">
        <v>-216319.98782849</v>
      </c>
      <c r="J1909">
        <v>-50</v>
      </c>
      <c r="K1909">
        <v>220</v>
      </c>
      <c r="L1909">
        <f>_xlfn.XLOOKUP(F1909,magnet_list!$A$2:$A$592,magnet_list!$M$2:$M$592,"n/a",0,1)</f>
        <v>200</v>
      </c>
      <c r="M1909">
        <f>_xlfn.XLOOKUP(F1909,magnet_list!$A$2:$A$592,magnet_list!$L$2:$L$592,"n/a",0,1)</f>
        <v>20</v>
      </c>
    </row>
    <row r="1910" spans="1:13">
      <c r="A1910" t="s">
        <v>797</v>
      </c>
      <c r="B1910" t="s">
        <v>805</v>
      </c>
      <c r="C1910" t="s">
        <v>806</v>
      </c>
      <c r="E1910" s="2" t="s">
        <v>429</v>
      </c>
      <c r="F1910" s="2" t="s">
        <v>2738</v>
      </c>
      <c r="G1910" s="1">
        <v>480.75953099999998</v>
      </c>
      <c r="H1910">
        <v>-15000</v>
      </c>
      <c r="I1910">
        <v>-216394.98411704</v>
      </c>
      <c r="J1910">
        <v>-50</v>
      </c>
      <c r="K1910">
        <v>220</v>
      </c>
      <c r="L1910">
        <f>_xlfn.XLOOKUP(F1910,magnet_list!$A$2:$A$592,magnet_list!$M$2:$M$592,"n/a",0,1)</f>
        <v>200</v>
      </c>
      <c r="M1910">
        <f>_xlfn.XLOOKUP(F1910,magnet_list!$A$2:$A$592,magnet_list!$L$2:$L$592,"n/a",0,1)</f>
        <v>20</v>
      </c>
    </row>
    <row r="1911" spans="1:13">
      <c r="A1911" t="s">
        <v>797</v>
      </c>
      <c r="B1911" t="s">
        <v>805</v>
      </c>
      <c r="C1911" t="s">
        <v>806</v>
      </c>
      <c r="E1911" s="2" t="s">
        <v>430</v>
      </c>
      <c r="F1911" s="2" t="s">
        <v>430</v>
      </c>
      <c r="G1911" s="1">
        <v>481.01449999999994</v>
      </c>
      <c r="H1911">
        <v>-15000</v>
      </c>
      <c r="I1911">
        <v>-216649.98803440001</v>
      </c>
      <c r="J1911">
        <v>-90</v>
      </c>
      <c r="K1911">
        <v>180</v>
      </c>
      <c r="L1911">
        <f>_xlfn.XLOOKUP(F1911,magnet_list!$A$2:$A$592,magnet_list!$M$2:$M$592,"n/a",0,1)</f>
        <v>80</v>
      </c>
      <c r="M1911">
        <f>_xlfn.XLOOKUP(F1911,magnet_list!$A$2:$A$592,magnet_list!$L$2:$L$592,"n/a",0,1)</f>
        <v>20</v>
      </c>
    </row>
    <row r="1912" spans="1:13">
      <c r="A1912" t="s">
        <v>797</v>
      </c>
      <c r="B1912" t="s">
        <v>805</v>
      </c>
      <c r="C1912" t="s">
        <v>1152</v>
      </c>
      <c r="D1912" t="s">
        <v>804</v>
      </c>
      <c r="E1912" s="2" t="s">
        <v>1897</v>
      </c>
      <c r="F1912" s="2" t="s">
        <v>430</v>
      </c>
      <c r="G1912" s="1">
        <v>481.01449999999994</v>
      </c>
      <c r="H1912">
        <v>-15000</v>
      </c>
      <c r="I1912">
        <v>-216649.98803440001</v>
      </c>
      <c r="J1912">
        <v>-90</v>
      </c>
      <c r="K1912">
        <v>180</v>
      </c>
      <c r="L1912">
        <f>_xlfn.XLOOKUP(F1912,magnet_list!$A$2:$A$592,magnet_list!$M$2:$M$592,"n/a",0,1)</f>
        <v>80</v>
      </c>
      <c r="M1912">
        <f>_xlfn.XLOOKUP(F1912,magnet_list!$A$2:$A$592,magnet_list!$L$2:$L$592,"n/a",0,1)</f>
        <v>20</v>
      </c>
    </row>
    <row r="1913" spans="1:13">
      <c r="A1913" t="s">
        <v>797</v>
      </c>
      <c r="B1913" t="s">
        <v>805</v>
      </c>
      <c r="C1913" t="s">
        <v>806</v>
      </c>
      <c r="E1913" s="2" t="s">
        <v>776</v>
      </c>
      <c r="F1913" s="2" t="s">
        <v>776</v>
      </c>
      <c r="G1913" s="1">
        <v>481.21451599999995</v>
      </c>
      <c r="H1913">
        <v>-15000</v>
      </c>
      <c r="I1913">
        <v>-216850.00403440002</v>
      </c>
      <c r="J1913">
        <v>-90</v>
      </c>
      <c r="K1913">
        <v>180</v>
      </c>
      <c r="L1913">
        <f>_xlfn.XLOOKUP(F1913,magnet_list!$A$2:$A$592,magnet_list!$M$2:$M$592,"n/a",0,1)</f>
        <v>80</v>
      </c>
      <c r="M1913">
        <f>_xlfn.XLOOKUP(F1913,magnet_list!$A$2:$A$592,magnet_list!$L$2:$L$592,"n/a",0,1)</f>
        <v>20</v>
      </c>
    </row>
    <row r="1914" spans="1:13">
      <c r="A1914" t="s">
        <v>797</v>
      </c>
      <c r="B1914" t="s">
        <v>805</v>
      </c>
      <c r="C1914" t="s">
        <v>1152</v>
      </c>
      <c r="D1914" t="s">
        <v>804</v>
      </c>
      <c r="E1914" s="2" t="s">
        <v>1898</v>
      </c>
      <c r="F1914" s="2" t="s">
        <v>776</v>
      </c>
      <c r="G1914" s="1">
        <v>481.21451599999995</v>
      </c>
      <c r="H1914">
        <v>-15000</v>
      </c>
      <c r="I1914">
        <v>-216850.00403440002</v>
      </c>
      <c r="J1914">
        <v>-90</v>
      </c>
      <c r="K1914">
        <v>180</v>
      </c>
      <c r="L1914">
        <f>_xlfn.XLOOKUP(F1914,magnet_list!$A$2:$A$592,magnet_list!$M$2:$M$592,"n/a",0,1)</f>
        <v>80</v>
      </c>
      <c r="M1914">
        <f>_xlfn.XLOOKUP(F1914,magnet_list!$A$2:$A$592,magnet_list!$L$2:$L$592,"n/a",0,1)</f>
        <v>20</v>
      </c>
    </row>
    <row r="1915" spans="1:13">
      <c r="A1915" t="s">
        <v>797</v>
      </c>
      <c r="B1915" t="s">
        <v>805</v>
      </c>
      <c r="C1915" t="s">
        <v>806</v>
      </c>
      <c r="E1915" s="2" t="s">
        <v>431</v>
      </c>
      <c r="F1915" s="2" t="s">
        <v>2739</v>
      </c>
      <c r="G1915" s="1">
        <v>481.46940499999999</v>
      </c>
      <c r="H1915">
        <v>-15000</v>
      </c>
      <c r="I1915">
        <v>-217104.87685361001</v>
      </c>
      <c r="J1915">
        <v>-50</v>
      </c>
      <c r="K1915">
        <v>220</v>
      </c>
      <c r="L1915">
        <f>_xlfn.XLOOKUP(F1915,magnet_list!$A$2:$A$592,magnet_list!$M$2:$M$592,"n/a",0,1)</f>
        <v>200</v>
      </c>
      <c r="M1915">
        <f>_xlfn.XLOOKUP(F1915,magnet_list!$A$2:$A$592,magnet_list!$L$2:$L$592,"n/a",0,1)</f>
        <v>20</v>
      </c>
    </row>
    <row r="1916" spans="1:13">
      <c r="A1916" t="s">
        <v>797</v>
      </c>
      <c r="B1916" t="s">
        <v>805</v>
      </c>
      <c r="C1916" t="s">
        <v>1152</v>
      </c>
      <c r="D1916" t="s">
        <v>804</v>
      </c>
      <c r="E1916" s="2" t="s">
        <v>777</v>
      </c>
      <c r="F1916" s="2" t="s">
        <v>2739</v>
      </c>
      <c r="G1916" s="1">
        <v>481.54441099999997</v>
      </c>
      <c r="H1916">
        <v>-15000</v>
      </c>
      <c r="I1916">
        <v>-217179.88285361</v>
      </c>
      <c r="J1916">
        <v>-50</v>
      </c>
      <c r="K1916">
        <v>220</v>
      </c>
      <c r="L1916">
        <f>_xlfn.XLOOKUP(F1916,magnet_list!$A$2:$A$592,magnet_list!$M$2:$M$592,"n/a",0,1)</f>
        <v>200</v>
      </c>
      <c r="M1916">
        <f>_xlfn.XLOOKUP(F1916,magnet_list!$A$2:$A$592,magnet_list!$L$2:$L$592,"n/a",0,1)</f>
        <v>20</v>
      </c>
    </row>
    <row r="1917" spans="1:13">
      <c r="A1917" t="s">
        <v>797</v>
      </c>
      <c r="B1917" t="s">
        <v>805</v>
      </c>
      <c r="C1917" t="s">
        <v>806</v>
      </c>
      <c r="E1917" s="2" t="s">
        <v>432</v>
      </c>
      <c r="F1917" s="2" t="s">
        <v>2739</v>
      </c>
      <c r="G1917" s="1">
        <v>481.61941699999994</v>
      </c>
      <c r="H1917">
        <v>-15000</v>
      </c>
      <c r="I1917">
        <v>-217254.88658932</v>
      </c>
      <c r="J1917">
        <v>-50</v>
      </c>
      <c r="K1917">
        <v>220</v>
      </c>
      <c r="L1917">
        <f>_xlfn.XLOOKUP(F1917,magnet_list!$A$2:$A$592,magnet_list!$M$2:$M$592,"n/a",0,1)</f>
        <v>200</v>
      </c>
      <c r="M1917">
        <f>_xlfn.XLOOKUP(F1917,magnet_list!$A$2:$A$592,magnet_list!$L$2:$L$592,"n/a",0,1)</f>
        <v>20</v>
      </c>
    </row>
    <row r="1918" spans="1:13">
      <c r="A1918" t="s">
        <v>797</v>
      </c>
      <c r="B1918" t="s">
        <v>1152</v>
      </c>
      <c r="C1918" t="s">
        <v>1152</v>
      </c>
      <c r="D1918" t="s">
        <v>804</v>
      </c>
      <c r="E1918" s="3" t="s">
        <v>2166</v>
      </c>
      <c r="F1918" s="3" t="s">
        <v>2166</v>
      </c>
      <c r="G1918" s="1">
        <f>$G$1905+ABS($I$1918-$I$1905)/1000</f>
        <v>483.62075206136933</v>
      </c>
      <c r="H1918">
        <v>-15000</v>
      </c>
      <c r="I1918">
        <f>$I$1905-3108.5127</f>
        <v>-219144.41119545998</v>
      </c>
      <c r="J1918">
        <v>-270</v>
      </c>
      <c r="K1918">
        <v>0</v>
      </c>
    </row>
    <row r="1919" spans="1:13">
      <c r="A1919" t="s">
        <v>797</v>
      </c>
      <c r="B1919" t="s">
        <v>803</v>
      </c>
      <c r="C1919" t="s">
        <v>806</v>
      </c>
      <c r="E1919" t="s">
        <v>884</v>
      </c>
      <c r="F1919" t="s">
        <v>884</v>
      </c>
      <c r="G1919" s="1">
        <v>482.00619399999994</v>
      </c>
      <c r="H1919">
        <v>-13504.912881439999</v>
      </c>
      <c r="I1919">
        <v>-219197.06560961</v>
      </c>
      <c r="J1919">
        <v>-24.9655928</v>
      </c>
      <c r="K1919">
        <v>245.0344072</v>
      </c>
    </row>
    <row r="1920" spans="1:13">
      <c r="A1920" t="s">
        <v>797</v>
      </c>
      <c r="B1920" t="s">
        <v>803</v>
      </c>
      <c r="C1920" t="s">
        <v>806</v>
      </c>
      <c r="E1920" t="s">
        <v>883</v>
      </c>
      <c r="F1920" t="s">
        <v>883</v>
      </c>
      <c r="G1920" s="1">
        <v>483.94491199999976</v>
      </c>
      <c r="H1920">
        <v>-17457.088832540001</v>
      </c>
      <c r="I1920">
        <v>-219584.29070154001</v>
      </c>
      <c r="J1920">
        <v>-25.356812049999998</v>
      </c>
      <c r="K1920">
        <v>244.64318795</v>
      </c>
    </row>
    <row r="1921" spans="1:12">
      <c r="A1921" t="s">
        <v>797</v>
      </c>
      <c r="B1921" t="s">
        <v>2288</v>
      </c>
      <c r="C1921" t="s">
        <v>1152</v>
      </c>
      <c r="D1921" t="s">
        <v>804</v>
      </c>
      <c r="E1921" s="8" t="s">
        <v>2294</v>
      </c>
      <c r="F1921" s="8" t="s">
        <v>2294</v>
      </c>
      <c r="G1921" s="1">
        <f>$G$1918+ABS($I$1921-$I$1918)/1000</f>
        <v>484.57675206136935</v>
      </c>
      <c r="H1921">
        <v>-15000</v>
      </c>
      <c r="I1921">
        <f>$I$1918-956</f>
        <v>-220100.41119545998</v>
      </c>
      <c r="J1921">
        <v>-270</v>
      </c>
      <c r="K1921">
        <v>0</v>
      </c>
    </row>
    <row r="1922" spans="1:12">
      <c r="A1922" t="s">
        <v>797</v>
      </c>
      <c r="B1922" t="s">
        <v>803</v>
      </c>
      <c r="C1922" t="s">
        <v>806</v>
      </c>
      <c r="E1922" t="s">
        <v>1043</v>
      </c>
      <c r="F1922" t="s">
        <v>1043</v>
      </c>
      <c r="G1922" s="1">
        <v>484.57235399999985</v>
      </c>
      <c r="H1922">
        <v>-15400</v>
      </c>
      <c r="I1922">
        <v>-220211.13411873</v>
      </c>
      <c r="J1922">
        <v>-689</v>
      </c>
      <c r="K1922">
        <v>-419</v>
      </c>
    </row>
    <row r="1923" spans="1:12">
      <c r="A1923" t="s">
        <v>797</v>
      </c>
      <c r="B1923" t="s">
        <v>804</v>
      </c>
      <c r="C1923" t="s">
        <v>1152</v>
      </c>
      <c r="D1923" t="s">
        <v>804</v>
      </c>
      <c r="E1923" s="10" t="s">
        <v>1710</v>
      </c>
      <c r="F1923" s="10" t="s">
        <v>2740</v>
      </c>
      <c r="G1923" s="1">
        <f>$G$1924-ABS($I$1924-$I$1923)/1000</f>
        <v>484.75722126136941</v>
      </c>
      <c r="H1923">
        <v>-15000</v>
      </c>
      <c r="I1923">
        <f>$I$1924+$L$1923/2</f>
        <v>-220280.88039546</v>
      </c>
      <c r="J1923">
        <v>-270</v>
      </c>
      <c r="K1923">
        <v>0</v>
      </c>
      <c r="L1923">
        <v>1889.4492</v>
      </c>
    </row>
    <row r="1924" spans="1:12">
      <c r="A1924" t="s">
        <v>797</v>
      </c>
      <c r="B1924" t="s">
        <v>804</v>
      </c>
      <c r="C1924" t="s">
        <v>1152</v>
      </c>
      <c r="D1924" t="s">
        <v>804</v>
      </c>
      <c r="E1924" s="10" t="s">
        <v>1206</v>
      </c>
      <c r="F1924" s="10" t="s">
        <v>2740</v>
      </c>
      <c r="G1924" s="1">
        <f>$G$1921+ABS($I$1924-$I$1921)/1000</f>
        <v>485.70194586136938</v>
      </c>
      <c r="H1924">
        <v>-15000</v>
      </c>
      <c r="I1924">
        <f>$I$1921-1125.1938</f>
        <v>-221225.60499545999</v>
      </c>
      <c r="J1924">
        <v>-270</v>
      </c>
      <c r="K1924">
        <v>0</v>
      </c>
      <c r="L1924">
        <v>1889.4492</v>
      </c>
    </row>
    <row r="1925" spans="1:12">
      <c r="A1925" t="s">
        <v>797</v>
      </c>
      <c r="B1925" t="s">
        <v>804</v>
      </c>
      <c r="C1925" t="s">
        <v>1152</v>
      </c>
      <c r="D1925" t="s">
        <v>804</v>
      </c>
      <c r="E1925" s="10" t="s">
        <v>1711</v>
      </c>
      <c r="F1925" s="10" t="s">
        <v>2740</v>
      </c>
      <c r="G1925" s="1">
        <f>$G$1924+ABS($I$1925-$I$1924)/1000</f>
        <v>486.64667046136935</v>
      </c>
      <c r="H1925">
        <v>-15000</v>
      </c>
      <c r="I1925">
        <f>$I$1924-$L$1925/2</f>
        <v>-222170.32959545997</v>
      </c>
      <c r="J1925">
        <v>-270</v>
      </c>
      <c r="K1925">
        <v>0</v>
      </c>
      <c r="L1925">
        <v>1889.4492</v>
      </c>
    </row>
    <row r="1926" spans="1:12">
      <c r="A1926" t="s">
        <v>797</v>
      </c>
      <c r="B1926" t="s">
        <v>804</v>
      </c>
      <c r="C1926" t="s">
        <v>1152</v>
      </c>
      <c r="D1926" t="s">
        <v>804</v>
      </c>
      <c r="E1926" s="10" t="s">
        <v>1712</v>
      </c>
      <c r="F1926" s="10" t="s">
        <v>2741</v>
      </c>
      <c r="G1926" s="1">
        <f>$G$1928-ABS($I$1928-$I$1926)/1000</f>
        <v>486.85661226136943</v>
      </c>
      <c r="H1926">
        <v>-15000</v>
      </c>
      <c r="I1926">
        <f>$I$1928+$L$1926/2</f>
        <v>-222380.27139546</v>
      </c>
      <c r="J1926">
        <v>-270</v>
      </c>
      <c r="K1926">
        <v>0</v>
      </c>
      <c r="L1926">
        <v>1889.4492</v>
      </c>
    </row>
    <row r="1927" spans="1:12">
      <c r="A1927" t="s">
        <v>797</v>
      </c>
      <c r="B1927" t="s">
        <v>803</v>
      </c>
      <c r="C1927" t="s">
        <v>806</v>
      </c>
      <c r="E1927" t="s">
        <v>886</v>
      </c>
      <c r="F1927" t="s">
        <v>886</v>
      </c>
      <c r="G1927" s="1">
        <v>487.30120099999976</v>
      </c>
      <c r="H1927">
        <v>-13505.33983764</v>
      </c>
      <c r="I1927">
        <v>-222939.31079188001</v>
      </c>
      <c r="J1927">
        <v>-26.199855960000001</v>
      </c>
      <c r="K1927">
        <v>243.80014403999999</v>
      </c>
    </row>
    <row r="1928" spans="1:12">
      <c r="A1928" t="s">
        <v>797</v>
      </c>
      <c r="B1928" t="s">
        <v>804</v>
      </c>
      <c r="C1928" t="s">
        <v>1152</v>
      </c>
      <c r="D1928" t="s">
        <v>804</v>
      </c>
      <c r="E1928" s="10" t="s">
        <v>1262</v>
      </c>
      <c r="F1928" s="10" t="s">
        <v>2741</v>
      </c>
      <c r="G1928" s="1">
        <f>$G$1924+ABS($I$1928-$I$1924)/1000</f>
        <v>487.80133686136941</v>
      </c>
      <c r="H1928">
        <v>-15000</v>
      </c>
      <c r="I1928">
        <f>$I$1924-2099.391</f>
        <v>-223324.99599545999</v>
      </c>
      <c r="J1928">
        <v>-270</v>
      </c>
      <c r="K1928">
        <v>0</v>
      </c>
      <c r="L1928">
        <v>1889.4492</v>
      </c>
    </row>
    <row r="1929" spans="1:12">
      <c r="A1929" t="s">
        <v>797</v>
      </c>
      <c r="B1929" t="s">
        <v>804</v>
      </c>
      <c r="C1929" t="s">
        <v>1152</v>
      </c>
      <c r="D1929" t="s">
        <v>804</v>
      </c>
      <c r="E1929" s="10" t="s">
        <v>1713</v>
      </c>
      <c r="F1929" s="10" t="s">
        <v>2741</v>
      </c>
      <c r="G1929" s="1">
        <f>$G$1928+ABS($I$1929-$I$1928)/1000</f>
        <v>488.74606146136938</v>
      </c>
      <c r="H1929">
        <v>-15000</v>
      </c>
      <c r="I1929">
        <f>$I$1928-$L$1929/2</f>
        <v>-224269.72059545998</v>
      </c>
      <c r="J1929">
        <v>-270</v>
      </c>
      <c r="K1929">
        <v>0</v>
      </c>
      <c r="L1929">
        <v>1889.4492</v>
      </c>
    </row>
    <row r="1930" spans="1:12">
      <c r="A1930" t="s">
        <v>797</v>
      </c>
      <c r="B1930" t="s">
        <v>1152</v>
      </c>
      <c r="C1930" t="s">
        <v>1152</v>
      </c>
      <c r="D1930" t="s">
        <v>804</v>
      </c>
      <c r="E1930" s="3" t="s">
        <v>2167</v>
      </c>
      <c r="F1930" s="3" t="s">
        <v>2167</v>
      </c>
      <c r="G1930" s="1">
        <f>$G$1928+ABS($I$1930-$I$1928)/1000</f>
        <v>489.0409340613694</v>
      </c>
      <c r="H1930">
        <v>-15000</v>
      </c>
      <c r="I1930">
        <f>$I$1928-1239.5972</f>
        <v>-224564.59319545998</v>
      </c>
      <c r="J1930">
        <v>-270</v>
      </c>
      <c r="K1930">
        <v>0</v>
      </c>
    </row>
    <row r="1931" spans="1:12">
      <c r="A1931" t="s">
        <v>797</v>
      </c>
      <c r="B1931" t="s">
        <v>803</v>
      </c>
      <c r="C1931" t="s">
        <v>806</v>
      </c>
      <c r="E1931" t="s">
        <v>885</v>
      </c>
      <c r="F1931" t="s">
        <v>885</v>
      </c>
      <c r="G1931" s="1">
        <v>489.10365499999978</v>
      </c>
      <c r="H1931">
        <v>-17450.747827930001</v>
      </c>
      <c r="I1931">
        <v>-224743.0544308</v>
      </c>
      <c r="J1931">
        <v>-23.941222759999999</v>
      </c>
      <c r="K1931">
        <v>246.05877724000001</v>
      </c>
    </row>
    <row r="1932" spans="1:12">
      <c r="A1932" t="s">
        <v>797</v>
      </c>
      <c r="B1932" t="s">
        <v>804</v>
      </c>
      <c r="C1932" t="s">
        <v>1152</v>
      </c>
      <c r="D1932" t="s">
        <v>804</v>
      </c>
      <c r="E1932" s="10" t="s">
        <v>1714</v>
      </c>
      <c r="F1932" s="10" t="s">
        <v>2742</v>
      </c>
      <c r="G1932" s="1">
        <f>$G$1933-ABS($I$1933-$I$1932)/1000</f>
        <v>489.27090326136943</v>
      </c>
      <c r="H1932">
        <v>-15000</v>
      </c>
      <c r="I1932">
        <f>$I$1933+$L$1932/2</f>
        <v>-224794.56239546</v>
      </c>
      <c r="J1932">
        <v>-270</v>
      </c>
      <c r="K1932">
        <v>0</v>
      </c>
      <c r="L1932">
        <v>1889.4492</v>
      </c>
    </row>
    <row r="1933" spans="1:12">
      <c r="A1933" t="s">
        <v>797</v>
      </c>
      <c r="B1933" t="s">
        <v>804</v>
      </c>
      <c r="C1933" t="s">
        <v>1152</v>
      </c>
      <c r="D1933" t="s">
        <v>804</v>
      </c>
      <c r="E1933" s="10" t="s">
        <v>1316</v>
      </c>
      <c r="F1933" s="10" t="s">
        <v>2742</v>
      </c>
      <c r="G1933" s="1">
        <f>$G$1930+ABS($I$1933-$I$1930)/1000</f>
        <v>490.2156278613694</v>
      </c>
      <c r="H1933">
        <v>-15000</v>
      </c>
      <c r="I1933">
        <f>$I$1930-1174.6938</f>
        <v>-225739.28699545999</v>
      </c>
      <c r="J1933">
        <v>-270</v>
      </c>
      <c r="K1933">
        <v>0</v>
      </c>
      <c r="L1933">
        <v>1889.4492</v>
      </c>
    </row>
    <row r="1934" spans="1:12">
      <c r="A1934" t="s">
        <v>797</v>
      </c>
      <c r="B1934" t="s">
        <v>804</v>
      </c>
      <c r="C1934" t="s">
        <v>1152</v>
      </c>
      <c r="D1934" t="s">
        <v>804</v>
      </c>
      <c r="E1934" s="10" t="s">
        <v>1715</v>
      </c>
      <c r="F1934" s="10" t="s">
        <v>2742</v>
      </c>
      <c r="G1934" s="1">
        <f>$G$1933+ABS($I$1934-$I$1933)/1000</f>
        <v>491.16035246136937</v>
      </c>
      <c r="H1934">
        <v>-15000</v>
      </c>
      <c r="I1934">
        <f>$I$1933-$L$1934/2</f>
        <v>-226684.01159545998</v>
      </c>
      <c r="J1934">
        <v>-270</v>
      </c>
      <c r="K1934">
        <v>0</v>
      </c>
      <c r="L1934">
        <v>1889.4492</v>
      </c>
    </row>
    <row r="1935" spans="1:12">
      <c r="A1935" t="s">
        <v>797</v>
      </c>
      <c r="B1935" t="s">
        <v>804</v>
      </c>
      <c r="C1935" t="s">
        <v>1152</v>
      </c>
      <c r="D1935" t="s">
        <v>804</v>
      </c>
      <c r="E1935" s="10" t="s">
        <v>1716</v>
      </c>
      <c r="F1935" s="10" t="s">
        <v>2743</v>
      </c>
      <c r="G1935" s="1">
        <f>$G$1936-ABS($I$1936-$I$1935)/1000</f>
        <v>491.37029426136945</v>
      </c>
      <c r="H1935">
        <v>-15000</v>
      </c>
      <c r="I1935">
        <f>$I$1936+$L$1935/2</f>
        <v>-226893.95339546</v>
      </c>
      <c r="J1935">
        <v>-270</v>
      </c>
      <c r="K1935">
        <v>0</v>
      </c>
      <c r="L1935">
        <v>1889.4492</v>
      </c>
    </row>
    <row r="1936" spans="1:12">
      <c r="A1936" t="s">
        <v>797</v>
      </c>
      <c r="B1936" t="s">
        <v>804</v>
      </c>
      <c r="C1936" t="s">
        <v>1152</v>
      </c>
      <c r="D1936" t="s">
        <v>804</v>
      </c>
      <c r="E1936" s="10" t="s">
        <v>1370</v>
      </c>
      <c r="F1936" s="10" t="s">
        <v>2743</v>
      </c>
      <c r="G1936" s="1">
        <f>$G$1933+ABS($I$1936-$I$1933)/1000</f>
        <v>492.31501886136942</v>
      </c>
      <c r="H1936">
        <v>-15000</v>
      </c>
      <c r="I1936">
        <f>$I$1933-2099.391</f>
        <v>-227838.67799545999</v>
      </c>
      <c r="J1936">
        <v>-270</v>
      </c>
      <c r="K1936">
        <v>0</v>
      </c>
      <c r="L1936">
        <v>1889.4492</v>
      </c>
    </row>
    <row r="1937" spans="1:12">
      <c r="A1937" t="s">
        <v>797</v>
      </c>
      <c r="B1937" t="s">
        <v>804</v>
      </c>
      <c r="C1937" t="s">
        <v>1152</v>
      </c>
      <c r="D1937" t="s">
        <v>804</v>
      </c>
      <c r="E1937" s="10" t="s">
        <v>1717</v>
      </c>
      <c r="F1937" s="10" t="s">
        <v>2743</v>
      </c>
      <c r="G1937" s="1">
        <f>$G$1936+ABS($I$1937-$I$1936)/1000</f>
        <v>493.2597434613694</v>
      </c>
      <c r="H1937">
        <v>-15000</v>
      </c>
      <c r="I1937">
        <f>$I$1936-$L$1937/2</f>
        <v>-228783.40259545998</v>
      </c>
      <c r="J1937">
        <v>-270</v>
      </c>
      <c r="K1937">
        <v>0</v>
      </c>
      <c r="L1937">
        <v>1889.4492</v>
      </c>
    </row>
    <row r="1938" spans="1:12">
      <c r="A1938" t="s">
        <v>797</v>
      </c>
      <c r="B1938" t="s">
        <v>803</v>
      </c>
      <c r="C1938" t="s">
        <v>806</v>
      </c>
      <c r="E1938" t="s">
        <v>1042</v>
      </c>
      <c r="F1938" t="s">
        <v>1042</v>
      </c>
      <c r="G1938" s="1">
        <v>493.28802799999988</v>
      </c>
      <c r="H1938">
        <v>-15400</v>
      </c>
      <c r="I1938">
        <v>-228926.79553313</v>
      </c>
      <c r="J1938">
        <v>-689</v>
      </c>
      <c r="K1938">
        <v>-419</v>
      </c>
    </row>
    <row r="1939" spans="1:12">
      <c r="A1939" t="s">
        <v>797</v>
      </c>
      <c r="B1939" t="s">
        <v>2288</v>
      </c>
      <c r="C1939" t="s">
        <v>1152</v>
      </c>
      <c r="D1939" t="s">
        <v>804</v>
      </c>
      <c r="E1939" s="8" t="s">
        <v>2295</v>
      </c>
      <c r="F1939" s="8" t="s">
        <v>2295</v>
      </c>
      <c r="G1939" s="1">
        <f>$G$1936+ABS($I$1939-$I$1936)/1000</f>
        <v>493.42323936136944</v>
      </c>
      <c r="H1939">
        <v>-15000</v>
      </c>
      <c r="I1939">
        <f>$I$1936-1108.2205</f>
        <v>-228946.89849545999</v>
      </c>
      <c r="J1939">
        <v>-270</v>
      </c>
      <c r="K1939">
        <v>0</v>
      </c>
    </row>
    <row r="1940" spans="1:12">
      <c r="A1940" t="s">
        <v>797</v>
      </c>
      <c r="B1940" t="s">
        <v>803</v>
      </c>
      <c r="C1940" t="s">
        <v>806</v>
      </c>
      <c r="E1940" t="s">
        <v>1045</v>
      </c>
      <c r="F1940" t="s">
        <v>1045</v>
      </c>
      <c r="G1940" s="1">
        <v>493.56326699999988</v>
      </c>
      <c r="H1940">
        <v>-15400</v>
      </c>
      <c r="I1940">
        <v>-229202.02320768</v>
      </c>
      <c r="J1940">
        <v>-689</v>
      </c>
      <c r="K1940">
        <v>-419</v>
      </c>
    </row>
    <row r="1941" spans="1:12">
      <c r="A1941" t="s">
        <v>797</v>
      </c>
      <c r="B1941" t="s">
        <v>804</v>
      </c>
      <c r="C1941" t="s">
        <v>1152</v>
      </c>
      <c r="D1941" t="s">
        <v>804</v>
      </c>
      <c r="E1941" s="10" t="s">
        <v>1718</v>
      </c>
      <c r="F1941" s="10" t="s">
        <v>2744</v>
      </c>
      <c r="G1941" s="1">
        <f>$G$1942-ABS($I$1942-$I$1941)/1000</f>
        <v>493.75722126136947</v>
      </c>
      <c r="H1941">
        <v>-15000</v>
      </c>
      <c r="I1941">
        <f>$I$1942+$L$1941/2</f>
        <v>-229280.88039546</v>
      </c>
      <c r="J1941">
        <v>-270</v>
      </c>
      <c r="K1941">
        <v>0</v>
      </c>
      <c r="L1941">
        <v>1889.4492</v>
      </c>
    </row>
    <row r="1942" spans="1:12">
      <c r="A1942" t="s">
        <v>797</v>
      </c>
      <c r="B1942" t="s">
        <v>804</v>
      </c>
      <c r="C1942" t="s">
        <v>1152</v>
      </c>
      <c r="D1942" t="s">
        <v>804</v>
      </c>
      <c r="E1942" s="10" t="s">
        <v>1207</v>
      </c>
      <c r="F1942" s="10" t="s">
        <v>2744</v>
      </c>
      <c r="G1942" s="1">
        <f>$G$1939+ABS($I$1942-$I$1939)/1000</f>
        <v>494.70194586136944</v>
      </c>
      <c r="H1942">
        <v>-15000</v>
      </c>
      <c r="I1942">
        <f>$I$1939-1278.7065</f>
        <v>-230225.60499545999</v>
      </c>
      <c r="J1942">
        <v>-270</v>
      </c>
      <c r="K1942">
        <v>0</v>
      </c>
      <c r="L1942">
        <v>1889.4492</v>
      </c>
    </row>
    <row r="1943" spans="1:12">
      <c r="A1943" t="s">
        <v>797</v>
      </c>
      <c r="B1943" t="s">
        <v>804</v>
      </c>
      <c r="C1943" t="s">
        <v>1152</v>
      </c>
      <c r="D1943" t="s">
        <v>804</v>
      </c>
      <c r="E1943" s="10" t="s">
        <v>1719</v>
      </c>
      <c r="F1943" s="10" t="s">
        <v>2744</v>
      </c>
      <c r="G1943" s="1">
        <f>$G$1942+ABS($I$1943-$I$1942)/1000</f>
        <v>495.64667046136941</v>
      </c>
      <c r="H1943">
        <v>-15000</v>
      </c>
      <c r="I1943">
        <f>$I$1942-$L$1943/2</f>
        <v>-231170.32959545997</v>
      </c>
      <c r="J1943">
        <v>-270</v>
      </c>
      <c r="K1943">
        <v>0</v>
      </c>
      <c r="L1943">
        <v>1889.4492</v>
      </c>
    </row>
    <row r="1944" spans="1:12">
      <c r="A1944" t="s">
        <v>797</v>
      </c>
      <c r="B1944" t="s">
        <v>804</v>
      </c>
      <c r="C1944" t="s">
        <v>1152</v>
      </c>
      <c r="D1944" t="s">
        <v>804</v>
      </c>
      <c r="E1944" s="10" t="s">
        <v>1720</v>
      </c>
      <c r="F1944" s="10" t="s">
        <v>2745</v>
      </c>
      <c r="G1944" s="1">
        <f>$G$1945-ABS($I$1945-$I$1944)/1000</f>
        <v>495.85661226136949</v>
      </c>
      <c r="H1944">
        <v>-15000</v>
      </c>
      <c r="I1944">
        <f>$I$1945+$L$1944/2</f>
        <v>-231380.27139546</v>
      </c>
      <c r="J1944">
        <v>-270</v>
      </c>
      <c r="K1944">
        <v>0</v>
      </c>
      <c r="L1944">
        <v>1889.4492</v>
      </c>
    </row>
    <row r="1945" spans="1:12">
      <c r="A1945" t="s">
        <v>797</v>
      </c>
      <c r="B1945" t="s">
        <v>804</v>
      </c>
      <c r="C1945" t="s">
        <v>1152</v>
      </c>
      <c r="D1945" t="s">
        <v>804</v>
      </c>
      <c r="E1945" s="10" t="s">
        <v>1263</v>
      </c>
      <c r="F1945" s="10" t="s">
        <v>2745</v>
      </c>
      <c r="G1945" s="1">
        <f>$G$1942+ABS($I$1945-$I$1942)/1000</f>
        <v>496.80133686136946</v>
      </c>
      <c r="H1945">
        <v>-15000</v>
      </c>
      <c r="I1945">
        <f>$I$1942-2099.391</f>
        <v>-232324.99599545999</v>
      </c>
      <c r="J1945">
        <v>-270</v>
      </c>
      <c r="K1945">
        <v>0</v>
      </c>
      <c r="L1945">
        <v>1889.4492</v>
      </c>
    </row>
    <row r="1946" spans="1:12">
      <c r="A1946" t="s">
        <v>797</v>
      </c>
      <c r="B1946" t="s">
        <v>803</v>
      </c>
      <c r="C1946" t="s">
        <v>806</v>
      </c>
      <c r="E1946" t="s">
        <v>888</v>
      </c>
      <c r="F1946" t="s">
        <v>888</v>
      </c>
      <c r="G1946" s="1">
        <v>496.72753599999982</v>
      </c>
      <c r="H1946">
        <v>-13499.23822263</v>
      </c>
      <c r="I1946">
        <v>-232365.61465308999</v>
      </c>
      <c r="J1946">
        <v>-25.195096240000002</v>
      </c>
      <c r="K1946">
        <v>244.80490376</v>
      </c>
    </row>
    <row r="1947" spans="1:12">
      <c r="A1947" t="s">
        <v>797</v>
      </c>
      <c r="B1947" t="s">
        <v>803</v>
      </c>
      <c r="C1947" t="s">
        <v>806</v>
      </c>
      <c r="E1947" t="s">
        <v>887</v>
      </c>
      <c r="F1947" t="s">
        <v>887</v>
      </c>
      <c r="G1947" s="1">
        <v>497.54647499999982</v>
      </c>
      <c r="H1947">
        <v>-17456.073101369999</v>
      </c>
      <c r="I1947">
        <v>-233185.86423218</v>
      </c>
      <c r="J1947">
        <v>-24.497366320000001</v>
      </c>
      <c r="K1947">
        <v>245.50263368</v>
      </c>
    </row>
    <row r="1948" spans="1:12">
      <c r="A1948" t="s">
        <v>797</v>
      </c>
      <c r="B1948" t="s">
        <v>804</v>
      </c>
      <c r="C1948" t="s">
        <v>1152</v>
      </c>
      <c r="D1948" t="s">
        <v>804</v>
      </c>
      <c r="E1948" s="10" t="s">
        <v>1721</v>
      </c>
      <c r="F1948" s="10" t="s">
        <v>2745</v>
      </c>
      <c r="G1948" s="1">
        <f>$G$1945+ABS($I$1948-$I$1945)/1000</f>
        <v>497.74606146136944</v>
      </c>
      <c r="H1948">
        <v>-15000</v>
      </c>
      <c r="I1948">
        <f>$I$1945-$L$1948/2</f>
        <v>-233269.72059545998</v>
      </c>
      <c r="J1948">
        <v>-270</v>
      </c>
      <c r="K1948">
        <v>0</v>
      </c>
      <c r="L1948">
        <v>1889.4492</v>
      </c>
    </row>
    <row r="1949" spans="1:12">
      <c r="A1949" t="s">
        <v>797</v>
      </c>
      <c r="B1949" t="s">
        <v>804</v>
      </c>
      <c r="C1949" t="s">
        <v>1152</v>
      </c>
      <c r="D1949" t="s">
        <v>804</v>
      </c>
      <c r="E1949" s="10" t="s">
        <v>1722</v>
      </c>
      <c r="F1949" s="10" t="s">
        <v>2746</v>
      </c>
      <c r="G1949" s="1">
        <f>$G$1950-ABS($I$1950-$I$1949)/1000</f>
        <v>498.27090326136948</v>
      </c>
      <c r="H1949">
        <v>-15000</v>
      </c>
      <c r="I1949">
        <f>$I$1950+$L$1949/2</f>
        <v>-233794.56239546</v>
      </c>
      <c r="J1949">
        <v>-270</v>
      </c>
      <c r="K1949">
        <v>0</v>
      </c>
      <c r="L1949">
        <v>1889.4492</v>
      </c>
    </row>
    <row r="1950" spans="1:12">
      <c r="A1950" t="s">
        <v>797</v>
      </c>
      <c r="B1950" t="s">
        <v>804</v>
      </c>
      <c r="C1950" t="s">
        <v>1152</v>
      </c>
      <c r="D1950" t="s">
        <v>804</v>
      </c>
      <c r="E1950" s="10" t="s">
        <v>1317</v>
      </c>
      <c r="F1950" s="10" t="s">
        <v>2746</v>
      </c>
      <c r="G1950" s="1">
        <f>$G$1945+ABS($I$1950-$I$1945)/1000</f>
        <v>499.21562786136946</v>
      </c>
      <c r="H1950">
        <v>-15000</v>
      </c>
      <c r="I1950">
        <f>$I$1945-2414.291</f>
        <v>-234739.28699545999</v>
      </c>
      <c r="J1950">
        <v>-270</v>
      </c>
      <c r="K1950">
        <v>0</v>
      </c>
      <c r="L1950">
        <v>1889.4492</v>
      </c>
    </row>
    <row r="1951" spans="1:12">
      <c r="A1951" t="s">
        <v>797</v>
      </c>
      <c r="B1951" t="s">
        <v>804</v>
      </c>
      <c r="C1951" t="s">
        <v>1152</v>
      </c>
      <c r="D1951" t="s">
        <v>804</v>
      </c>
      <c r="E1951" s="10" t="s">
        <v>1723</v>
      </c>
      <c r="F1951" s="10" t="s">
        <v>2746</v>
      </c>
      <c r="G1951" s="1">
        <f>$G$1950+ABS($I$1951-$I$1950)/1000</f>
        <v>500.16035246136943</v>
      </c>
      <c r="H1951">
        <v>-15000</v>
      </c>
      <c r="I1951">
        <f>$I$1950-$L$1951/2</f>
        <v>-235684.01159545998</v>
      </c>
      <c r="J1951">
        <v>-270</v>
      </c>
      <c r="K1951">
        <v>0</v>
      </c>
      <c r="L1951">
        <v>1889.4492</v>
      </c>
    </row>
    <row r="1952" spans="1:12">
      <c r="A1952" t="s">
        <v>797</v>
      </c>
      <c r="B1952" t="s">
        <v>804</v>
      </c>
      <c r="C1952" t="s">
        <v>1152</v>
      </c>
      <c r="D1952" t="s">
        <v>804</v>
      </c>
      <c r="E1952" s="10" t="s">
        <v>1724</v>
      </c>
      <c r="F1952" s="10" t="s">
        <v>2747</v>
      </c>
      <c r="G1952" s="1">
        <f>$G$1953-ABS($I$1953-$I$1952)/1000</f>
        <v>500.37029426136951</v>
      </c>
      <c r="H1952">
        <v>-15000</v>
      </c>
      <c r="I1952">
        <f>$I$1953+$L$1952/2</f>
        <v>-235893.95339546</v>
      </c>
      <c r="J1952">
        <v>-270</v>
      </c>
      <c r="K1952">
        <v>0</v>
      </c>
      <c r="L1952">
        <v>1889.4492</v>
      </c>
    </row>
    <row r="1953" spans="1:13">
      <c r="A1953" t="s">
        <v>797</v>
      </c>
      <c r="B1953" t="s">
        <v>804</v>
      </c>
      <c r="C1953" t="s">
        <v>1152</v>
      </c>
      <c r="D1953" t="s">
        <v>804</v>
      </c>
      <c r="E1953" s="10" t="s">
        <v>1371</v>
      </c>
      <c r="F1953" s="10" t="s">
        <v>2747</v>
      </c>
      <c r="G1953" s="1">
        <f>$G$1950+ABS($I$1953-$I$1950)/1000</f>
        <v>501.31501886136948</v>
      </c>
      <c r="H1953">
        <v>-15000</v>
      </c>
      <c r="I1953">
        <f>$I$1950-2099.391</f>
        <v>-236838.67799545999</v>
      </c>
      <c r="J1953">
        <v>-270</v>
      </c>
      <c r="K1953">
        <v>0</v>
      </c>
      <c r="L1953">
        <v>1889.4492</v>
      </c>
    </row>
    <row r="1954" spans="1:13">
      <c r="A1954" t="s">
        <v>797</v>
      </c>
      <c r="B1954" t="s">
        <v>804</v>
      </c>
      <c r="C1954" t="s">
        <v>1152</v>
      </c>
      <c r="D1954" t="s">
        <v>804</v>
      </c>
      <c r="E1954" s="10" t="s">
        <v>1725</v>
      </c>
      <c r="F1954" s="10" t="s">
        <v>2747</v>
      </c>
      <c r="G1954" s="1">
        <f>$G$1953+ABS($I$1954-$I$1953)/1000</f>
        <v>502.25974346136945</v>
      </c>
      <c r="H1954">
        <v>-15000</v>
      </c>
      <c r="I1954">
        <f>$I$1953-$L$1954/2</f>
        <v>-237783.40259545998</v>
      </c>
      <c r="J1954">
        <v>-270</v>
      </c>
      <c r="K1954">
        <v>0</v>
      </c>
      <c r="L1954">
        <v>1889.4492</v>
      </c>
    </row>
    <row r="1955" spans="1:13">
      <c r="A1955" t="s">
        <v>797</v>
      </c>
      <c r="B1955" t="s">
        <v>803</v>
      </c>
      <c r="C1955" t="s">
        <v>806</v>
      </c>
      <c r="E1955" t="s">
        <v>1044</v>
      </c>
      <c r="F1955" t="s">
        <v>1044</v>
      </c>
      <c r="G1955" s="1">
        <v>502.27875299999982</v>
      </c>
      <c r="H1955">
        <v>-15400</v>
      </c>
      <c r="I1955">
        <v>-237917.46579581001</v>
      </c>
      <c r="J1955">
        <v>-689</v>
      </c>
      <c r="K1955">
        <v>-419</v>
      </c>
    </row>
    <row r="1956" spans="1:13">
      <c r="A1956" t="s">
        <v>797</v>
      </c>
      <c r="B1956" t="s">
        <v>1152</v>
      </c>
      <c r="C1956" t="s">
        <v>1152</v>
      </c>
      <c r="D1956" t="s">
        <v>804</v>
      </c>
      <c r="E1956" s="3" t="s">
        <v>2168</v>
      </c>
      <c r="F1956" s="3" t="s">
        <v>2168</v>
      </c>
      <c r="G1956" s="1">
        <f>$G$1953+ABS($I$1956-$I$1953)/1000</f>
        <v>502.41223936136947</v>
      </c>
      <c r="H1956">
        <v>-15000</v>
      </c>
      <c r="I1956">
        <f>$I$1953-1097.2205</f>
        <v>-237935.89849545999</v>
      </c>
      <c r="J1956">
        <v>-270</v>
      </c>
      <c r="K1956">
        <v>0</v>
      </c>
    </row>
    <row r="1957" spans="1:13">
      <c r="A1957" t="s">
        <v>797</v>
      </c>
      <c r="B1957" t="s">
        <v>805</v>
      </c>
      <c r="C1957" t="s">
        <v>806</v>
      </c>
      <c r="E1957" s="2" t="s">
        <v>433</v>
      </c>
      <c r="F1957" s="2" t="s">
        <v>2748</v>
      </c>
      <c r="G1957" s="1">
        <v>502.52365900000001</v>
      </c>
      <c r="H1957">
        <v>-15000</v>
      </c>
      <c r="I1957">
        <v>-238159.32799671</v>
      </c>
      <c r="J1957">
        <v>-50</v>
      </c>
      <c r="K1957">
        <v>220</v>
      </c>
      <c r="L1957">
        <f>_xlfn.XLOOKUP(F1957,magnet_list!$A$2:$A$592,magnet_list!$M$2:$M$592,"n/a",0,1)</f>
        <v>200</v>
      </c>
      <c r="M1957">
        <f>_xlfn.XLOOKUP(F1957,magnet_list!$A$2:$A$592,magnet_list!$L$2:$L$592,"n/a",0,1)</f>
        <v>20</v>
      </c>
    </row>
    <row r="1958" spans="1:13">
      <c r="A1958" t="s">
        <v>797</v>
      </c>
      <c r="B1958" t="s">
        <v>805</v>
      </c>
      <c r="C1958" t="s">
        <v>1152</v>
      </c>
      <c r="D1958" t="s">
        <v>804</v>
      </c>
      <c r="E1958" s="2" t="s">
        <v>778</v>
      </c>
      <c r="F1958" s="2" t="s">
        <v>2748</v>
      </c>
      <c r="G1958" s="1">
        <v>502.59866749999998</v>
      </c>
      <c r="H1958">
        <v>-15000</v>
      </c>
      <c r="I1958">
        <v>-238234.33649670999</v>
      </c>
      <c r="J1958">
        <v>-50</v>
      </c>
      <c r="K1958">
        <v>220</v>
      </c>
      <c r="L1958">
        <f>_xlfn.XLOOKUP(F1958,magnet_list!$A$2:$A$592,magnet_list!$M$2:$M$592,"n/a",0,1)</f>
        <v>200</v>
      </c>
      <c r="M1958">
        <f>_xlfn.XLOOKUP(F1958,magnet_list!$A$2:$A$592,magnet_list!$L$2:$L$592,"n/a",0,1)</f>
        <v>20</v>
      </c>
    </row>
    <row r="1959" spans="1:13">
      <c r="A1959" t="s">
        <v>797</v>
      </c>
      <c r="B1959" t="s">
        <v>805</v>
      </c>
      <c r="C1959" t="s">
        <v>806</v>
      </c>
      <c r="E1959" s="2" t="s">
        <v>434</v>
      </c>
      <c r="F1959" s="2" t="s">
        <v>2748</v>
      </c>
      <c r="G1959" s="1">
        <v>502.673676</v>
      </c>
      <c r="H1959">
        <v>-15000</v>
      </c>
      <c r="I1959">
        <v>-238309.34216427</v>
      </c>
      <c r="J1959">
        <v>-50</v>
      </c>
      <c r="K1959">
        <v>220</v>
      </c>
      <c r="L1959">
        <f>_xlfn.XLOOKUP(F1959,magnet_list!$A$2:$A$592,magnet_list!$M$2:$M$592,"n/a",0,1)</f>
        <v>200</v>
      </c>
      <c r="M1959">
        <f>_xlfn.XLOOKUP(F1959,magnet_list!$A$2:$A$592,magnet_list!$L$2:$L$592,"n/a",0,1)</f>
        <v>20</v>
      </c>
    </row>
    <row r="1960" spans="1:13">
      <c r="A1960" t="s">
        <v>797</v>
      </c>
      <c r="B1960" t="s">
        <v>805</v>
      </c>
      <c r="C1960" t="s">
        <v>806</v>
      </c>
      <c r="E1960" s="2" t="s">
        <v>435</v>
      </c>
      <c r="F1960" s="2" t="s">
        <v>435</v>
      </c>
      <c r="G1960" s="1">
        <v>502.92868899999996</v>
      </c>
      <c r="H1960">
        <v>-15000</v>
      </c>
      <c r="I1960">
        <v>-238564.35592286001</v>
      </c>
      <c r="J1960">
        <v>-90</v>
      </c>
      <c r="K1960">
        <v>180</v>
      </c>
      <c r="L1960">
        <f>_xlfn.XLOOKUP(F1960,magnet_list!$A$2:$A$592,magnet_list!$M$2:$M$592,"n/a",0,1)</f>
        <v>80</v>
      </c>
      <c r="M1960">
        <f>_xlfn.XLOOKUP(F1960,magnet_list!$A$2:$A$592,magnet_list!$L$2:$L$592,"n/a",0,1)</f>
        <v>20</v>
      </c>
    </row>
    <row r="1961" spans="1:13">
      <c r="A1961" t="s">
        <v>797</v>
      </c>
      <c r="B1961" t="s">
        <v>805</v>
      </c>
      <c r="C1961" t="s">
        <v>1152</v>
      </c>
      <c r="D1961" t="s">
        <v>804</v>
      </c>
      <c r="E1961" s="2" t="s">
        <v>1899</v>
      </c>
      <c r="F1961" s="2" t="s">
        <v>435</v>
      </c>
      <c r="G1961" s="1">
        <v>502.92868899999996</v>
      </c>
      <c r="H1961">
        <v>-15000</v>
      </c>
      <c r="I1961">
        <v>-238564.35592286001</v>
      </c>
      <c r="J1961">
        <v>-90</v>
      </c>
      <c r="K1961">
        <v>180</v>
      </c>
      <c r="L1961">
        <f>_xlfn.XLOOKUP(F1961,magnet_list!$A$2:$A$592,magnet_list!$M$2:$M$592,"n/a",0,1)</f>
        <v>80</v>
      </c>
      <c r="M1961">
        <f>_xlfn.XLOOKUP(F1961,magnet_list!$A$2:$A$592,magnet_list!$L$2:$L$592,"n/a",0,1)</f>
        <v>20</v>
      </c>
    </row>
    <row r="1962" spans="1:13">
      <c r="A1962" t="s">
        <v>797</v>
      </c>
      <c r="B1962" t="s">
        <v>805</v>
      </c>
      <c r="C1962" t="s">
        <v>806</v>
      </c>
      <c r="E1962" s="2" t="s">
        <v>436</v>
      </c>
      <c r="F1962" s="2" t="s">
        <v>436</v>
      </c>
      <c r="G1962" s="1">
        <v>503.12871599999994</v>
      </c>
      <c r="H1962">
        <v>-15000</v>
      </c>
      <c r="I1962">
        <v>-238764.37370860999</v>
      </c>
      <c r="J1962">
        <v>-90</v>
      </c>
      <c r="K1962">
        <v>180</v>
      </c>
      <c r="L1962">
        <f>_xlfn.XLOOKUP(F1962,magnet_list!$A$2:$A$592,magnet_list!$M$2:$M$592,"n/a",0,1)</f>
        <v>80</v>
      </c>
      <c r="M1962">
        <f>_xlfn.XLOOKUP(F1962,magnet_list!$A$2:$A$592,magnet_list!$L$2:$L$592,"n/a",0,1)</f>
        <v>20</v>
      </c>
    </row>
    <row r="1963" spans="1:13">
      <c r="A1963" t="s">
        <v>797</v>
      </c>
      <c r="B1963" t="s">
        <v>805</v>
      </c>
      <c r="C1963" t="s">
        <v>1152</v>
      </c>
      <c r="D1963" t="s">
        <v>804</v>
      </c>
      <c r="E1963" s="2" t="s">
        <v>1900</v>
      </c>
      <c r="F1963" s="2" t="s">
        <v>436</v>
      </c>
      <c r="G1963" s="1">
        <v>503.12871599999994</v>
      </c>
      <c r="H1963">
        <v>-15000</v>
      </c>
      <c r="I1963">
        <v>-238764.37370860999</v>
      </c>
      <c r="J1963">
        <v>-90</v>
      </c>
      <c r="K1963">
        <v>180</v>
      </c>
      <c r="L1963">
        <f>_xlfn.XLOOKUP(F1963,magnet_list!$A$2:$A$592,magnet_list!$M$2:$M$592,"n/a",0,1)</f>
        <v>80</v>
      </c>
      <c r="M1963">
        <f>_xlfn.XLOOKUP(F1963,magnet_list!$A$2:$A$592,magnet_list!$L$2:$L$592,"n/a",0,1)</f>
        <v>20</v>
      </c>
    </row>
    <row r="1964" spans="1:13">
      <c r="A1964" t="s">
        <v>797</v>
      </c>
      <c r="B1964" t="s">
        <v>805</v>
      </c>
      <c r="C1964" t="s">
        <v>806</v>
      </c>
      <c r="E1964" s="2" t="s">
        <v>437</v>
      </c>
      <c r="F1964" s="2" t="s">
        <v>2749</v>
      </c>
      <c r="G1964" s="1">
        <v>503.38371199999995</v>
      </c>
      <c r="H1964">
        <v>-15000</v>
      </c>
      <c r="I1964">
        <v>-239019.39296909</v>
      </c>
      <c r="J1964">
        <v>-50</v>
      </c>
      <c r="K1964">
        <v>220</v>
      </c>
      <c r="L1964">
        <f>_xlfn.XLOOKUP(F1964,magnet_list!$A$2:$A$592,magnet_list!$M$2:$M$592,"n/a",0,1)</f>
        <v>200</v>
      </c>
      <c r="M1964">
        <f>_xlfn.XLOOKUP(F1964,magnet_list!$A$2:$A$592,magnet_list!$L$2:$L$592,"n/a",0,1)</f>
        <v>20</v>
      </c>
    </row>
    <row r="1965" spans="1:13">
      <c r="A1965" t="s">
        <v>797</v>
      </c>
      <c r="B1965" t="s">
        <v>805</v>
      </c>
      <c r="C1965" t="s">
        <v>1152</v>
      </c>
      <c r="D1965" t="s">
        <v>804</v>
      </c>
      <c r="E1965" s="2" t="s">
        <v>779</v>
      </c>
      <c r="F1965" s="2" t="s">
        <v>2749</v>
      </c>
      <c r="G1965" s="1">
        <v>503.45871749999992</v>
      </c>
      <c r="H1965">
        <v>-15000</v>
      </c>
      <c r="I1965">
        <v>-239094.39846909</v>
      </c>
      <c r="J1965">
        <v>-50</v>
      </c>
      <c r="K1965">
        <v>220</v>
      </c>
      <c r="L1965">
        <f>_xlfn.XLOOKUP(F1965,magnet_list!$A$2:$A$592,magnet_list!$M$2:$M$592,"n/a",0,1)</f>
        <v>200</v>
      </c>
      <c r="M1965">
        <f>_xlfn.XLOOKUP(F1965,magnet_list!$A$2:$A$592,magnet_list!$L$2:$L$592,"n/a",0,1)</f>
        <v>20</v>
      </c>
    </row>
    <row r="1966" spans="1:13">
      <c r="A1966" t="s">
        <v>797</v>
      </c>
      <c r="B1966" t="s">
        <v>805</v>
      </c>
      <c r="C1966" t="s">
        <v>806</v>
      </c>
      <c r="E1966" s="2" t="s">
        <v>438</v>
      </c>
      <c r="F1966" s="2" t="s">
        <v>2749</v>
      </c>
      <c r="G1966" s="1">
        <v>503.53372299999995</v>
      </c>
      <c r="H1966">
        <v>-15000</v>
      </c>
      <c r="I1966">
        <v>-239169.38257479999</v>
      </c>
      <c r="J1966">
        <v>-50</v>
      </c>
      <c r="K1966">
        <v>220</v>
      </c>
      <c r="L1966">
        <f>_xlfn.XLOOKUP(F1966,magnet_list!$A$2:$A$592,magnet_list!$M$2:$M$592,"n/a",0,1)</f>
        <v>200</v>
      </c>
      <c r="M1966">
        <f>_xlfn.XLOOKUP(F1966,magnet_list!$A$2:$A$592,magnet_list!$L$2:$L$592,"n/a",0,1)</f>
        <v>20</v>
      </c>
    </row>
    <row r="1967" spans="1:13">
      <c r="A1967" t="s">
        <v>797</v>
      </c>
      <c r="B1967" t="s">
        <v>2288</v>
      </c>
      <c r="C1967" t="s">
        <v>1152</v>
      </c>
      <c r="D1967" t="s">
        <v>804</v>
      </c>
      <c r="E1967" s="8" t="s">
        <v>2296</v>
      </c>
      <c r="F1967" s="8" t="s">
        <v>2296</v>
      </c>
      <c r="G1967" s="1">
        <f>$G$1956+ABS($I$1967-$I$1956)/1000</f>
        <v>503.77675206136945</v>
      </c>
      <c r="H1967">
        <v>-15000</v>
      </c>
      <c r="I1967">
        <f>$I$1956-1364.5127</f>
        <v>-239300.41119545998</v>
      </c>
      <c r="J1967">
        <v>-270</v>
      </c>
      <c r="K1967">
        <v>0</v>
      </c>
    </row>
    <row r="1968" spans="1:13">
      <c r="A1968" t="s">
        <v>797</v>
      </c>
      <c r="B1968" t="s">
        <v>803</v>
      </c>
      <c r="C1968" t="s">
        <v>806</v>
      </c>
      <c r="E1968" t="s">
        <v>1047</v>
      </c>
      <c r="F1968" t="s">
        <v>1047</v>
      </c>
      <c r="G1968" s="1">
        <v>503.77381499999984</v>
      </c>
      <c r="H1968">
        <v>-15400</v>
      </c>
      <c r="I1968">
        <v>-239412.40284626</v>
      </c>
      <c r="J1968">
        <v>-689</v>
      </c>
      <c r="K1968">
        <v>-419</v>
      </c>
    </row>
    <row r="1969" spans="1:12">
      <c r="A1969" t="s">
        <v>797</v>
      </c>
      <c r="B1969" t="s">
        <v>804</v>
      </c>
      <c r="C1969" t="s">
        <v>1152</v>
      </c>
      <c r="D1969" t="s">
        <v>804</v>
      </c>
      <c r="E1969" s="10" t="s">
        <v>1726</v>
      </c>
      <c r="F1969" s="10" t="s">
        <v>2750</v>
      </c>
      <c r="G1969" s="1">
        <f>$G$1970-ABS($I$1970-$I$1969)/1000</f>
        <v>503.95722126136951</v>
      </c>
      <c r="H1969">
        <v>-15000</v>
      </c>
      <c r="I1969">
        <f>$I$1970+$L$1969/2</f>
        <v>-239480.88039546</v>
      </c>
      <c r="J1969">
        <v>-270</v>
      </c>
      <c r="K1969">
        <v>0</v>
      </c>
      <c r="L1969">
        <v>1889.4492</v>
      </c>
    </row>
    <row r="1970" spans="1:12">
      <c r="A1970" t="s">
        <v>797</v>
      </c>
      <c r="B1970" t="s">
        <v>804</v>
      </c>
      <c r="C1970" t="s">
        <v>1152</v>
      </c>
      <c r="D1970" t="s">
        <v>804</v>
      </c>
      <c r="E1970" s="10" t="s">
        <v>1208</v>
      </c>
      <c r="F1970" s="10" t="s">
        <v>2750</v>
      </c>
      <c r="G1970" s="1">
        <f>$G$1967+ABS($I$1970-$I$1967)/1000</f>
        <v>504.90194586136948</v>
      </c>
      <c r="H1970">
        <v>-15000</v>
      </c>
      <c r="I1970">
        <f>$I$1967-1125.1938</f>
        <v>-240425.60499545999</v>
      </c>
      <c r="J1970">
        <v>-270</v>
      </c>
      <c r="K1970">
        <v>0</v>
      </c>
      <c r="L1970">
        <v>1889.4492</v>
      </c>
    </row>
    <row r="1971" spans="1:12">
      <c r="A1971" t="s">
        <v>797</v>
      </c>
      <c r="B1971" t="s">
        <v>804</v>
      </c>
      <c r="C1971" t="s">
        <v>1152</v>
      </c>
      <c r="D1971" t="s">
        <v>804</v>
      </c>
      <c r="E1971" s="10" t="s">
        <v>1727</v>
      </c>
      <c r="F1971" s="10" t="s">
        <v>2750</v>
      </c>
      <c r="G1971" s="1">
        <f>$G$1970+ABS($I$1971-$I$1970)/1000</f>
        <v>505.84667046136946</v>
      </c>
      <c r="H1971">
        <v>-15000</v>
      </c>
      <c r="I1971">
        <f>$I$1970-$L$1971/2</f>
        <v>-241370.32959545997</v>
      </c>
      <c r="J1971">
        <v>-270</v>
      </c>
      <c r="K1971">
        <v>0</v>
      </c>
      <c r="L1971">
        <v>1889.4492</v>
      </c>
    </row>
    <row r="1972" spans="1:12">
      <c r="A1972" t="s">
        <v>797</v>
      </c>
      <c r="B1972" t="s">
        <v>804</v>
      </c>
      <c r="C1972" t="s">
        <v>1152</v>
      </c>
      <c r="D1972" t="s">
        <v>804</v>
      </c>
      <c r="E1972" s="10" t="s">
        <v>1728</v>
      </c>
      <c r="F1972" s="10" t="s">
        <v>2751</v>
      </c>
      <c r="G1972" s="1">
        <f>$G$1973-ABS($I$1973-$I$1972)/1000</f>
        <v>506.05661226136954</v>
      </c>
      <c r="H1972">
        <v>-15000</v>
      </c>
      <c r="I1972">
        <f>$I$1973+$L$1972/2</f>
        <v>-241580.27139546</v>
      </c>
      <c r="J1972">
        <v>-270</v>
      </c>
      <c r="K1972">
        <v>0</v>
      </c>
      <c r="L1972">
        <v>1889.4492</v>
      </c>
    </row>
    <row r="1973" spans="1:12">
      <c r="A1973" t="s">
        <v>797</v>
      </c>
      <c r="B1973" t="s">
        <v>804</v>
      </c>
      <c r="C1973" t="s">
        <v>1152</v>
      </c>
      <c r="D1973" t="s">
        <v>804</v>
      </c>
      <c r="E1973" s="10" t="s">
        <v>1264</v>
      </c>
      <c r="F1973" s="10" t="s">
        <v>2751</v>
      </c>
      <c r="G1973" s="1">
        <f>$G$1970+ABS($I$1973-$I$1970)/1000</f>
        <v>507.00133686136951</v>
      </c>
      <c r="H1973">
        <v>-15000</v>
      </c>
      <c r="I1973">
        <f>$I$1970-2099.391</f>
        <v>-242524.99599545999</v>
      </c>
      <c r="J1973">
        <v>-270</v>
      </c>
      <c r="K1973">
        <v>0</v>
      </c>
      <c r="L1973">
        <v>1889.4492</v>
      </c>
    </row>
    <row r="1974" spans="1:12">
      <c r="A1974" t="s">
        <v>797</v>
      </c>
      <c r="B1974" t="s">
        <v>803</v>
      </c>
      <c r="C1974" t="s">
        <v>806</v>
      </c>
      <c r="E1974" t="s">
        <v>889</v>
      </c>
      <c r="F1974" t="s">
        <v>889</v>
      </c>
      <c r="G1974" s="1">
        <v>507.24720899999977</v>
      </c>
      <c r="H1974">
        <v>-17451.769694710001</v>
      </c>
      <c r="I1974">
        <v>-242886.56510261001</v>
      </c>
      <c r="J1974">
        <v>-25.003691159999999</v>
      </c>
      <c r="K1974">
        <v>244.99630884000001</v>
      </c>
    </row>
    <row r="1975" spans="1:12">
      <c r="A1975" t="s">
        <v>797</v>
      </c>
      <c r="B1975" t="s">
        <v>803</v>
      </c>
      <c r="C1975" t="s">
        <v>806</v>
      </c>
      <c r="E1975" t="s">
        <v>890</v>
      </c>
      <c r="F1975" t="s">
        <v>890</v>
      </c>
      <c r="G1975" s="1">
        <v>507.26828499999982</v>
      </c>
      <c r="H1975">
        <v>-13498.62645962</v>
      </c>
      <c r="I1975">
        <v>-242906.30183103</v>
      </c>
      <c r="J1975">
        <v>-25.868467750000001</v>
      </c>
      <c r="K1975">
        <v>244.13153224999999</v>
      </c>
    </row>
    <row r="1976" spans="1:12">
      <c r="A1976" t="s">
        <v>797</v>
      </c>
      <c r="B1976" t="s">
        <v>804</v>
      </c>
      <c r="C1976" t="s">
        <v>1152</v>
      </c>
      <c r="D1976" t="s">
        <v>804</v>
      </c>
      <c r="E1976" s="10" t="s">
        <v>1729</v>
      </c>
      <c r="F1976" s="10" t="s">
        <v>2751</v>
      </c>
      <c r="G1976" s="1">
        <f>$G$1973+ABS($I$1976-$I$1973)/1000</f>
        <v>507.94606146136948</v>
      </c>
      <c r="H1976">
        <v>-15000</v>
      </c>
      <c r="I1976">
        <f>$I$1973-$L$1976/2</f>
        <v>-243469.72059545998</v>
      </c>
      <c r="J1976">
        <v>-270</v>
      </c>
      <c r="K1976">
        <v>0</v>
      </c>
      <c r="L1976">
        <v>1889.4492</v>
      </c>
    </row>
    <row r="1977" spans="1:12">
      <c r="A1977" t="s">
        <v>797</v>
      </c>
      <c r="B1977" t="s">
        <v>1152</v>
      </c>
      <c r="C1977" t="s">
        <v>1152</v>
      </c>
      <c r="D1977" t="s">
        <v>804</v>
      </c>
      <c r="E1977" s="3" t="s">
        <v>2169</v>
      </c>
      <c r="F1977" s="3" t="s">
        <v>2169</v>
      </c>
      <c r="G1977" s="1">
        <f>$G$1973+ABS($I$1977-$I$1973)/1000</f>
        <v>508.2409340613695</v>
      </c>
      <c r="H1977">
        <v>-15000</v>
      </c>
      <c r="I1977">
        <f>$I$1973-1239.5972</f>
        <v>-243764.59319545998</v>
      </c>
      <c r="J1977">
        <v>-270</v>
      </c>
      <c r="K1977">
        <v>0</v>
      </c>
    </row>
    <row r="1978" spans="1:12">
      <c r="A1978" t="s">
        <v>797</v>
      </c>
      <c r="B1978" t="s">
        <v>804</v>
      </c>
      <c r="C1978" t="s">
        <v>1152</v>
      </c>
      <c r="D1978" t="s">
        <v>804</v>
      </c>
      <c r="E1978" s="10" t="s">
        <v>1730</v>
      </c>
      <c r="F1978" s="10" t="s">
        <v>2752</v>
      </c>
      <c r="G1978" s="1">
        <f>$G$1979-ABS($I$1979-$I$1978)/1000</f>
        <v>508.47090326136953</v>
      </c>
      <c r="H1978">
        <v>-15000</v>
      </c>
      <c r="I1978">
        <f>I1979+$L$1978/2</f>
        <v>-243994.56239546</v>
      </c>
      <c r="J1978">
        <v>-270</v>
      </c>
      <c r="K1978">
        <v>0</v>
      </c>
      <c r="L1978">
        <v>1889.4492</v>
      </c>
    </row>
    <row r="1979" spans="1:12">
      <c r="A1979" t="s">
        <v>797</v>
      </c>
      <c r="B1979" t="s">
        <v>804</v>
      </c>
      <c r="C1979" t="s">
        <v>1152</v>
      </c>
      <c r="D1979" t="s">
        <v>804</v>
      </c>
      <c r="E1979" s="10" t="s">
        <v>1318</v>
      </c>
      <c r="F1979" s="10" t="s">
        <v>2752</v>
      </c>
      <c r="G1979" s="1">
        <f>$G$1977+ABS($I$1979-$I$1977)/1000</f>
        <v>509.4156278613695</v>
      </c>
      <c r="H1979">
        <v>-15000</v>
      </c>
      <c r="I1979">
        <f>$I$1977-1174.6938</f>
        <v>-244939.28699545999</v>
      </c>
      <c r="J1979">
        <v>-270</v>
      </c>
      <c r="K1979">
        <v>0</v>
      </c>
      <c r="L1979">
        <v>1889.4492</v>
      </c>
    </row>
    <row r="1980" spans="1:12">
      <c r="A1980" t="s">
        <v>797</v>
      </c>
      <c r="B1980" t="s">
        <v>804</v>
      </c>
      <c r="C1980" t="s">
        <v>1152</v>
      </c>
      <c r="D1980" t="s">
        <v>804</v>
      </c>
      <c r="E1980" s="10" t="s">
        <v>1731</v>
      </c>
      <c r="F1980" s="10" t="s">
        <v>2752</v>
      </c>
      <c r="G1980" s="1">
        <f>$G$1979+ABS($I$1980-$I$1979)/1000</f>
        <v>510.36035246136947</v>
      </c>
      <c r="H1980">
        <v>-15000</v>
      </c>
      <c r="I1980">
        <f>$I$1979-$L$1980/2</f>
        <v>-245884.01159545998</v>
      </c>
      <c r="J1980">
        <v>-270</v>
      </c>
      <c r="K1980">
        <v>0</v>
      </c>
      <c r="L1980">
        <v>1889.4492</v>
      </c>
    </row>
    <row r="1981" spans="1:12">
      <c r="A1981" t="s">
        <v>797</v>
      </c>
      <c r="B1981" t="s">
        <v>804</v>
      </c>
      <c r="C1981" t="s">
        <v>1152</v>
      </c>
      <c r="D1981" t="s">
        <v>804</v>
      </c>
      <c r="E1981" s="10" t="s">
        <v>1732</v>
      </c>
      <c r="F1981" s="10" t="s">
        <v>2753</v>
      </c>
      <c r="G1981" s="1">
        <f>$G$1982-ABS($I$1982-$I$1981)/1000</f>
        <v>510.57029426136955</v>
      </c>
      <c r="H1981">
        <v>-15000</v>
      </c>
      <c r="I1981">
        <f>$I$1982+$L$1981/2</f>
        <v>-246093.95339546</v>
      </c>
      <c r="J1981">
        <v>-270</v>
      </c>
      <c r="K1981">
        <v>0</v>
      </c>
      <c r="L1981">
        <v>1889.4492</v>
      </c>
    </row>
    <row r="1982" spans="1:12">
      <c r="A1982" t="s">
        <v>797</v>
      </c>
      <c r="B1982" t="s">
        <v>804</v>
      </c>
      <c r="C1982" t="s">
        <v>1152</v>
      </c>
      <c r="D1982" t="s">
        <v>804</v>
      </c>
      <c r="E1982" s="10" t="s">
        <v>1372</v>
      </c>
      <c r="F1982" s="10" t="s">
        <v>2753</v>
      </c>
      <c r="G1982" s="1">
        <f>$G$1979+ABS($I$1982-$I$1979)/1000</f>
        <v>511.51501886136953</v>
      </c>
      <c r="H1982">
        <v>-15000</v>
      </c>
      <c r="I1982">
        <f>$I$1979-2099.391</f>
        <v>-247038.67799545999</v>
      </c>
      <c r="J1982">
        <v>-270</v>
      </c>
      <c r="K1982">
        <v>0</v>
      </c>
      <c r="L1982">
        <v>1889.4492</v>
      </c>
    </row>
    <row r="1983" spans="1:12">
      <c r="A1983" t="s">
        <v>797</v>
      </c>
      <c r="B1983" t="s">
        <v>804</v>
      </c>
      <c r="C1983" t="s">
        <v>1152</v>
      </c>
      <c r="D1983" t="s">
        <v>804</v>
      </c>
      <c r="E1983" s="10" t="s">
        <v>1733</v>
      </c>
      <c r="F1983" s="10" t="s">
        <v>2753</v>
      </c>
      <c r="G1983" s="1">
        <f>$G$1982+ABS($I$1983-$I$1982)/1000</f>
        <v>512.4597434613695</v>
      </c>
      <c r="H1983">
        <v>-15000</v>
      </c>
      <c r="I1983">
        <f>$I$1982-$L$1983/2</f>
        <v>-247983.40259545998</v>
      </c>
      <c r="J1983">
        <v>-270</v>
      </c>
      <c r="K1983">
        <v>0</v>
      </c>
      <c r="L1983">
        <v>1889.4492</v>
      </c>
    </row>
    <row r="1984" spans="1:12">
      <c r="A1984" t="s">
        <v>797</v>
      </c>
      <c r="B1984" t="s">
        <v>2288</v>
      </c>
      <c r="C1984" t="s">
        <v>1152</v>
      </c>
      <c r="D1984" t="s">
        <v>804</v>
      </c>
      <c r="E1984" s="8" t="s">
        <v>2297</v>
      </c>
      <c r="F1984" s="8" t="s">
        <v>2297</v>
      </c>
      <c r="G1984" s="1">
        <f>$G$1982+ABS($I$1984-$I$1982)/1000</f>
        <v>512.56923906136956</v>
      </c>
      <c r="H1984">
        <v>-15000</v>
      </c>
      <c r="I1984">
        <f>$I$1982-1054.2202</f>
        <v>-248092.89819546</v>
      </c>
      <c r="J1984">
        <v>-270</v>
      </c>
      <c r="K1984">
        <v>0</v>
      </c>
    </row>
    <row r="1985" spans="1:12">
      <c r="A1985" t="s">
        <v>797</v>
      </c>
      <c r="B1985" t="s">
        <v>803</v>
      </c>
      <c r="C1985" t="s">
        <v>806</v>
      </c>
      <c r="E1985" t="s">
        <v>1046</v>
      </c>
      <c r="F1985" t="s">
        <v>1046</v>
      </c>
      <c r="G1985" s="1">
        <v>512.4899039999998</v>
      </c>
      <c r="H1985">
        <v>-15400</v>
      </c>
      <c r="I1985">
        <v>-248128.50379078</v>
      </c>
      <c r="J1985">
        <v>-689</v>
      </c>
      <c r="K1985">
        <v>-419</v>
      </c>
    </row>
    <row r="1986" spans="1:12">
      <c r="A1986" t="s">
        <v>797</v>
      </c>
      <c r="B1986" t="s">
        <v>803</v>
      </c>
      <c r="C1986" t="s">
        <v>806</v>
      </c>
      <c r="E1986" t="s">
        <v>1049</v>
      </c>
      <c r="F1986" t="s">
        <v>1049</v>
      </c>
      <c r="G1986" s="1">
        <v>512.76513299999976</v>
      </c>
      <c r="H1986">
        <v>-15400</v>
      </c>
      <c r="I1986">
        <v>-248403.80771210001</v>
      </c>
      <c r="J1986">
        <v>-689</v>
      </c>
      <c r="K1986">
        <v>-419</v>
      </c>
    </row>
    <row r="1987" spans="1:12">
      <c r="A1987" t="s">
        <v>797</v>
      </c>
      <c r="B1987" t="s">
        <v>804</v>
      </c>
      <c r="C1987" t="s">
        <v>1152</v>
      </c>
      <c r="D1987" t="s">
        <v>804</v>
      </c>
      <c r="E1987" s="10" t="s">
        <v>1734</v>
      </c>
      <c r="F1987" s="10" t="s">
        <v>2754</v>
      </c>
      <c r="G1987" s="1">
        <f>$G$1988-ABS($I$1988-$I$1987)/1000</f>
        <v>512.9572274613696</v>
      </c>
      <c r="H1987">
        <v>-15000</v>
      </c>
      <c r="I1987">
        <f>$I$1988+$L$1987/2</f>
        <v>-248480.88659546</v>
      </c>
      <c r="J1987">
        <v>-270</v>
      </c>
      <c r="K1987">
        <v>0</v>
      </c>
      <c r="L1987">
        <v>1889.4492</v>
      </c>
    </row>
    <row r="1988" spans="1:12">
      <c r="A1988" t="s">
        <v>797</v>
      </c>
      <c r="B1988" t="s">
        <v>804</v>
      </c>
      <c r="C1988" t="s">
        <v>1152</v>
      </c>
      <c r="D1988" t="s">
        <v>804</v>
      </c>
      <c r="E1988" s="10" t="s">
        <v>1209</v>
      </c>
      <c r="F1988" s="10" t="s">
        <v>2754</v>
      </c>
      <c r="G1988" s="1">
        <f>$G$1984+ABS($I$1988-$I$1984)/1000</f>
        <v>513.90195206136957</v>
      </c>
      <c r="H1988">
        <v>-15000</v>
      </c>
      <c r="I1988">
        <f>$I$1984-1332.713</f>
        <v>-249425.61119545999</v>
      </c>
      <c r="J1988">
        <v>-270</v>
      </c>
      <c r="K1988">
        <v>0</v>
      </c>
      <c r="L1988">
        <v>1889.4492</v>
      </c>
    </row>
    <row r="1989" spans="1:12">
      <c r="A1989" t="s">
        <v>797</v>
      </c>
      <c r="B1989" t="s">
        <v>804</v>
      </c>
      <c r="C1989" t="s">
        <v>1152</v>
      </c>
      <c r="D1989" t="s">
        <v>804</v>
      </c>
      <c r="E1989" s="10" t="s">
        <v>1735</v>
      </c>
      <c r="F1989" s="10" t="s">
        <v>2754</v>
      </c>
      <c r="G1989" s="1">
        <f>$G$1988+ABS($I$1989-$I$1988)/1000</f>
        <v>514.84667666136954</v>
      </c>
      <c r="H1989">
        <v>-15000</v>
      </c>
      <c r="I1989">
        <f>$I$1988-$L$1989/2</f>
        <v>-250370.33579545998</v>
      </c>
      <c r="J1989">
        <v>-270</v>
      </c>
      <c r="K1989">
        <v>0</v>
      </c>
      <c r="L1989">
        <v>1889.4492</v>
      </c>
    </row>
    <row r="1990" spans="1:12">
      <c r="A1990" t="s">
        <v>797</v>
      </c>
      <c r="B1990" t="s">
        <v>804</v>
      </c>
      <c r="C1990" t="s">
        <v>1152</v>
      </c>
      <c r="D1990" t="s">
        <v>804</v>
      </c>
      <c r="E1990" s="10" t="s">
        <v>1736</v>
      </c>
      <c r="F1990" s="10" t="s">
        <v>2755</v>
      </c>
      <c r="G1990" s="1">
        <f>$G$1991-ABS($I$1991-$I$1990)/1000</f>
        <v>515.05661446136958</v>
      </c>
      <c r="H1990">
        <v>-15000</v>
      </c>
      <c r="I1990">
        <f>$I$1991+$L$1990/2</f>
        <v>-250580.27359545999</v>
      </c>
      <c r="J1990">
        <v>-270</v>
      </c>
      <c r="K1990">
        <v>0</v>
      </c>
      <c r="L1990">
        <v>1889.4492</v>
      </c>
    </row>
    <row r="1991" spans="1:12">
      <c r="A1991" t="s">
        <v>797</v>
      </c>
      <c r="B1991" t="s">
        <v>804</v>
      </c>
      <c r="C1991" t="s">
        <v>1152</v>
      </c>
      <c r="D1991" t="s">
        <v>804</v>
      </c>
      <c r="E1991" s="10" t="s">
        <v>1265</v>
      </c>
      <c r="F1991" s="10" t="s">
        <v>2755</v>
      </c>
      <c r="G1991" s="1">
        <f>$G$1988+ABS($I$1991-$I$1988)/1000</f>
        <v>516.00133906136955</v>
      </c>
      <c r="H1991">
        <v>-15000</v>
      </c>
      <c r="I1991">
        <f>$I$1988-2099.387</f>
        <v>-251524.99819545998</v>
      </c>
      <c r="J1991">
        <v>-270</v>
      </c>
      <c r="K1991">
        <v>0</v>
      </c>
      <c r="L1991">
        <v>1889.4492</v>
      </c>
    </row>
    <row r="1992" spans="1:12">
      <c r="A1992" t="s">
        <v>797</v>
      </c>
      <c r="B1992" t="s">
        <v>803</v>
      </c>
      <c r="C1992" t="s">
        <v>806</v>
      </c>
      <c r="E1992" t="s">
        <v>892</v>
      </c>
      <c r="F1992" t="s">
        <v>892</v>
      </c>
      <c r="G1992" s="1">
        <v>516.23902499999974</v>
      </c>
      <c r="H1992">
        <v>-13502.03686962</v>
      </c>
      <c r="I1992">
        <v>-251877.04037701001</v>
      </c>
      <c r="J1992">
        <v>-25.369337439999999</v>
      </c>
      <c r="K1992">
        <v>244.63066255999999</v>
      </c>
    </row>
    <row r="1993" spans="1:12">
      <c r="A1993" t="s">
        <v>797</v>
      </c>
      <c r="B1993" t="s">
        <v>803</v>
      </c>
      <c r="C1993" t="s">
        <v>806</v>
      </c>
      <c r="E1993" t="s">
        <v>891</v>
      </c>
      <c r="F1993" t="s">
        <v>891</v>
      </c>
      <c r="G1993" s="1">
        <v>516.70139699999982</v>
      </c>
      <c r="H1993">
        <v>-17451.696969029999</v>
      </c>
      <c r="I1993">
        <v>-252340.75165334</v>
      </c>
      <c r="J1993">
        <v>-24.568083720000001</v>
      </c>
      <c r="K1993">
        <v>245.43191628</v>
      </c>
    </row>
    <row r="1994" spans="1:12">
      <c r="A1994" t="s">
        <v>797</v>
      </c>
      <c r="B1994" t="s">
        <v>804</v>
      </c>
      <c r="C1994" t="s">
        <v>1152</v>
      </c>
      <c r="D1994" t="s">
        <v>804</v>
      </c>
      <c r="E1994" s="10" t="s">
        <v>1737</v>
      </c>
      <c r="F1994" s="10" t="s">
        <v>2755</v>
      </c>
      <c r="G1994" s="1">
        <f>$G$1991+ABS($I$1994-$I$1991)/1000</f>
        <v>516.94606366136952</v>
      </c>
      <c r="H1994">
        <v>-15000</v>
      </c>
      <c r="I1994">
        <f>$I$1991-$L$1994/2</f>
        <v>-252469.72279545997</v>
      </c>
      <c r="J1994">
        <v>-270</v>
      </c>
      <c r="K1994">
        <v>0</v>
      </c>
      <c r="L1994">
        <v>1889.4492</v>
      </c>
    </row>
    <row r="1995" spans="1:12">
      <c r="A1995" t="s">
        <v>797</v>
      </c>
      <c r="B1995" t="s">
        <v>1152</v>
      </c>
      <c r="C1995" t="s">
        <v>1152</v>
      </c>
      <c r="D1995" t="s">
        <v>804</v>
      </c>
      <c r="E1995" s="7" t="s">
        <v>2170</v>
      </c>
      <c r="F1995" s="7" t="s">
        <v>2170</v>
      </c>
      <c r="G1995" s="1">
        <f>$G$1991+ABS($I$1995-$I$1991)/1000</f>
        <v>517.22590406136953</v>
      </c>
      <c r="H1995">
        <v>-15000</v>
      </c>
      <c r="I1995">
        <f>$I$1991-1224.565</f>
        <v>-252749.56319545998</v>
      </c>
      <c r="J1995">
        <v>-270</v>
      </c>
      <c r="K1995">
        <v>0</v>
      </c>
    </row>
    <row r="1996" spans="1:12">
      <c r="A1996" t="s">
        <v>797</v>
      </c>
      <c r="B1996" t="s">
        <v>804</v>
      </c>
      <c r="C1996" t="s">
        <v>1152</v>
      </c>
      <c r="D1996" t="s">
        <v>804</v>
      </c>
      <c r="E1996" s="10" t="s">
        <v>1738</v>
      </c>
      <c r="F1996" s="10" t="s">
        <v>2756</v>
      </c>
      <c r="G1996" s="1">
        <f>$G$1997-ABS($I$1997-$I$1996)/1000</f>
        <v>517.47090946136962</v>
      </c>
      <c r="H1996">
        <v>-15000</v>
      </c>
      <c r="I1996">
        <f>$I$1997+$L$1996/2</f>
        <v>-252994.56859546</v>
      </c>
      <c r="J1996">
        <v>-270</v>
      </c>
      <c r="K1996">
        <v>0</v>
      </c>
      <c r="L1996">
        <v>1889.4492</v>
      </c>
    </row>
    <row r="1997" spans="1:12">
      <c r="A1997" t="s">
        <v>797</v>
      </c>
      <c r="B1997" t="s">
        <v>804</v>
      </c>
      <c r="C1997" t="s">
        <v>1152</v>
      </c>
      <c r="D1997" t="s">
        <v>804</v>
      </c>
      <c r="E1997" s="10" t="s">
        <v>1319</v>
      </c>
      <c r="F1997" s="10" t="s">
        <v>2756</v>
      </c>
      <c r="G1997" s="1">
        <f>$G$1995+ABS($I$1997-$I$1995)/1000</f>
        <v>518.41563406136959</v>
      </c>
      <c r="H1997">
        <v>-15000</v>
      </c>
      <c r="I1997">
        <f>$I$1995-1189.73</f>
        <v>-253939.29319545999</v>
      </c>
      <c r="J1997">
        <v>-270</v>
      </c>
      <c r="K1997">
        <v>0</v>
      </c>
      <c r="L1997">
        <v>1889.4492</v>
      </c>
    </row>
    <row r="1998" spans="1:12">
      <c r="A1998" t="s">
        <v>797</v>
      </c>
      <c r="B1998" t="s">
        <v>804</v>
      </c>
      <c r="C1998" t="s">
        <v>1152</v>
      </c>
      <c r="D1998" t="s">
        <v>804</v>
      </c>
      <c r="E1998" s="10" t="s">
        <v>1739</v>
      </c>
      <c r="F1998" s="10" t="s">
        <v>2756</v>
      </c>
      <c r="G1998" s="1">
        <f>$G$1997+ABS($I$1998-$I$1997)/1000</f>
        <v>519.36035866136956</v>
      </c>
      <c r="H1998">
        <v>-15000</v>
      </c>
      <c r="I1998">
        <f>$I$1997-$L$1998/2</f>
        <v>-254884.01779545998</v>
      </c>
      <c r="J1998">
        <v>-270</v>
      </c>
      <c r="K1998">
        <v>0</v>
      </c>
      <c r="L1998">
        <v>1889.4492</v>
      </c>
    </row>
    <row r="1999" spans="1:12">
      <c r="A1999" t="s">
        <v>797</v>
      </c>
      <c r="B1999" t="s">
        <v>804</v>
      </c>
      <c r="C1999" t="s">
        <v>1152</v>
      </c>
      <c r="D1999" t="s">
        <v>804</v>
      </c>
      <c r="E1999" s="10" t="s">
        <v>1740</v>
      </c>
      <c r="F1999" s="10" t="s">
        <v>2757</v>
      </c>
      <c r="G1999" s="1">
        <f>$G$2000-ABS($I$2000-$I$1999)/1000</f>
        <v>519.57029646136959</v>
      </c>
      <c r="H1999">
        <v>-15000</v>
      </c>
      <c r="I1999">
        <f>$I$2000+$L$1999/2</f>
        <v>-255093.95559545999</v>
      </c>
      <c r="J1999">
        <v>-270</v>
      </c>
      <c r="K1999">
        <v>0</v>
      </c>
      <c r="L1999">
        <v>1889.4492</v>
      </c>
    </row>
    <row r="2000" spans="1:12">
      <c r="A2000" t="s">
        <v>797</v>
      </c>
      <c r="B2000" t="s">
        <v>804</v>
      </c>
      <c r="C2000" t="s">
        <v>1152</v>
      </c>
      <c r="D2000" t="s">
        <v>804</v>
      </c>
      <c r="E2000" s="10" t="s">
        <v>1373</v>
      </c>
      <c r="F2000" s="10" t="s">
        <v>2757</v>
      </c>
      <c r="G2000" s="1">
        <f>$G$1997+ABS($I$2000-$I$1997)/1000</f>
        <v>520.51502106136957</v>
      </c>
      <c r="H2000">
        <v>-15000</v>
      </c>
      <c r="I2000">
        <f>$I$1997-2099.387</f>
        <v>-256038.68019545998</v>
      </c>
      <c r="J2000">
        <v>-270</v>
      </c>
      <c r="K2000">
        <v>0</v>
      </c>
      <c r="L2000">
        <v>1889.4492</v>
      </c>
    </row>
    <row r="2001" spans="1:13">
      <c r="A2001" t="s">
        <v>797</v>
      </c>
      <c r="B2001" t="s">
        <v>804</v>
      </c>
      <c r="C2001" t="s">
        <v>1152</v>
      </c>
      <c r="D2001" t="s">
        <v>804</v>
      </c>
      <c r="E2001" s="10" t="s">
        <v>1741</v>
      </c>
      <c r="F2001" s="10" t="s">
        <v>2757</v>
      </c>
      <c r="G2001" s="1">
        <f>$G$2000+ABS($I$2001-$I$2000)/1000</f>
        <v>521.45974566136954</v>
      </c>
      <c r="H2001">
        <v>-15000</v>
      </c>
      <c r="I2001">
        <f>$I$2000-$L$2001/2</f>
        <v>-256983.40479545997</v>
      </c>
      <c r="J2001">
        <v>-270</v>
      </c>
      <c r="K2001">
        <v>0</v>
      </c>
      <c r="L2001">
        <v>1889.4492</v>
      </c>
    </row>
    <row r="2002" spans="1:13">
      <c r="A2002" t="s">
        <v>797</v>
      </c>
      <c r="B2002" t="s">
        <v>803</v>
      </c>
      <c r="C2002" t="s">
        <v>806</v>
      </c>
      <c r="E2002" t="s">
        <v>1048</v>
      </c>
      <c r="F2002" t="s">
        <v>1048</v>
      </c>
      <c r="G2002" s="1">
        <v>521.48056499999984</v>
      </c>
      <c r="H2002">
        <v>-15400</v>
      </c>
      <c r="I2002">
        <v>-257119.19830863</v>
      </c>
      <c r="J2002">
        <v>-689</v>
      </c>
      <c r="K2002">
        <v>-419</v>
      </c>
    </row>
    <row r="2003" spans="1:13">
      <c r="A2003" t="s">
        <v>797</v>
      </c>
      <c r="B2003" t="s">
        <v>1152</v>
      </c>
      <c r="C2003" t="s">
        <v>1152</v>
      </c>
      <c r="D2003" t="s">
        <v>804</v>
      </c>
      <c r="E2003" s="3" t="s">
        <v>2171</v>
      </c>
      <c r="F2003" s="3" t="s">
        <v>2171</v>
      </c>
      <c r="G2003" s="1">
        <f>$G$2000+ABS($I$2003-$I$2000)/1000</f>
        <v>521.61223936136957</v>
      </c>
      <c r="H2003">
        <v>-15000</v>
      </c>
      <c r="I2003">
        <f>$I$2000-1097.2183</f>
        <v>-257135.89849545999</v>
      </c>
      <c r="J2003">
        <v>-270</v>
      </c>
      <c r="K2003">
        <v>0</v>
      </c>
    </row>
    <row r="2004" spans="1:13">
      <c r="A2004" t="s">
        <v>797</v>
      </c>
      <c r="B2004" t="s">
        <v>805</v>
      </c>
      <c r="C2004" t="s">
        <v>806</v>
      </c>
      <c r="E2004" s="2" t="s">
        <v>439</v>
      </c>
      <c r="F2004" s="2" t="s">
        <v>2758</v>
      </c>
      <c r="G2004" s="1">
        <v>521.72416599999997</v>
      </c>
      <c r="H2004">
        <v>-15000</v>
      </c>
      <c r="I2004">
        <v>-257359.85748424</v>
      </c>
      <c r="J2004">
        <v>-50</v>
      </c>
      <c r="K2004">
        <v>220</v>
      </c>
      <c r="L2004">
        <f>_xlfn.XLOOKUP(F2004,magnet_list!$A$2:$A$592,magnet_list!$M$2:$M$592,"n/a",0,1)</f>
        <v>200</v>
      </c>
      <c r="M2004">
        <f>_xlfn.XLOOKUP(F2004,magnet_list!$A$2:$A$592,magnet_list!$L$2:$L$592,"n/a",0,1)</f>
        <v>20</v>
      </c>
    </row>
    <row r="2005" spans="1:13">
      <c r="A2005" t="s">
        <v>797</v>
      </c>
      <c r="B2005" t="s">
        <v>805</v>
      </c>
      <c r="C2005" t="s">
        <v>1152</v>
      </c>
      <c r="D2005" t="s">
        <v>804</v>
      </c>
      <c r="E2005" s="2" t="s">
        <v>780</v>
      </c>
      <c r="F2005" s="2" t="s">
        <v>2758</v>
      </c>
      <c r="G2005" s="1">
        <v>521.79916349999996</v>
      </c>
      <c r="H2005">
        <v>-15000</v>
      </c>
      <c r="I2005">
        <v>-257434.85498424</v>
      </c>
      <c r="J2005">
        <v>-50</v>
      </c>
      <c r="K2005">
        <v>220</v>
      </c>
      <c r="L2005">
        <f>_xlfn.XLOOKUP(F2005,magnet_list!$A$2:$A$592,magnet_list!$M$2:$M$592,"n/a",0,1)</f>
        <v>200</v>
      </c>
      <c r="M2005">
        <f>_xlfn.XLOOKUP(F2005,magnet_list!$A$2:$A$592,magnet_list!$L$2:$L$592,"n/a",0,1)</f>
        <v>20</v>
      </c>
    </row>
    <row r="2006" spans="1:13">
      <c r="A2006" t="s">
        <v>797</v>
      </c>
      <c r="B2006" t="s">
        <v>805</v>
      </c>
      <c r="C2006" t="s">
        <v>806</v>
      </c>
      <c r="E2006" s="2" t="s">
        <v>440</v>
      </c>
      <c r="F2006" s="2" t="s">
        <v>2758</v>
      </c>
      <c r="G2006" s="1">
        <v>521.87416099999996</v>
      </c>
      <c r="H2006">
        <v>-15000</v>
      </c>
      <c r="I2006">
        <v>-257509.86213108999</v>
      </c>
      <c r="J2006">
        <v>-50</v>
      </c>
      <c r="K2006">
        <v>220</v>
      </c>
      <c r="L2006">
        <f>_xlfn.XLOOKUP(F2006,magnet_list!$A$2:$A$592,magnet_list!$M$2:$M$592,"n/a",0,1)</f>
        <v>200</v>
      </c>
      <c r="M2006">
        <f>_xlfn.XLOOKUP(F2006,magnet_list!$A$2:$A$592,magnet_list!$L$2:$L$592,"n/a",0,1)</f>
        <v>20</v>
      </c>
    </row>
    <row r="2007" spans="1:13">
      <c r="A2007" t="s">
        <v>797</v>
      </c>
      <c r="B2007" t="s">
        <v>805</v>
      </c>
      <c r="C2007" t="s">
        <v>806</v>
      </c>
      <c r="E2007" s="2" t="s">
        <v>441</v>
      </c>
      <c r="F2007" s="2" t="s">
        <v>441</v>
      </c>
      <c r="G2007" s="1">
        <v>522.1290929999999</v>
      </c>
      <c r="H2007">
        <v>-15000</v>
      </c>
      <c r="I2007">
        <v>-257764.81897466999</v>
      </c>
      <c r="J2007">
        <v>-90</v>
      </c>
      <c r="K2007">
        <v>180</v>
      </c>
      <c r="L2007">
        <f>_xlfn.XLOOKUP(F2007,magnet_list!$A$2:$A$592,magnet_list!$M$2:$M$592,"n/a",0,1)</f>
        <v>80</v>
      </c>
      <c r="M2007">
        <f>_xlfn.XLOOKUP(F2007,magnet_list!$A$2:$A$592,magnet_list!$L$2:$L$592,"n/a",0,1)</f>
        <v>20</v>
      </c>
    </row>
    <row r="2008" spans="1:13">
      <c r="A2008" t="s">
        <v>797</v>
      </c>
      <c r="B2008" t="s">
        <v>805</v>
      </c>
      <c r="C2008" t="s">
        <v>1152</v>
      </c>
      <c r="D2008" t="s">
        <v>804</v>
      </c>
      <c r="E2008" s="2" t="s">
        <v>1913</v>
      </c>
      <c r="F2008" s="2" t="s">
        <v>441</v>
      </c>
      <c r="G2008" s="1">
        <v>522.1290929999999</v>
      </c>
      <c r="H2008">
        <v>-15000</v>
      </c>
      <c r="I2008">
        <v>-257764.81897466999</v>
      </c>
      <c r="J2008">
        <v>-90</v>
      </c>
      <c r="K2008">
        <v>180</v>
      </c>
      <c r="L2008">
        <f>_xlfn.XLOOKUP(F2008,magnet_list!$A$2:$A$592,magnet_list!$M$2:$M$592,"n/a",0,1)</f>
        <v>80</v>
      </c>
      <c r="M2008">
        <f>_xlfn.XLOOKUP(F2008,magnet_list!$A$2:$A$592,magnet_list!$L$2:$L$592,"n/a",0,1)</f>
        <v>20</v>
      </c>
    </row>
    <row r="2009" spans="1:13">
      <c r="A2009" t="s">
        <v>797</v>
      </c>
      <c r="B2009" t="s">
        <v>805</v>
      </c>
      <c r="C2009" t="s">
        <v>806</v>
      </c>
      <c r="E2009" s="2" t="s">
        <v>442</v>
      </c>
      <c r="F2009" s="2" t="s">
        <v>442</v>
      </c>
      <c r="G2009" s="1">
        <v>522.32916699999998</v>
      </c>
      <c r="H2009">
        <v>-15000</v>
      </c>
      <c r="I2009">
        <v>-257964.87945055001</v>
      </c>
      <c r="J2009">
        <v>-90</v>
      </c>
      <c r="K2009">
        <v>180</v>
      </c>
      <c r="L2009">
        <f>_xlfn.XLOOKUP(F2009,magnet_list!$A$2:$A$592,magnet_list!$M$2:$M$592,"n/a",0,1)</f>
        <v>80</v>
      </c>
      <c r="M2009">
        <f>_xlfn.XLOOKUP(F2009,magnet_list!$A$2:$A$592,magnet_list!$L$2:$L$592,"n/a",0,1)</f>
        <v>20</v>
      </c>
    </row>
    <row r="2010" spans="1:13">
      <c r="A2010" t="s">
        <v>797</v>
      </c>
      <c r="B2010" t="s">
        <v>805</v>
      </c>
      <c r="C2010" t="s">
        <v>1152</v>
      </c>
      <c r="D2010" t="s">
        <v>804</v>
      </c>
      <c r="E2010" s="2" t="s">
        <v>1914</v>
      </c>
      <c r="F2010" s="2" t="s">
        <v>442</v>
      </c>
      <c r="G2010" s="1">
        <v>522.32916699999998</v>
      </c>
      <c r="H2010">
        <v>-15000</v>
      </c>
      <c r="I2010">
        <v>-257964.87945055001</v>
      </c>
      <c r="J2010">
        <v>-90</v>
      </c>
      <c r="K2010">
        <v>180</v>
      </c>
      <c r="L2010">
        <f>_xlfn.XLOOKUP(F2010,magnet_list!$A$2:$A$592,magnet_list!$M$2:$M$592,"n/a",0,1)</f>
        <v>80</v>
      </c>
      <c r="M2010">
        <f>_xlfn.XLOOKUP(F2010,magnet_list!$A$2:$A$592,magnet_list!$L$2:$L$592,"n/a",0,1)</f>
        <v>20</v>
      </c>
    </row>
    <row r="2011" spans="1:13">
      <c r="A2011" t="s">
        <v>797</v>
      </c>
      <c r="B2011" t="s">
        <v>805</v>
      </c>
      <c r="C2011" t="s">
        <v>806</v>
      </c>
      <c r="E2011" s="2" t="s">
        <v>443</v>
      </c>
      <c r="F2011" s="2" t="s">
        <v>2759</v>
      </c>
      <c r="G2011" s="1">
        <v>522.58413799999994</v>
      </c>
      <c r="H2011">
        <v>-15000</v>
      </c>
      <c r="I2011">
        <v>-258219.85476633001</v>
      </c>
      <c r="J2011">
        <v>-50</v>
      </c>
      <c r="K2011">
        <v>220</v>
      </c>
      <c r="L2011">
        <f>_xlfn.XLOOKUP(F2011,magnet_list!$A$2:$A$592,magnet_list!$M$2:$M$592,"n/a",0,1)</f>
        <v>200</v>
      </c>
      <c r="M2011">
        <f>_xlfn.XLOOKUP(F2011,magnet_list!$A$2:$A$592,magnet_list!$L$2:$L$592,"n/a",0,1)</f>
        <v>20</v>
      </c>
    </row>
    <row r="2012" spans="1:13">
      <c r="A2012" t="s">
        <v>797</v>
      </c>
      <c r="B2012" t="s">
        <v>805</v>
      </c>
      <c r="C2012" t="s">
        <v>1152</v>
      </c>
      <c r="D2012" t="s">
        <v>804</v>
      </c>
      <c r="E2012" s="2" t="s">
        <v>781</v>
      </c>
      <c r="F2012" s="2" t="s">
        <v>2759</v>
      </c>
      <c r="G2012" s="1">
        <v>522.65913899999998</v>
      </c>
      <c r="H2012">
        <v>-15000</v>
      </c>
      <c r="I2012">
        <v>-258294.85576633</v>
      </c>
      <c r="J2012">
        <v>-50</v>
      </c>
      <c r="K2012">
        <v>220</v>
      </c>
      <c r="L2012">
        <f>_xlfn.XLOOKUP(F2012,magnet_list!$A$2:$A$592,magnet_list!$M$2:$M$592,"n/a",0,1)</f>
        <v>200</v>
      </c>
      <c r="M2012">
        <f>_xlfn.XLOOKUP(F2012,magnet_list!$A$2:$A$592,magnet_list!$L$2:$L$592,"n/a",0,1)</f>
        <v>20</v>
      </c>
    </row>
    <row r="2013" spans="1:13">
      <c r="A2013" t="s">
        <v>797</v>
      </c>
      <c r="B2013" t="s">
        <v>805</v>
      </c>
      <c r="C2013" t="s">
        <v>806</v>
      </c>
      <c r="E2013" s="2" t="s">
        <v>444</v>
      </c>
      <c r="F2013" s="2" t="s">
        <v>2759</v>
      </c>
      <c r="G2013" s="1">
        <v>522.73413999999991</v>
      </c>
      <c r="H2013">
        <v>-15000</v>
      </c>
      <c r="I2013">
        <v>-258369.83022760999</v>
      </c>
      <c r="J2013">
        <v>-50</v>
      </c>
      <c r="K2013">
        <v>220</v>
      </c>
      <c r="L2013">
        <f>_xlfn.XLOOKUP(F2013,magnet_list!$A$2:$A$592,magnet_list!$M$2:$M$592,"n/a",0,1)</f>
        <v>200</v>
      </c>
      <c r="M2013">
        <f>_xlfn.XLOOKUP(F2013,magnet_list!$A$2:$A$592,magnet_list!$L$2:$L$592,"n/a",0,1)</f>
        <v>20</v>
      </c>
    </row>
    <row r="2014" spans="1:13">
      <c r="A2014" t="s">
        <v>797</v>
      </c>
      <c r="B2014" t="s">
        <v>2288</v>
      </c>
      <c r="C2014" t="s">
        <v>1152</v>
      </c>
      <c r="D2014" t="s">
        <v>804</v>
      </c>
      <c r="E2014" s="8" t="s">
        <v>2298</v>
      </c>
      <c r="F2014" s="8" t="s">
        <v>2298</v>
      </c>
      <c r="G2014" s="1">
        <f>$G$2003+ABS($I$2014-$I$2003)/1000</f>
        <v>522.97675206136955</v>
      </c>
      <c r="H2014">
        <v>-15000</v>
      </c>
      <c r="I2014">
        <f>$I$2003-1364.5127</f>
        <v>-258500.41119545998</v>
      </c>
      <c r="J2014">
        <v>-270</v>
      </c>
      <c r="K2014">
        <v>0</v>
      </c>
    </row>
    <row r="2015" spans="1:13">
      <c r="A2015" t="s">
        <v>797</v>
      </c>
      <c r="B2015" t="s">
        <v>803</v>
      </c>
      <c r="C2015" t="s">
        <v>806</v>
      </c>
      <c r="E2015" t="s">
        <v>1051</v>
      </c>
      <c r="F2015" t="s">
        <v>1051</v>
      </c>
      <c r="G2015" s="1">
        <v>522.97194899999988</v>
      </c>
      <c r="H2015">
        <v>-15400</v>
      </c>
      <c r="I2015">
        <v>-258610.47776685</v>
      </c>
      <c r="J2015">
        <v>-689</v>
      </c>
      <c r="K2015">
        <v>-419</v>
      </c>
    </row>
    <row r="2016" spans="1:13">
      <c r="A2016" t="s">
        <v>797</v>
      </c>
      <c r="B2016" t="s">
        <v>804</v>
      </c>
      <c r="C2016" t="s">
        <v>1152</v>
      </c>
      <c r="D2016" t="s">
        <v>804</v>
      </c>
      <c r="E2016" s="10" t="s">
        <v>1742</v>
      </c>
      <c r="F2016" s="10" t="s">
        <v>2760</v>
      </c>
      <c r="G2016" s="1">
        <f>$G$2017-ABS($I$2017-$I$2016)/1000</f>
        <v>523.15722126136961</v>
      </c>
      <c r="H2016">
        <v>-15000</v>
      </c>
      <c r="I2016">
        <f>$I$2017+$L$2016/2</f>
        <v>-258680.88039546</v>
      </c>
      <c r="J2016">
        <v>-270</v>
      </c>
      <c r="K2016">
        <v>0</v>
      </c>
      <c r="L2016">
        <v>1889.4492</v>
      </c>
    </row>
    <row r="2017" spans="1:12">
      <c r="A2017" t="s">
        <v>797</v>
      </c>
      <c r="B2017" t="s">
        <v>804</v>
      </c>
      <c r="C2017" t="s">
        <v>1152</v>
      </c>
      <c r="D2017" t="s">
        <v>804</v>
      </c>
      <c r="E2017" s="10" t="s">
        <v>1210</v>
      </c>
      <c r="F2017" s="10" t="s">
        <v>2760</v>
      </c>
      <c r="G2017" s="1">
        <f>$G$2014+ABS($I$2017-$I$2014)/1000</f>
        <v>524.10194586136959</v>
      </c>
      <c r="H2017">
        <v>-15000</v>
      </c>
      <c r="I2017">
        <f>$I$2014-1125.1938</f>
        <v>-259625.60499545999</v>
      </c>
      <c r="J2017">
        <v>-270</v>
      </c>
      <c r="K2017">
        <v>0</v>
      </c>
      <c r="L2017">
        <v>1889.4492</v>
      </c>
    </row>
    <row r="2018" spans="1:12">
      <c r="A2018" t="s">
        <v>797</v>
      </c>
      <c r="B2018" t="s">
        <v>804</v>
      </c>
      <c r="C2018" t="s">
        <v>1152</v>
      </c>
      <c r="D2018" t="s">
        <v>804</v>
      </c>
      <c r="E2018" s="10" t="s">
        <v>1743</v>
      </c>
      <c r="F2018" s="10" t="s">
        <v>2760</v>
      </c>
      <c r="G2018" s="1">
        <f>$G$2017+ABS($I$2018-$I$2017)/1000</f>
        <v>525.04667046136956</v>
      </c>
      <c r="H2018">
        <v>-15000</v>
      </c>
      <c r="I2018">
        <f>$I$2017-$L$2018/2</f>
        <v>-260570.32959545997</v>
      </c>
      <c r="J2018">
        <v>-270</v>
      </c>
      <c r="K2018">
        <v>0</v>
      </c>
      <c r="L2018">
        <v>1889.4492</v>
      </c>
    </row>
    <row r="2019" spans="1:12">
      <c r="A2019" t="s">
        <v>797</v>
      </c>
      <c r="B2019" t="s">
        <v>804</v>
      </c>
      <c r="C2019" t="s">
        <v>1152</v>
      </c>
      <c r="D2019" t="s">
        <v>804</v>
      </c>
      <c r="E2019" s="10" t="s">
        <v>1744</v>
      </c>
      <c r="F2019" s="10" t="s">
        <v>2761</v>
      </c>
      <c r="G2019" s="1">
        <f>$G$2020-ABS($I$2020-$I$2019)/1000</f>
        <v>525.25661226136958</v>
      </c>
      <c r="H2019">
        <v>-15000</v>
      </c>
      <c r="I2019">
        <f>$I$2020+$L$2019/2</f>
        <v>-260780.27139546</v>
      </c>
      <c r="J2019">
        <v>-270</v>
      </c>
      <c r="K2019">
        <v>0</v>
      </c>
      <c r="L2019">
        <v>1889.4492</v>
      </c>
    </row>
    <row r="2020" spans="1:12">
      <c r="A2020" t="s">
        <v>797</v>
      </c>
      <c r="B2020" t="s">
        <v>804</v>
      </c>
      <c r="C2020" t="s">
        <v>1152</v>
      </c>
      <c r="D2020" t="s">
        <v>804</v>
      </c>
      <c r="E2020" s="10" t="s">
        <v>1266</v>
      </c>
      <c r="F2020" s="10" t="s">
        <v>2761</v>
      </c>
      <c r="G2020" s="1">
        <f>$G$2017+ABS($I$2020-$I$2017)/1000</f>
        <v>526.20133686136955</v>
      </c>
      <c r="H2020">
        <v>-15000</v>
      </c>
      <c r="I2020">
        <f>$I$2017-2099.391</f>
        <v>-261724.99599545999</v>
      </c>
      <c r="J2020">
        <v>-270</v>
      </c>
      <c r="K2020">
        <v>0</v>
      </c>
      <c r="L2020">
        <v>1889.4492</v>
      </c>
    </row>
    <row r="2021" spans="1:12">
      <c r="A2021" t="s">
        <v>797</v>
      </c>
      <c r="B2021" t="s">
        <v>803</v>
      </c>
      <c r="C2021" t="s">
        <v>806</v>
      </c>
      <c r="E2021" t="s">
        <v>894</v>
      </c>
      <c r="F2021" t="s">
        <v>894</v>
      </c>
      <c r="G2021" s="1">
        <v>526.50290099999972</v>
      </c>
      <c r="H2021">
        <v>-13499.21040514</v>
      </c>
      <c r="I2021">
        <v>-262140.88116346</v>
      </c>
      <c r="J2021">
        <v>-25.394269569999999</v>
      </c>
      <c r="K2021">
        <v>244.60573042999999</v>
      </c>
    </row>
    <row r="2022" spans="1:12">
      <c r="A2022" t="s">
        <v>797</v>
      </c>
      <c r="B2022" t="s">
        <v>803</v>
      </c>
      <c r="C2022" t="s">
        <v>806</v>
      </c>
      <c r="E2022" t="s">
        <v>893</v>
      </c>
      <c r="F2022" t="s">
        <v>893</v>
      </c>
      <c r="G2022" s="1">
        <v>526.77109499999972</v>
      </c>
      <c r="H2022">
        <v>-17455.710598289999</v>
      </c>
      <c r="I2022">
        <v>-262410.43917039997</v>
      </c>
      <c r="J2022">
        <v>-23.863998680000002</v>
      </c>
      <c r="K2022">
        <v>246.13600131999999</v>
      </c>
    </row>
    <row r="2023" spans="1:12">
      <c r="A2023" t="s">
        <v>797</v>
      </c>
      <c r="B2023" t="s">
        <v>804</v>
      </c>
      <c r="C2023" t="s">
        <v>1152</v>
      </c>
      <c r="D2023" t="s">
        <v>804</v>
      </c>
      <c r="E2023" s="10" t="s">
        <v>1745</v>
      </c>
      <c r="F2023" s="10" t="s">
        <v>2761</v>
      </c>
      <c r="G2023" s="1">
        <f>$G$2020+ABS($I$2023-$I$2020)/1000</f>
        <v>527.14606146136953</v>
      </c>
      <c r="H2023">
        <v>-15000</v>
      </c>
      <c r="I2023">
        <f>$I$2020-$L$2023/2</f>
        <v>-262669.72059545998</v>
      </c>
      <c r="J2023">
        <v>-270</v>
      </c>
      <c r="K2023">
        <v>0</v>
      </c>
      <c r="L2023">
        <v>1889.4492</v>
      </c>
    </row>
    <row r="2024" spans="1:12">
      <c r="A2024" t="s">
        <v>797</v>
      </c>
      <c r="B2024" t="s">
        <v>1152</v>
      </c>
      <c r="C2024" t="s">
        <v>1152</v>
      </c>
      <c r="D2024" t="s">
        <v>804</v>
      </c>
      <c r="E2024" s="3" t="s">
        <v>2172</v>
      </c>
      <c r="F2024" s="3" t="s">
        <v>2172</v>
      </c>
      <c r="G2024" s="1">
        <f>$G$2020+ABS($I$2024-$I$2020)/1000</f>
        <v>527.44093616136956</v>
      </c>
      <c r="H2024">
        <v>-15000</v>
      </c>
      <c r="I2024">
        <f>$I$2020-1239.5993</f>
        <v>-262964.59529545996</v>
      </c>
      <c r="J2024">
        <v>-270</v>
      </c>
      <c r="K2024">
        <v>0</v>
      </c>
    </row>
    <row r="2025" spans="1:12">
      <c r="A2025" t="s">
        <v>797</v>
      </c>
      <c r="B2025" t="s">
        <v>804</v>
      </c>
      <c r="C2025" t="s">
        <v>1152</v>
      </c>
      <c r="D2025" t="s">
        <v>804</v>
      </c>
      <c r="E2025" s="10" t="s">
        <v>1746</v>
      </c>
      <c r="F2025" s="10" t="s">
        <v>2762</v>
      </c>
      <c r="G2025" s="1">
        <f>$G$2026-ABS($I$2026-$I$2025)/1000</f>
        <v>527.67090536136959</v>
      </c>
      <c r="H2025">
        <v>-15000</v>
      </c>
      <c r="I2025">
        <f>$I$2026+$L$2025/2</f>
        <v>-263194.56449545996</v>
      </c>
      <c r="J2025">
        <v>-270</v>
      </c>
      <c r="K2025">
        <v>0</v>
      </c>
      <c r="L2025">
        <v>1889.4492</v>
      </c>
    </row>
    <row r="2026" spans="1:12">
      <c r="A2026" t="s">
        <v>797</v>
      </c>
      <c r="B2026" t="s">
        <v>804</v>
      </c>
      <c r="C2026" t="s">
        <v>1152</v>
      </c>
      <c r="D2026" t="s">
        <v>804</v>
      </c>
      <c r="E2026" s="10" t="s">
        <v>1320</v>
      </c>
      <c r="F2026" s="10" t="s">
        <v>2762</v>
      </c>
      <c r="G2026" s="1">
        <f>$G$2024+ABS($I$2026-$I$2024)/1000</f>
        <v>528.61562996136956</v>
      </c>
      <c r="H2026">
        <v>-15000</v>
      </c>
      <c r="I2026">
        <f>$I$2024-1174.6938</f>
        <v>-264139.28909545997</v>
      </c>
      <c r="J2026">
        <v>-270</v>
      </c>
      <c r="K2026">
        <v>0</v>
      </c>
      <c r="L2026">
        <v>1889.4492</v>
      </c>
    </row>
    <row r="2027" spans="1:12">
      <c r="A2027" t="s">
        <v>797</v>
      </c>
      <c r="B2027" t="s">
        <v>804</v>
      </c>
      <c r="C2027" t="s">
        <v>1152</v>
      </c>
      <c r="D2027" t="s">
        <v>804</v>
      </c>
      <c r="E2027" s="10" t="s">
        <v>1747</v>
      </c>
      <c r="F2027" s="10" t="s">
        <v>2762</v>
      </c>
      <c r="G2027" s="1">
        <f>$G$2026+ABS($I$2027-$I$2026)/1000</f>
        <v>529.56035456136954</v>
      </c>
      <c r="H2027">
        <v>-15000</v>
      </c>
      <c r="I2027">
        <f>$I$2026-$L$2027/2</f>
        <v>-265084.01369545999</v>
      </c>
      <c r="J2027">
        <v>-270</v>
      </c>
      <c r="K2027">
        <v>0</v>
      </c>
      <c r="L2027">
        <v>1889.4492</v>
      </c>
    </row>
    <row r="2028" spans="1:12">
      <c r="A2028" t="s">
        <v>797</v>
      </c>
      <c r="B2028" t="s">
        <v>804</v>
      </c>
      <c r="C2028" t="s">
        <v>1152</v>
      </c>
      <c r="D2028" t="s">
        <v>804</v>
      </c>
      <c r="E2028" s="10" t="s">
        <v>1748</v>
      </c>
      <c r="F2028" s="10" t="s">
        <v>2763</v>
      </c>
      <c r="G2028" s="1">
        <f>$G$2029-ABS($I$2029-$I$2028)/1000</f>
        <v>529.77029636136956</v>
      </c>
      <c r="H2028">
        <v>-15000</v>
      </c>
      <c r="I2028">
        <f>$I$2029+$L$2028/2</f>
        <v>-265293.95549545996</v>
      </c>
      <c r="J2028">
        <v>-270</v>
      </c>
      <c r="K2028">
        <v>0</v>
      </c>
      <c r="L2028">
        <v>1889.4492</v>
      </c>
    </row>
    <row r="2029" spans="1:12">
      <c r="A2029" t="s">
        <v>797</v>
      </c>
      <c r="B2029" t="s">
        <v>804</v>
      </c>
      <c r="C2029" t="s">
        <v>1152</v>
      </c>
      <c r="D2029" t="s">
        <v>804</v>
      </c>
      <c r="E2029" s="10" t="s">
        <v>1374</v>
      </c>
      <c r="F2029" s="10" t="s">
        <v>2763</v>
      </c>
      <c r="G2029" s="1">
        <f>$G$2026+ABS($I$2029-$I$2026)/1000</f>
        <v>530.71502096136953</v>
      </c>
      <c r="H2029">
        <v>-15000</v>
      </c>
      <c r="I2029">
        <f>$I$2026-2099.391</f>
        <v>-266238.68009545997</v>
      </c>
      <c r="J2029">
        <v>-270</v>
      </c>
      <c r="K2029">
        <v>0</v>
      </c>
      <c r="L2029">
        <v>1889.4492</v>
      </c>
    </row>
    <row r="2030" spans="1:12">
      <c r="A2030" t="s">
        <v>797</v>
      </c>
      <c r="B2030" t="s">
        <v>804</v>
      </c>
      <c r="C2030" t="s">
        <v>1152</v>
      </c>
      <c r="D2030" t="s">
        <v>804</v>
      </c>
      <c r="E2030" s="10" t="s">
        <v>1749</v>
      </c>
      <c r="F2030" s="10" t="s">
        <v>2763</v>
      </c>
      <c r="G2030" s="1">
        <f>$G$2029+ABS($I$2030-$I$2029)/1000</f>
        <v>531.6597455613695</v>
      </c>
      <c r="H2030">
        <v>-15000</v>
      </c>
      <c r="I2030">
        <f>$I$2029-$L$2030/2</f>
        <v>-267183.40469545999</v>
      </c>
      <c r="J2030">
        <v>-270</v>
      </c>
      <c r="K2030">
        <v>0</v>
      </c>
      <c r="L2030">
        <v>1889.4492</v>
      </c>
    </row>
    <row r="2031" spans="1:12">
      <c r="A2031" t="s">
        <v>797</v>
      </c>
      <c r="B2031" t="s">
        <v>803</v>
      </c>
      <c r="C2031" t="s">
        <v>806</v>
      </c>
      <c r="E2031" t="s">
        <v>1050</v>
      </c>
      <c r="F2031" t="s">
        <v>1050</v>
      </c>
      <c r="G2031" s="1">
        <v>531.68756599999983</v>
      </c>
      <c r="H2031">
        <v>-15400</v>
      </c>
      <c r="I2031">
        <v>-267326.10114803998</v>
      </c>
      <c r="J2031">
        <v>-689</v>
      </c>
      <c r="K2031">
        <v>-419</v>
      </c>
    </row>
    <row r="2032" spans="1:12">
      <c r="A2032" t="s">
        <v>797</v>
      </c>
      <c r="B2032" t="s">
        <v>2288</v>
      </c>
      <c r="C2032" t="s">
        <v>1152</v>
      </c>
      <c r="D2032" t="s">
        <v>804</v>
      </c>
      <c r="E2032" s="8" t="s">
        <v>2299</v>
      </c>
      <c r="F2032" s="8" t="s">
        <v>2299</v>
      </c>
      <c r="G2032" s="1">
        <f>$G$2029+ABS($I$2032-$I$2029)/1000</f>
        <v>531.82324116136954</v>
      </c>
      <c r="H2032">
        <v>-15000</v>
      </c>
      <c r="I2032">
        <f>$I$2029-1108.2202</f>
        <v>-267346.90029545996</v>
      </c>
      <c r="J2032">
        <v>-270</v>
      </c>
      <c r="K2032">
        <v>0</v>
      </c>
    </row>
    <row r="2033" spans="1:12">
      <c r="A2033" t="s">
        <v>797</v>
      </c>
      <c r="B2033" t="s">
        <v>803</v>
      </c>
      <c r="C2033" t="s">
        <v>806</v>
      </c>
      <c r="E2033" t="s">
        <v>1053</v>
      </c>
      <c r="F2033" t="s">
        <v>1053</v>
      </c>
      <c r="G2033" s="1">
        <v>531.96092199999987</v>
      </c>
      <c r="H2033">
        <v>-15400</v>
      </c>
      <c r="I2033">
        <v>-267599.51964774</v>
      </c>
      <c r="J2033">
        <v>-689</v>
      </c>
      <c r="K2033">
        <v>-419</v>
      </c>
    </row>
    <row r="2034" spans="1:12">
      <c r="A2034" t="s">
        <v>797</v>
      </c>
      <c r="B2034" t="s">
        <v>804</v>
      </c>
      <c r="C2034" t="s">
        <v>1152</v>
      </c>
      <c r="D2034" t="s">
        <v>804</v>
      </c>
      <c r="E2034" s="10" t="s">
        <v>1750</v>
      </c>
      <c r="F2034" s="10" t="s">
        <v>2764</v>
      </c>
      <c r="G2034" s="1">
        <f>$G$2035-ABS($I$2035-$I$2034)/1000</f>
        <v>532.15722336136957</v>
      </c>
      <c r="H2034">
        <v>-15000</v>
      </c>
      <c r="I2034">
        <f>$I$2035+$L$2034/2</f>
        <v>-267680.88249545993</v>
      </c>
      <c r="J2034">
        <v>-270</v>
      </c>
      <c r="K2034">
        <v>0</v>
      </c>
      <c r="L2034">
        <v>1889.4492</v>
      </c>
    </row>
    <row r="2035" spans="1:12">
      <c r="A2035" t="s">
        <v>797</v>
      </c>
      <c r="B2035" t="s">
        <v>804</v>
      </c>
      <c r="C2035" t="s">
        <v>1152</v>
      </c>
      <c r="D2035" t="s">
        <v>804</v>
      </c>
      <c r="E2035" s="10" t="s">
        <v>1211</v>
      </c>
      <c r="F2035" s="10" t="s">
        <v>2764</v>
      </c>
      <c r="G2035" s="1">
        <f>$G$2032+ABS($I$2035-$I$2032)/1000</f>
        <v>533.10194796136955</v>
      </c>
      <c r="H2035">
        <v>-15000</v>
      </c>
      <c r="I2035">
        <f>$I$2032-1278.7068</f>
        <v>-268625.60709545994</v>
      </c>
      <c r="J2035">
        <v>-270</v>
      </c>
      <c r="K2035">
        <v>0</v>
      </c>
      <c r="L2035">
        <v>1889.4492</v>
      </c>
    </row>
    <row r="2036" spans="1:12">
      <c r="A2036" t="s">
        <v>797</v>
      </c>
      <c r="B2036" t="s">
        <v>804</v>
      </c>
      <c r="C2036" t="s">
        <v>1152</v>
      </c>
      <c r="D2036" t="s">
        <v>804</v>
      </c>
      <c r="E2036" s="10" t="s">
        <v>1751</v>
      </c>
      <c r="F2036" s="10" t="s">
        <v>2764</v>
      </c>
      <c r="G2036" s="1">
        <f>$G$2035+ABS($I$2036-$I$2035)/1000</f>
        <v>534.04667256136952</v>
      </c>
      <c r="H2036">
        <v>-15000</v>
      </c>
      <c r="I2036">
        <f>$I$2035-$L$2036/2</f>
        <v>-269570.33169545996</v>
      </c>
      <c r="J2036">
        <v>-270</v>
      </c>
      <c r="K2036">
        <v>0</v>
      </c>
      <c r="L2036">
        <v>1889.4492</v>
      </c>
    </row>
    <row r="2037" spans="1:12">
      <c r="A2037" t="s">
        <v>797</v>
      </c>
      <c r="B2037" t="s">
        <v>804</v>
      </c>
      <c r="C2037" t="s">
        <v>1152</v>
      </c>
      <c r="D2037" t="s">
        <v>804</v>
      </c>
      <c r="E2037" s="10" t="s">
        <v>1752</v>
      </c>
      <c r="F2037" s="10" t="s">
        <v>2765</v>
      </c>
      <c r="G2037" s="1">
        <f>$G$2038-ABS($I$2038-$I$2037)/1000</f>
        <v>534.25661436136954</v>
      </c>
      <c r="H2037">
        <v>-15000</v>
      </c>
      <c r="I2037">
        <f>$I$2038+$L$2037/2</f>
        <v>-269780.27349545993</v>
      </c>
      <c r="J2037">
        <v>-270</v>
      </c>
      <c r="K2037">
        <v>0</v>
      </c>
      <c r="L2037">
        <v>1889.4492</v>
      </c>
    </row>
    <row r="2038" spans="1:12">
      <c r="A2038" t="s">
        <v>797</v>
      </c>
      <c r="B2038" t="s">
        <v>804</v>
      </c>
      <c r="C2038" t="s">
        <v>1152</v>
      </c>
      <c r="D2038" t="s">
        <v>804</v>
      </c>
      <c r="E2038" s="10" t="s">
        <v>1267</v>
      </c>
      <c r="F2038" s="10" t="s">
        <v>2765</v>
      </c>
      <c r="G2038" s="1">
        <f>$G$2035+ABS($I$2038-$I$2035)/1000</f>
        <v>535.20133896136952</v>
      </c>
      <c r="H2038">
        <v>-15000</v>
      </c>
      <c r="I2038">
        <f>$I$2035-2099.391</f>
        <v>-270724.99809545995</v>
      </c>
      <c r="J2038">
        <v>-270</v>
      </c>
      <c r="K2038">
        <v>0</v>
      </c>
      <c r="L2038">
        <v>1889.4492</v>
      </c>
    </row>
    <row r="2039" spans="1:12">
      <c r="A2039" t="s">
        <v>797</v>
      </c>
      <c r="B2039" t="s">
        <v>803</v>
      </c>
      <c r="C2039" t="s">
        <v>806</v>
      </c>
      <c r="E2039" t="s">
        <v>896</v>
      </c>
      <c r="F2039" t="s">
        <v>896</v>
      </c>
      <c r="G2039" s="1">
        <v>535.7630869999997</v>
      </c>
      <c r="H2039">
        <v>-13504.255781309999</v>
      </c>
      <c r="I2039">
        <v>-271401.02922591002</v>
      </c>
      <c r="J2039">
        <v>-20.487819890000001</v>
      </c>
      <c r="K2039">
        <v>249.51218011</v>
      </c>
    </row>
    <row r="2040" spans="1:12">
      <c r="A2040" t="s">
        <v>797</v>
      </c>
      <c r="B2040" t="s">
        <v>804</v>
      </c>
      <c r="C2040" t="s">
        <v>1152</v>
      </c>
      <c r="D2040" t="s">
        <v>804</v>
      </c>
      <c r="E2040" s="10" t="s">
        <v>1753</v>
      </c>
      <c r="F2040" s="10" t="s">
        <v>2765</v>
      </c>
      <c r="G2040" s="1">
        <f>$G$2038+ABS($I$2040-$I$2038)/1000</f>
        <v>536.14606356136949</v>
      </c>
      <c r="H2040">
        <v>-15000</v>
      </c>
      <c r="I2040">
        <f>$I$2038-$L$2040/2</f>
        <v>-271669.72269545996</v>
      </c>
      <c r="J2040">
        <v>-270</v>
      </c>
      <c r="K2040">
        <v>0</v>
      </c>
      <c r="L2040">
        <v>1889.4492</v>
      </c>
    </row>
    <row r="2041" spans="1:12">
      <c r="A2041" t="s">
        <v>797</v>
      </c>
      <c r="B2041" t="s">
        <v>803</v>
      </c>
      <c r="C2041" t="s">
        <v>806</v>
      </c>
      <c r="E2041" t="s">
        <v>895</v>
      </c>
      <c r="F2041" t="s">
        <v>895</v>
      </c>
      <c r="G2041" s="1">
        <v>536.17201199999977</v>
      </c>
      <c r="H2041">
        <v>-17453.02027845</v>
      </c>
      <c r="I2041">
        <v>-271811.31505372998</v>
      </c>
      <c r="J2041">
        <v>-18.89729809</v>
      </c>
      <c r="K2041">
        <v>251.10270191000001</v>
      </c>
    </row>
    <row r="2042" spans="1:12">
      <c r="A2042" t="s">
        <v>797</v>
      </c>
      <c r="B2042" t="s">
        <v>804</v>
      </c>
      <c r="C2042" t="s">
        <v>1152</v>
      </c>
      <c r="D2042" t="s">
        <v>804</v>
      </c>
      <c r="E2042" s="10" t="s">
        <v>1754</v>
      </c>
      <c r="F2042" s="10" t="s">
        <v>2766</v>
      </c>
      <c r="G2042" s="1">
        <f>$G$2043-ABS($I$2043-$I$2042)/1000</f>
        <v>536.67090536136959</v>
      </c>
      <c r="H2042">
        <v>-15000</v>
      </c>
      <c r="I2042">
        <f>$I$2043+$L$2042/2</f>
        <v>-272194.56449545996</v>
      </c>
      <c r="J2042">
        <v>-270</v>
      </c>
      <c r="K2042">
        <v>0</v>
      </c>
      <c r="L2042">
        <v>1889.4492</v>
      </c>
    </row>
    <row r="2043" spans="1:12">
      <c r="A2043" t="s">
        <v>797</v>
      </c>
      <c r="B2043" t="s">
        <v>804</v>
      </c>
      <c r="C2043" t="s">
        <v>1152</v>
      </c>
      <c r="D2043" t="s">
        <v>804</v>
      </c>
      <c r="E2043" s="10" t="s">
        <v>1321</v>
      </c>
      <c r="F2043" s="10" t="s">
        <v>2766</v>
      </c>
      <c r="G2043" s="1">
        <f>$G$2038+ABS($I$2043-$I$2038)/1000</f>
        <v>537.61562996136956</v>
      </c>
      <c r="H2043">
        <v>-15000</v>
      </c>
      <c r="I2043">
        <f>$I$2038-2414.291</f>
        <v>-273139.28909545997</v>
      </c>
      <c r="J2043">
        <v>-270</v>
      </c>
      <c r="K2043">
        <v>0</v>
      </c>
      <c r="L2043">
        <v>1889.4492</v>
      </c>
    </row>
    <row r="2044" spans="1:12">
      <c r="A2044" t="s">
        <v>797</v>
      </c>
      <c r="B2044" t="s">
        <v>804</v>
      </c>
      <c r="C2044" t="s">
        <v>1152</v>
      </c>
      <c r="D2044" t="s">
        <v>804</v>
      </c>
      <c r="E2044" s="10" t="s">
        <v>1755</v>
      </c>
      <c r="F2044" s="10" t="s">
        <v>2766</v>
      </c>
      <c r="G2044" s="1">
        <f>$G$2043+ABS($I$2044-$I$2043)/1000</f>
        <v>538.56035456136954</v>
      </c>
      <c r="H2044">
        <v>-15000</v>
      </c>
      <c r="I2044">
        <f>$I$2043-$L$2044/2</f>
        <v>-274084.01369545999</v>
      </c>
      <c r="J2044">
        <v>-270</v>
      </c>
      <c r="K2044">
        <v>0</v>
      </c>
      <c r="L2044">
        <v>1889.4492</v>
      </c>
    </row>
    <row r="2045" spans="1:12">
      <c r="A2045" t="s">
        <v>797</v>
      </c>
      <c r="B2045" t="s">
        <v>804</v>
      </c>
      <c r="C2045" t="s">
        <v>1152</v>
      </c>
      <c r="D2045" t="s">
        <v>804</v>
      </c>
      <c r="E2045" s="10" t="s">
        <v>1756</v>
      </c>
      <c r="F2045" s="10" t="s">
        <v>2767</v>
      </c>
      <c r="G2045" s="1">
        <f>$G$2046-ABS($I$2046-$I$2045)/1000</f>
        <v>538.77029636136956</v>
      </c>
      <c r="H2045">
        <v>-15000</v>
      </c>
      <c r="I2045">
        <f>$I$2046+$L$2045/2</f>
        <v>-274293.95549545996</v>
      </c>
      <c r="J2045">
        <v>-270</v>
      </c>
      <c r="K2045">
        <v>0</v>
      </c>
      <c r="L2045">
        <v>1889.4492</v>
      </c>
    </row>
    <row r="2046" spans="1:12">
      <c r="A2046" t="s">
        <v>797</v>
      </c>
      <c r="B2046" t="s">
        <v>804</v>
      </c>
      <c r="C2046" t="s">
        <v>1152</v>
      </c>
      <c r="D2046" t="s">
        <v>804</v>
      </c>
      <c r="E2046" s="10" t="s">
        <v>1375</v>
      </c>
      <c r="F2046" s="10" t="s">
        <v>2767</v>
      </c>
      <c r="G2046" s="1">
        <f>$G$2043+ABS($I$2046-$I$2043)/1000</f>
        <v>539.71502096136953</v>
      </c>
      <c r="H2046">
        <v>-15000</v>
      </c>
      <c r="I2046">
        <f>$I$2043-2099.391</f>
        <v>-275238.68009545997</v>
      </c>
      <c r="J2046">
        <v>-270</v>
      </c>
      <c r="K2046">
        <v>0</v>
      </c>
      <c r="L2046">
        <v>1889.4492</v>
      </c>
    </row>
    <row r="2047" spans="1:12">
      <c r="A2047" t="s">
        <v>797</v>
      </c>
      <c r="B2047" t="s">
        <v>804</v>
      </c>
      <c r="C2047" t="s">
        <v>1152</v>
      </c>
      <c r="D2047" t="s">
        <v>804</v>
      </c>
      <c r="E2047" s="10" t="s">
        <v>1757</v>
      </c>
      <c r="F2047" s="10" t="s">
        <v>2767</v>
      </c>
      <c r="G2047" s="1">
        <f>$G$2046+ABS($I$2047-$I$2046)/1000</f>
        <v>540.6597455613695</v>
      </c>
      <c r="H2047">
        <v>-15000</v>
      </c>
      <c r="I2047">
        <f>$I$2046-$L$2047/2</f>
        <v>-276183.40469545999</v>
      </c>
      <c r="J2047">
        <v>-270</v>
      </c>
      <c r="K2047">
        <v>0</v>
      </c>
      <c r="L2047">
        <v>1889.4492</v>
      </c>
    </row>
    <row r="2048" spans="1:12">
      <c r="A2048" t="s">
        <v>797</v>
      </c>
      <c r="B2048" t="s">
        <v>803</v>
      </c>
      <c r="C2048" t="s">
        <v>806</v>
      </c>
      <c r="E2048" t="s">
        <v>1052</v>
      </c>
      <c r="F2048" t="s">
        <v>1052</v>
      </c>
      <c r="G2048" s="1">
        <v>540.677232</v>
      </c>
      <c r="H2048">
        <v>-15400</v>
      </c>
      <c r="I2048">
        <v>-276315.80236988998</v>
      </c>
      <c r="J2048">
        <v>-689</v>
      </c>
      <c r="K2048">
        <v>-419</v>
      </c>
    </row>
    <row r="2049" spans="1:13">
      <c r="A2049" t="s">
        <v>797</v>
      </c>
      <c r="B2049" t="s">
        <v>1152</v>
      </c>
      <c r="C2049" t="s">
        <v>1152</v>
      </c>
      <c r="D2049" t="s">
        <v>804</v>
      </c>
      <c r="E2049" s="7" t="s">
        <v>2173</v>
      </c>
      <c r="F2049" s="7" t="s">
        <v>2173</v>
      </c>
      <c r="G2049" s="1">
        <f>$G$2046+ABS($I$2049-$I$2046)/1000</f>
        <v>540.81224146136958</v>
      </c>
      <c r="H2049">
        <v>-15000</v>
      </c>
      <c r="I2049">
        <f>$I$2046-1097.2205</f>
        <v>-276335.90059545997</v>
      </c>
      <c r="J2049">
        <v>-270</v>
      </c>
      <c r="K2049">
        <v>0</v>
      </c>
    </row>
    <row r="2050" spans="1:13">
      <c r="A2050" t="s">
        <v>797</v>
      </c>
      <c r="B2050" t="s">
        <v>805</v>
      </c>
      <c r="C2050" t="s">
        <v>806</v>
      </c>
      <c r="E2050" s="2" t="s">
        <v>445</v>
      </c>
      <c r="F2050" s="2" t="s">
        <v>2768</v>
      </c>
      <c r="G2050" s="1">
        <v>540.92082399999993</v>
      </c>
      <c r="H2050">
        <v>-15000</v>
      </c>
      <c r="I2050">
        <v>-276556.49439950002</v>
      </c>
      <c r="J2050">
        <v>-50</v>
      </c>
      <c r="K2050">
        <v>220</v>
      </c>
      <c r="L2050">
        <f>_xlfn.XLOOKUP(F2050,magnet_list!$A$2:$A$592,magnet_list!$M$2:$M$592,"n/a",0,1)</f>
        <v>200</v>
      </c>
      <c r="M2050">
        <f>_xlfn.XLOOKUP(F2050,magnet_list!$A$2:$A$592,magnet_list!$L$2:$L$592,"n/a",0,1)</f>
        <v>20</v>
      </c>
    </row>
    <row r="2051" spans="1:13">
      <c r="A2051" t="s">
        <v>797</v>
      </c>
      <c r="B2051" t="s">
        <v>805</v>
      </c>
      <c r="C2051" t="s">
        <v>1152</v>
      </c>
      <c r="D2051" t="s">
        <v>804</v>
      </c>
      <c r="E2051" s="2" t="s">
        <v>782</v>
      </c>
      <c r="F2051" s="2" t="s">
        <v>2768</v>
      </c>
      <c r="G2051" s="1">
        <v>540.99582149999981</v>
      </c>
      <c r="H2051">
        <v>-15000</v>
      </c>
      <c r="I2051">
        <v>-276631.49189950002</v>
      </c>
      <c r="J2051">
        <v>-50</v>
      </c>
      <c r="K2051">
        <v>220</v>
      </c>
      <c r="L2051">
        <f>_xlfn.XLOOKUP(F2051,magnet_list!$A$2:$A$592,magnet_list!$M$2:$M$592,"n/a",0,1)</f>
        <v>200</v>
      </c>
      <c r="M2051">
        <f>_xlfn.XLOOKUP(F2051,magnet_list!$A$2:$A$592,magnet_list!$L$2:$L$592,"n/a",0,1)</f>
        <v>20</v>
      </c>
    </row>
    <row r="2052" spans="1:13">
      <c r="A2052" t="s">
        <v>797</v>
      </c>
      <c r="B2052" t="s">
        <v>805</v>
      </c>
      <c r="C2052" t="s">
        <v>806</v>
      </c>
      <c r="E2052" s="2" t="s">
        <v>446</v>
      </c>
      <c r="F2052" s="2" t="s">
        <v>2768</v>
      </c>
      <c r="G2052" s="1">
        <v>541.07081899999991</v>
      </c>
      <c r="H2052">
        <v>-15000</v>
      </c>
      <c r="I2052">
        <v>-276706.46963950002</v>
      </c>
      <c r="J2052">
        <v>-50</v>
      </c>
      <c r="K2052">
        <v>220</v>
      </c>
      <c r="L2052">
        <f>_xlfn.XLOOKUP(F2052,magnet_list!$A$2:$A$592,magnet_list!$M$2:$M$592,"n/a",0,1)</f>
        <v>200</v>
      </c>
      <c r="M2052">
        <f>_xlfn.XLOOKUP(F2052,magnet_list!$A$2:$A$592,magnet_list!$L$2:$L$592,"n/a",0,1)</f>
        <v>20</v>
      </c>
    </row>
    <row r="2053" spans="1:13">
      <c r="A2053" t="s">
        <v>797</v>
      </c>
      <c r="B2053" t="s">
        <v>805</v>
      </c>
      <c r="C2053" t="s">
        <v>806</v>
      </c>
      <c r="E2053" s="2" t="s">
        <v>447</v>
      </c>
      <c r="F2053" s="2" t="s">
        <v>447</v>
      </c>
      <c r="G2053" s="1">
        <v>541.32585499999982</v>
      </c>
      <c r="H2053">
        <v>-15000</v>
      </c>
      <c r="I2053">
        <v>-276961.50386805</v>
      </c>
      <c r="J2053">
        <v>-90</v>
      </c>
      <c r="K2053">
        <v>180</v>
      </c>
      <c r="L2053">
        <f>_xlfn.XLOOKUP(F2053,magnet_list!$A$2:$A$592,magnet_list!$M$2:$M$592,"n/a",0,1)</f>
        <v>80</v>
      </c>
      <c r="M2053">
        <f>_xlfn.XLOOKUP(F2053,magnet_list!$A$2:$A$592,magnet_list!$L$2:$L$592,"n/a",0,1)</f>
        <v>20</v>
      </c>
    </row>
    <row r="2054" spans="1:13">
      <c r="A2054" t="s">
        <v>797</v>
      </c>
      <c r="B2054" t="s">
        <v>805</v>
      </c>
      <c r="C2054" t="s">
        <v>1152</v>
      </c>
      <c r="D2054" t="s">
        <v>804</v>
      </c>
      <c r="E2054" s="2" t="s">
        <v>1901</v>
      </c>
      <c r="F2054" s="2" t="s">
        <v>447</v>
      </c>
      <c r="G2054" s="1">
        <v>541.32585499999982</v>
      </c>
      <c r="H2054">
        <v>-15000</v>
      </c>
      <c r="I2054">
        <v>-276961.50386805</v>
      </c>
      <c r="J2054">
        <v>-90</v>
      </c>
      <c r="K2054">
        <v>180</v>
      </c>
      <c r="L2054">
        <f>_xlfn.XLOOKUP(F2054,magnet_list!$A$2:$A$592,magnet_list!$M$2:$M$592,"n/a",0,1)</f>
        <v>80</v>
      </c>
      <c r="M2054">
        <f>_xlfn.XLOOKUP(F2054,magnet_list!$A$2:$A$592,magnet_list!$L$2:$L$592,"n/a",0,1)</f>
        <v>20</v>
      </c>
    </row>
    <row r="2055" spans="1:13">
      <c r="A2055" t="s">
        <v>797</v>
      </c>
      <c r="B2055" t="s">
        <v>805</v>
      </c>
      <c r="C2055" t="s">
        <v>806</v>
      </c>
      <c r="E2055" s="2" t="s">
        <v>448</v>
      </c>
      <c r="F2055" s="2" t="s">
        <v>448</v>
      </c>
      <c r="G2055" s="1">
        <v>541.52577299999984</v>
      </c>
      <c r="H2055">
        <v>-15000</v>
      </c>
      <c r="I2055">
        <v>-277161.43484454998</v>
      </c>
      <c r="J2055">
        <v>-90</v>
      </c>
      <c r="K2055">
        <v>180</v>
      </c>
      <c r="L2055">
        <f>_xlfn.XLOOKUP(F2055,magnet_list!$A$2:$A$592,magnet_list!$M$2:$M$592,"n/a",0,1)</f>
        <v>80</v>
      </c>
      <c r="M2055">
        <f>_xlfn.XLOOKUP(F2055,magnet_list!$A$2:$A$592,magnet_list!$L$2:$L$592,"n/a",0,1)</f>
        <v>20</v>
      </c>
    </row>
    <row r="2056" spans="1:13">
      <c r="A2056" t="s">
        <v>797</v>
      </c>
      <c r="B2056" t="s">
        <v>805</v>
      </c>
      <c r="C2056" t="s">
        <v>1152</v>
      </c>
      <c r="D2056" t="s">
        <v>804</v>
      </c>
      <c r="E2056" s="2" t="s">
        <v>1902</v>
      </c>
      <c r="F2056" s="2" t="s">
        <v>448</v>
      </c>
      <c r="G2056" s="1">
        <v>541.52577299999984</v>
      </c>
      <c r="H2056">
        <v>-15000</v>
      </c>
      <c r="I2056">
        <v>-277161.43484454998</v>
      </c>
      <c r="J2056">
        <v>-90</v>
      </c>
      <c r="K2056">
        <v>180</v>
      </c>
      <c r="L2056">
        <f>_xlfn.XLOOKUP(F2056,magnet_list!$A$2:$A$592,magnet_list!$M$2:$M$592,"n/a",0,1)</f>
        <v>80</v>
      </c>
      <c r="M2056">
        <f>_xlfn.XLOOKUP(F2056,magnet_list!$A$2:$A$592,magnet_list!$L$2:$L$592,"n/a",0,1)</f>
        <v>20</v>
      </c>
    </row>
    <row r="2057" spans="1:13">
      <c r="A2057" t="s">
        <v>797</v>
      </c>
      <c r="B2057" t="s">
        <v>805</v>
      </c>
      <c r="C2057" t="s">
        <v>806</v>
      </c>
      <c r="E2057" s="2" t="s">
        <v>449</v>
      </c>
      <c r="F2057" s="2" t="s">
        <v>2769</v>
      </c>
      <c r="G2057" s="1">
        <v>541.78077299999984</v>
      </c>
      <c r="H2057">
        <v>-15000</v>
      </c>
      <c r="I2057">
        <v>-277416.44731649</v>
      </c>
      <c r="J2057">
        <v>-50</v>
      </c>
      <c r="K2057">
        <v>220</v>
      </c>
      <c r="L2057">
        <f>_xlfn.XLOOKUP(F2057,magnet_list!$A$2:$A$592,magnet_list!$M$2:$M$592,"n/a",0,1)</f>
        <v>200</v>
      </c>
      <c r="M2057">
        <f>_xlfn.XLOOKUP(F2057,magnet_list!$A$2:$A$592,magnet_list!$L$2:$L$592,"n/a",0,1)</f>
        <v>20</v>
      </c>
    </row>
    <row r="2058" spans="1:13">
      <c r="A2058" t="s">
        <v>797</v>
      </c>
      <c r="B2058" t="s">
        <v>805</v>
      </c>
      <c r="C2058" t="s">
        <v>1152</v>
      </c>
      <c r="D2058" t="s">
        <v>804</v>
      </c>
      <c r="E2058" s="2" t="s">
        <v>783</v>
      </c>
      <c r="F2058" s="2" t="s">
        <v>2769</v>
      </c>
      <c r="G2058" s="1">
        <v>541.85577149999983</v>
      </c>
      <c r="H2058">
        <v>-15000</v>
      </c>
      <c r="I2058">
        <v>-277491.44581649004</v>
      </c>
      <c r="J2058">
        <v>-50</v>
      </c>
      <c r="K2058">
        <v>220</v>
      </c>
      <c r="L2058">
        <f>_xlfn.XLOOKUP(F2058,magnet_list!$A$2:$A$592,magnet_list!$M$2:$M$592,"n/a",0,1)</f>
        <v>200</v>
      </c>
      <c r="M2058">
        <f>_xlfn.XLOOKUP(F2058,magnet_list!$A$2:$A$592,magnet_list!$L$2:$L$592,"n/a",0,1)</f>
        <v>20</v>
      </c>
    </row>
    <row r="2059" spans="1:13">
      <c r="A2059" t="s">
        <v>797</v>
      </c>
      <c r="B2059" t="s">
        <v>805</v>
      </c>
      <c r="C2059" t="s">
        <v>806</v>
      </c>
      <c r="E2059" s="2" t="s">
        <v>450</v>
      </c>
      <c r="F2059" s="2" t="s">
        <v>2769</v>
      </c>
      <c r="G2059" s="1">
        <v>541.93076999999982</v>
      </c>
      <c r="H2059">
        <v>-15000</v>
      </c>
      <c r="I2059">
        <v>-277566.43814137002</v>
      </c>
      <c r="J2059">
        <v>-50</v>
      </c>
      <c r="K2059">
        <v>220</v>
      </c>
      <c r="L2059">
        <f>_xlfn.XLOOKUP(F2059,magnet_list!$A$2:$A$592,magnet_list!$M$2:$M$592,"n/a",0,1)</f>
        <v>200</v>
      </c>
      <c r="M2059">
        <f>_xlfn.XLOOKUP(F2059,magnet_list!$A$2:$A$592,magnet_list!$L$2:$L$592,"n/a",0,1)</f>
        <v>20</v>
      </c>
    </row>
    <row r="2060" spans="1:13">
      <c r="A2060" t="s">
        <v>797</v>
      </c>
      <c r="B2060" t="s">
        <v>2288</v>
      </c>
      <c r="C2060" t="s">
        <v>1152</v>
      </c>
      <c r="D2060" t="s">
        <v>804</v>
      </c>
      <c r="E2060" s="8" t="s">
        <v>2300</v>
      </c>
      <c r="F2060" s="8" t="s">
        <v>2300</v>
      </c>
      <c r="G2060" s="1">
        <f>$G$2049+ABS($I$2060-$I$2049)/1000</f>
        <v>542.17675416136956</v>
      </c>
      <c r="H2060">
        <v>-15000</v>
      </c>
      <c r="I2060">
        <f>$I$2049-1364.5127</f>
        <v>-277700.41329545999</v>
      </c>
      <c r="J2060">
        <v>-270</v>
      </c>
      <c r="K2060">
        <v>0</v>
      </c>
    </row>
    <row r="2061" spans="1:13">
      <c r="A2061" t="s">
        <v>797</v>
      </c>
      <c r="B2061" t="s">
        <v>803</v>
      </c>
      <c r="C2061" t="s">
        <v>806</v>
      </c>
      <c r="E2061" t="s">
        <v>1055</v>
      </c>
      <c r="F2061" t="s">
        <v>1055</v>
      </c>
      <c r="G2061" s="1">
        <v>542.16968199999997</v>
      </c>
      <c r="H2061">
        <v>-15400</v>
      </c>
      <c r="I2061">
        <v>-277808.17616213002</v>
      </c>
      <c r="J2061">
        <v>-689</v>
      </c>
      <c r="K2061">
        <v>-419</v>
      </c>
    </row>
    <row r="2062" spans="1:13">
      <c r="A2062" t="s">
        <v>797</v>
      </c>
      <c r="B2062" t="s">
        <v>804</v>
      </c>
      <c r="C2062" t="s">
        <v>1152</v>
      </c>
      <c r="D2062" t="s">
        <v>804</v>
      </c>
      <c r="E2062" s="10" t="s">
        <v>1758</v>
      </c>
      <c r="F2062" s="10" t="s">
        <v>2770</v>
      </c>
      <c r="G2062" s="1">
        <f>$G$2063-ABS($I$2063-$I$2062)/1000</f>
        <v>542.35722336136962</v>
      </c>
      <c r="H2062">
        <v>-15000</v>
      </c>
      <c r="I2062">
        <f>$I$2063+$L$2062/2</f>
        <v>-277880.88249545998</v>
      </c>
      <c r="J2062">
        <v>-270</v>
      </c>
      <c r="K2062">
        <v>0</v>
      </c>
      <c r="L2062">
        <v>1889.4492</v>
      </c>
    </row>
    <row r="2063" spans="1:13">
      <c r="A2063" t="s">
        <v>797</v>
      </c>
      <c r="B2063" t="s">
        <v>804</v>
      </c>
      <c r="C2063" t="s">
        <v>1152</v>
      </c>
      <c r="D2063" t="s">
        <v>804</v>
      </c>
      <c r="E2063" s="10" t="s">
        <v>1212</v>
      </c>
      <c r="F2063" s="10" t="s">
        <v>2770</v>
      </c>
      <c r="G2063" s="1">
        <f>$G$2060+ABS($I$2063-$I$2060)/1000</f>
        <v>543.30194796136959</v>
      </c>
      <c r="H2063">
        <v>-15000</v>
      </c>
      <c r="I2063">
        <f>$I$2060-1125.1938</f>
        <v>-278825.60709546</v>
      </c>
      <c r="J2063">
        <v>-270</v>
      </c>
      <c r="K2063">
        <v>0</v>
      </c>
      <c r="L2063">
        <v>1889.4492</v>
      </c>
    </row>
    <row r="2064" spans="1:13">
      <c r="A2064" t="s">
        <v>797</v>
      </c>
      <c r="B2064" t="s">
        <v>804</v>
      </c>
      <c r="C2064" t="s">
        <v>1152</v>
      </c>
      <c r="D2064" t="s">
        <v>804</v>
      </c>
      <c r="E2064" s="10" t="s">
        <v>1759</v>
      </c>
      <c r="F2064" s="10" t="s">
        <v>2770</v>
      </c>
      <c r="G2064" s="1">
        <f>$G$2063+ABS($I$2064-$I$2063)/1000</f>
        <v>544.24667256136956</v>
      </c>
      <c r="H2064">
        <v>-15000</v>
      </c>
      <c r="I2064">
        <f>$I$2063-$L$2064/2</f>
        <v>-279770.33169546002</v>
      </c>
      <c r="J2064">
        <v>-270</v>
      </c>
      <c r="K2064">
        <v>0</v>
      </c>
      <c r="L2064">
        <v>1889.4492</v>
      </c>
    </row>
    <row r="2065" spans="1:12">
      <c r="A2065" t="s">
        <v>797</v>
      </c>
      <c r="B2065" t="s">
        <v>804</v>
      </c>
      <c r="C2065" t="s">
        <v>1152</v>
      </c>
      <c r="D2065" t="s">
        <v>804</v>
      </c>
      <c r="E2065" s="10" t="s">
        <v>1760</v>
      </c>
      <c r="F2065" s="10" t="s">
        <v>2771</v>
      </c>
      <c r="G2065" s="1">
        <f>$G$2066-ABS($I$2066-$I$2065)/1000</f>
        <v>544.45661436136959</v>
      </c>
      <c r="H2065">
        <v>-15000</v>
      </c>
      <c r="I2065">
        <f>$I$2066+$L$2065/2</f>
        <v>-279980.27349545999</v>
      </c>
      <c r="J2065">
        <v>-270</v>
      </c>
      <c r="K2065">
        <v>0</v>
      </c>
      <c r="L2065">
        <v>1889.4492</v>
      </c>
    </row>
    <row r="2066" spans="1:12">
      <c r="A2066" t="s">
        <v>797</v>
      </c>
      <c r="B2066" t="s">
        <v>804</v>
      </c>
      <c r="C2066" t="s">
        <v>1152</v>
      </c>
      <c r="D2066" t="s">
        <v>804</v>
      </c>
      <c r="E2066" s="10" t="s">
        <v>1268</v>
      </c>
      <c r="F2066" s="10" t="s">
        <v>2771</v>
      </c>
      <c r="G2066" s="1">
        <f>$G$2063+ABS($I$2066-$I$2063)/1000</f>
        <v>545.40133896136956</v>
      </c>
      <c r="H2066">
        <v>-15000</v>
      </c>
      <c r="I2066">
        <f>$I$2063-2099.391</f>
        <v>-280924.99809546</v>
      </c>
      <c r="J2066">
        <v>-270</v>
      </c>
      <c r="K2066">
        <v>0</v>
      </c>
      <c r="L2066">
        <v>1889.4492</v>
      </c>
    </row>
    <row r="2067" spans="1:12">
      <c r="A2067" t="s">
        <v>797</v>
      </c>
      <c r="B2067" t="s">
        <v>803</v>
      </c>
      <c r="C2067" t="s">
        <v>806</v>
      </c>
      <c r="E2067" t="s">
        <v>898</v>
      </c>
      <c r="F2067" t="s">
        <v>898</v>
      </c>
      <c r="G2067" s="1">
        <v>545.89433299999973</v>
      </c>
      <c r="H2067">
        <v>-13507.84164165</v>
      </c>
      <c r="I2067">
        <v>-281532.23865806998</v>
      </c>
      <c r="J2067">
        <v>-19.5595523</v>
      </c>
      <c r="K2067">
        <v>250.44044769999999</v>
      </c>
    </row>
    <row r="2068" spans="1:12">
      <c r="A2068" t="s">
        <v>797</v>
      </c>
      <c r="B2068" t="s">
        <v>804</v>
      </c>
      <c r="C2068" t="s">
        <v>1152</v>
      </c>
      <c r="D2068" t="s">
        <v>804</v>
      </c>
      <c r="E2068" s="10" t="s">
        <v>1761</v>
      </c>
      <c r="F2068" s="10" t="s">
        <v>2771</v>
      </c>
      <c r="G2068" s="1">
        <f>$G$2066+ABS($I$2068-$I$2066)/1000</f>
        <v>546.34606356136953</v>
      </c>
      <c r="H2068">
        <v>-15000</v>
      </c>
      <c r="I2068">
        <f>$I$2066-$L$2068/2</f>
        <v>-281869.72269546002</v>
      </c>
      <c r="J2068">
        <v>-270</v>
      </c>
      <c r="K2068">
        <v>0</v>
      </c>
      <c r="L2068">
        <v>1889.4492</v>
      </c>
    </row>
    <row r="2069" spans="1:12">
      <c r="A2069" t="s">
        <v>797</v>
      </c>
      <c r="B2069" t="s">
        <v>803</v>
      </c>
      <c r="C2069" t="s">
        <v>806</v>
      </c>
      <c r="E2069" t="s">
        <v>897</v>
      </c>
      <c r="F2069" t="s">
        <v>897</v>
      </c>
      <c r="G2069" s="1">
        <v>546.40940699999976</v>
      </c>
      <c r="H2069">
        <v>-17452.214897530001</v>
      </c>
      <c r="I2069">
        <v>-282048.69436179003</v>
      </c>
      <c r="J2069">
        <v>-20.465681629999999</v>
      </c>
      <c r="K2069">
        <v>249.53431836999999</v>
      </c>
    </row>
    <row r="2070" spans="1:12">
      <c r="A2070" t="s">
        <v>797</v>
      </c>
      <c r="B2070" t="s">
        <v>1152</v>
      </c>
      <c r="C2070" t="s">
        <v>1152</v>
      </c>
      <c r="D2070" t="s">
        <v>804</v>
      </c>
      <c r="E2070" s="7" t="s">
        <v>2174</v>
      </c>
      <c r="F2070" s="7" t="s">
        <v>2174</v>
      </c>
      <c r="G2070" s="1">
        <f>$G$2066+ABS($I$2070-$I$2066)/1000</f>
        <v>546.64093616136961</v>
      </c>
      <c r="H2070">
        <v>-15000</v>
      </c>
      <c r="I2070">
        <f>$I$2066-1239.5972</f>
        <v>-282164.59529546002</v>
      </c>
      <c r="J2070">
        <v>-270</v>
      </c>
      <c r="K2070">
        <v>0</v>
      </c>
    </row>
    <row r="2071" spans="1:12">
      <c r="A2071" t="s">
        <v>797</v>
      </c>
      <c r="B2071" t="s">
        <v>804</v>
      </c>
      <c r="C2071" t="s">
        <v>1152</v>
      </c>
      <c r="D2071" t="s">
        <v>804</v>
      </c>
      <c r="E2071" s="10" t="s">
        <v>1762</v>
      </c>
      <c r="F2071" s="10" t="s">
        <v>2772</v>
      </c>
      <c r="G2071" s="1">
        <f>$G$2072-ABS($I$2072-$I$2071)/1000</f>
        <v>546.87090536136964</v>
      </c>
      <c r="H2071">
        <v>-15000</v>
      </c>
      <c r="I2071">
        <f>$I$2072+$L$2071/2</f>
        <v>-282394.56449546001</v>
      </c>
      <c r="J2071">
        <v>-270</v>
      </c>
      <c r="K2071">
        <v>0</v>
      </c>
      <c r="L2071">
        <v>1889.4492</v>
      </c>
    </row>
    <row r="2072" spans="1:12">
      <c r="A2072" t="s">
        <v>797</v>
      </c>
      <c r="B2072" t="s">
        <v>804</v>
      </c>
      <c r="C2072" t="s">
        <v>1152</v>
      </c>
      <c r="D2072" t="s">
        <v>804</v>
      </c>
      <c r="E2072" s="10" t="s">
        <v>1322</v>
      </c>
      <c r="F2072" s="10" t="s">
        <v>2772</v>
      </c>
      <c r="G2072" s="1">
        <f>$G$2070+ABS($I$2072-$I$2070)/1000</f>
        <v>547.81562996136961</v>
      </c>
      <c r="H2072">
        <v>-15000</v>
      </c>
      <c r="I2072">
        <f>$I$2070-1174.6938</f>
        <v>-283339.28909546003</v>
      </c>
      <c r="J2072">
        <v>-270</v>
      </c>
      <c r="K2072">
        <v>0</v>
      </c>
      <c r="L2072">
        <v>1889.4492</v>
      </c>
    </row>
    <row r="2073" spans="1:12">
      <c r="A2073" t="s">
        <v>797</v>
      </c>
      <c r="B2073" t="s">
        <v>804</v>
      </c>
      <c r="C2073" t="s">
        <v>1152</v>
      </c>
      <c r="D2073" t="s">
        <v>804</v>
      </c>
      <c r="E2073" s="10" t="s">
        <v>1763</v>
      </c>
      <c r="F2073" s="10" t="s">
        <v>2772</v>
      </c>
      <c r="G2073" s="1">
        <f>$G$2072+ABS($I$2073-$I$2072)/1000</f>
        <v>548.76035456136958</v>
      </c>
      <c r="H2073">
        <v>-15000</v>
      </c>
      <c r="I2073">
        <f>$I$2072-$L$2073/2</f>
        <v>-284284.01369546005</v>
      </c>
      <c r="J2073">
        <v>-270</v>
      </c>
      <c r="K2073">
        <v>0</v>
      </c>
      <c r="L2073">
        <v>1889.4492</v>
      </c>
    </row>
    <row r="2074" spans="1:12">
      <c r="A2074" t="s">
        <v>797</v>
      </c>
      <c r="B2074" t="s">
        <v>804</v>
      </c>
      <c r="C2074" t="s">
        <v>1152</v>
      </c>
      <c r="D2074" t="s">
        <v>804</v>
      </c>
      <c r="E2074" s="10" t="s">
        <v>1764</v>
      </c>
      <c r="F2074" s="10" t="s">
        <v>2773</v>
      </c>
      <c r="G2074" s="1">
        <f>$G$2075-ABS($I$2075-$I$2074)/1000</f>
        <v>548.97029636136961</v>
      </c>
      <c r="H2074">
        <v>-15000</v>
      </c>
      <c r="I2074">
        <f>$I$2075+$L$2074/2</f>
        <v>-284493.95549546002</v>
      </c>
      <c r="J2074">
        <v>-270</v>
      </c>
      <c r="K2074">
        <v>0</v>
      </c>
      <c r="L2074">
        <v>1889.4492</v>
      </c>
    </row>
    <row r="2075" spans="1:12">
      <c r="A2075" t="s">
        <v>797</v>
      </c>
      <c r="B2075" t="s">
        <v>804</v>
      </c>
      <c r="C2075" t="s">
        <v>1152</v>
      </c>
      <c r="D2075" t="s">
        <v>804</v>
      </c>
      <c r="E2075" s="10" t="s">
        <v>1376</v>
      </c>
      <c r="F2075" s="10" t="s">
        <v>2773</v>
      </c>
      <c r="G2075" s="1">
        <f>$G$2072+ABS($I$2075-$I$2072)/1000</f>
        <v>549.91502096136958</v>
      </c>
      <c r="H2075">
        <v>-15000</v>
      </c>
      <c r="I2075">
        <f>$I$2072-2099.391</f>
        <v>-285438.68009546003</v>
      </c>
      <c r="J2075">
        <v>-270</v>
      </c>
      <c r="K2075">
        <v>0</v>
      </c>
      <c r="L2075">
        <v>1889.4492</v>
      </c>
    </row>
    <row r="2076" spans="1:12">
      <c r="A2076" t="s">
        <v>797</v>
      </c>
      <c r="B2076" t="s">
        <v>804</v>
      </c>
      <c r="C2076" t="s">
        <v>1152</v>
      </c>
      <c r="D2076" t="s">
        <v>804</v>
      </c>
      <c r="E2076" s="10" t="s">
        <v>1765</v>
      </c>
      <c r="F2076" s="10" t="s">
        <v>2773</v>
      </c>
      <c r="G2076" s="1">
        <f>$G$2075+ABS($I$2076-$I$2075)/1000</f>
        <v>550.85974556136955</v>
      </c>
      <c r="H2076">
        <v>-15000</v>
      </c>
      <c r="I2076">
        <f>$I$2075-$L$2076/2</f>
        <v>-286383.40469546005</v>
      </c>
      <c r="J2076">
        <v>-270</v>
      </c>
      <c r="K2076">
        <v>0</v>
      </c>
      <c r="L2076">
        <v>1889.4492</v>
      </c>
    </row>
    <row r="2077" spans="1:12">
      <c r="A2077" t="s">
        <v>797</v>
      </c>
      <c r="B2077" t="s">
        <v>803</v>
      </c>
      <c r="C2077" t="s">
        <v>806</v>
      </c>
      <c r="E2077" t="s">
        <v>1054</v>
      </c>
      <c r="F2077" t="s">
        <v>1054</v>
      </c>
      <c r="G2077" s="1">
        <v>550.88620099999991</v>
      </c>
      <c r="H2077">
        <v>-15400</v>
      </c>
      <c r="I2077">
        <v>-286524.71277396003</v>
      </c>
      <c r="J2077">
        <v>-689</v>
      </c>
      <c r="K2077">
        <v>-419</v>
      </c>
    </row>
    <row r="2078" spans="1:12">
      <c r="A2078" t="s">
        <v>797</v>
      </c>
      <c r="B2078" t="s">
        <v>2288</v>
      </c>
      <c r="C2078" t="s">
        <v>1152</v>
      </c>
      <c r="D2078" t="s">
        <v>804</v>
      </c>
      <c r="E2078" s="8" t="s">
        <v>2301</v>
      </c>
      <c r="F2078" s="8" t="s">
        <v>2301</v>
      </c>
      <c r="G2078" s="1">
        <f>$G$2075+ABS($I$2078-$I$2075)/1000</f>
        <v>551.02324146136959</v>
      </c>
      <c r="H2078">
        <v>-15000</v>
      </c>
      <c r="I2078">
        <f>$I$2075-1108.2205</f>
        <v>-286546.90059546003</v>
      </c>
      <c r="J2078">
        <v>-270</v>
      </c>
      <c r="K2078">
        <v>0</v>
      </c>
    </row>
    <row r="2079" spans="1:12">
      <c r="A2079" t="s">
        <v>797</v>
      </c>
      <c r="B2079" t="s">
        <v>803</v>
      </c>
      <c r="C2079" t="s">
        <v>806</v>
      </c>
      <c r="E2079" t="s">
        <v>1057</v>
      </c>
      <c r="F2079" t="s">
        <v>1057</v>
      </c>
      <c r="G2079" s="1">
        <v>551.15510599999993</v>
      </c>
      <c r="H2079">
        <v>-15400</v>
      </c>
      <c r="I2079">
        <v>-286793.68459282001</v>
      </c>
      <c r="J2079">
        <v>-689</v>
      </c>
      <c r="K2079">
        <v>-419</v>
      </c>
    </row>
    <row r="2080" spans="1:12">
      <c r="A2080" t="s">
        <v>797</v>
      </c>
      <c r="B2080" t="s">
        <v>804</v>
      </c>
      <c r="C2080" t="s">
        <v>1152</v>
      </c>
      <c r="D2080" t="s">
        <v>804</v>
      </c>
      <c r="E2080" s="10" t="s">
        <v>1766</v>
      </c>
      <c r="F2080" s="10" t="s">
        <v>2774</v>
      </c>
      <c r="G2080" s="1">
        <f>$G$2081-ABS($I$2081-$I$2080)/1000</f>
        <v>551.35722326136965</v>
      </c>
      <c r="H2080">
        <v>-15000</v>
      </c>
      <c r="I2080">
        <f>$I$2081+$L$2080/2</f>
        <v>-286880.88239546004</v>
      </c>
      <c r="J2080">
        <v>-270</v>
      </c>
      <c r="K2080">
        <v>0</v>
      </c>
      <c r="L2080">
        <v>1889.4492</v>
      </c>
    </row>
    <row r="2081" spans="1:13">
      <c r="A2081" t="s">
        <v>797</v>
      </c>
      <c r="B2081" t="s">
        <v>804</v>
      </c>
      <c r="C2081" t="s">
        <v>1152</v>
      </c>
      <c r="D2081" t="s">
        <v>804</v>
      </c>
      <c r="E2081" s="10" t="s">
        <v>1213</v>
      </c>
      <c r="F2081" s="10" t="s">
        <v>2774</v>
      </c>
      <c r="G2081" s="1">
        <f>$G$2078+ABS($I$2081-$I$2078)/1000</f>
        <v>552.30194786136963</v>
      </c>
      <c r="H2081">
        <v>-15000</v>
      </c>
      <c r="I2081">
        <f>$I$2078-1278.7064</f>
        <v>-287825.60699546005</v>
      </c>
      <c r="J2081">
        <v>-270</v>
      </c>
      <c r="K2081">
        <v>0</v>
      </c>
      <c r="L2081">
        <v>1889.4492</v>
      </c>
    </row>
    <row r="2082" spans="1:13">
      <c r="A2082" t="s">
        <v>797</v>
      </c>
      <c r="B2082" t="s">
        <v>804</v>
      </c>
      <c r="C2082" t="s">
        <v>1152</v>
      </c>
      <c r="D2082" t="s">
        <v>804</v>
      </c>
      <c r="E2082" s="10" t="s">
        <v>1767</v>
      </c>
      <c r="F2082" s="10" t="s">
        <v>2774</v>
      </c>
      <c r="G2082" s="1">
        <f>$G$2081+ABS($I$2082-$I$2081)/1000</f>
        <v>553.2466724613696</v>
      </c>
      <c r="H2082">
        <v>-15000</v>
      </c>
      <c r="I2082">
        <f>$I$2081-$L$2082/2</f>
        <v>-288770.33159546007</v>
      </c>
      <c r="J2082">
        <v>-270</v>
      </c>
      <c r="K2082">
        <v>0</v>
      </c>
      <c r="L2082">
        <v>1889.4492</v>
      </c>
    </row>
    <row r="2083" spans="1:13">
      <c r="A2083" t="s">
        <v>797</v>
      </c>
      <c r="B2083" t="s">
        <v>804</v>
      </c>
      <c r="C2083" t="s">
        <v>1152</v>
      </c>
      <c r="D2083" t="s">
        <v>804</v>
      </c>
      <c r="E2083" s="10" t="s">
        <v>1768</v>
      </c>
      <c r="F2083" s="10" t="s">
        <v>2775</v>
      </c>
      <c r="G2083" s="1">
        <f>$G$2084-ABS($I$2084-$I$2083)/1000</f>
        <v>553.45661426136962</v>
      </c>
      <c r="H2083">
        <v>-15000</v>
      </c>
      <c r="I2083">
        <f>$I$2084+$L$2083/2</f>
        <v>-288980.27339546004</v>
      </c>
      <c r="J2083">
        <v>-270</v>
      </c>
      <c r="K2083">
        <v>0</v>
      </c>
      <c r="L2083">
        <v>1889.4492</v>
      </c>
    </row>
    <row r="2084" spans="1:13">
      <c r="A2084" t="s">
        <v>797</v>
      </c>
      <c r="B2084" t="s">
        <v>804</v>
      </c>
      <c r="C2084" t="s">
        <v>1152</v>
      </c>
      <c r="D2084" t="s">
        <v>804</v>
      </c>
      <c r="E2084" s="10" t="s">
        <v>1269</v>
      </c>
      <c r="F2084" s="10" t="s">
        <v>2775</v>
      </c>
      <c r="G2084" s="1">
        <f>$G$2081+ABS($I$2084-$I$2081)/1000</f>
        <v>554.4013388613696</v>
      </c>
      <c r="H2084">
        <v>-15000</v>
      </c>
      <c r="I2084">
        <f>$I$2081-2099.391</f>
        <v>-289924.99799546006</v>
      </c>
      <c r="J2084">
        <v>-270</v>
      </c>
      <c r="K2084">
        <v>0</v>
      </c>
      <c r="L2084">
        <v>1889.4492</v>
      </c>
    </row>
    <row r="2085" spans="1:13">
      <c r="A2085" t="s">
        <v>797</v>
      </c>
      <c r="B2085" t="s">
        <v>803</v>
      </c>
      <c r="C2085" t="s">
        <v>806</v>
      </c>
      <c r="E2085" t="s">
        <v>900</v>
      </c>
      <c r="F2085" t="s">
        <v>900</v>
      </c>
      <c r="G2085" s="1">
        <v>554.87456799999973</v>
      </c>
      <c r="H2085">
        <v>-13519.96273703</v>
      </c>
      <c r="I2085">
        <v>-290512.47778337001</v>
      </c>
      <c r="J2085">
        <v>-19.98329236</v>
      </c>
      <c r="K2085">
        <v>250.01670763999999</v>
      </c>
    </row>
    <row r="2086" spans="1:13">
      <c r="A2086" t="s">
        <v>797</v>
      </c>
      <c r="B2086" t="s">
        <v>803</v>
      </c>
      <c r="C2086" t="s">
        <v>806</v>
      </c>
      <c r="E2086" t="s">
        <v>899</v>
      </c>
      <c r="F2086" t="s">
        <v>899</v>
      </c>
      <c r="G2086" s="1">
        <v>555.14538999999979</v>
      </c>
      <c r="H2086">
        <v>-17453.825313640002</v>
      </c>
      <c r="I2086">
        <v>-290784.65594770003</v>
      </c>
      <c r="J2086">
        <v>-20.652985019999999</v>
      </c>
      <c r="K2086">
        <v>249.34701498000001</v>
      </c>
    </row>
    <row r="2087" spans="1:13">
      <c r="A2087" t="s">
        <v>797</v>
      </c>
      <c r="B2087" t="s">
        <v>804</v>
      </c>
      <c r="C2087" t="s">
        <v>1152</v>
      </c>
      <c r="D2087" t="s">
        <v>804</v>
      </c>
      <c r="E2087" s="10" t="s">
        <v>1769</v>
      </c>
      <c r="F2087" s="10" t="s">
        <v>2775</v>
      </c>
      <c r="G2087" s="1">
        <f>$G$2084+ABS($I$2087-$I$2084)/1000</f>
        <v>555.34606346136957</v>
      </c>
      <c r="H2087">
        <v>-15000</v>
      </c>
      <c r="I2087">
        <f>$I$2084-$L$2087/2</f>
        <v>-290869.72259546007</v>
      </c>
      <c r="J2087">
        <v>-270</v>
      </c>
      <c r="K2087">
        <v>0</v>
      </c>
      <c r="L2087">
        <v>1889.4492</v>
      </c>
    </row>
    <row r="2088" spans="1:13">
      <c r="A2088" t="s">
        <v>797</v>
      </c>
      <c r="B2088" t="s">
        <v>804</v>
      </c>
      <c r="C2088" t="s">
        <v>1152</v>
      </c>
      <c r="D2088" t="s">
        <v>804</v>
      </c>
      <c r="E2088" s="10" t="s">
        <v>1770</v>
      </c>
      <c r="F2088" s="10" t="s">
        <v>2776</v>
      </c>
      <c r="G2088" s="1">
        <f>$G$2089-ABS($I$2089-$I$2088)/1000</f>
        <v>555.87090526136967</v>
      </c>
      <c r="H2088">
        <v>-15000</v>
      </c>
      <c r="I2088">
        <f>$I$2089+$L$2088/2</f>
        <v>-291394.56439546007</v>
      </c>
      <c r="J2088">
        <v>-270</v>
      </c>
      <c r="K2088">
        <v>0</v>
      </c>
      <c r="L2088">
        <v>1889.4492</v>
      </c>
    </row>
    <row r="2089" spans="1:13">
      <c r="A2089" t="s">
        <v>797</v>
      </c>
      <c r="B2089" t="s">
        <v>804</v>
      </c>
      <c r="C2089" t="s">
        <v>1152</v>
      </c>
      <c r="D2089" t="s">
        <v>804</v>
      </c>
      <c r="E2089" s="10" t="s">
        <v>1323</v>
      </c>
      <c r="F2089" s="10" t="s">
        <v>2776</v>
      </c>
      <c r="G2089" s="1">
        <f>$G$2084+ABS($I$2089-$I$2084)/1000</f>
        <v>556.81562986136964</v>
      </c>
      <c r="H2089">
        <v>-15000</v>
      </c>
      <c r="I2089">
        <f>$I$2084-2414.291</f>
        <v>-292339.28899546008</v>
      </c>
      <c r="J2089">
        <v>-270</v>
      </c>
      <c r="K2089">
        <v>0</v>
      </c>
      <c r="L2089">
        <v>1889.4492</v>
      </c>
    </row>
    <row r="2090" spans="1:13">
      <c r="A2090" t="s">
        <v>797</v>
      </c>
      <c r="B2090" t="s">
        <v>804</v>
      </c>
      <c r="C2090" t="s">
        <v>1152</v>
      </c>
      <c r="D2090" t="s">
        <v>804</v>
      </c>
      <c r="E2090" s="10" t="s">
        <v>1771</v>
      </c>
      <c r="F2090" s="10" t="s">
        <v>2776</v>
      </c>
      <c r="G2090" s="1">
        <f>$G$2089+ABS($I$2090-$I$2089)/1000</f>
        <v>557.76035446136962</v>
      </c>
      <c r="H2090">
        <v>-15000</v>
      </c>
      <c r="I2090">
        <f>$I$2089-$L$2090/2</f>
        <v>-293284.0135954601</v>
      </c>
      <c r="J2090">
        <v>-270</v>
      </c>
      <c r="K2090">
        <v>0</v>
      </c>
      <c r="L2090">
        <v>1889.4492</v>
      </c>
    </row>
    <row r="2091" spans="1:13">
      <c r="A2091" t="s">
        <v>797</v>
      </c>
      <c r="B2091" t="s">
        <v>804</v>
      </c>
      <c r="C2091" t="s">
        <v>1152</v>
      </c>
      <c r="D2091" t="s">
        <v>804</v>
      </c>
      <c r="E2091" s="10" t="s">
        <v>1772</v>
      </c>
      <c r="F2091" s="10" t="s">
        <v>2777</v>
      </c>
      <c r="G2091" s="1">
        <f>$G$2092-ABS($I$2092-$I$2091)/1000</f>
        <v>557.97029626136964</v>
      </c>
      <c r="H2091">
        <v>-15000</v>
      </c>
      <c r="I2091">
        <f>$I$2092+$L$2091/2</f>
        <v>-293493.95539546007</v>
      </c>
      <c r="J2091">
        <v>-270</v>
      </c>
      <c r="K2091">
        <v>0</v>
      </c>
      <c r="L2091">
        <v>1889.4492</v>
      </c>
    </row>
    <row r="2092" spans="1:13">
      <c r="A2092" t="s">
        <v>797</v>
      </c>
      <c r="B2092" t="s">
        <v>804</v>
      </c>
      <c r="C2092" t="s">
        <v>1152</v>
      </c>
      <c r="D2092" t="s">
        <v>804</v>
      </c>
      <c r="E2092" s="10" t="s">
        <v>1377</v>
      </c>
      <c r="F2092" s="10" t="s">
        <v>2777</v>
      </c>
      <c r="G2092" s="1">
        <f>$G$2089+ABS($I$2092-$I$2089)/1000</f>
        <v>558.91502086136961</v>
      </c>
      <c r="H2092">
        <v>-15000</v>
      </c>
      <c r="I2092">
        <f>$I$2089-2099.391</f>
        <v>-294438.67999546009</v>
      </c>
      <c r="J2092">
        <v>-270</v>
      </c>
      <c r="K2092">
        <v>0</v>
      </c>
      <c r="L2092">
        <v>1889.4492</v>
      </c>
    </row>
    <row r="2093" spans="1:13">
      <c r="A2093" t="s">
        <v>797</v>
      </c>
      <c r="B2093" t="s">
        <v>804</v>
      </c>
      <c r="C2093" t="s">
        <v>1152</v>
      </c>
      <c r="D2093" t="s">
        <v>804</v>
      </c>
      <c r="E2093" s="10" t="s">
        <v>1773</v>
      </c>
      <c r="F2093" s="10" t="s">
        <v>2777</v>
      </c>
      <c r="G2093" s="1">
        <f>$G$2092+ABS($I$2093-$I$2092)/1000</f>
        <v>559.85974546136958</v>
      </c>
      <c r="H2093">
        <v>-15000</v>
      </c>
      <c r="I2093">
        <f>$I$2092-$L$2093/2</f>
        <v>-295383.4045954601</v>
      </c>
      <c r="J2093">
        <v>-270</v>
      </c>
      <c r="K2093">
        <v>0</v>
      </c>
      <c r="L2093">
        <v>1889.4492</v>
      </c>
    </row>
    <row r="2094" spans="1:13">
      <c r="A2094" t="s">
        <v>797</v>
      </c>
      <c r="B2094" t="s">
        <v>803</v>
      </c>
      <c r="C2094" t="s">
        <v>806</v>
      </c>
      <c r="E2094" t="s">
        <v>1056</v>
      </c>
      <c r="F2094" t="s">
        <v>1056</v>
      </c>
      <c r="G2094" s="1">
        <v>559.87129499999992</v>
      </c>
      <c r="H2094">
        <v>-15400</v>
      </c>
      <c r="I2094">
        <v>-295509.86386129999</v>
      </c>
      <c r="J2094">
        <v>-689</v>
      </c>
      <c r="K2094">
        <v>-419</v>
      </c>
    </row>
    <row r="2095" spans="1:13">
      <c r="A2095" t="s">
        <v>797</v>
      </c>
      <c r="B2095" t="s">
        <v>1152</v>
      </c>
      <c r="C2095" t="s">
        <v>1152</v>
      </c>
      <c r="D2095" t="s">
        <v>804</v>
      </c>
      <c r="E2095" s="7" t="s">
        <v>2175</v>
      </c>
      <c r="F2095" s="7" t="s">
        <v>2175</v>
      </c>
      <c r="G2095" s="1">
        <f>$G$2092+ABS($I$2095-$I$2092)/1000</f>
        <v>560.01224136136966</v>
      </c>
      <c r="H2095">
        <v>-15000</v>
      </c>
      <c r="I2095">
        <f>$I$2092-1097.2205</f>
        <v>-295535.90049546008</v>
      </c>
      <c r="J2095">
        <v>-270</v>
      </c>
      <c r="K2095">
        <v>0</v>
      </c>
    </row>
    <row r="2096" spans="1:13">
      <c r="A2096" t="s">
        <v>797</v>
      </c>
      <c r="B2096" t="s">
        <v>805</v>
      </c>
      <c r="C2096" t="s">
        <v>806</v>
      </c>
      <c r="E2096" s="2" t="s">
        <v>451</v>
      </c>
      <c r="F2096" s="2" t="s">
        <v>2778</v>
      </c>
      <c r="G2096" s="1">
        <v>560.11321299999975</v>
      </c>
      <c r="H2096">
        <v>-15000</v>
      </c>
      <c r="I2096">
        <v>-295748.94061364001</v>
      </c>
      <c r="J2096">
        <v>-50</v>
      </c>
      <c r="K2096">
        <v>220</v>
      </c>
      <c r="L2096">
        <f>_xlfn.XLOOKUP(F2096,magnet_list!$A$2:$A$592,magnet_list!$M$2:$M$592,"n/a",0,1)</f>
        <v>200</v>
      </c>
      <c r="M2096">
        <f>_xlfn.XLOOKUP(F2096,magnet_list!$A$2:$A$592,magnet_list!$L$2:$L$592,"n/a",0,1)</f>
        <v>20</v>
      </c>
    </row>
    <row r="2097" spans="1:13">
      <c r="A2097" t="s">
        <v>797</v>
      </c>
      <c r="B2097" t="s">
        <v>805</v>
      </c>
      <c r="C2097" t="s">
        <v>1152</v>
      </c>
      <c r="D2097" t="s">
        <v>804</v>
      </c>
      <c r="E2097" s="2" t="s">
        <v>784</v>
      </c>
      <c r="F2097" s="2" t="s">
        <v>2778</v>
      </c>
      <c r="G2097" s="1">
        <v>560.18822049999983</v>
      </c>
      <c r="H2097">
        <v>-15000</v>
      </c>
      <c r="I2097">
        <v>-295823.94811364001</v>
      </c>
      <c r="J2097">
        <v>-50</v>
      </c>
      <c r="K2097">
        <v>220</v>
      </c>
      <c r="L2097">
        <f>_xlfn.XLOOKUP(F2097,magnet_list!$A$2:$A$592,magnet_list!$M$2:$M$592,"n/a",0,1)</f>
        <v>200</v>
      </c>
      <c r="M2097">
        <f>_xlfn.XLOOKUP(F2097,magnet_list!$A$2:$A$592,magnet_list!$L$2:$L$592,"n/a",0,1)</f>
        <v>20</v>
      </c>
    </row>
    <row r="2098" spans="1:13">
      <c r="A2098" t="s">
        <v>797</v>
      </c>
      <c r="B2098" t="s">
        <v>805</v>
      </c>
      <c r="C2098" t="s">
        <v>806</v>
      </c>
      <c r="E2098" s="2" t="s">
        <v>452</v>
      </c>
      <c r="F2098" s="2" t="s">
        <v>2778</v>
      </c>
      <c r="G2098" s="1">
        <v>560.2632279999998</v>
      </c>
      <c r="H2098">
        <v>-15000</v>
      </c>
      <c r="I2098">
        <v>-295898.94021902001</v>
      </c>
      <c r="J2098">
        <v>-50</v>
      </c>
      <c r="K2098">
        <v>220</v>
      </c>
      <c r="L2098">
        <f>_xlfn.XLOOKUP(F2098,magnet_list!$A$2:$A$592,magnet_list!$M$2:$M$592,"n/a",0,1)</f>
        <v>200</v>
      </c>
      <c r="M2098">
        <f>_xlfn.XLOOKUP(F2098,magnet_list!$A$2:$A$592,magnet_list!$L$2:$L$592,"n/a",0,1)</f>
        <v>20</v>
      </c>
    </row>
    <row r="2099" spans="1:13">
      <c r="A2099" t="s">
        <v>797</v>
      </c>
      <c r="B2099" t="s">
        <v>803</v>
      </c>
      <c r="C2099" t="s">
        <v>806</v>
      </c>
      <c r="E2099" t="s">
        <v>901</v>
      </c>
      <c r="F2099" t="s">
        <v>901</v>
      </c>
      <c r="G2099" s="1">
        <v>560.27099799999974</v>
      </c>
      <c r="H2099">
        <v>-18468.009485300001</v>
      </c>
      <c r="I2099">
        <v>-295910.64350497001</v>
      </c>
      <c r="J2099">
        <v>-20.173012920000001</v>
      </c>
      <c r="K2099">
        <v>249.82698708000001</v>
      </c>
    </row>
    <row r="2100" spans="1:13">
      <c r="A2100" t="s">
        <v>797</v>
      </c>
      <c r="B2100" t="s">
        <v>803</v>
      </c>
      <c r="C2100" t="s">
        <v>806</v>
      </c>
      <c r="E2100" t="s">
        <v>902</v>
      </c>
      <c r="F2100" t="s">
        <v>902</v>
      </c>
      <c r="G2100" s="1">
        <v>560.51377599999989</v>
      </c>
      <c r="H2100">
        <v>-13509.76546069</v>
      </c>
      <c r="I2100">
        <v>-296151.67274418997</v>
      </c>
      <c r="J2100">
        <v>-21.152609980000001</v>
      </c>
      <c r="K2100">
        <v>248.84739002000001</v>
      </c>
    </row>
    <row r="2101" spans="1:13">
      <c r="A2101" t="s">
        <v>797</v>
      </c>
      <c r="B2101" t="s">
        <v>805</v>
      </c>
      <c r="C2101" t="s">
        <v>806</v>
      </c>
      <c r="E2101" s="2" t="s">
        <v>453</v>
      </c>
      <c r="F2101" s="2" t="s">
        <v>453</v>
      </c>
      <c r="G2101" s="1">
        <v>560.5181799999998</v>
      </c>
      <c r="H2101">
        <v>-15000</v>
      </c>
      <c r="I2101">
        <v>-296153.92548189999</v>
      </c>
      <c r="J2101">
        <v>-90</v>
      </c>
      <c r="K2101">
        <v>180</v>
      </c>
      <c r="L2101">
        <f>_xlfn.XLOOKUP(F2101,magnet_list!$A$2:$A$592,magnet_list!$M$2:$M$592,"n/a",0,1)</f>
        <v>80</v>
      </c>
      <c r="M2101">
        <f>_xlfn.XLOOKUP(F2101,magnet_list!$A$2:$A$592,magnet_list!$L$2:$L$592,"n/a",0,1)</f>
        <v>20</v>
      </c>
    </row>
    <row r="2102" spans="1:13">
      <c r="A2102" t="s">
        <v>797</v>
      </c>
      <c r="B2102" t="s">
        <v>805</v>
      </c>
      <c r="C2102" t="s">
        <v>1152</v>
      </c>
      <c r="D2102" t="s">
        <v>804</v>
      </c>
      <c r="E2102" s="2" t="s">
        <v>1903</v>
      </c>
      <c r="F2102" s="2" t="s">
        <v>453</v>
      </c>
      <c r="G2102" s="1">
        <v>560.5181799999998</v>
      </c>
      <c r="H2102">
        <v>-15000</v>
      </c>
      <c r="I2102">
        <v>-296153.92548189999</v>
      </c>
      <c r="J2102">
        <v>-90</v>
      </c>
      <c r="K2102">
        <v>180</v>
      </c>
      <c r="L2102">
        <f>_xlfn.XLOOKUP(F2102,magnet_list!$A$2:$A$592,magnet_list!$M$2:$M$592,"n/a",0,1)</f>
        <v>80</v>
      </c>
      <c r="M2102">
        <f>_xlfn.XLOOKUP(F2102,magnet_list!$A$2:$A$592,magnet_list!$L$2:$L$592,"n/a",0,1)</f>
        <v>20</v>
      </c>
    </row>
    <row r="2103" spans="1:13">
      <c r="A2103" t="s">
        <v>797</v>
      </c>
      <c r="B2103" t="s">
        <v>805</v>
      </c>
      <c r="C2103" t="s">
        <v>806</v>
      </c>
      <c r="E2103" s="2" t="s">
        <v>454</v>
      </c>
      <c r="F2103" s="2" t="s">
        <v>454</v>
      </c>
      <c r="G2103" s="1">
        <v>560.71818599999983</v>
      </c>
      <c r="H2103">
        <v>-15000</v>
      </c>
      <c r="I2103">
        <v>-296353.91258104</v>
      </c>
      <c r="J2103">
        <v>-90</v>
      </c>
      <c r="K2103">
        <v>180</v>
      </c>
      <c r="L2103">
        <f>_xlfn.XLOOKUP(F2103,magnet_list!$A$2:$A$592,magnet_list!$M$2:$M$592,"n/a",0,1)</f>
        <v>80</v>
      </c>
      <c r="M2103">
        <f>_xlfn.XLOOKUP(F2103,magnet_list!$A$2:$A$592,magnet_list!$L$2:$L$592,"n/a",0,1)</f>
        <v>20</v>
      </c>
    </row>
    <row r="2104" spans="1:13">
      <c r="A2104" t="s">
        <v>797</v>
      </c>
      <c r="B2104" t="s">
        <v>805</v>
      </c>
      <c r="C2104" t="s">
        <v>1152</v>
      </c>
      <c r="D2104" t="s">
        <v>804</v>
      </c>
      <c r="E2104" s="2" t="s">
        <v>1904</v>
      </c>
      <c r="F2104" s="2" t="s">
        <v>454</v>
      </c>
      <c r="G2104" s="1">
        <v>560.71818599999983</v>
      </c>
      <c r="H2104">
        <v>-15000</v>
      </c>
      <c r="I2104">
        <v>-296353.91258104</v>
      </c>
      <c r="J2104">
        <v>-90</v>
      </c>
      <c r="K2104">
        <v>180</v>
      </c>
      <c r="L2104">
        <f>_xlfn.XLOOKUP(F2104,magnet_list!$A$2:$A$592,magnet_list!$M$2:$M$592,"n/a",0,1)</f>
        <v>80</v>
      </c>
      <c r="M2104">
        <f>_xlfn.XLOOKUP(F2104,magnet_list!$A$2:$A$592,magnet_list!$L$2:$L$592,"n/a",0,1)</f>
        <v>20</v>
      </c>
    </row>
    <row r="2105" spans="1:13">
      <c r="A2105" t="s">
        <v>797</v>
      </c>
      <c r="B2105" t="s">
        <v>805</v>
      </c>
      <c r="C2105" t="s">
        <v>806</v>
      </c>
      <c r="E2105" s="2" t="s">
        <v>455</v>
      </c>
      <c r="F2105" s="2" t="s">
        <v>2779</v>
      </c>
      <c r="G2105" s="1">
        <v>560.97316299999977</v>
      </c>
      <c r="H2105">
        <v>-15000</v>
      </c>
      <c r="I2105">
        <v>-296608.86577685998</v>
      </c>
      <c r="J2105">
        <v>-50</v>
      </c>
      <c r="K2105">
        <v>220</v>
      </c>
      <c r="L2105">
        <f>_xlfn.XLOOKUP(F2105,magnet_list!$A$2:$A$592,magnet_list!$M$2:$M$592,"n/a",0,1)</f>
        <v>200</v>
      </c>
      <c r="M2105">
        <f>_xlfn.XLOOKUP(F2105,magnet_list!$A$2:$A$592,magnet_list!$L$2:$L$592,"n/a",0,1)</f>
        <v>20</v>
      </c>
    </row>
    <row r="2106" spans="1:13">
      <c r="A2106" t="s">
        <v>797</v>
      </c>
      <c r="B2106" t="s">
        <v>805</v>
      </c>
      <c r="C2106" t="s">
        <v>1152</v>
      </c>
      <c r="D2106" t="s">
        <v>804</v>
      </c>
      <c r="E2106" s="2" t="s">
        <v>785</v>
      </c>
      <c r="F2106" s="2" t="s">
        <v>2779</v>
      </c>
      <c r="G2106" s="1">
        <v>561.04816299999982</v>
      </c>
      <c r="H2106">
        <v>-15000</v>
      </c>
      <c r="I2106">
        <v>-296683.86577685998</v>
      </c>
      <c r="J2106">
        <v>-50</v>
      </c>
      <c r="K2106">
        <v>220</v>
      </c>
      <c r="L2106">
        <f>_xlfn.XLOOKUP(F2106,magnet_list!$A$2:$A$592,magnet_list!$M$2:$M$592,"n/a",0,1)</f>
        <v>200</v>
      </c>
      <c r="M2106">
        <f>_xlfn.XLOOKUP(F2106,magnet_list!$A$2:$A$592,magnet_list!$L$2:$L$592,"n/a",0,1)</f>
        <v>20</v>
      </c>
    </row>
    <row r="2107" spans="1:13">
      <c r="A2107" t="s">
        <v>797</v>
      </c>
      <c r="B2107" t="s">
        <v>805</v>
      </c>
      <c r="C2107" t="s">
        <v>806</v>
      </c>
      <c r="E2107" s="2" t="s">
        <v>456</v>
      </c>
      <c r="F2107" s="2" t="s">
        <v>2779</v>
      </c>
      <c r="G2107" s="1">
        <v>561.12316299999986</v>
      </c>
      <c r="H2107">
        <v>-15000</v>
      </c>
      <c r="I2107">
        <v>-296758.86133953999</v>
      </c>
      <c r="J2107">
        <v>-50</v>
      </c>
      <c r="K2107">
        <v>220</v>
      </c>
      <c r="L2107">
        <f>_xlfn.XLOOKUP(F2107,magnet_list!$A$2:$A$592,magnet_list!$M$2:$M$592,"n/a",0,1)</f>
        <v>200</v>
      </c>
      <c r="M2107">
        <f>_xlfn.XLOOKUP(F2107,magnet_list!$A$2:$A$592,magnet_list!$L$2:$L$592,"n/a",0,1)</f>
        <v>20</v>
      </c>
    </row>
    <row r="2108" spans="1:13">
      <c r="A2108" t="s">
        <v>797</v>
      </c>
      <c r="B2108" t="s">
        <v>2288</v>
      </c>
      <c r="C2108" t="s">
        <v>1152</v>
      </c>
      <c r="D2108" t="s">
        <v>804</v>
      </c>
      <c r="E2108" s="8" t="s">
        <v>2302</v>
      </c>
      <c r="F2108" s="8" t="s">
        <v>2302</v>
      </c>
      <c r="G2108" s="1">
        <f>$G$2095+ABS($I$2108-$I$2095)/1000</f>
        <v>564.1272240613697</v>
      </c>
      <c r="H2108">
        <v>-15000</v>
      </c>
      <c r="I2108">
        <f>$I$2095-4114.9827</f>
        <v>-299650.88319546008</v>
      </c>
      <c r="J2108">
        <v>-270</v>
      </c>
      <c r="K2108">
        <v>0</v>
      </c>
    </row>
    <row r="2109" spans="1:13">
      <c r="A2109" t="s">
        <v>797</v>
      </c>
      <c r="B2109" t="s">
        <v>803</v>
      </c>
      <c r="C2109" t="s">
        <v>806</v>
      </c>
      <c r="E2109" t="s">
        <v>1059</v>
      </c>
      <c r="F2109" t="s">
        <v>1059</v>
      </c>
      <c r="G2109" s="1">
        <v>564.09214999999995</v>
      </c>
      <c r="H2109">
        <v>-15400</v>
      </c>
      <c r="I2109">
        <v>-299730.88921324001</v>
      </c>
      <c r="J2109">
        <v>-689</v>
      </c>
      <c r="K2109">
        <v>-419</v>
      </c>
    </row>
    <row r="2110" spans="1:13">
      <c r="A2110" t="s">
        <v>797</v>
      </c>
      <c r="B2110" t="s">
        <v>804</v>
      </c>
      <c r="C2110" t="s">
        <v>1152</v>
      </c>
      <c r="D2110" t="s">
        <v>804</v>
      </c>
      <c r="E2110" s="10" t="s">
        <v>1774</v>
      </c>
      <c r="F2110" s="10" t="s">
        <v>2780</v>
      </c>
      <c r="G2110" s="1">
        <f>$G$2113-ABS($I$2113-$I$2110)/1000</f>
        <v>564.25722366136972</v>
      </c>
      <c r="H2110">
        <v>-15000</v>
      </c>
      <c r="I2110">
        <f>$I$2113+$L$2110/2</f>
        <v>-299780.88279546006</v>
      </c>
      <c r="J2110">
        <v>-270</v>
      </c>
      <c r="K2110">
        <v>0</v>
      </c>
      <c r="L2110">
        <v>1889.4492</v>
      </c>
    </row>
    <row r="2111" spans="1:13">
      <c r="A2111" t="s">
        <v>797</v>
      </c>
      <c r="B2111" t="s">
        <v>803</v>
      </c>
      <c r="C2111" t="s">
        <v>806</v>
      </c>
      <c r="E2111" t="s">
        <v>904</v>
      </c>
      <c r="F2111" t="s">
        <v>904</v>
      </c>
      <c r="G2111" s="1">
        <v>564.18993399999988</v>
      </c>
      <c r="H2111">
        <v>-13515.90332915</v>
      </c>
      <c r="I2111">
        <v>-299828.01670216001</v>
      </c>
      <c r="J2111">
        <v>-20.400771450000001</v>
      </c>
      <c r="K2111">
        <v>249.59922854999999</v>
      </c>
    </row>
    <row r="2112" spans="1:13">
      <c r="A2112" t="s">
        <v>797</v>
      </c>
      <c r="B2112" t="s">
        <v>803</v>
      </c>
      <c r="C2112" t="s">
        <v>806</v>
      </c>
      <c r="E2112" t="s">
        <v>903</v>
      </c>
      <c r="F2112" t="s">
        <v>903</v>
      </c>
      <c r="G2112" s="1">
        <v>564.28278899999987</v>
      </c>
      <c r="H2112">
        <v>-17448.466444329999</v>
      </c>
      <c r="I2112">
        <v>-299922.26489007002</v>
      </c>
      <c r="J2112">
        <v>-19.993054789999999</v>
      </c>
      <c r="K2112">
        <v>250.00694521</v>
      </c>
    </row>
    <row r="2113" spans="1:12">
      <c r="A2113" t="s">
        <v>797</v>
      </c>
      <c r="B2113" t="s">
        <v>804</v>
      </c>
      <c r="C2113" t="s">
        <v>1152</v>
      </c>
      <c r="D2113" t="s">
        <v>804</v>
      </c>
      <c r="E2113" s="10" t="s">
        <v>1214</v>
      </c>
      <c r="F2113" s="10" t="s">
        <v>2780</v>
      </c>
      <c r="G2113" s="1">
        <f>$G$2108+ABS($I$2113-$I$2108)/1000</f>
        <v>565.20194826136969</v>
      </c>
      <c r="H2113">
        <v>-15000</v>
      </c>
      <c r="I2113">
        <f>$I$2108-1074.7242</f>
        <v>-300725.60739546007</v>
      </c>
      <c r="J2113">
        <v>-270</v>
      </c>
      <c r="K2113">
        <v>0</v>
      </c>
      <c r="L2113">
        <v>1889.4492</v>
      </c>
    </row>
    <row r="2114" spans="1:12">
      <c r="A2114" t="s">
        <v>797</v>
      </c>
      <c r="B2114" t="s">
        <v>804</v>
      </c>
      <c r="C2114" t="s">
        <v>1152</v>
      </c>
      <c r="D2114" t="s">
        <v>804</v>
      </c>
      <c r="E2114" s="10" t="s">
        <v>1775</v>
      </c>
      <c r="F2114" s="10" t="s">
        <v>2780</v>
      </c>
      <c r="G2114" s="1">
        <f>$G$2113+ABS($I$2114-$I$2113)/1000</f>
        <v>566.14667286136967</v>
      </c>
      <c r="H2114">
        <v>-15000</v>
      </c>
      <c r="I2114">
        <f>$I$2113-$L$2114/2</f>
        <v>-301670.33199546009</v>
      </c>
      <c r="J2114">
        <v>-270</v>
      </c>
      <c r="K2114">
        <v>0</v>
      </c>
      <c r="L2114">
        <v>1889.4492</v>
      </c>
    </row>
    <row r="2115" spans="1:12">
      <c r="A2115" t="s">
        <v>797</v>
      </c>
      <c r="B2115" t="s">
        <v>804</v>
      </c>
      <c r="C2115" t="s">
        <v>1152</v>
      </c>
      <c r="D2115" t="s">
        <v>804</v>
      </c>
      <c r="E2115" s="10" t="s">
        <v>1776</v>
      </c>
      <c r="F2115" s="10" t="s">
        <v>2781</v>
      </c>
      <c r="G2115" s="1">
        <f>$G$2116-ABS($I$2116-$I$2115)/1000</f>
        <v>566.3566106613697</v>
      </c>
      <c r="H2115">
        <v>-15000</v>
      </c>
      <c r="I2115">
        <f>$I$2116+$L$2115/2</f>
        <v>-301880.26979546004</v>
      </c>
      <c r="J2115">
        <v>-270</v>
      </c>
      <c r="K2115">
        <v>0</v>
      </c>
      <c r="L2115">
        <v>1889.4492</v>
      </c>
    </row>
    <row r="2116" spans="1:12">
      <c r="A2116" t="s">
        <v>797</v>
      </c>
      <c r="B2116" t="s">
        <v>804</v>
      </c>
      <c r="C2116" t="s">
        <v>1152</v>
      </c>
      <c r="D2116" t="s">
        <v>804</v>
      </c>
      <c r="E2116" s="10" t="s">
        <v>1270</v>
      </c>
      <c r="F2116" s="10" t="s">
        <v>2781</v>
      </c>
      <c r="G2116" s="1">
        <f>$G$2113+ABS($I$2116-$I$2113)/1000</f>
        <v>567.30133526136967</v>
      </c>
      <c r="H2116">
        <v>-15000</v>
      </c>
      <c r="I2116">
        <f>$I$2113-2099.387</f>
        <v>-302824.99439546006</v>
      </c>
      <c r="J2116">
        <v>-270</v>
      </c>
      <c r="K2116">
        <v>0</v>
      </c>
      <c r="L2116">
        <v>1889.4492</v>
      </c>
    </row>
    <row r="2117" spans="1:12">
      <c r="A2117" t="s">
        <v>797</v>
      </c>
      <c r="B2117" t="s">
        <v>803</v>
      </c>
      <c r="C2117" t="s">
        <v>806</v>
      </c>
      <c r="E2117" t="s">
        <v>906</v>
      </c>
      <c r="F2117" t="s">
        <v>906</v>
      </c>
      <c r="G2117" s="1">
        <v>567.28044899999986</v>
      </c>
      <c r="H2117">
        <v>-13518.81054208</v>
      </c>
      <c r="I2117">
        <v>-302918.57807319</v>
      </c>
      <c r="J2117">
        <v>-19.845423719999999</v>
      </c>
      <c r="K2117">
        <v>250.15457628000001</v>
      </c>
    </row>
    <row r="2118" spans="1:12">
      <c r="A2118" t="s">
        <v>797</v>
      </c>
      <c r="B2118" t="s">
        <v>803</v>
      </c>
      <c r="C2118" t="s">
        <v>806</v>
      </c>
      <c r="E2118" t="s">
        <v>905</v>
      </c>
      <c r="F2118" t="s">
        <v>905</v>
      </c>
      <c r="G2118" s="1">
        <v>567.79535099999987</v>
      </c>
      <c r="H2118">
        <v>-17438.566398070001</v>
      </c>
      <c r="I2118">
        <v>-303434.80953154998</v>
      </c>
      <c r="J2118">
        <v>-21.02067782</v>
      </c>
      <c r="K2118">
        <v>248.97932218</v>
      </c>
    </row>
    <row r="2119" spans="1:12">
      <c r="A2119" t="s">
        <v>797</v>
      </c>
      <c r="B2119" t="s">
        <v>804</v>
      </c>
      <c r="C2119" t="s">
        <v>1152</v>
      </c>
      <c r="D2119" t="s">
        <v>804</v>
      </c>
      <c r="E2119" s="10" t="s">
        <v>1777</v>
      </c>
      <c r="F2119" s="10" t="s">
        <v>2781</v>
      </c>
      <c r="G2119" s="1">
        <f>$G$2116+ABS($I$2119-$I$2116)/1000</f>
        <v>568.24605986136964</v>
      </c>
      <c r="H2119">
        <v>-15000</v>
      </c>
      <c r="I2119">
        <f>$I$2116-$L$2119/2</f>
        <v>-303769.71899546008</v>
      </c>
      <c r="J2119">
        <v>-270</v>
      </c>
      <c r="K2119">
        <v>0</v>
      </c>
      <c r="L2119">
        <v>1889.4492</v>
      </c>
    </row>
    <row r="2120" spans="1:12">
      <c r="A2120" t="s">
        <v>797</v>
      </c>
      <c r="B2120" t="s">
        <v>1152</v>
      </c>
      <c r="C2120" t="s">
        <v>1152</v>
      </c>
      <c r="D2120" t="s">
        <v>804</v>
      </c>
      <c r="E2120" s="3" t="s">
        <v>2176</v>
      </c>
      <c r="F2120" s="3" t="s">
        <v>2176</v>
      </c>
      <c r="G2120" s="1">
        <f>$G$2116+ABS($I$2120-$I$2116)/1000</f>
        <v>568.37606136136969</v>
      </c>
      <c r="H2120">
        <v>-15000</v>
      </c>
      <c r="I2120">
        <f>$I$2116-1074.7261</f>
        <v>-303899.72049546009</v>
      </c>
      <c r="J2120">
        <v>-270</v>
      </c>
      <c r="K2120">
        <v>0</v>
      </c>
    </row>
    <row r="2121" spans="1:12">
      <c r="A2121" t="s">
        <v>797</v>
      </c>
      <c r="B2121" t="s">
        <v>1152</v>
      </c>
      <c r="C2121" t="s">
        <v>1152</v>
      </c>
      <c r="D2121" t="s">
        <v>804</v>
      </c>
      <c r="E2121" s="3" t="s">
        <v>2177</v>
      </c>
      <c r="F2121" s="3" t="s">
        <v>2177</v>
      </c>
      <c r="G2121" s="1">
        <f>$G$2120+ABS($I$2121-$I$2120)/1000</f>
        <v>568.5409361613697</v>
      </c>
      <c r="H2121">
        <v>-15000</v>
      </c>
      <c r="I2121">
        <f>$I$2120-164.8748</f>
        <v>-304064.59529546008</v>
      </c>
      <c r="J2121">
        <v>-270</v>
      </c>
      <c r="K2121">
        <v>0</v>
      </c>
    </row>
    <row r="2122" spans="1:12">
      <c r="A2122" t="s">
        <v>797</v>
      </c>
      <c r="B2122" t="s">
        <v>804</v>
      </c>
      <c r="C2122" t="s">
        <v>1152</v>
      </c>
      <c r="D2122" t="s">
        <v>804</v>
      </c>
      <c r="E2122" s="10" t="s">
        <v>1778</v>
      </c>
      <c r="F2122" s="10" t="s">
        <v>2782</v>
      </c>
      <c r="G2122" s="1">
        <f>$G$2123-ABS($I$2123-$I$2122)/1000</f>
        <v>568.77090536136973</v>
      </c>
      <c r="H2122">
        <v>-15000</v>
      </c>
      <c r="I2122">
        <f>$I$2123+$L$2122/2</f>
        <v>-304294.56449546007</v>
      </c>
      <c r="J2122">
        <v>-270</v>
      </c>
      <c r="K2122">
        <v>0</v>
      </c>
      <c r="L2122">
        <v>1889.4492</v>
      </c>
    </row>
    <row r="2123" spans="1:12">
      <c r="A2123" t="s">
        <v>797</v>
      </c>
      <c r="B2123" t="s">
        <v>804</v>
      </c>
      <c r="C2123" t="s">
        <v>1152</v>
      </c>
      <c r="D2123" t="s">
        <v>804</v>
      </c>
      <c r="E2123" s="10" t="s">
        <v>1324</v>
      </c>
      <c r="F2123" s="10" t="s">
        <v>2782</v>
      </c>
      <c r="G2123" s="1">
        <f>$G$2121+ABS($I$2123-$I$2121)/1000</f>
        <v>569.7156299613697</v>
      </c>
      <c r="H2123">
        <v>-15000</v>
      </c>
      <c r="I2123">
        <f>$I$2121-1174.6938</f>
        <v>-305239.28909546009</v>
      </c>
      <c r="J2123">
        <v>-270</v>
      </c>
      <c r="K2123">
        <v>0</v>
      </c>
      <c r="L2123">
        <v>1889.4492</v>
      </c>
    </row>
    <row r="2124" spans="1:12">
      <c r="A2124" t="s">
        <v>797</v>
      </c>
      <c r="B2124" t="s">
        <v>804</v>
      </c>
      <c r="C2124" t="s">
        <v>1152</v>
      </c>
      <c r="D2124" t="s">
        <v>804</v>
      </c>
      <c r="E2124" s="10" t="s">
        <v>1779</v>
      </c>
      <c r="F2124" s="10" t="s">
        <v>2782</v>
      </c>
      <c r="G2124" s="1">
        <f>$G$2123+ABS($I$2124-$I$2123)/1000</f>
        <v>570.66035456136967</v>
      </c>
      <c r="H2124">
        <v>-15000</v>
      </c>
      <c r="I2124">
        <f>$I$2123-$L$2124/2</f>
        <v>-306184.0136954601</v>
      </c>
      <c r="J2124">
        <v>-270</v>
      </c>
      <c r="K2124">
        <v>0</v>
      </c>
      <c r="L2124">
        <v>1889.4492</v>
      </c>
    </row>
    <row r="2125" spans="1:12">
      <c r="A2125" t="s">
        <v>797</v>
      </c>
      <c r="B2125" t="s">
        <v>804</v>
      </c>
      <c r="C2125" t="s">
        <v>1152</v>
      </c>
      <c r="D2125" t="s">
        <v>804</v>
      </c>
      <c r="E2125" s="10" t="s">
        <v>1780</v>
      </c>
      <c r="F2125" s="10" t="s">
        <v>2783</v>
      </c>
      <c r="G2125" s="1">
        <f>$G$2126-ABS($I$2126-$I$2125)/1000</f>
        <v>570.8702963613697</v>
      </c>
      <c r="H2125">
        <v>-15000</v>
      </c>
      <c r="I2125">
        <f>$I$2126+$L$2125/2</f>
        <v>-306393.95549546008</v>
      </c>
      <c r="J2125">
        <v>-270</v>
      </c>
      <c r="K2125">
        <v>0</v>
      </c>
      <c r="L2125">
        <v>1889.4492</v>
      </c>
    </row>
    <row r="2126" spans="1:12">
      <c r="A2126" t="s">
        <v>797</v>
      </c>
      <c r="B2126" t="s">
        <v>804</v>
      </c>
      <c r="C2126" t="s">
        <v>1152</v>
      </c>
      <c r="D2126" t="s">
        <v>804</v>
      </c>
      <c r="E2126" s="10" t="s">
        <v>1378</v>
      </c>
      <c r="F2126" s="10" t="s">
        <v>2783</v>
      </c>
      <c r="G2126" s="1">
        <f>$G$2123+ABS($I$2126-$I$2123)/1000</f>
        <v>571.81502096136967</v>
      </c>
      <c r="H2126">
        <v>-15000</v>
      </c>
      <c r="I2126">
        <f>$I$2123-2099.391</f>
        <v>-307338.68009546009</v>
      </c>
      <c r="J2126">
        <v>-270</v>
      </c>
      <c r="K2126">
        <v>0</v>
      </c>
      <c r="L2126">
        <v>1889.4492</v>
      </c>
    </row>
    <row r="2127" spans="1:12">
      <c r="A2127" t="s">
        <v>797</v>
      </c>
      <c r="B2127" t="s">
        <v>804</v>
      </c>
      <c r="C2127" t="s">
        <v>1152</v>
      </c>
      <c r="D2127" t="s">
        <v>804</v>
      </c>
      <c r="E2127" s="10" t="s">
        <v>1781</v>
      </c>
      <c r="F2127" s="10" t="s">
        <v>2783</v>
      </c>
      <c r="G2127" s="1">
        <f>$G$2126+ABS($I$2127-$I$2126)/1000</f>
        <v>572.75974556136964</v>
      </c>
      <c r="H2127">
        <v>-15000</v>
      </c>
      <c r="I2127">
        <f>$I$2126-$L$2127/2</f>
        <v>-308283.40469546011</v>
      </c>
      <c r="J2127">
        <v>-270</v>
      </c>
      <c r="K2127">
        <v>0</v>
      </c>
      <c r="L2127">
        <v>1889.4492</v>
      </c>
    </row>
    <row r="2128" spans="1:12">
      <c r="A2128" t="s">
        <v>797</v>
      </c>
      <c r="B2128" t="s">
        <v>2288</v>
      </c>
      <c r="C2128" t="s">
        <v>1152</v>
      </c>
      <c r="D2128" t="s">
        <v>804</v>
      </c>
      <c r="E2128" s="8" t="s">
        <v>2303</v>
      </c>
      <c r="F2128" s="8" t="s">
        <v>2303</v>
      </c>
      <c r="G2128" s="1">
        <f>$G$2126+ABS($I$2128-$I$2126)/1000</f>
        <v>572.92324146136968</v>
      </c>
      <c r="H2128">
        <v>-15000</v>
      </c>
      <c r="I2128">
        <f>$I$2126-1108.2205</f>
        <v>-308446.90059546009</v>
      </c>
      <c r="J2128">
        <v>-270</v>
      </c>
      <c r="K2128">
        <v>0</v>
      </c>
    </row>
    <row r="2129" spans="1:12">
      <c r="A2129" t="s">
        <v>797</v>
      </c>
      <c r="B2129" t="s">
        <v>803</v>
      </c>
      <c r="C2129" t="s">
        <v>806</v>
      </c>
      <c r="E2129" t="s">
        <v>1058</v>
      </c>
      <c r="F2129" t="s">
        <v>1058</v>
      </c>
      <c r="G2129" s="1">
        <v>572.8094309999999</v>
      </c>
      <c r="H2129">
        <v>-15400</v>
      </c>
      <c r="I2129">
        <v>-308448.17343596998</v>
      </c>
      <c r="J2129">
        <v>-689</v>
      </c>
      <c r="K2129">
        <v>-419</v>
      </c>
    </row>
    <row r="2130" spans="1:12">
      <c r="A2130" t="s">
        <v>797</v>
      </c>
      <c r="B2130" t="s">
        <v>803</v>
      </c>
      <c r="C2130" t="s">
        <v>806</v>
      </c>
      <c r="E2130" t="s">
        <v>1061</v>
      </c>
      <c r="F2130" t="s">
        <v>1061</v>
      </c>
      <c r="G2130" s="1">
        <v>573.07825199999991</v>
      </c>
      <c r="H2130">
        <v>-15400</v>
      </c>
      <c r="I2130">
        <v>-308716.99904372997</v>
      </c>
      <c r="J2130">
        <v>-689</v>
      </c>
      <c r="K2130">
        <v>-419</v>
      </c>
    </row>
    <row r="2131" spans="1:12">
      <c r="A2131" t="s">
        <v>797</v>
      </c>
      <c r="B2131" t="s">
        <v>804</v>
      </c>
      <c r="C2131" t="s">
        <v>1152</v>
      </c>
      <c r="D2131" t="s">
        <v>804</v>
      </c>
      <c r="E2131" s="10" t="s">
        <v>1782</v>
      </c>
      <c r="F2131" s="10" t="s">
        <v>2784</v>
      </c>
      <c r="G2131" s="1">
        <f>$G$2132-ABS($I$2132-$I$2131)/1000</f>
        <v>573.25722326136975</v>
      </c>
      <c r="H2131">
        <v>-15000</v>
      </c>
      <c r="I2131">
        <f>$I$2132+$L$2131/2</f>
        <v>-308780.8823954601</v>
      </c>
      <c r="J2131">
        <v>-270</v>
      </c>
      <c r="K2131">
        <v>0</v>
      </c>
      <c r="L2131">
        <v>1889.4492</v>
      </c>
    </row>
    <row r="2132" spans="1:12">
      <c r="A2132" t="s">
        <v>797</v>
      </c>
      <c r="B2132" t="s">
        <v>804</v>
      </c>
      <c r="C2132" t="s">
        <v>1152</v>
      </c>
      <c r="D2132" t="s">
        <v>804</v>
      </c>
      <c r="E2132" s="10" t="s">
        <v>1215</v>
      </c>
      <c r="F2132" s="10" t="s">
        <v>2784</v>
      </c>
      <c r="G2132" s="1">
        <f>$G$2128+ABS($I$2132-$I$2128)/1000</f>
        <v>574.20194786136972</v>
      </c>
      <c r="H2132">
        <v>-15000</v>
      </c>
      <c r="I2132">
        <f>$I$2128-1278.7064</f>
        <v>-309725.60699546011</v>
      </c>
      <c r="J2132">
        <v>-270</v>
      </c>
      <c r="K2132">
        <v>0</v>
      </c>
      <c r="L2132">
        <v>1889.4492</v>
      </c>
    </row>
    <row r="2133" spans="1:12">
      <c r="A2133" t="s">
        <v>797</v>
      </c>
      <c r="B2133" t="s">
        <v>804</v>
      </c>
      <c r="C2133" t="s">
        <v>1152</v>
      </c>
      <c r="D2133" t="s">
        <v>804</v>
      </c>
      <c r="E2133" s="10" t="s">
        <v>1783</v>
      </c>
      <c r="F2133" s="10" t="s">
        <v>2784</v>
      </c>
      <c r="G2133" s="1">
        <f>$G$2132+ABS($I$2133-$I$2132)/1000</f>
        <v>575.14667246136969</v>
      </c>
      <c r="H2133">
        <v>-15000</v>
      </c>
      <c r="I2133">
        <f>$I$2132-$L$2133/2</f>
        <v>-310670.33159546013</v>
      </c>
      <c r="J2133">
        <v>-270</v>
      </c>
      <c r="K2133">
        <v>0</v>
      </c>
      <c r="L2133">
        <v>1889.4492</v>
      </c>
    </row>
    <row r="2134" spans="1:12">
      <c r="A2134" t="s">
        <v>797</v>
      </c>
      <c r="B2134" t="s">
        <v>804</v>
      </c>
      <c r="C2134" t="s">
        <v>1152</v>
      </c>
      <c r="D2134" t="s">
        <v>804</v>
      </c>
      <c r="E2134" s="10" t="s">
        <v>1784</v>
      </c>
      <c r="F2134" s="10" t="s">
        <v>2785</v>
      </c>
      <c r="G2134" s="1">
        <f>$G$2135-ABS($I$2135-$I$2134)/1000</f>
        <v>575.35661426136971</v>
      </c>
      <c r="H2134">
        <v>-15000</v>
      </c>
      <c r="I2134">
        <f>$I$2135+$L$2134/2</f>
        <v>-310880.2733954601</v>
      </c>
      <c r="J2134">
        <v>-270</v>
      </c>
      <c r="K2134">
        <v>0</v>
      </c>
      <c r="L2134">
        <v>1889.4492</v>
      </c>
    </row>
    <row r="2135" spans="1:12">
      <c r="A2135" t="s">
        <v>797</v>
      </c>
      <c r="B2135" t="s">
        <v>804</v>
      </c>
      <c r="C2135" t="s">
        <v>1152</v>
      </c>
      <c r="D2135" t="s">
        <v>804</v>
      </c>
      <c r="E2135" s="10" t="s">
        <v>1271</v>
      </c>
      <c r="F2135" s="10" t="s">
        <v>2785</v>
      </c>
      <c r="G2135" s="1">
        <f>$G$2132+ABS($I$2135-$I$2132)/1000</f>
        <v>576.30133886136969</v>
      </c>
      <c r="H2135">
        <v>-15000</v>
      </c>
      <c r="I2135">
        <f>$I$2132-2099.391</f>
        <v>-311824.99799546011</v>
      </c>
      <c r="J2135">
        <v>-270</v>
      </c>
      <c r="K2135">
        <v>0</v>
      </c>
      <c r="L2135">
        <v>1889.4492</v>
      </c>
    </row>
    <row r="2136" spans="1:12">
      <c r="A2136" t="s">
        <v>797</v>
      </c>
      <c r="B2136" t="s">
        <v>804</v>
      </c>
      <c r="C2136" t="s">
        <v>1152</v>
      </c>
      <c r="D2136" t="s">
        <v>804</v>
      </c>
      <c r="E2136" s="10" t="s">
        <v>1785</v>
      </c>
      <c r="F2136" s="10" t="s">
        <v>2785</v>
      </c>
      <c r="G2136" s="1">
        <f>$G$2135+ABS($I$2136-$I$2135)/1000</f>
        <v>577.24606346136966</v>
      </c>
      <c r="H2136">
        <v>-15000</v>
      </c>
      <c r="I2136">
        <f>$I$2135-$L$2136/2</f>
        <v>-312769.72259546013</v>
      </c>
      <c r="J2136">
        <v>-270</v>
      </c>
      <c r="K2136">
        <v>0</v>
      </c>
      <c r="L2136">
        <v>1889.4492</v>
      </c>
    </row>
    <row r="2137" spans="1:12">
      <c r="A2137" t="s">
        <v>797</v>
      </c>
      <c r="B2137" t="s">
        <v>803</v>
      </c>
      <c r="C2137" t="s">
        <v>806</v>
      </c>
      <c r="E2137" t="s">
        <v>908</v>
      </c>
      <c r="F2137" t="s">
        <v>908</v>
      </c>
      <c r="G2137" s="1">
        <v>577.38924299999985</v>
      </c>
      <c r="H2137">
        <v>-13499.30984444</v>
      </c>
      <c r="I2137">
        <v>-313027.35381950001</v>
      </c>
      <c r="J2137">
        <v>-20.57018098</v>
      </c>
      <c r="K2137">
        <v>249.42981902</v>
      </c>
    </row>
    <row r="2138" spans="1:12">
      <c r="A2138" t="s">
        <v>797</v>
      </c>
      <c r="B2138" t="s">
        <v>803</v>
      </c>
      <c r="C2138" t="s">
        <v>806</v>
      </c>
      <c r="E2138" t="s">
        <v>907</v>
      </c>
      <c r="F2138" t="s">
        <v>907</v>
      </c>
      <c r="G2138" s="1">
        <v>577.59098099999994</v>
      </c>
      <c r="H2138">
        <v>-17447.139176060002</v>
      </c>
      <c r="I2138">
        <v>-313230.43343718001</v>
      </c>
      <c r="J2138">
        <v>-19.409061579999999</v>
      </c>
      <c r="K2138">
        <v>250.59093841999999</v>
      </c>
    </row>
    <row r="2139" spans="1:12">
      <c r="A2139" t="s">
        <v>797</v>
      </c>
      <c r="B2139" t="s">
        <v>804</v>
      </c>
      <c r="C2139" t="s">
        <v>1152</v>
      </c>
      <c r="D2139" t="s">
        <v>804</v>
      </c>
      <c r="E2139" s="10" t="s">
        <v>1786</v>
      </c>
      <c r="F2139" s="10" t="s">
        <v>2786</v>
      </c>
      <c r="G2139" s="1">
        <f>$G$2140-ABS($I$2140-$I$2139)/1000</f>
        <v>577.77090526136976</v>
      </c>
      <c r="H2139">
        <v>-15000</v>
      </c>
      <c r="I2139">
        <f>$I$2140+$L$2139/2</f>
        <v>-313294.56439546013</v>
      </c>
      <c r="J2139">
        <v>-270</v>
      </c>
      <c r="K2139">
        <v>0</v>
      </c>
      <c r="L2139">
        <v>1889.4492</v>
      </c>
    </row>
    <row r="2140" spans="1:12">
      <c r="A2140" t="s">
        <v>797</v>
      </c>
      <c r="B2140" t="s">
        <v>804</v>
      </c>
      <c r="C2140" t="s">
        <v>1152</v>
      </c>
      <c r="D2140" t="s">
        <v>804</v>
      </c>
      <c r="E2140" s="10" t="s">
        <v>1325</v>
      </c>
      <c r="F2140" s="10" t="s">
        <v>2786</v>
      </c>
      <c r="G2140" s="1">
        <f>$G$2135+ABS($I$2140-$I$2135)/1000</f>
        <v>578.71562986136973</v>
      </c>
      <c r="H2140">
        <v>-15000</v>
      </c>
      <c r="I2140">
        <f>$I$2135-2414.291</f>
        <v>-314239.28899546014</v>
      </c>
      <c r="J2140">
        <v>-270</v>
      </c>
      <c r="K2140">
        <v>0</v>
      </c>
      <c r="L2140">
        <v>1889.4492</v>
      </c>
    </row>
    <row r="2141" spans="1:12">
      <c r="A2141" t="s">
        <v>797</v>
      </c>
      <c r="B2141" t="s">
        <v>804</v>
      </c>
      <c r="C2141" t="s">
        <v>1152</v>
      </c>
      <c r="D2141" t="s">
        <v>804</v>
      </c>
      <c r="E2141" s="10" t="s">
        <v>1787</v>
      </c>
      <c r="F2141" s="10" t="s">
        <v>2786</v>
      </c>
      <c r="G2141" s="1">
        <f>$G$2140+ABS($I$2141-$I$2140)/1000</f>
        <v>579.66035446136971</v>
      </c>
      <c r="H2141">
        <v>-15000</v>
      </c>
      <c r="I2141">
        <f>$I$2140-$L$2141/2</f>
        <v>-315184.01359546016</v>
      </c>
      <c r="J2141">
        <v>-270</v>
      </c>
      <c r="K2141">
        <v>0</v>
      </c>
      <c r="L2141">
        <v>1889.4492</v>
      </c>
    </row>
    <row r="2142" spans="1:12">
      <c r="A2142" t="s">
        <v>797</v>
      </c>
      <c r="B2142" t="s">
        <v>804</v>
      </c>
      <c r="C2142" t="s">
        <v>1152</v>
      </c>
      <c r="D2142" t="s">
        <v>804</v>
      </c>
      <c r="E2142" s="10" t="s">
        <v>1788</v>
      </c>
      <c r="F2142" s="10" t="s">
        <v>2787</v>
      </c>
      <c r="G2142" s="1">
        <f>$G$2143-ABS($I$2143-$I$2142)/1000</f>
        <v>579.87029626136973</v>
      </c>
      <c r="H2142">
        <v>-15000</v>
      </c>
      <c r="I2142">
        <f>$I$2143+$L$2142/2</f>
        <v>-315393.95539546013</v>
      </c>
      <c r="J2142">
        <v>-270</v>
      </c>
      <c r="K2142">
        <v>0</v>
      </c>
      <c r="L2142">
        <v>1889.4492</v>
      </c>
    </row>
    <row r="2143" spans="1:12">
      <c r="A2143" t="s">
        <v>797</v>
      </c>
      <c r="B2143" t="s">
        <v>804</v>
      </c>
      <c r="C2143" t="s">
        <v>1152</v>
      </c>
      <c r="D2143" t="s">
        <v>804</v>
      </c>
      <c r="E2143" s="10" t="s">
        <v>1379</v>
      </c>
      <c r="F2143" s="10" t="s">
        <v>2787</v>
      </c>
      <c r="G2143" s="1">
        <f>$G$2140+ABS($I$2143-$I$2140)/1000</f>
        <v>580.8150208613697</v>
      </c>
      <c r="H2143">
        <v>-15000</v>
      </c>
      <c r="I2143">
        <f>$I$2140-2099.391</f>
        <v>-316338.67999546014</v>
      </c>
      <c r="J2143">
        <v>-270</v>
      </c>
      <c r="K2143">
        <v>0</v>
      </c>
      <c r="L2143">
        <v>1889.4492</v>
      </c>
    </row>
    <row r="2144" spans="1:12">
      <c r="A2144" t="s">
        <v>797</v>
      </c>
      <c r="B2144" t="s">
        <v>804</v>
      </c>
      <c r="C2144" t="s">
        <v>1152</v>
      </c>
      <c r="D2144" t="s">
        <v>804</v>
      </c>
      <c r="E2144" s="10" t="s">
        <v>1789</v>
      </c>
      <c r="F2144" s="10" t="s">
        <v>2787</v>
      </c>
      <c r="G2144" s="1">
        <f>$G$2143+ABS($I$2144-$I$2143)/1000</f>
        <v>581.75974546136968</v>
      </c>
      <c r="H2144">
        <v>-15000</v>
      </c>
      <c r="I2144">
        <f>$I$2143-$L$2144/2</f>
        <v>-317283.40459546016</v>
      </c>
      <c r="J2144">
        <v>-270</v>
      </c>
      <c r="K2144">
        <v>0</v>
      </c>
      <c r="L2144">
        <v>1889.4492</v>
      </c>
    </row>
    <row r="2145" spans="1:13">
      <c r="A2145" t="s">
        <v>797</v>
      </c>
      <c r="B2145" t="s">
        <v>803</v>
      </c>
      <c r="C2145" t="s">
        <v>806</v>
      </c>
      <c r="E2145" t="s">
        <v>1060</v>
      </c>
      <c r="F2145" t="s">
        <v>1060</v>
      </c>
      <c r="G2145" s="1">
        <v>581.79420099999993</v>
      </c>
      <c r="H2145">
        <v>-15400</v>
      </c>
      <c r="I2145">
        <v>-317432.93472565</v>
      </c>
      <c r="J2145">
        <v>-689</v>
      </c>
      <c r="K2145">
        <v>-419</v>
      </c>
    </row>
    <row r="2146" spans="1:13">
      <c r="A2146" t="s">
        <v>797</v>
      </c>
      <c r="B2146" t="s">
        <v>1152</v>
      </c>
      <c r="C2146" t="s">
        <v>1152</v>
      </c>
      <c r="D2146" t="s">
        <v>804</v>
      </c>
      <c r="E2146" s="7" t="s">
        <v>2178</v>
      </c>
      <c r="F2146" s="7" t="s">
        <v>2178</v>
      </c>
      <c r="G2146" s="1">
        <f>$G$2143+ABS($I$2146-$I$2143)/1000</f>
        <v>581.91224136136975</v>
      </c>
      <c r="H2146">
        <v>-15000</v>
      </c>
      <c r="I2146">
        <f>$I$2143-1097.2205</f>
        <v>-317435.90049546014</v>
      </c>
      <c r="J2146">
        <v>-270</v>
      </c>
      <c r="K2146">
        <v>0</v>
      </c>
    </row>
    <row r="2147" spans="1:13">
      <c r="A2147" t="s">
        <v>797</v>
      </c>
      <c r="B2147" t="s">
        <v>805</v>
      </c>
      <c r="C2147" t="s">
        <v>806</v>
      </c>
      <c r="E2147" s="2" t="s">
        <v>457</v>
      </c>
      <c r="F2147" s="2" t="s">
        <v>2788</v>
      </c>
      <c r="G2147" s="1">
        <v>582.03540999999984</v>
      </c>
      <c r="H2147">
        <v>-15000</v>
      </c>
      <c r="I2147">
        <v>-317671.23206978</v>
      </c>
      <c r="J2147">
        <v>-50</v>
      </c>
      <c r="K2147">
        <v>220</v>
      </c>
      <c r="L2147">
        <f>_xlfn.XLOOKUP(F2147,magnet_list!$A$2:$A$592,magnet_list!$M$2:$M$592,"n/a",0,1)</f>
        <v>200</v>
      </c>
      <c r="M2147">
        <f>_xlfn.XLOOKUP(F2147,magnet_list!$A$2:$A$592,magnet_list!$L$2:$L$592,"n/a",0,1)</f>
        <v>20</v>
      </c>
    </row>
    <row r="2148" spans="1:13">
      <c r="A2148" t="s">
        <v>797</v>
      </c>
      <c r="B2148" t="s">
        <v>805</v>
      </c>
      <c r="C2148" t="s">
        <v>1152</v>
      </c>
      <c r="D2148" t="s">
        <v>804</v>
      </c>
      <c r="E2148" s="2" t="s">
        <v>786</v>
      </c>
      <c r="F2148" s="2" t="s">
        <v>2788</v>
      </c>
      <c r="G2148" s="1">
        <v>582.11041699999976</v>
      </c>
      <c r="H2148">
        <v>-15000</v>
      </c>
      <c r="I2148">
        <v>-317746.23906978004</v>
      </c>
      <c r="J2148">
        <v>-50</v>
      </c>
      <c r="K2148">
        <v>220</v>
      </c>
      <c r="L2148">
        <f>_xlfn.XLOOKUP(F2148,magnet_list!$A$2:$A$592,magnet_list!$M$2:$M$592,"n/a",0,1)</f>
        <v>200</v>
      </c>
      <c r="M2148">
        <f>_xlfn.XLOOKUP(F2148,magnet_list!$A$2:$A$592,magnet_list!$L$2:$L$592,"n/a",0,1)</f>
        <v>20</v>
      </c>
    </row>
    <row r="2149" spans="1:13">
      <c r="A2149" t="s">
        <v>797</v>
      </c>
      <c r="B2149" t="s">
        <v>805</v>
      </c>
      <c r="C2149" t="s">
        <v>806</v>
      </c>
      <c r="E2149" s="2" t="s">
        <v>458</v>
      </c>
      <c r="F2149" s="2" t="s">
        <v>2788</v>
      </c>
      <c r="G2149" s="1">
        <v>582.18542399999978</v>
      </c>
      <c r="H2149">
        <v>-15000</v>
      </c>
      <c r="I2149">
        <v>-317821.23567415</v>
      </c>
      <c r="J2149">
        <v>-50</v>
      </c>
      <c r="K2149">
        <v>220</v>
      </c>
      <c r="L2149">
        <f>_xlfn.XLOOKUP(F2149,magnet_list!$A$2:$A$592,magnet_list!$M$2:$M$592,"n/a",0,1)</f>
        <v>200</v>
      </c>
      <c r="M2149">
        <f>_xlfn.XLOOKUP(F2149,magnet_list!$A$2:$A$592,magnet_list!$L$2:$L$592,"n/a",0,1)</f>
        <v>20</v>
      </c>
    </row>
    <row r="2150" spans="1:13">
      <c r="A2150" t="s">
        <v>797</v>
      </c>
      <c r="B2150" t="s">
        <v>805</v>
      </c>
      <c r="C2150" t="s">
        <v>806</v>
      </c>
      <c r="E2150" s="2" t="s">
        <v>459</v>
      </c>
      <c r="F2150" s="2" t="s">
        <v>459</v>
      </c>
      <c r="G2150" s="1">
        <v>582.44038299999977</v>
      </c>
      <c r="H2150">
        <v>-15000</v>
      </c>
      <c r="I2150">
        <v>-318076.17413236998</v>
      </c>
      <c r="J2150">
        <v>-90</v>
      </c>
      <c r="K2150">
        <v>180</v>
      </c>
      <c r="L2150">
        <f>_xlfn.XLOOKUP(F2150,magnet_list!$A$2:$A$592,magnet_list!$M$2:$M$592,"n/a",0,1)</f>
        <v>80</v>
      </c>
      <c r="M2150">
        <f>_xlfn.XLOOKUP(F2150,magnet_list!$A$2:$A$592,magnet_list!$L$2:$L$592,"n/a",0,1)</f>
        <v>20</v>
      </c>
    </row>
    <row r="2151" spans="1:13">
      <c r="A2151" t="s">
        <v>797</v>
      </c>
      <c r="B2151" t="s">
        <v>805</v>
      </c>
      <c r="C2151" t="s">
        <v>1152</v>
      </c>
      <c r="D2151" t="s">
        <v>804</v>
      </c>
      <c r="E2151" s="2" t="s">
        <v>1905</v>
      </c>
      <c r="F2151" s="2" t="s">
        <v>459</v>
      </c>
      <c r="G2151" s="1">
        <v>582.44038299999977</v>
      </c>
      <c r="H2151">
        <v>-15000</v>
      </c>
      <c r="I2151">
        <v>-318076.17413236998</v>
      </c>
      <c r="J2151">
        <v>-90</v>
      </c>
      <c r="K2151">
        <v>180</v>
      </c>
      <c r="L2151">
        <f>_xlfn.XLOOKUP(F2151,magnet_list!$A$2:$A$592,magnet_list!$M$2:$M$592,"n/a",0,1)</f>
        <v>80</v>
      </c>
      <c r="M2151">
        <f>_xlfn.XLOOKUP(F2151,magnet_list!$A$2:$A$592,magnet_list!$L$2:$L$592,"n/a",0,1)</f>
        <v>20</v>
      </c>
    </row>
    <row r="2152" spans="1:13">
      <c r="A2152" t="s">
        <v>797</v>
      </c>
      <c r="B2152" t="s">
        <v>805</v>
      </c>
      <c r="C2152" t="s">
        <v>806</v>
      </c>
      <c r="E2152" s="2" t="s">
        <v>460</v>
      </c>
      <c r="F2152" s="2" t="s">
        <v>460</v>
      </c>
      <c r="G2152" s="1">
        <v>582.64046799999971</v>
      </c>
      <c r="H2152">
        <v>-15000</v>
      </c>
      <c r="I2152">
        <v>-318276.28047698003</v>
      </c>
      <c r="J2152">
        <v>-90</v>
      </c>
      <c r="K2152">
        <v>180</v>
      </c>
      <c r="L2152">
        <f>_xlfn.XLOOKUP(F2152,magnet_list!$A$2:$A$592,magnet_list!$M$2:$M$592,"n/a",0,1)</f>
        <v>80</v>
      </c>
      <c r="M2152">
        <f>_xlfn.XLOOKUP(F2152,magnet_list!$A$2:$A$592,magnet_list!$L$2:$L$592,"n/a",0,1)</f>
        <v>20</v>
      </c>
    </row>
    <row r="2153" spans="1:13">
      <c r="A2153" t="s">
        <v>797</v>
      </c>
      <c r="B2153" t="s">
        <v>805</v>
      </c>
      <c r="C2153" t="s">
        <v>1152</v>
      </c>
      <c r="D2153" t="s">
        <v>804</v>
      </c>
      <c r="E2153" s="2" t="s">
        <v>1906</v>
      </c>
      <c r="F2153" s="2" t="s">
        <v>460</v>
      </c>
      <c r="G2153" s="1">
        <v>582.64046799999971</v>
      </c>
      <c r="H2153">
        <v>-15000</v>
      </c>
      <c r="I2153">
        <v>-318276.28047698003</v>
      </c>
      <c r="J2153">
        <v>-90</v>
      </c>
      <c r="K2153">
        <v>180</v>
      </c>
      <c r="L2153">
        <f>_xlfn.XLOOKUP(F2153,magnet_list!$A$2:$A$592,magnet_list!$M$2:$M$592,"n/a",0,1)</f>
        <v>80</v>
      </c>
      <c r="M2153">
        <f>_xlfn.XLOOKUP(F2153,magnet_list!$A$2:$A$592,magnet_list!$L$2:$L$592,"n/a",0,1)</f>
        <v>20</v>
      </c>
    </row>
    <row r="2154" spans="1:13">
      <c r="A2154" t="s">
        <v>797</v>
      </c>
      <c r="B2154" t="s">
        <v>805</v>
      </c>
      <c r="C2154" t="s">
        <v>806</v>
      </c>
      <c r="E2154" s="2" t="s">
        <v>461</v>
      </c>
      <c r="F2154" s="2" t="s">
        <v>2789</v>
      </c>
      <c r="G2154" s="1">
        <v>582.89539899999977</v>
      </c>
      <c r="H2154">
        <v>-15000</v>
      </c>
      <c r="I2154">
        <v>-318531.23372328002</v>
      </c>
      <c r="J2154">
        <v>-50</v>
      </c>
      <c r="K2154">
        <v>220</v>
      </c>
      <c r="L2154">
        <f>_xlfn.XLOOKUP(F2154,magnet_list!$A$2:$A$592,magnet_list!$M$2:$M$592,"n/a",0,1)</f>
        <v>200</v>
      </c>
      <c r="M2154">
        <f>_xlfn.XLOOKUP(F2154,magnet_list!$A$2:$A$592,magnet_list!$L$2:$L$592,"n/a",0,1)</f>
        <v>20</v>
      </c>
    </row>
    <row r="2155" spans="1:13">
      <c r="A2155" t="s">
        <v>797</v>
      </c>
      <c r="B2155" t="s">
        <v>805</v>
      </c>
      <c r="C2155" t="s">
        <v>1152</v>
      </c>
      <c r="D2155" t="s">
        <v>804</v>
      </c>
      <c r="E2155" s="2" t="s">
        <v>787</v>
      </c>
      <c r="F2155" s="2" t="s">
        <v>2789</v>
      </c>
      <c r="G2155" s="1">
        <v>582.97040549999974</v>
      </c>
      <c r="H2155">
        <v>-15000</v>
      </c>
      <c r="I2155">
        <v>-318606.24022328004</v>
      </c>
      <c r="J2155">
        <v>-50</v>
      </c>
      <c r="K2155">
        <v>220</v>
      </c>
      <c r="L2155">
        <f>_xlfn.XLOOKUP(F2155,magnet_list!$A$2:$A$592,magnet_list!$M$2:$M$592,"n/a",0,1)</f>
        <v>200</v>
      </c>
      <c r="M2155">
        <f>_xlfn.XLOOKUP(F2155,magnet_list!$A$2:$A$592,magnet_list!$L$2:$L$592,"n/a",0,1)</f>
        <v>20</v>
      </c>
    </row>
    <row r="2156" spans="1:13">
      <c r="A2156" t="s">
        <v>797</v>
      </c>
      <c r="B2156" t="s">
        <v>805</v>
      </c>
      <c r="C2156" t="s">
        <v>806</v>
      </c>
      <c r="E2156" s="2" t="s">
        <v>462</v>
      </c>
      <c r="F2156" s="2" t="s">
        <v>2789</v>
      </c>
      <c r="G2156" s="1">
        <v>583.04541199999983</v>
      </c>
      <c r="H2156">
        <v>-15000</v>
      </c>
      <c r="I2156">
        <v>-318681.25048570998</v>
      </c>
      <c r="J2156">
        <v>-50</v>
      </c>
      <c r="K2156">
        <v>220</v>
      </c>
      <c r="L2156">
        <f>_xlfn.XLOOKUP(F2156,magnet_list!$A$2:$A$592,magnet_list!$M$2:$M$592,"n/a",0,1)</f>
        <v>200</v>
      </c>
      <c r="M2156">
        <f>_xlfn.XLOOKUP(F2156,magnet_list!$A$2:$A$592,magnet_list!$L$2:$L$592,"n/a",0,1)</f>
        <v>20</v>
      </c>
    </row>
    <row r="2157" spans="1:13">
      <c r="A2157" t="s">
        <v>797</v>
      </c>
      <c r="B2157" t="s">
        <v>2288</v>
      </c>
      <c r="C2157" t="s">
        <v>1152</v>
      </c>
      <c r="D2157" t="s">
        <v>804</v>
      </c>
      <c r="E2157" s="8" t="s">
        <v>2304</v>
      </c>
      <c r="F2157" s="8" t="s">
        <v>2304</v>
      </c>
      <c r="G2157" s="1">
        <f>$G$2146+ABS($I$2157-$I$2146)/1000</f>
        <v>583.27675406136973</v>
      </c>
      <c r="H2157">
        <v>-15000</v>
      </c>
      <c r="I2157">
        <f>$I$2146-1364.5127</f>
        <v>-318800.41319546016</v>
      </c>
      <c r="J2157">
        <v>-270</v>
      </c>
      <c r="K2157">
        <v>0</v>
      </c>
    </row>
    <row r="2158" spans="1:13">
      <c r="A2158" t="s">
        <v>797</v>
      </c>
      <c r="B2158" t="s">
        <v>803</v>
      </c>
      <c r="C2158" t="s">
        <v>806</v>
      </c>
      <c r="E2158" t="s">
        <v>1063</v>
      </c>
      <c r="F2158" t="s">
        <v>1063</v>
      </c>
      <c r="G2158" s="1">
        <v>583.28280199999995</v>
      </c>
      <c r="H2158">
        <v>-15400</v>
      </c>
      <c r="I2158">
        <v>-318921.40800792997</v>
      </c>
      <c r="J2158">
        <v>-689</v>
      </c>
      <c r="K2158">
        <v>-419</v>
      </c>
    </row>
    <row r="2159" spans="1:13">
      <c r="A2159" t="s">
        <v>797</v>
      </c>
      <c r="B2159" t="s">
        <v>804</v>
      </c>
      <c r="C2159" t="s">
        <v>1152</v>
      </c>
      <c r="D2159" t="s">
        <v>804</v>
      </c>
      <c r="E2159" s="10" t="s">
        <v>1790</v>
      </c>
      <c r="F2159" s="10" t="s">
        <v>2790</v>
      </c>
      <c r="G2159" s="1">
        <f>$G$2160-ABS($I$2160-$I$2159)/1000</f>
        <v>583.45722326136979</v>
      </c>
      <c r="H2159">
        <v>-15000</v>
      </c>
      <c r="I2159">
        <f>$I$2160+$L$2159/2</f>
        <v>-318980.88239546015</v>
      </c>
      <c r="J2159">
        <v>-270</v>
      </c>
      <c r="K2159">
        <v>0</v>
      </c>
      <c r="L2159">
        <v>1889.4492</v>
      </c>
    </row>
    <row r="2160" spans="1:13">
      <c r="A2160" t="s">
        <v>797</v>
      </c>
      <c r="B2160" t="s">
        <v>804</v>
      </c>
      <c r="C2160" t="s">
        <v>1152</v>
      </c>
      <c r="D2160" t="s">
        <v>804</v>
      </c>
      <c r="E2160" s="10" t="s">
        <v>1216</v>
      </c>
      <c r="F2160" s="10" t="s">
        <v>2790</v>
      </c>
      <c r="G2160" s="1">
        <f>$G$2157+ABS($I$2160-$I$2157)/1000</f>
        <v>584.40194786136976</v>
      </c>
      <c r="H2160">
        <v>-15000</v>
      </c>
      <c r="I2160">
        <f>$I$2157-1125.1938</f>
        <v>-319925.60699546017</v>
      </c>
      <c r="J2160">
        <v>-270</v>
      </c>
      <c r="K2160">
        <v>0</v>
      </c>
      <c r="L2160">
        <v>1889.4492</v>
      </c>
    </row>
    <row r="2161" spans="1:12">
      <c r="A2161" t="s">
        <v>797</v>
      </c>
      <c r="B2161" t="s">
        <v>804</v>
      </c>
      <c r="C2161" t="s">
        <v>1152</v>
      </c>
      <c r="D2161" t="s">
        <v>804</v>
      </c>
      <c r="E2161" s="10" t="s">
        <v>1791</v>
      </c>
      <c r="F2161" s="10" t="s">
        <v>2790</v>
      </c>
      <c r="G2161" s="1">
        <f>$G$2160+ABS($I$2161-$I$2160)/1000</f>
        <v>585.34667246136974</v>
      </c>
      <c r="H2161">
        <v>-15000</v>
      </c>
      <c r="I2161">
        <f>$I$2160-$L$2161/2</f>
        <v>-320870.33159546019</v>
      </c>
      <c r="J2161">
        <v>-270</v>
      </c>
      <c r="K2161">
        <v>0</v>
      </c>
      <c r="L2161">
        <v>1889.4492</v>
      </c>
    </row>
    <row r="2162" spans="1:12">
      <c r="A2162" t="s">
        <v>797</v>
      </c>
      <c r="B2162" t="s">
        <v>804</v>
      </c>
      <c r="C2162" t="s">
        <v>1152</v>
      </c>
      <c r="D2162" t="s">
        <v>804</v>
      </c>
      <c r="E2162" s="10" t="s">
        <v>1792</v>
      </c>
      <c r="F2162" s="10" t="s">
        <v>2791</v>
      </c>
      <c r="G2162" s="1">
        <f>$G$2163-ABS($I$2163-$I$2162)/1000</f>
        <v>585.55661426136976</v>
      </c>
      <c r="H2162">
        <v>-15000</v>
      </c>
      <c r="I2162">
        <f>$I$2163+$L$2162/2</f>
        <v>-321080.27339546016</v>
      </c>
      <c r="J2162">
        <v>-270</v>
      </c>
      <c r="K2162">
        <v>0</v>
      </c>
      <c r="L2162">
        <v>1889.4492</v>
      </c>
    </row>
    <row r="2163" spans="1:12">
      <c r="A2163" t="s">
        <v>797</v>
      </c>
      <c r="B2163" t="s">
        <v>804</v>
      </c>
      <c r="C2163" t="s">
        <v>1152</v>
      </c>
      <c r="D2163" t="s">
        <v>804</v>
      </c>
      <c r="E2163" s="10" t="s">
        <v>1272</v>
      </c>
      <c r="F2163" s="10" t="s">
        <v>2791</v>
      </c>
      <c r="G2163" s="1">
        <f>$G$2160+ABS($I$2163-$I$2160)/1000</f>
        <v>586.50133886136973</v>
      </c>
      <c r="H2163">
        <v>-15000</v>
      </c>
      <c r="I2163">
        <f>$I$2160-2099.391</f>
        <v>-322024.99799546017</v>
      </c>
      <c r="J2163">
        <v>-270</v>
      </c>
      <c r="K2163">
        <v>0</v>
      </c>
      <c r="L2163">
        <v>1889.4492</v>
      </c>
    </row>
    <row r="2164" spans="1:12">
      <c r="A2164" t="s">
        <v>797</v>
      </c>
      <c r="B2164" t="s">
        <v>804</v>
      </c>
      <c r="C2164" t="s">
        <v>1152</v>
      </c>
      <c r="D2164" t="s">
        <v>804</v>
      </c>
      <c r="E2164" s="10" t="s">
        <v>1793</v>
      </c>
      <c r="F2164" s="10" t="s">
        <v>2791</v>
      </c>
      <c r="G2164" s="1">
        <f>$G$2163+ABS($I$2164-$I$2163)/1000</f>
        <v>587.4460634613697</v>
      </c>
      <c r="H2164">
        <v>-15000</v>
      </c>
      <c r="I2164">
        <f>$I$2163-$L$2164/2</f>
        <v>-322969.72259546019</v>
      </c>
      <c r="J2164">
        <v>-270</v>
      </c>
      <c r="K2164">
        <v>0</v>
      </c>
      <c r="L2164">
        <v>1889.4492</v>
      </c>
    </row>
    <row r="2165" spans="1:12">
      <c r="A2165" t="s">
        <v>797</v>
      </c>
      <c r="B2165" t="s">
        <v>1152</v>
      </c>
      <c r="C2165" t="s">
        <v>1152</v>
      </c>
      <c r="D2165" t="s">
        <v>804</v>
      </c>
      <c r="E2165" s="7" t="s">
        <v>2179</v>
      </c>
      <c r="F2165" s="7" t="s">
        <v>2179</v>
      </c>
      <c r="G2165" s="1">
        <f>$G$2163+ABS($I$2165-$I$2163)/1000</f>
        <v>587.74093606136978</v>
      </c>
      <c r="H2165">
        <v>-15000</v>
      </c>
      <c r="I2165">
        <f>$I$2163-1239.5972</f>
        <v>-323264.59519546019</v>
      </c>
      <c r="J2165">
        <v>-270</v>
      </c>
      <c r="K2165">
        <v>0</v>
      </c>
    </row>
    <row r="2166" spans="1:12">
      <c r="A2166" t="s">
        <v>797</v>
      </c>
      <c r="B2166" t="s">
        <v>804</v>
      </c>
      <c r="C2166" t="s">
        <v>1152</v>
      </c>
      <c r="D2166" t="s">
        <v>804</v>
      </c>
      <c r="E2166" s="10" t="s">
        <v>1794</v>
      </c>
      <c r="F2166" s="10" t="s">
        <v>2792</v>
      </c>
      <c r="G2166" s="1">
        <f>$G$2169-ABS($I$2169-$I$2166)/1000</f>
        <v>587.97090526136981</v>
      </c>
      <c r="H2166">
        <v>-15000</v>
      </c>
      <c r="I2166">
        <f>$I$2169+$L$2166/2</f>
        <v>-323494.56439546018</v>
      </c>
      <c r="J2166">
        <v>-270</v>
      </c>
      <c r="K2166">
        <v>0</v>
      </c>
      <c r="L2166">
        <v>1889.4492</v>
      </c>
    </row>
    <row r="2167" spans="1:12">
      <c r="A2167" t="s">
        <v>797</v>
      </c>
      <c r="B2167" t="s">
        <v>803</v>
      </c>
      <c r="C2167" t="s">
        <v>806</v>
      </c>
      <c r="E2167" t="s">
        <v>910</v>
      </c>
      <c r="F2167" t="s">
        <v>910</v>
      </c>
      <c r="G2167" s="1">
        <v>588.00333799999987</v>
      </c>
      <c r="H2167">
        <v>-13477.6278637</v>
      </c>
      <c r="I2167">
        <v>-323641.41140609997</v>
      </c>
      <c r="J2167">
        <v>-20.689034459999998</v>
      </c>
      <c r="K2167">
        <v>249.31096554000001</v>
      </c>
    </row>
    <row r="2168" spans="1:12">
      <c r="A2168" t="s">
        <v>797</v>
      </c>
      <c r="B2168" t="s">
        <v>803</v>
      </c>
      <c r="C2168" t="s">
        <v>806</v>
      </c>
      <c r="E2168" t="s">
        <v>909</v>
      </c>
      <c r="F2168" t="s">
        <v>909</v>
      </c>
      <c r="G2168" s="1">
        <v>588.09033099999988</v>
      </c>
      <c r="H2168">
        <v>-17452.63802119</v>
      </c>
      <c r="I2168">
        <v>-323729.75690272002</v>
      </c>
      <c r="J2168">
        <v>-19.585879890000001</v>
      </c>
      <c r="K2168">
        <v>250.41412011</v>
      </c>
    </row>
    <row r="2169" spans="1:12">
      <c r="A2169" t="s">
        <v>797</v>
      </c>
      <c r="B2169" t="s">
        <v>804</v>
      </c>
      <c r="C2169" t="s">
        <v>1152</v>
      </c>
      <c r="D2169" t="s">
        <v>804</v>
      </c>
      <c r="E2169" s="10" t="s">
        <v>1326</v>
      </c>
      <c r="F2169" s="10" t="s">
        <v>2792</v>
      </c>
      <c r="G2169" s="1">
        <f>$G$2165+ABS($I$2169-$I$2165)/1000</f>
        <v>588.91562986136978</v>
      </c>
      <c r="H2169">
        <v>-15000</v>
      </c>
      <c r="I2169">
        <f>$I$2165-1174.6938</f>
        <v>-324439.2889954602</v>
      </c>
      <c r="J2169">
        <v>-270</v>
      </c>
      <c r="K2169">
        <v>0</v>
      </c>
      <c r="L2169">
        <v>1889.4492</v>
      </c>
    </row>
    <row r="2170" spans="1:12">
      <c r="A2170" t="s">
        <v>797</v>
      </c>
      <c r="B2170" t="s">
        <v>804</v>
      </c>
      <c r="C2170" t="s">
        <v>1152</v>
      </c>
      <c r="D2170" t="s">
        <v>804</v>
      </c>
      <c r="E2170" s="10" t="s">
        <v>1795</v>
      </c>
      <c r="F2170" s="10" t="s">
        <v>2792</v>
      </c>
      <c r="G2170" s="1">
        <f>$G$2169+ABS($I$2170-$I$2169)/1000</f>
        <v>589.86035446136975</v>
      </c>
      <c r="H2170">
        <v>-15000</v>
      </c>
      <c r="I2170">
        <f>$I$2169-$L$2170/2</f>
        <v>-325384.01359546022</v>
      </c>
      <c r="J2170">
        <v>-270</v>
      </c>
      <c r="K2170">
        <v>0</v>
      </c>
      <c r="L2170">
        <v>1889.4492</v>
      </c>
    </row>
    <row r="2171" spans="1:12">
      <c r="A2171" t="s">
        <v>797</v>
      </c>
      <c r="B2171" t="s">
        <v>804</v>
      </c>
      <c r="C2171" t="s">
        <v>1152</v>
      </c>
      <c r="D2171" t="s">
        <v>804</v>
      </c>
      <c r="E2171" s="10" t="s">
        <v>1796</v>
      </c>
      <c r="F2171" s="10" t="s">
        <v>2793</v>
      </c>
      <c r="G2171" s="1">
        <f>$G$2172-ABS($I$2172-$I$2171)/1000</f>
        <v>590.07029626136978</v>
      </c>
      <c r="H2171">
        <v>-15000</v>
      </c>
      <c r="I2171">
        <f>$I$2172+$L$2171/2</f>
        <v>-325593.95539546019</v>
      </c>
      <c r="J2171">
        <v>-270</v>
      </c>
      <c r="K2171">
        <v>0</v>
      </c>
      <c r="L2171">
        <v>1889.4492</v>
      </c>
    </row>
    <row r="2172" spans="1:12">
      <c r="A2172" t="s">
        <v>797</v>
      </c>
      <c r="B2172" t="s">
        <v>804</v>
      </c>
      <c r="C2172" t="s">
        <v>1152</v>
      </c>
      <c r="D2172" t="s">
        <v>804</v>
      </c>
      <c r="E2172" s="10" t="s">
        <v>1380</v>
      </c>
      <c r="F2172" s="10" t="s">
        <v>2793</v>
      </c>
      <c r="G2172" s="1">
        <f>$G$2169+ABS($I$2172-$I$2169)/1000</f>
        <v>591.01502086136975</v>
      </c>
      <c r="H2172">
        <v>-15000</v>
      </c>
      <c r="I2172">
        <f>$I$2169-2099.391</f>
        <v>-326538.6799954602</v>
      </c>
      <c r="J2172">
        <v>-270</v>
      </c>
      <c r="K2172">
        <v>0</v>
      </c>
      <c r="L2172">
        <v>1889.4492</v>
      </c>
    </row>
    <row r="2173" spans="1:12">
      <c r="A2173" t="s">
        <v>797</v>
      </c>
      <c r="B2173" t="s">
        <v>804</v>
      </c>
      <c r="C2173" t="s">
        <v>1152</v>
      </c>
      <c r="D2173" t="s">
        <v>804</v>
      </c>
      <c r="E2173" s="10" t="s">
        <v>1797</v>
      </c>
      <c r="F2173" s="10" t="s">
        <v>2793</v>
      </c>
      <c r="G2173" s="1">
        <f>$G$2172+ABS($I$2173-$I$2172)/1000</f>
        <v>591.95974546136972</v>
      </c>
      <c r="H2173">
        <v>-15000</v>
      </c>
      <c r="I2173">
        <f>$I$2172-$L$2173/2</f>
        <v>-327483.40459546022</v>
      </c>
      <c r="J2173">
        <v>-270</v>
      </c>
      <c r="K2173">
        <v>0</v>
      </c>
      <c r="L2173">
        <v>1889.4492</v>
      </c>
    </row>
    <row r="2174" spans="1:12">
      <c r="A2174" t="s">
        <v>797</v>
      </c>
      <c r="B2174" t="s">
        <v>803</v>
      </c>
      <c r="C2174" t="s">
        <v>806</v>
      </c>
      <c r="E2174" t="s">
        <v>1062</v>
      </c>
      <c r="F2174" t="s">
        <v>1062</v>
      </c>
      <c r="G2174" s="1">
        <v>592.00284499999987</v>
      </c>
      <c r="H2174">
        <v>-15400</v>
      </c>
      <c r="I2174">
        <v>-327641.45332625002</v>
      </c>
      <c r="J2174">
        <v>-689</v>
      </c>
      <c r="K2174">
        <v>-419</v>
      </c>
    </row>
    <row r="2175" spans="1:12">
      <c r="A2175" t="s">
        <v>797</v>
      </c>
      <c r="B2175" t="s">
        <v>2288</v>
      </c>
      <c r="C2175" t="s">
        <v>1152</v>
      </c>
      <c r="D2175" t="s">
        <v>804</v>
      </c>
      <c r="E2175" s="8" t="s">
        <v>2305</v>
      </c>
      <c r="F2175" s="8" t="s">
        <v>2305</v>
      </c>
      <c r="G2175" s="1">
        <f>$G$2172+ABS($I$2175-$I$2172)/1000</f>
        <v>592.12324146136973</v>
      </c>
      <c r="H2175">
        <v>-15000</v>
      </c>
      <c r="I2175">
        <f>$I$2172-1108.2206</f>
        <v>-327646.9005954602</v>
      </c>
      <c r="J2175">
        <v>-270</v>
      </c>
      <c r="K2175">
        <v>0</v>
      </c>
    </row>
    <row r="2176" spans="1:12">
      <c r="A2176" t="s">
        <v>797</v>
      </c>
      <c r="B2176" t="s">
        <v>803</v>
      </c>
      <c r="C2176" t="s">
        <v>806</v>
      </c>
      <c r="E2176" t="s">
        <v>1065</v>
      </c>
      <c r="F2176" t="s">
        <v>1065</v>
      </c>
      <c r="G2176" s="1">
        <v>592.27754399999992</v>
      </c>
      <c r="H2176">
        <v>-15400</v>
      </c>
      <c r="I2176">
        <v>-327916.25520396</v>
      </c>
      <c r="J2176">
        <v>-689</v>
      </c>
      <c r="K2176">
        <v>-419</v>
      </c>
    </row>
    <row r="2177" spans="1:12">
      <c r="A2177" t="s">
        <v>797</v>
      </c>
      <c r="B2177" t="s">
        <v>804</v>
      </c>
      <c r="C2177" t="s">
        <v>1152</v>
      </c>
      <c r="D2177" t="s">
        <v>804</v>
      </c>
      <c r="E2177" s="10" t="s">
        <v>1798</v>
      </c>
      <c r="F2177" s="10" t="s">
        <v>2794</v>
      </c>
      <c r="G2177" s="1">
        <f>$G$2178-ABS($I$2178-$I$2177)/1000</f>
        <v>592.45722326136979</v>
      </c>
      <c r="H2177">
        <v>-15000</v>
      </c>
      <c r="I2177">
        <f>$I$2178+$L$2177/2</f>
        <v>-327980.88239546021</v>
      </c>
      <c r="J2177">
        <v>-270</v>
      </c>
      <c r="K2177">
        <v>0</v>
      </c>
      <c r="L2177">
        <v>1889.4492</v>
      </c>
    </row>
    <row r="2178" spans="1:12">
      <c r="A2178" t="s">
        <v>797</v>
      </c>
      <c r="B2178" t="s">
        <v>804</v>
      </c>
      <c r="C2178" t="s">
        <v>1152</v>
      </c>
      <c r="D2178" t="s">
        <v>804</v>
      </c>
      <c r="E2178" s="10" t="s">
        <v>1217</v>
      </c>
      <c r="F2178" s="10" t="s">
        <v>2794</v>
      </c>
      <c r="G2178" s="1">
        <f>$G$2175+ABS($I$2178-$I$2175)/1000</f>
        <v>593.40194786136976</v>
      </c>
      <c r="H2178">
        <v>-15000</v>
      </c>
      <c r="I2178">
        <f>$I$2175-1278.7064</f>
        <v>-328925.60699546023</v>
      </c>
      <c r="J2178">
        <v>-270</v>
      </c>
      <c r="K2178">
        <v>0</v>
      </c>
      <c r="L2178">
        <v>1889.4492</v>
      </c>
    </row>
    <row r="2179" spans="1:12">
      <c r="A2179" t="s">
        <v>797</v>
      </c>
      <c r="B2179" t="s">
        <v>804</v>
      </c>
      <c r="C2179" t="s">
        <v>1152</v>
      </c>
      <c r="D2179" t="s">
        <v>804</v>
      </c>
      <c r="E2179" s="10" t="s">
        <v>1799</v>
      </c>
      <c r="F2179" s="10" t="s">
        <v>2794</v>
      </c>
      <c r="G2179" s="1">
        <f>$G$2178+ABS($I$2179-$I$2178)/1000</f>
        <v>594.34667246136974</v>
      </c>
      <c r="H2179">
        <v>-15000</v>
      </c>
      <c r="I2179">
        <f>$I$2178-$L$2179/2</f>
        <v>-329870.33159546024</v>
      </c>
      <c r="J2179">
        <v>-270</v>
      </c>
      <c r="K2179">
        <v>0</v>
      </c>
      <c r="L2179">
        <v>1889.4492</v>
      </c>
    </row>
    <row r="2180" spans="1:12">
      <c r="A2180" t="s">
        <v>797</v>
      </c>
      <c r="B2180" t="s">
        <v>804</v>
      </c>
      <c r="C2180" t="s">
        <v>1152</v>
      </c>
      <c r="D2180" t="s">
        <v>804</v>
      </c>
      <c r="E2180" s="10" t="s">
        <v>1800</v>
      </c>
      <c r="F2180" s="10" t="s">
        <v>2795</v>
      </c>
      <c r="G2180" s="1">
        <f>$G$2181-ABS($I$2181-$I$2180)/1000</f>
        <v>594.55661426136976</v>
      </c>
      <c r="H2180">
        <v>-15000</v>
      </c>
      <c r="I2180">
        <f>$I$2181+$L$2180/2</f>
        <v>-330080.27339546022</v>
      </c>
      <c r="J2180">
        <v>-270</v>
      </c>
      <c r="K2180">
        <v>0</v>
      </c>
      <c r="L2180">
        <v>1889.4492</v>
      </c>
    </row>
    <row r="2181" spans="1:12">
      <c r="A2181" t="s">
        <v>797</v>
      </c>
      <c r="B2181" t="s">
        <v>804</v>
      </c>
      <c r="C2181" t="s">
        <v>1152</v>
      </c>
      <c r="D2181" t="s">
        <v>804</v>
      </c>
      <c r="E2181" s="10" t="s">
        <v>1273</v>
      </c>
      <c r="F2181" s="10" t="s">
        <v>2795</v>
      </c>
      <c r="G2181" s="1">
        <f>$G$2178+ABS($I$2181-$I$2178)/1000</f>
        <v>595.50133886136973</v>
      </c>
      <c r="H2181">
        <v>-15000</v>
      </c>
      <c r="I2181">
        <f>$I$2178-2099.391</f>
        <v>-331024.99799546023</v>
      </c>
      <c r="J2181">
        <v>-270</v>
      </c>
      <c r="K2181">
        <v>0</v>
      </c>
      <c r="L2181">
        <v>1889.4492</v>
      </c>
    </row>
    <row r="2182" spans="1:12">
      <c r="A2182" t="s">
        <v>797</v>
      </c>
      <c r="B2182" t="s">
        <v>804</v>
      </c>
      <c r="C2182" t="s">
        <v>1152</v>
      </c>
      <c r="D2182" t="s">
        <v>804</v>
      </c>
      <c r="E2182" s="10" t="s">
        <v>1801</v>
      </c>
      <c r="F2182" s="10" t="s">
        <v>2795</v>
      </c>
      <c r="G2182" s="1">
        <f>$G$2181+ABS($I$2182-$I$2181)/1000</f>
        <v>596.4460634613697</v>
      </c>
      <c r="H2182">
        <v>-15000</v>
      </c>
      <c r="I2182">
        <f>$I$2181-$L$2182/2</f>
        <v>-331969.72259546025</v>
      </c>
      <c r="J2182">
        <v>-270</v>
      </c>
      <c r="K2182">
        <v>0</v>
      </c>
      <c r="L2182">
        <v>1889.4492</v>
      </c>
    </row>
    <row r="2183" spans="1:12">
      <c r="A2183" t="s">
        <v>797</v>
      </c>
      <c r="B2183" t="s">
        <v>1152</v>
      </c>
      <c r="C2183" t="s">
        <v>1152</v>
      </c>
      <c r="D2183" t="s">
        <v>804</v>
      </c>
      <c r="E2183" s="7" t="s">
        <v>2180</v>
      </c>
      <c r="F2183" s="7" t="s">
        <v>2180</v>
      </c>
      <c r="G2183" s="1">
        <f>$G$2181+ABS($I$2183-$I$2181)/1000</f>
        <v>596.67299776136974</v>
      </c>
      <c r="H2183">
        <v>-15000</v>
      </c>
      <c r="I2183">
        <f>$I$2181-1171.6589</f>
        <v>-332196.65689546021</v>
      </c>
      <c r="J2183">
        <v>-270</v>
      </c>
      <c r="K2183">
        <v>0</v>
      </c>
    </row>
    <row r="2184" spans="1:12">
      <c r="A2184" t="s">
        <v>797</v>
      </c>
      <c r="B2184" t="s">
        <v>803</v>
      </c>
      <c r="C2184" t="s">
        <v>806</v>
      </c>
      <c r="E2184" t="s">
        <v>911</v>
      </c>
      <c r="F2184" t="s">
        <v>911</v>
      </c>
      <c r="G2184" s="1">
        <v>596.79740099999981</v>
      </c>
      <c r="H2184">
        <v>-17453.294305359999</v>
      </c>
      <c r="I2184">
        <v>-332436.82622659998</v>
      </c>
      <c r="J2184">
        <v>-16.872411289999999</v>
      </c>
      <c r="K2184">
        <v>253.12758871</v>
      </c>
    </row>
    <row r="2185" spans="1:12">
      <c r="A2185" t="s">
        <v>797</v>
      </c>
      <c r="B2185" t="s">
        <v>804</v>
      </c>
      <c r="C2185" t="s">
        <v>1152</v>
      </c>
      <c r="D2185" t="s">
        <v>804</v>
      </c>
      <c r="E2185" s="10" t="s">
        <v>1802</v>
      </c>
      <c r="F2185" s="10" t="s">
        <v>2796</v>
      </c>
      <c r="G2185" s="1">
        <f>$G$2187-ABS($I$2187-$I$2185)/1000</f>
        <v>596.97090526136981</v>
      </c>
      <c r="H2185">
        <v>-15000</v>
      </c>
      <c r="I2185">
        <f>$I$2187+$L$2185/2</f>
        <v>-332494.56439546018</v>
      </c>
      <c r="J2185">
        <v>-270</v>
      </c>
      <c r="K2185">
        <v>0</v>
      </c>
      <c r="L2185">
        <v>1889.4492</v>
      </c>
    </row>
    <row r="2186" spans="1:12">
      <c r="A2186" t="s">
        <v>797</v>
      </c>
      <c r="B2186" t="s">
        <v>803</v>
      </c>
      <c r="C2186" t="s">
        <v>806</v>
      </c>
      <c r="E2186" t="s">
        <v>912</v>
      </c>
      <c r="F2186" t="s">
        <v>912</v>
      </c>
      <c r="G2186" s="1">
        <v>597.06752199999983</v>
      </c>
      <c r="H2186">
        <v>-13494.422943670001</v>
      </c>
      <c r="I2186">
        <v>-332705.59286737</v>
      </c>
      <c r="J2186">
        <v>-18.228854179999999</v>
      </c>
      <c r="K2186">
        <v>251.77114582000002</v>
      </c>
    </row>
    <row r="2187" spans="1:12">
      <c r="A2187" t="s">
        <v>797</v>
      </c>
      <c r="B2187" t="s">
        <v>804</v>
      </c>
      <c r="C2187" t="s">
        <v>1152</v>
      </c>
      <c r="D2187" t="s">
        <v>804</v>
      </c>
      <c r="E2187" s="10" t="s">
        <v>1327</v>
      </c>
      <c r="F2187" s="10" t="s">
        <v>2796</v>
      </c>
      <c r="G2187" s="1">
        <f>$G$2183+ABS($I$2187-$I$2183)/1000</f>
        <v>597.91562986136978</v>
      </c>
      <c r="H2187">
        <v>-15000</v>
      </c>
      <c r="I2187">
        <f>$I$2183-1242.6321</f>
        <v>-333439.2889954602</v>
      </c>
      <c r="J2187">
        <v>-270</v>
      </c>
      <c r="K2187">
        <v>0</v>
      </c>
      <c r="L2187">
        <v>1889.4492</v>
      </c>
    </row>
    <row r="2188" spans="1:12">
      <c r="A2188" t="s">
        <v>797</v>
      </c>
      <c r="B2188" t="s">
        <v>804</v>
      </c>
      <c r="C2188" t="s">
        <v>1152</v>
      </c>
      <c r="D2188" t="s">
        <v>804</v>
      </c>
      <c r="E2188" s="10" t="s">
        <v>1803</v>
      </c>
      <c r="F2188" s="10" t="s">
        <v>2796</v>
      </c>
      <c r="G2188" s="1">
        <f>$G$2187+ABS($I$2188-$I$2187)/1000</f>
        <v>598.86035446136975</v>
      </c>
      <c r="H2188">
        <v>-15000</v>
      </c>
      <c r="I2188">
        <f>$I$2187-$L$2188/2</f>
        <v>-334384.01359546022</v>
      </c>
      <c r="J2188">
        <v>-270</v>
      </c>
      <c r="K2188">
        <v>0</v>
      </c>
      <c r="L2188">
        <v>1889.4492</v>
      </c>
    </row>
    <row r="2189" spans="1:12">
      <c r="A2189" t="s">
        <v>797</v>
      </c>
      <c r="B2189" t="s">
        <v>804</v>
      </c>
      <c r="C2189" t="s">
        <v>1152</v>
      </c>
      <c r="D2189" t="s">
        <v>804</v>
      </c>
      <c r="E2189" s="10" t="s">
        <v>1804</v>
      </c>
      <c r="F2189" s="10" t="s">
        <v>2797</v>
      </c>
      <c r="G2189" s="1">
        <f>$G$2190-ABS($I$2190-$I$2189)/1000</f>
        <v>599.07029626136978</v>
      </c>
      <c r="H2189">
        <v>-15000</v>
      </c>
      <c r="I2189">
        <f>$I$2190+$L$2189/2</f>
        <v>-334593.95539546019</v>
      </c>
      <c r="J2189">
        <v>-270</v>
      </c>
      <c r="K2189">
        <v>0</v>
      </c>
      <c r="L2189">
        <v>1889.4492</v>
      </c>
    </row>
    <row r="2190" spans="1:12">
      <c r="A2190" t="s">
        <v>797</v>
      </c>
      <c r="B2190" t="s">
        <v>804</v>
      </c>
      <c r="C2190" t="s">
        <v>1152</v>
      </c>
      <c r="D2190" t="s">
        <v>804</v>
      </c>
      <c r="E2190" s="10" t="s">
        <v>1381</v>
      </c>
      <c r="F2190" s="10" t="s">
        <v>2797</v>
      </c>
      <c r="G2190" s="1">
        <f>$G$2187+ABS($I$2190-$I$2187)/1000</f>
        <v>600.01502086136975</v>
      </c>
      <c r="H2190">
        <v>-15000</v>
      </c>
      <c r="I2190">
        <f>$I$2187-2099.391</f>
        <v>-335538.6799954602</v>
      </c>
      <c r="J2190">
        <v>-270</v>
      </c>
      <c r="K2190">
        <v>0</v>
      </c>
      <c r="L2190">
        <v>1889.4492</v>
      </c>
    </row>
    <row r="2191" spans="1:12">
      <c r="A2191" t="s">
        <v>797</v>
      </c>
      <c r="B2191" t="s">
        <v>804</v>
      </c>
      <c r="C2191" t="s">
        <v>1152</v>
      </c>
      <c r="D2191" t="s">
        <v>804</v>
      </c>
      <c r="E2191" s="10" t="s">
        <v>1805</v>
      </c>
      <c r="F2191" s="10" t="s">
        <v>2797</v>
      </c>
      <c r="G2191" s="1">
        <f>$G$2190+ABS($I$2191-$I$2190)/1000</f>
        <v>600.95974546136972</v>
      </c>
      <c r="H2191">
        <v>-15000</v>
      </c>
      <c r="I2191">
        <f>$I$2190-$L$2191/2</f>
        <v>-336483.40459546022</v>
      </c>
      <c r="J2191">
        <v>-270</v>
      </c>
      <c r="K2191">
        <v>0</v>
      </c>
      <c r="L2191">
        <v>1889.4492</v>
      </c>
    </row>
    <row r="2192" spans="1:12">
      <c r="A2192" t="s">
        <v>797</v>
      </c>
      <c r="B2192" t="s">
        <v>1152</v>
      </c>
      <c r="C2192" t="s">
        <v>1152</v>
      </c>
      <c r="D2192" t="s">
        <v>804</v>
      </c>
      <c r="E2192" s="7" t="s">
        <v>2181</v>
      </c>
      <c r="F2192" s="7" t="s">
        <v>2181</v>
      </c>
      <c r="G2192" s="1">
        <f>$G$2190+ABS($I$2192-$I$2190)/1000</f>
        <v>601.1122413613698</v>
      </c>
      <c r="H2192">
        <v>-15000</v>
      </c>
      <c r="I2192">
        <f>$I$2190-1097.2205</f>
        <v>-336635.9004954602</v>
      </c>
      <c r="J2192">
        <v>-270</v>
      </c>
      <c r="K2192">
        <v>0</v>
      </c>
    </row>
    <row r="2193" spans="1:13">
      <c r="A2193" t="s">
        <v>797</v>
      </c>
      <c r="B2193" t="s">
        <v>803</v>
      </c>
      <c r="C2193" t="s">
        <v>806</v>
      </c>
      <c r="E2193" t="s">
        <v>1064</v>
      </c>
      <c r="F2193" t="s">
        <v>1064</v>
      </c>
      <c r="G2193" s="1">
        <v>600.99368799999979</v>
      </c>
      <c r="H2193">
        <v>-15400</v>
      </c>
      <c r="I2193">
        <v>-336640.0209</v>
      </c>
      <c r="J2193">
        <v>-689</v>
      </c>
      <c r="K2193">
        <v>-419</v>
      </c>
    </row>
    <row r="2194" spans="1:13">
      <c r="A2194" t="s">
        <v>797</v>
      </c>
      <c r="B2194" t="s">
        <v>805</v>
      </c>
      <c r="C2194" t="s">
        <v>806</v>
      </c>
      <c r="E2194" s="2" t="s">
        <v>463</v>
      </c>
      <c r="F2194" s="2" t="s">
        <v>2798</v>
      </c>
      <c r="G2194" s="1">
        <v>601.2360239999997</v>
      </c>
      <c r="H2194">
        <v>-15000</v>
      </c>
      <c r="I2194">
        <v>-336871.76701395999</v>
      </c>
      <c r="J2194">
        <v>-50</v>
      </c>
      <c r="K2194">
        <v>220</v>
      </c>
      <c r="L2194">
        <f>_xlfn.XLOOKUP(F2194,magnet_list!$A$2:$A$592,magnet_list!$M$2:$M$592,"n/a",0,1)</f>
        <v>200</v>
      </c>
      <c r="M2194">
        <f>_xlfn.XLOOKUP(F2194,magnet_list!$A$2:$A$592,magnet_list!$L$2:$L$592,"n/a",0,1)</f>
        <v>20</v>
      </c>
    </row>
    <row r="2195" spans="1:13">
      <c r="A2195" t="s">
        <v>797</v>
      </c>
      <c r="B2195" t="s">
        <v>805</v>
      </c>
      <c r="C2195" t="s">
        <v>1152</v>
      </c>
      <c r="D2195" t="s">
        <v>804</v>
      </c>
      <c r="E2195" s="2" t="s">
        <v>788</v>
      </c>
      <c r="F2195" s="2" t="s">
        <v>2798</v>
      </c>
      <c r="G2195" s="1">
        <v>601.31102899999973</v>
      </c>
      <c r="H2195">
        <v>-15000</v>
      </c>
      <c r="I2195">
        <v>-336946.77201396</v>
      </c>
      <c r="J2195">
        <v>-50</v>
      </c>
      <c r="K2195">
        <v>220</v>
      </c>
      <c r="L2195">
        <f>_xlfn.XLOOKUP(F2195,magnet_list!$A$2:$A$592,magnet_list!$M$2:$M$592,"n/a",0,1)</f>
        <v>200</v>
      </c>
      <c r="M2195">
        <f>_xlfn.XLOOKUP(F2195,magnet_list!$A$2:$A$592,magnet_list!$L$2:$L$592,"n/a",0,1)</f>
        <v>20</v>
      </c>
    </row>
    <row r="2196" spans="1:13">
      <c r="A2196" t="s">
        <v>797</v>
      </c>
      <c r="B2196" t="s">
        <v>805</v>
      </c>
      <c r="C2196" t="s">
        <v>806</v>
      </c>
      <c r="E2196" s="2" t="s">
        <v>464</v>
      </c>
      <c r="F2196" s="2" t="s">
        <v>2798</v>
      </c>
      <c r="G2196" s="1">
        <v>601.38603399999977</v>
      </c>
      <c r="H2196">
        <v>-15000</v>
      </c>
      <c r="I2196">
        <v>-337021.78843348002</v>
      </c>
      <c r="J2196">
        <v>-50</v>
      </c>
      <c r="K2196">
        <v>220</v>
      </c>
      <c r="L2196">
        <f>_xlfn.XLOOKUP(F2196,magnet_list!$A$2:$A$592,magnet_list!$M$2:$M$592,"n/a",0,1)</f>
        <v>200</v>
      </c>
      <c r="M2196">
        <f>_xlfn.XLOOKUP(F2196,magnet_list!$A$2:$A$592,magnet_list!$L$2:$L$592,"n/a",0,1)</f>
        <v>20</v>
      </c>
    </row>
    <row r="2197" spans="1:13">
      <c r="A2197" t="s">
        <v>797</v>
      </c>
      <c r="B2197" t="s">
        <v>805</v>
      </c>
      <c r="C2197" t="s">
        <v>806</v>
      </c>
      <c r="E2197" s="2" t="s">
        <v>465</v>
      </c>
      <c r="F2197" s="2" t="s">
        <v>465</v>
      </c>
      <c r="G2197" s="1">
        <v>601.64100599999972</v>
      </c>
      <c r="H2197">
        <v>-15000</v>
      </c>
      <c r="I2197">
        <v>-337276.74685544998</v>
      </c>
      <c r="J2197">
        <v>-90</v>
      </c>
      <c r="K2197">
        <v>180</v>
      </c>
      <c r="L2197">
        <f>_xlfn.XLOOKUP(F2197,magnet_list!$A$2:$A$592,magnet_list!$M$2:$M$592,"n/a",0,1)</f>
        <v>80</v>
      </c>
      <c r="M2197">
        <f>_xlfn.XLOOKUP(F2197,magnet_list!$A$2:$A$592,magnet_list!$L$2:$L$592,"n/a",0,1)</f>
        <v>20</v>
      </c>
    </row>
    <row r="2198" spans="1:13">
      <c r="A2198" t="s">
        <v>797</v>
      </c>
      <c r="B2198" t="s">
        <v>805</v>
      </c>
      <c r="C2198" t="s">
        <v>1152</v>
      </c>
      <c r="D2198" t="s">
        <v>804</v>
      </c>
      <c r="E2198" s="2" t="s">
        <v>1907</v>
      </c>
      <c r="F2198" s="2" t="s">
        <v>465</v>
      </c>
      <c r="G2198" s="1">
        <v>601.64100599999972</v>
      </c>
      <c r="H2198">
        <v>-15000</v>
      </c>
      <c r="I2198">
        <v>-337276.74685544998</v>
      </c>
      <c r="J2198">
        <v>-90</v>
      </c>
      <c r="K2198">
        <v>180</v>
      </c>
      <c r="L2198">
        <f>_xlfn.XLOOKUP(F2198,magnet_list!$A$2:$A$592,magnet_list!$M$2:$M$592,"n/a",0,1)</f>
        <v>80</v>
      </c>
      <c r="M2198">
        <f>_xlfn.XLOOKUP(F2198,magnet_list!$A$2:$A$592,magnet_list!$L$2:$L$592,"n/a",0,1)</f>
        <v>20</v>
      </c>
    </row>
    <row r="2199" spans="1:13">
      <c r="A2199" t="s">
        <v>797</v>
      </c>
      <c r="B2199" t="s">
        <v>805</v>
      </c>
      <c r="C2199" t="s">
        <v>806</v>
      </c>
      <c r="E2199" s="2" t="s">
        <v>466</v>
      </c>
      <c r="F2199" s="2" t="s">
        <v>466</v>
      </c>
      <c r="G2199" s="1">
        <v>601.84100899999976</v>
      </c>
      <c r="H2199">
        <v>-15000</v>
      </c>
      <c r="I2199">
        <v>-337476.74613918999</v>
      </c>
      <c r="J2199">
        <v>-90</v>
      </c>
      <c r="K2199">
        <v>180</v>
      </c>
      <c r="L2199">
        <f>_xlfn.XLOOKUP(F2199,magnet_list!$A$2:$A$592,magnet_list!$M$2:$M$592,"n/a",0,1)</f>
        <v>80</v>
      </c>
      <c r="M2199">
        <f>_xlfn.XLOOKUP(F2199,magnet_list!$A$2:$A$592,magnet_list!$L$2:$L$592,"n/a",0,1)</f>
        <v>20</v>
      </c>
    </row>
    <row r="2200" spans="1:13">
      <c r="A2200" t="s">
        <v>797</v>
      </c>
      <c r="B2200" t="s">
        <v>805</v>
      </c>
      <c r="C2200" t="s">
        <v>1152</v>
      </c>
      <c r="D2200" t="s">
        <v>804</v>
      </c>
      <c r="E2200" s="2" t="s">
        <v>1908</v>
      </c>
      <c r="F2200" s="2" t="s">
        <v>466</v>
      </c>
      <c r="G2200" s="1">
        <v>601.84100899999976</v>
      </c>
      <c r="H2200">
        <v>-15000</v>
      </c>
      <c r="I2200">
        <v>-337476.74613918999</v>
      </c>
      <c r="J2200">
        <v>-90</v>
      </c>
      <c r="K2200">
        <v>180</v>
      </c>
      <c r="L2200">
        <f>_xlfn.XLOOKUP(F2200,magnet_list!$A$2:$A$592,magnet_list!$M$2:$M$592,"n/a",0,1)</f>
        <v>80</v>
      </c>
      <c r="M2200">
        <f>_xlfn.XLOOKUP(F2200,magnet_list!$A$2:$A$592,magnet_list!$L$2:$L$592,"n/a",0,1)</f>
        <v>20</v>
      </c>
    </row>
    <row r="2201" spans="1:13">
      <c r="A2201" t="s">
        <v>797</v>
      </c>
      <c r="B2201" t="s">
        <v>805</v>
      </c>
      <c r="C2201" t="s">
        <v>806</v>
      </c>
      <c r="E2201" s="2" t="s">
        <v>467</v>
      </c>
      <c r="F2201" s="2" t="s">
        <v>2799</v>
      </c>
      <c r="G2201" s="1">
        <v>602.09595699999966</v>
      </c>
      <c r="H2201">
        <v>-15000</v>
      </c>
      <c r="I2201">
        <v>-337731.69898223999</v>
      </c>
      <c r="J2201">
        <v>-50</v>
      </c>
      <c r="K2201">
        <v>220</v>
      </c>
      <c r="L2201">
        <f>_xlfn.XLOOKUP(F2201,magnet_list!$A$2:$A$592,magnet_list!$M$2:$M$592,"n/a",0,1)</f>
        <v>200</v>
      </c>
      <c r="M2201">
        <f>_xlfn.XLOOKUP(F2201,magnet_list!$A$2:$A$592,magnet_list!$L$2:$L$592,"n/a",0,1)</f>
        <v>20</v>
      </c>
    </row>
    <row r="2202" spans="1:13">
      <c r="A2202" t="s">
        <v>797</v>
      </c>
      <c r="B2202" t="s">
        <v>805</v>
      </c>
      <c r="C2202" t="s">
        <v>1152</v>
      </c>
      <c r="D2202" t="s">
        <v>804</v>
      </c>
      <c r="E2202" s="2" t="s">
        <v>789</v>
      </c>
      <c r="F2202" s="2" t="s">
        <v>2799</v>
      </c>
      <c r="G2202" s="1">
        <v>602.17096449999974</v>
      </c>
      <c r="H2202">
        <v>-15000</v>
      </c>
      <c r="I2202">
        <v>-337806.70648224</v>
      </c>
      <c r="J2202">
        <v>-50</v>
      </c>
      <c r="K2202">
        <v>220</v>
      </c>
      <c r="L2202">
        <f>_xlfn.XLOOKUP(F2202,magnet_list!$A$2:$A$592,magnet_list!$M$2:$M$592,"n/a",0,1)</f>
        <v>200</v>
      </c>
      <c r="M2202">
        <f>_xlfn.XLOOKUP(F2202,magnet_list!$A$2:$A$592,magnet_list!$L$2:$L$592,"n/a",0,1)</f>
        <v>20</v>
      </c>
    </row>
    <row r="2203" spans="1:13">
      <c r="A2203" t="s">
        <v>797</v>
      </c>
      <c r="B2203" t="s">
        <v>805</v>
      </c>
      <c r="C2203" t="s">
        <v>806</v>
      </c>
      <c r="E2203" s="2" t="s">
        <v>468</v>
      </c>
      <c r="F2203" s="2" t="s">
        <v>2799</v>
      </c>
      <c r="G2203" s="1">
        <v>602.24597199999971</v>
      </c>
      <c r="H2203">
        <v>-15000</v>
      </c>
      <c r="I2203">
        <v>-337881.71853483998</v>
      </c>
      <c r="J2203">
        <v>-50</v>
      </c>
      <c r="K2203">
        <v>220</v>
      </c>
      <c r="L2203">
        <f>_xlfn.XLOOKUP(F2203,magnet_list!$A$2:$A$592,magnet_list!$M$2:$M$592,"n/a",0,1)</f>
        <v>200</v>
      </c>
      <c r="M2203">
        <f>_xlfn.XLOOKUP(F2203,magnet_list!$A$2:$A$592,magnet_list!$L$2:$L$592,"n/a",0,1)</f>
        <v>20</v>
      </c>
    </row>
    <row r="2204" spans="1:13">
      <c r="A2204" t="s">
        <v>797</v>
      </c>
      <c r="B2204" t="s">
        <v>2288</v>
      </c>
      <c r="C2204" t="s">
        <v>1152</v>
      </c>
      <c r="D2204" t="s">
        <v>804</v>
      </c>
      <c r="E2204" s="8" t="s">
        <v>2306</v>
      </c>
      <c r="F2204" s="8" t="s">
        <v>2306</v>
      </c>
      <c r="G2204" s="1">
        <f>$G$2192+ABS($I$2204-$I$2192)/1000</f>
        <v>602.52722406136979</v>
      </c>
      <c r="H2204">
        <v>-15000</v>
      </c>
      <c r="I2204">
        <f>$I$2192-1414.9827</f>
        <v>-338050.88319546019</v>
      </c>
      <c r="J2204">
        <v>-270</v>
      </c>
      <c r="K2204">
        <v>0</v>
      </c>
    </row>
    <row r="2205" spans="1:13">
      <c r="A2205" t="s">
        <v>797</v>
      </c>
      <c r="B2205" t="s">
        <v>803</v>
      </c>
      <c r="C2205" t="s">
        <v>806</v>
      </c>
      <c r="E2205" t="s">
        <v>1067</v>
      </c>
      <c r="F2205" t="s">
        <v>1067</v>
      </c>
      <c r="G2205" s="1">
        <v>602.4838749999999</v>
      </c>
      <c r="H2205">
        <v>-15400</v>
      </c>
      <c r="I2205">
        <v>-338122.53456763999</v>
      </c>
      <c r="J2205">
        <v>-689</v>
      </c>
      <c r="K2205">
        <v>-419</v>
      </c>
    </row>
    <row r="2206" spans="1:13">
      <c r="A2206" t="s">
        <v>797</v>
      </c>
      <c r="B2206" t="s">
        <v>804</v>
      </c>
      <c r="C2206" t="s">
        <v>1152</v>
      </c>
      <c r="D2206" t="s">
        <v>804</v>
      </c>
      <c r="E2206" s="10" t="s">
        <v>1806</v>
      </c>
      <c r="F2206" s="10" t="s">
        <v>2800</v>
      </c>
      <c r="G2206" s="1">
        <f>$G$2207-ABS($I$2207-$I$2206)/1000</f>
        <v>602.65722366136981</v>
      </c>
      <c r="H2206">
        <v>-15000</v>
      </c>
      <c r="I2206">
        <f>$I$2207+$L$2206/2</f>
        <v>-338180.88279546017</v>
      </c>
      <c r="J2206">
        <v>-270</v>
      </c>
      <c r="K2206">
        <v>0</v>
      </c>
      <c r="L2206">
        <v>1889.4492</v>
      </c>
    </row>
    <row r="2207" spans="1:13">
      <c r="A2207" t="s">
        <v>797</v>
      </c>
      <c r="B2207" t="s">
        <v>804</v>
      </c>
      <c r="C2207" t="s">
        <v>1152</v>
      </c>
      <c r="D2207" t="s">
        <v>804</v>
      </c>
      <c r="E2207" s="10" t="s">
        <v>1218</v>
      </c>
      <c r="F2207" s="10" t="s">
        <v>2800</v>
      </c>
      <c r="G2207" s="1">
        <f>$G$2204+ABS($I$2207-$I$2204)/1000</f>
        <v>603.60194826136978</v>
      </c>
      <c r="H2207">
        <v>-15000</v>
      </c>
      <c r="I2207">
        <f>$I$2204-1074.7242</f>
        <v>-339125.60739546019</v>
      </c>
      <c r="J2207">
        <v>-270</v>
      </c>
      <c r="K2207">
        <v>0</v>
      </c>
      <c r="L2207">
        <v>1889.4492</v>
      </c>
    </row>
    <row r="2208" spans="1:13">
      <c r="A2208" t="s">
        <v>797</v>
      </c>
      <c r="B2208" t="s">
        <v>804</v>
      </c>
      <c r="C2208" t="s">
        <v>1152</v>
      </c>
      <c r="D2208" t="s">
        <v>804</v>
      </c>
      <c r="E2208" s="10" t="s">
        <v>1807</v>
      </c>
      <c r="F2208" s="10" t="s">
        <v>2800</v>
      </c>
      <c r="G2208" s="1">
        <f>$G$2207+ABS($I$2208-$I$2207)/1000</f>
        <v>604.54667286136976</v>
      </c>
      <c r="H2208">
        <v>-15000</v>
      </c>
      <c r="I2208">
        <f>$I$2207-$L$2208/2</f>
        <v>-340070.3319954602</v>
      </c>
      <c r="J2208">
        <v>-270</v>
      </c>
      <c r="K2208">
        <v>0</v>
      </c>
      <c r="L2208">
        <v>1889.4492</v>
      </c>
    </row>
    <row r="2209" spans="1:12">
      <c r="A2209" t="s">
        <v>797</v>
      </c>
      <c r="B2209" t="s">
        <v>804</v>
      </c>
      <c r="C2209" t="s">
        <v>1152</v>
      </c>
      <c r="D2209" t="s">
        <v>804</v>
      </c>
      <c r="E2209" s="10" t="s">
        <v>1808</v>
      </c>
      <c r="F2209" s="10" t="s">
        <v>2801</v>
      </c>
      <c r="G2209" s="1">
        <f>$G$2210-ABS($I$2210-$I$2209)/1000</f>
        <v>604.75661066136979</v>
      </c>
      <c r="H2209">
        <v>-15000</v>
      </c>
      <c r="I2209">
        <f>$I$2210+$L$2209/2</f>
        <v>-340280.26979546016</v>
      </c>
      <c r="J2209">
        <v>-270</v>
      </c>
      <c r="K2209">
        <v>0</v>
      </c>
      <c r="L2209">
        <v>1889.4492</v>
      </c>
    </row>
    <row r="2210" spans="1:12">
      <c r="A2210" t="s">
        <v>797</v>
      </c>
      <c r="B2210" t="s">
        <v>804</v>
      </c>
      <c r="C2210" t="s">
        <v>1152</v>
      </c>
      <c r="D2210" t="s">
        <v>804</v>
      </c>
      <c r="E2210" s="10" t="s">
        <v>1274</v>
      </c>
      <c r="F2210" s="10" t="s">
        <v>2801</v>
      </c>
      <c r="G2210" s="1">
        <f>$G$2207+ABS($I$2210-$I$2207)/1000</f>
        <v>605.70133526136976</v>
      </c>
      <c r="H2210">
        <v>-15000</v>
      </c>
      <c r="I2210">
        <f>$I$2207-2099.387</f>
        <v>-341224.99439546018</v>
      </c>
      <c r="J2210">
        <v>-270</v>
      </c>
      <c r="K2210">
        <v>0</v>
      </c>
      <c r="L2210">
        <v>1889.4492</v>
      </c>
    </row>
    <row r="2211" spans="1:12">
      <c r="A2211" t="s">
        <v>797</v>
      </c>
      <c r="B2211" t="s">
        <v>803</v>
      </c>
      <c r="C2211" t="s">
        <v>806</v>
      </c>
      <c r="E2211" t="s">
        <v>913</v>
      </c>
      <c r="F2211" t="s">
        <v>913</v>
      </c>
      <c r="G2211" s="1">
        <v>606.21904899999993</v>
      </c>
      <c r="H2211">
        <v>-17449.076927689999</v>
      </c>
      <c r="I2211">
        <v>-341858.44108585001</v>
      </c>
      <c r="J2211">
        <v>-18.09892185</v>
      </c>
      <c r="K2211">
        <v>251.90107814999999</v>
      </c>
    </row>
    <row r="2212" spans="1:12">
      <c r="A2212" t="s">
        <v>797</v>
      </c>
      <c r="B2212" t="s">
        <v>803</v>
      </c>
      <c r="C2212" t="s">
        <v>806</v>
      </c>
      <c r="E2212" t="s">
        <v>914</v>
      </c>
      <c r="F2212" t="s">
        <v>914</v>
      </c>
      <c r="G2212" s="1">
        <v>606.32187899999985</v>
      </c>
      <c r="H2212">
        <v>-13509.888826689999</v>
      </c>
      <c r="I2212">
        <v>-341959.93633617001</v>
      </c>
      <c r="J2212">
        <v>-19.098167879999998</v>
      </c>
      <c r="K2212">
        <v>250.90183211999999</v>
      </c>
    </row>
    <row r="2213" spans="1:12">
      <c r="A2213" t="s">
        <v>797</v>
      </c>
      <c r="B2213" t="s">
        <v>804</v>
      </c>
      <c r="C2213" t="s">
        <v>1152</v>
      </c>
      <c r="D2213" t="s">
        <v>804</v>
      </c>
      <c r="E2213" s="10" t="s">
        <v>1809</v>
      </c>
      <c r="F2213" s="10" t="s">
        <v>2801</v>
      </c>
      <c r="G2213" s="1">
        <f>$G$2210+ABS($I$2213-$I$2210)/1000</f>
        <v>606.64605986136974</v>
      </c>
      <c r="H2213">
        <v>-15000</v>
      </c>
      <c r="I2213">
        <f>$I$2210-$L$2213/2</f>
        <v>-342169.71899546019</v>
      </c>
      <c r="J2213">
        <v>-270</v>
      </c>
      <c r="K2213">
        <v>0</v>
      </c>
      <c r="L2213">
        <v>1889.4492</v>
      </c>
    </row>
    <row r="2214" spans="1:12">
      <c r="A2214" t="s">
        <v>797</v>
      </c>
      <c r="B2214" t="s">
        <v>1152</v>
      </c>
      <c r="C2214" t="s">
        <v>1152</v>
      </c>
      <c r="D2214" t="s">
        <v>804</v>
      </c>
      <c r="E2214" s="7" t="s">
        <v>2182</v>
      </c>
      <c r="F2214" s="7" t="s">
        <v>2182</v>
      </c>
      <c r="G2214" s="1">
        <f>$G$2210+ABS($I$2214-$I$2210)/1000</f>
        <v>606.91105946136975</v>
      </c>
      <c r="H2214">
        <v>-15000</v>
      </c>
      <c r="I2214">
        <f>$I$2210-1209.7242</f>
        <v>-342434.71859546017</v>
      </c>
      <c r="J2214">
        <v>-270</v>
      </c>
      <c r="K2214">
        <v>0</v>
      </c>
    </row>
    <row r="2215" spans="1:12">
      <c r="A2215" t="s">
        <v>797</v>
      </c>
      <c r="B2215" t="s">
        <v>804</v>
      </c>
      <c r="C2215" t="s">
        <v>1152</v>
      </c>
      <c r="D2215" t="s">
        <v>804</v>
      </c>
      <c r="E2215" s="10" t="s">
        <v>1810</v>
      </c>
      <c r="F2215" s="10" t="s">
        <v>2802</v>
      </c>
      <c r="G2215" s="1">
        <f>$G$2216-ABS($I$2216-$I$2215)/1000</f>
        <v>607.1709057613698</v>
      </c>
      <c r="H2215">
        <v>-15000</v>
      </c>
      <c r="I2215">
        <f>$I$2216+$L$2215/2</f>
        <v>-342694.56489546015</v>
      </c>
      <c r="J2215">
        <v>-270</v>
      </c>
      <c r="K2215">
        <v>0</v>
      </c>
      <c r="L2215">
        <v>1889.4492</v>
      </c>
    </row>
    <row r="2216" spans="1:12">
      <c r="A2216" t="s">
        <v>797</v>
      </c>
      <c r="B2216" t="s">
        <v>804</v>
      </c>
      <c r="C2216" t="s">
        <v>1152</v>
      </c>
      <c r="D2216" t="s">
        <v>804</v>
      </c>
      <c r="E2216" s="10" t="s">
        <v>1328</v>
      </c>
      <c r="F2216" s="10" t="s">
        <v>2802</v>
      </c>
      <c r="G2216" s="1">
        <f>$G$2214+ABS($I$2216-$I$2214)/1000</f>
        <v>608.11563036136977</v>
      </c>
      <c r="H2216">
        <v>-15000</v>
      </c>
      <c r="I2216">
        <f>$I$2214-1204.5709</f>
        <v>-343639.28949546017</v>
      </c>
      <c r="J2216">
        <v>-270</v>
      </c>
      <c r="K2216">
        <v>0</v>
      </c>
      <c r="L2216">
        <v>1889.4492</v>
      </c>
    </row>
    <row r="2217" spans="1:12">
      <c r="A2217" t="s">
        <v>797</v>
      </c>
      <c r="B2217" t="s">
        <v>804</v>
      </c>
      <c r="C2217" t="s">
        <v>1152</v>
      </c>
      <c r="D2217" t="s">
        <v>804</v>
      </c>
      <c r="E2217" s="10" t="s">
        <v>1811</v>
      </c>
      <c r="F2217" s="10" t="s">
        <v>2802</v>
      </c>
      <c r="G2217" s="1">
        <f>$G$2216+ABS($I$2217-$I$2216)/1000</f>
        <v>609.06035496136974</v>
      </c>
      <c r="H2217">
        <v>-15000</v>
      </c>
      <c r="I2217">
        <f>$I$2216-$L$2217/2</f>
        <v>-344584.01409546018</v>
      </c>
      <c r="J2217">
        <v>-270</v>
      </c>
      <c r="K2217">
        <v>0</v>
      </c>
      <c r="L2217">
        <v>1889.4492</v>
      </c>
    </row>
    <row r="2218" spans="1:12">
      <c r="A2218" t="s">
        <v>797</v>
      </c>
      <c r="B2218" t="s">
        <v>804</v>
      </c>
      <c r="C2218" t="s">
        <v>1152</v>
      </c>
      <c r="D2218" t="s">
        <v>804</v>
      </c>
      <c r="E2218" s="10" t="s">
        <v>1812</v>
      </c>
      <c r="F2218" s="10" t="s">
        <v>2803</v>
      </c>
      <c r="G2218" s="1">
        <f>$G$2219-ABS($I$2219-$I$2218)/1000</f>
        <v>609.27029276136977</v>
      </c>
      <c r="H2218">
        <v>-15000</v>
      </c>
      <c r="I2218">
        <f>$I$2219+$L$2218/2</f>
        <v>-344793.95189546014</v>
      </c>
      <c r="J2218">
        <v>-270</v>
      </c>
      <c r="K2218">
        <v>0</v>
      </c>
      <c r="L2218">
        <v>1889.4492</v>
      </c>
    </row>
    <row r="2219" spans="1:12">
      <c r="A2219" t="s">
        <v>797</v>
      </c>
      <c r="B2219" t="s">
        <v>804</v>
      </c>
      <c r="C2219" t="s">
        <v>1152</v>
      </c>
      <c r="D2219" t="s">
        <v>804</v>
      </c>
      <c r="E2219" s="10" t="s">
        <v>1382</v>
      </c>
      <c r="F2219" s="10" t="s">
        <v>2803</v>
      </c>
      <c r="G2219" s="1">
        <f>$G$2216+ABS($I$2219-$I$2216)/1000</f>
        <v>610.21501736136975</v>
      </c>
      <c r="H2219">
        <v>-15000</v>
      </c>
      <c r="I2219">
        <f>$I$2216-2099.387</f>
        <v>-345738.67649546015</v>
      </c>
      <c r="J2219">
        <v>-270</v>
      </c>
      <c r="K2219">
        <v>0</v>
      </c>
      <c r="L2219">
        <v>1889.4492</v>
      </c>
    </row>
    <row r="2220" spans="1:12">
      <c r="A2220" t="s">
        <v>797</v>
      </c>
      <c r="B2220" t="s">
        <v>804</v>
      </c>
      <c r="C2220" t="s">
        <v>1152</v>
      </c>
      <c r="D2220" t="s">
        <v>804</v>
      </c>
      <c r="E2220" s="10" t="s">
        <v>1813</v>
      </c>
      <c r="F2220" s="10" t="s">
        <v>2803</v>
      </c>
      <c r="G2220" s="1">
        <f>$G$2219+ABS($I$2220-$I$2219)/1000</f>
        <v>611.15974196136972</v>
      </c>
      <c r="H2220">
        <v>-15000</v>
      </c>
      <c r="I2220">
        <f>$I$2219-$L$2220/2</f>
        <v>-346683.40109546017</v>
      </c>
      <c r="J2220">
        <v>-270</v>
      </c>
      <c r="K2220">
        <v>0</v>
      </c>
      <c r="L2220">
        <v>1889.4492</v>
      </c>
    </row>
    <row r="2221" spans="1:12">
      <c r="A2221" t="s">
        <v>797</v>
      </c>
      <c r="B2221" t="s">
        <v>2288</v>
      </c>
      <c r="C2221" t="s">
        <v>1152</v>
      </c>
      <c r="D2221" t="s">
        <v>804</v>
      </c>
      <c r="E2221" s="8" t="s">
        <v>3801</v>
      </c>
      <c r="F2221" s="8" t="s">
        <v>3801</v>
      </c>
      <c r="G2221" s="1">
        <f>$G$2219+ABS($I$2221-$I$2219)/1000</f>
        <v>611.28974156136974</v>
      </c>
      <c r="H2221">
        <v>-15000</v>
      </c>
      <c r="I2221">
        <f>$I$2219-1074.7242</f>
        <v>-346813.40069546015</v>
      </c>
      <c r="J2221">
        <v>-270</v>
      </c>
      <c r="K2221">
        <v>0</v>
      </c>
    </row>
    <row r="2222" spans="1:12">
      <c r="A2222" t="s">
        <v>797</v>
      </c>
      <c r="B2222" t="s">
        <v>803</v>
      </c>
      <c r="C2222" t="s">
        <v>806</v>
      </c>
      <c r="E2222" t="s">
        <v>1066</v>
      </c>
      <c r="F2222" t="s">
        <v>1066</v>
      </c>
      <c r="G2222" s="1">
        <v>611.20182799999986</v>
      </c>
      <c r="H2222">
        <v>-15400</v>
      </c>
      <c r="I2222">
        <v>-346840.48168143001</v>
      </c>
      <c r="J2222">
        <v>-689</v>
      </c>
      <c r="K2222">
        <v>-419</v>
      </c>
    </row>
    <row r="2223" spans="1:12">
      <c r="A2223" t="s">
        <v>797</v>
      </c>
      <c r="B2223" t="s">
        <v>803</v>
      </c>
      <c r="C2223" t="s">
        <v>806</v>
      </c>
      <c r="E2223" t="s">
        <v>1069</v>
      </c>
      <c r="F2223" t="s">
        <v>1069</v>
      </c>
      <c r="G2223" s="1">
        <v>611.47626099999979</v>
      </c>
      <c r="H2223">
        <v>-15400</v>
      </c>
      <c r="I2223">
        <v>-347114.90588147001</v>
      </c>
      <c r="J2223">
        <v>-689</v>
      </c>
      <c r="K2223">
        <v>-419</v>
      </c>
    </row>
    <row r="2224" spans="1:12">
      <c r="A2224" t="s">
        <v>797</v>
      </c>
      <c r="B2224" t="s">
        <v>804</v>
      </c>
      <c r="C2224" t="s">
        <v>1152</v>
      </c>
      <c r="D2224" t="s">
        <v>804</v>
      </c>
      <c r="E2224" s="10" t="s">
        <v>1814</v>
      </c>
      <c r="F2224" s="10" t="s">
        <v>2804</v>
      </c>
      <c r="G2224" s="1">
        <f>$G$2225-ABS($I$2225-$I$2224)/1000</f>
        <v>611.6572233613698</v>
      </c>
      <c r="H2224">
        <v>-15000</v>
      </c>
      <c r="I2224">
        <f>$I$2225+$L$2224/2</f>
        <v>-347180.88249546016</v>
      </c>
      <c r="J2224">
        <v>-270</v>
      </c>
      <c r="K2224">
        <v>0</v>
      </c>
      <c r="L2224">
        <v>1889.4492</v>
      </c>
    </row>
    <row r="2225" spans="1:12">
      <c r="A2225" t="s">
        <v>797</v>
      </c>
      <c r="B2225" t="s">
        <v>804</v>
      </c>
      <c r="C2225" t="s">
        <v>1152</v>
      </c>
      <c r="D2225" t="s">
        <v>804</v>
      </c>
      <c r="E2225" s="10" t="s">
        <v>1219</v>
      </c>
      <c r="F2225" s="10" t="s">
        <v>2804</v>
      </c>
      <c r="G2225" s="1">
        <f>$G$2221+ABS($I$2225-$I$2221)/1000</f>
        <v>612.60194796136977</v>
      </c>
      <c r="H2225">
        <v>-15000</v>
      </c>
      <c r="I2225">
        <f>$I$2221-1312.2064</f>
        <v>-348125.60709546017</v>
      </c>
      <c r="J2225">
        <v>-270</v>
      </c>
      <c r="K2225">
        <v>0</v>
      </c>
      <c r="L2225">
        <v>1889.4492</v>
      </c>
    </row>
    <row r="2226" spans="1:12">
      <c r="A2226" t="s">
        <v>797</v>
      </c>
      <c r="B2226" t="s">
        <v>804</v>
      </c>
      <c r="C2226" t="s">
        <v>1152</v>
      </c>
      <c r="D2226" t="s">
        <v>804</v>
      </c>
      <c r="E2226" s="10" t="s">
        <v>1815</v>
      </c>
      <c r="F2226" s="10" t="s">
        <v>2804</v>
      </c>
      <c r="G2226" s="1">
        <f>$G$2225+ABS($I$2226-$I$2225)/1000</f>
        <v>613.54667256136975</v>
      </c>
      <c r="H2226">
        <v>-15000</v>
      </c>
      <c r="I2226">
        <f>$I$2225-$L$2226/2</f>
        <v>-349070.33169546019</v>
      </c>
      <c r="J2226">
        <v>-270</v>
      </c>
      <c r="K2226">
        <v>0</v>
      </c>
      <c r="L2226">
        <v>1889.4492</v>
      </c>
    </row>
    <row r="2227" spans="1:12">
      <c r="A2227" t="s">
        <v>797</v>
      </c>
      <c r="B2227" t="s">
        <v>804</v>
      </c>
      <c r="C2227" t="s">
        <v>1152</v>
      </c>
      <c r="D2227" t="s">
        <v>804</v>
      </c>
      <c r="E2227" s="10" t="s">
        <v>1816</v>
      </c>
      <c r="F2227" s="10" t="s">
        <v>2805</v>
      </c>
      <c r="G2227" s="1">
        <f>$G$2228-ABS($I$2228-$I$2227)/1000</f>
        <v>613.75661436136977</v>
      </c>
      <c r="H2227">
        <v>-15000</v>
      </c>
      <c r="I2227">
        <f>$I$2228+$L$2227/2</f>
        <v>-349280.27349546016</v>
      </c>
      <c r="J2227">
        <v>-270</v>
      </c>
      <c r="K2227">
        <v>0</v>
      </c>
      <c r="L2227">
        <v>1889.4492</v>
      </c>
    </row>
    <row r="2228" spans="1:12">
      <c r="A2228" t="s">
        <v>797</v>
      </c>
      <c r="B2228" t="s">
        <v>804</v>
      </c>
      <c r="C2228" t="s">
        <v>1152</v>
      </c>
      <c r="D2228" t="s">
        <v>804</v>
      </c>
      <c r="E2228" s="10" t="s">
        <v>1275</v>
      </c>
      <c r="F2228" s="10" t="s">
        <v>2805</v>
      </c>
      <c r="G2228" s="1">
        <f>$G$2225+ABS($I$2228-$I$2225)/1000</f>
        <v>614.70133896136974</v>
      </c>
      <c r="H2228">
        <v>-15000</v>
      </c>
      <c r="I2228">
        <f>$I$2225-2099.391</f>
        <v>-350224.99809546018</v>
      </c>
      <c r="J2228">
        <v>-270</v>
      </c>
      <c r="K2228">
        <v>0</v>
      </c>
      <c r="L2228">
        <v>1889.4492</v>
      </c>
    </row>
    <row r="2229" spans="1:12">
      <c r="A2229" t="s">
        <v>797</v>
      </c>
      <c r="B2229" t="s">
        <v>803</v>
      </c>
      <c r="C2229" t="s">
        <v>806</v>
      </c>
      <c r="E2229" t="s">
        <v>916</v>
      </c>
      <c r="F2229" t="s">
        <v>916</v>
      </c>
      <c r="G2229" s="1">
        <v>615.25630799999988</v>
      </c>
      <c r="H2229">
        <v>-13496.11284156</v>
      </c>
      <c r="I2229">
        <v>-350894.34034344001</v>
      </c>
      <c r="J2229">
        <v>-18.98394772</v>
      </c>
      <c r="K2229">
        <v>251.01605228</v>
      </c>
    </row>
    <row r="2230" spans="1:12">
      <c r="A2230" t="s">
        <v>797</v>
      </c>
      <c r="B2230" t="s">
        <v>803</v>
      </c>
      <c r="C2230" t="s">
        <v>806</v>
      </c>
      <c r="E2230" t="s">
        <v>915</v>
      </c>
      <c r="F2230" t="s">
        <v>915</v>
      </c>
      <c r="G2230" s="1">
        <v>615.30798899999979</v>
      </c>
      <c r="H2230">
        <v>-17444.532999160001</v>
      </c>
      <c r="I2230">
        <v>-350947.37368503999</v>
      </c>
      <c r="J2230">
        <v>-18.097853749999999</v>
      </c>
      <c r="K2230">
        <v>251.90214624999999</v>
      </c>
    </row>
    <row r="2231" spans="1:12">
      <c r="A2231" t="s">
        <v>797</v>
      </c>
      <c r="B2231" t="s">
        <v>804</v>
      </c>
      <c r="C2231" t="s">
        <v>1152</v>
      </c>
      <c r="D2231" t="s">
        <v>804</v>
      </c>
      <c r="E2231" s="10" t="s">
        <v>1817</v>
      </c>
      <c r="F2231" s="10" t="s">
        <v>2805</v>
      </c>
      <c r="G2231" s="1">
        <f>$G$2228+ABS($I$2231-$I$2228)/1000</f>
        <v>615.64606356136971</v>
      </c>
      <c r="H2231">
        <v>-15000</v>
      </c>
      <c r="I2231">
        <f>$I$2228-$L$2231/2</f>
        <v>-351169.72269546019</v>
      </c>
      <c r="J2231">
        <v>-270</v>
      </c>
      <c r="K2231">
        <v>0</v>
      </c>
      <c r="L2231">
        <v>1889.4492</v>
      </c>
    </row>
    <row r="2232" spans="1:12">
      <c r="A2232" t="s">
        <v>797</v>
      </c>
      <c r="B2232" t="s">
        <v>1152</v>
      </c>
      <c r="C2232" t="s">
        <v>1152</v>
      </c>
      <c r="D2232" t="s">
        <v>804</v>
      </c>
      <c r="E2232" s="7" t="s">
        <v>2183</v>
      </c>
      <c r="F2232" s="7" t="s">
        <v>2183</v>
      </c>
      <c r="G2232" s="1">
        <f>$G$2228+ABS($I$2232-$I$2228)/1000</f>
        <v>615.87299786136975</v>
      </c>
      <c r="H2232">
        <v>-15000</v>
      </c>
      <c r="I2232">
        <f>$I$2228-1171.6589</f>
        <v>-351396.65699546016</v>
      </c>
      <c r="J2232">
        <v>-270</v>
      </c>
      <c r="K2232">
        <v>0</v>
      </c>
    </row>
    <row r="2233" spans="1:12">
      <c r="A2233" t="s">
        <v>797</v>
      </c>
      <c r="B2233" t="s">
        <v>804</v>
      </c>
      <c r="C2233" t="s">
        <v>1152</v>
      </c>
      <c r="D2233" t="s">
        <v>804</v>
      </c>
      <c r="E2233" s="10" t="s">
        <v>1818</v>
      </c>
      <c r="F2233" s="10" t="s">
        <v>2806</v>
      </c>
      <c r="G2233" s="1">
        <f>$G$2234-ABS($I$2234-$I$2233)/1000</f>
        <v>616.17090536136982</v>
      </c>
      <c r="H2233">
        <v>-15000</v>
      </c>
      <c r="I2233">
        <f>$I$2234+$L$2233/2</f>
        <v>-351694.56449546013</v>
      </c>
      <c r="J2233">
        <v>-270</v>
      </c>
      <c r="K2233">
        <v>0</v>
      </c>
      <c r="L2233">
        <v>1889.4492</v>
      </c>
    </row>
    <row r="2234" spans="1:12">
      <c r="A2234" t="s">
        <v>797</v>
      </c>
      <c r="B2234" t="s">
        <v>804</v>
      </c>
      <c r="C2234" t="s">
        <v>1152</v>
      </c>
      <c r="D2234" t="s">
        <v>804</v>
      </c>
      <c r="E2234" s="10" t="s">
        <v>1329</v>
      </c>
      <c r="F2234" s="10" t="s">
        <v>2806</v>
      </c>
      <c r="G2234" s="1">
        <f>$G$2232+ABS($I$2234-$I$2232)/1000</f>
        <v>617.11562996136979</v>
      </c>
      <c r="H2234">
        <v>-15000</v>
      </c>
      <c r="I2234">
        <f>$I$2232-1242.6321</f>
        <v>-352639.28909546015</v>
      </c>
      <c r="J2234">
        <v>-270</v>
      </c>
      <c r="K2234">
        <v>0</v>
      </c>
      <c r="L2234">
        <v>1889.4492</v>
      </c>
    </row>
    <row r="2235" spans="1:12">
      <c r="A2235" t="s">
        <v>797</v>
      </c>
      <c r="B2235" t="s">
        <v>804</v>
      </c>
      <c r="C2235" t="s">
        <v>1152</v>
      </c>
      <c r="D2235" t="s">
        <v>804</v>
      </c>
      <c r="E2235" s="10" t="s">
        <v>1819</v>
      </c>
      <c r="F2235" s="10" t="s">
        <v>2806</v>
      </c>
      <c r="G2235" s="1">
        <f>$G$2234+ABS($I$2235-$I$2234)/1000</f>
        <v>618.06035456136976</v>
      </c>
      <c r="H2235">
        <v>-15000</v>
      </c>
      <c r="I2235">
        <f>$I$2234-$L$2235/2</f>
        <v>-353584.01369546016</v>
      </c>
      <c r="J2235">
        <v>-270</v>
      </c>
      <c r="K2235">
        <v>0</v>
      </c>
      <c r="L2235">
        <v>1889.4492</v>
      </c>
    </row>
    <row r="2236" spans="1:12">
      <c r="A2236" t="s">
        <v>797</v>
      </c>
      <c r="B2236" t="s">
        <v>804</v>
      </c>
      <c r="C2236" t="s">
        <v>1152</v>
      </c>
      <c r="D2236" t="s">
        <v>804</v>
      </c>
      <c r="E2236" s="10" t="s">
        <v>1820</v>
      </c>
      <c r="F2236" s="10" t="s">
        <v>2807</v>
      </c>
      <c r="G2236" s="1">
        <f>$G$2237-ABS($I$2237-$I$2236)/1000</f>
        <v>618.27029636136979</v>
      </c>
      <c r="H2236">
        <v>-15000</v>
      </c>
      <c r="I2236">
        <f>$I$2237+$L$2236/2</f>
        <v>-353793.95549546013</v>
      </c>
      <c r="J2236">
        <v>-270</v>
      </c>
      <c r="K2236">
        <v>0</v>
      </c>
      <c r="L2236">
        <v>1889.4492</v>
      </c>
    </row>
    <row r="2237" spans="1:12">
      <c r="A2237" t="s">
        <v>797</v>
      </c>
      <c r="B2237" t="s">
        <v>804</v>
      </c>
      <c r="C2237" t="s">
        <v>1152</v>
      </c>
      <c r="D2237" t="s">
        <v>804</v>
      </c>
      <c r="E2237" s="10" t="s">
        <v>1383</v>
      </c>
      <c r="F2237" s="10" t="s">
        <v>2807</v>
      </c>
      <c r="G2237" s="1">
        <f>$G$2234+ABS($I$2237-$I$2234)/1000</f>
        <v>619.21502096136976</v>
      </c>
      <c r="H2237">
        <v>-15000</v>
      </c>
      <c r="I2237">
        <f>$I$2234-2099.391</f>
        <v>-354738.68009546015</v>
      </c>
      <c r="J2237">
        <v>-270</v>
      </c>
      <c r="K2237">
        <v>0</v>
      </c>
      <c r="L2237">
        <v>1889.4492</v>
      </c>
    </row>
    <row r="2238" spans="1:12">
      <c r="A2238" t="s">
        <v>797</v>
      </c>
      <c r="B2238" t="s">
        <v>804</v>
      </c>
      <c r="C2238" t="s">
        <v>1152</v>
      </c>
      <c r="D2238" t="s">
        <v>804</v>
      </c>
      <c r="E2238" s="10" t="s">
        <v>1821</v>
      </c>
      <c r="F2238" s="10" t="s">
        <v>2807</v>
      </c>
      <c r="G2238" s="1">
        <f>$G$2237+ABS($I$2238-$I$2237)/1000</f>
        <v>620.15974556136973</v>
      </c>
      <c r="H2238">
        <v>-15000</v>
      </c>
      <c r="I2238">
        <f>$I$2237-$L$2238/2</f>
        <v>-355683.40469546017</v>
      </c>
      <c r="J2238">
        <v>-270</v>
      </c>
      <c r="K2238">
        <v>0</v>
      </c>
      <c r="L2238">
        <v>1889.4492</v>
      </c>
    </row>
    <row r="2239" spans="1:12">
      <c r="A2239" t="s">
        <v>797</v>
      </c>
      <c r="B2239" t="s">
        <v>803</v>
      </c>
      <c r="C2239" t="s">
        <v>806</v>
      </c>
      <c r="E2239" t="s">
        <v>1068</v>
      </c>
      <c r="F2239" t="s">
        <v>1068</v>
      </c>
      <c r="G2239" s="1">
        <f>$G$2237+ABS($I$2239-$I$2237)/1000</f>
        <v>620.30889787299964</v>
      </c>
      <c r="H2239">
        <v>-15400</v>
      </c>
      <c r="I2239">
        <v>-355832.55700709001</v>
      </c>
      <c r="J2239">
        <v>-689</v>
      </c>
      <c r="K2239">
        <v>-419</v>
      </c>
    </row>
    <row r="2240" spans="1:12">
      <c r="A2240" t="s">
        <v>797</v>
      </c>
      <c r="B2240" t="s">
        <v>1152</v>
      </c>
      <c r="C2240" t="s">
        <v>1152</v>
      </c>
      <c r="D2240" t="s">
        <v>804</v>
      </c>
      <c r="E2240" s="7" t="s">
        <v>2184</v>
      </c>
      <c r="F2240" s="7" t="s">
        <v>2184</v>
      </c>
      <c r="G2240" s="1">
        <f>$G$2237+ABS($I$2240-$I$2237)/1000</f>
        <v>620.31224146136981</v>
      </c>
      <c r="H2240">
        <v>-15000</v>
      </c>
      <c r="I2240">
        <f>$I$2237-1097.2205</f>
        <v>-355835.90059546015</v>
      </c>
      <c r="J2240">
        <v>-270</v>
      </c>
      <c r="K2240">
        <v>0</v>
      </c>
    </row>
    <row r="2241" spans="1:13">
      <c r="A2241" t="s">
        <v>797</v>
      </c>
      <c r="B2241" t="s">
        <v>805</v>
      </c>
      <c r="C2241" t="s">
        <v>806</v>
      </c>
      <c r="E2241" s="2" t="s">
        <v>469</v>
      </c>
      <c r="F2241" s="2" t="s">
        <v>2808</v>
      </c>
      <c r="G2241" s="1">
        <v>620.43866399999979</v>
      </c>
      <c r="H2241">
        <v>-15000</v>
      </c>
      <c r="I2241">
        <v>-356074.36106894002</v>
      </c>
      <c r="J2241">
        <v>-50</v>
      </c>
      <c r="K2241">
        <v>220</v>
      </c>
      <c r="L2241">
        <f>_xlfn.XLOOKUP(F2241,magnet_list!$A$2:$A$592,magnet_list!$M$2:$M$592,"n/a",0,1)</f>
        <v>200</v>
      </c>
      <c r="M2241">
        <f>_xlfn.XLOOKUP(F2241,magnet_list!$A$2:$A$592,magnet_list!$L$2:$L$592,"n/a",0,1)</f>
        <v>20</v>
      </c>
    </row>
    <row r="2242" spans="1:13">
      <c r="A2242" t="s">
        <v>797</v>
      </c>
      <c r="B2242" t="s">
        <v>805</v>
      </c>
      <c r="C2242" t="s">
        <v>1152</v>
      </c>
      <c r="D2242" t="s">
        <v>804</v>
      </c>
      <c r="E2242" s="2" t="s">
        <v>790</v>
      </c>
      <c r="F2242" s="2" t="s">
        <v>2808</v>
      </c>
      <c r="G2242" s="1">
        <v>620.51366549999977</v>
      </c>
      <c r="H2242">
        <v>-15000</v>
      </c>
      <c r="I2242">
        <v>-356149.36256894004</v>
      </c>
      <c r="J2242">
        <v>-50</v>
      </c>
      <c r="K2242">
        <v>220</v>
      </c>
      <c r="L2242">
        <f>_xlfn.XLOOKUP(F2242,magnet_list!$A$2:$A$592,magnet_list!$M$2:$M$592,"n/a",0,1)</f>
        <v>200</v>
      </c>
      <c r="M2242">
        <f>_xlfn.XLOOKUP(F2242,magnet_list!$A$2:$A$592,magnet_list!$L$2:$L$592,"n/a",0,1)</f>
        <v>20</v>
      </c>
    </row>
    <row r="2243" spans="1:13">
      <c r="A2243" t="s">
        <v>797</v>
      </c>
      <c r="B2243" t="s">
        <v>805</v>
      </c>
      <c r="C2243" t="s">
        <v>806</v>
      </c>
      <c r="E2243" s="2" t="s">
        <v>470</v>
      </c>
      <c r="F2243" s="2" t="s">
        <v>2808</v>
      </c>
      <c r="G2243" s="1">
        <v>620.58866699999976</v>
      </c>
      <c r="H2243">
        <v>-15000</v>
      </c>
      <c r="I2243">
        <v>-356224.37463696999</v>
      </c>
      <c r="J2243">
        <v>-50</v>
      </c>
      <c r="K2243">
        <v>220</v>
      </c>
      <c r="L2243">
        <f>_xlfn.XLOOKUP(F2243,magnet_list!$A$2:$A$592,magnet_list!$M$2:$M$592,"n/a",0,1)</f>
        <v>200</v>
      </c>
      <c r="M2243">
        <f>_xlfn.XLOOKUP(F2243,magnet_list!$A$2:$A$592,magnet_list!$L$2:$L$592,"n/a",0,1)</f>
        <v>20</v>
      </c>
    </row>
    <row r="2244" spans="1:13">
      <c r="A2244" t="s">
        <v>797</v>
      </c>
      <c r="B2244" t="s">
        <v>805</v>
      </c>
      <c r="C2244" t="s">
        <v>806</v>
      </c>
      <c r="E2244" s="2" t="s">
        <v>471</v>
      </c>
      <c r="F2244" s="2" t="s">
        <v>471</v>
      </c>
      <c r="G2244" s="1">
        <v>620.84363799999983</v>
      </c>
      <c r="H2244">
        <v>-15000</v>
      </c>
      <c r="I2244">
        <v>-356479.35215971002</v>
      </c>
      <c r="J2244">
        <v>-90</v>
      </c>
      <c r="K2244">
        <v>180</v>
      </c>
      <c r="L2244">
        <f>_xlfn.XLOOKUP(F2244,magnet_list!$A$2:$A$592,magnet_list!$M$2:$M$592,"n/a",0,1)</f>
        <v>80</v>
      </c>
      <c r="M2244">
        <f>_xlfn.XLOOKUP(F2244,magnet_list!$A$2:$A$592,magnet_list!$L$2:$L$592,"n/a",0,1)</f>
        <v>20</v>
      </c>
    </row>
    <row r="2245" spans="1:13">
      <c r="A2245" t="s">
        <v>797</v>
      </c>
      <c r="B2245" t="s">
        <v>805</v>
      </c>
      <c r="C2245" t="s">
        <v>1152</v>
      </c>
      <c r="D2245" t="s">
        <v>804</v>
      </c>
      <c r="E2245" s="2" t="s">
        <v>1909</v>
      </c>
      <c r="F2245" s="2" t="s">
        <v>471</v>
      </c>
      <c r="G2245" s="1">
        <v>620.84363799999983</v>
      </c>
      <c r="H2245">
        <v>-15000</v>
      </c>
      <c r="I2245">
        <v>-356479.35215971002</v>
      </c>
      <c r="J2245">
        <v>-90</v>
      </c>
      <c r="K2245">
        <v>180</v>
      </c>
      <c r="L2245">
        <f>_xlfn.XLOOKUP(F2245,magnet_list!$A$2:$A$592,magnet_list!$M$2:$M$592,"n/a",0,1)</f>
        <v>80</v>
      </c>
      <c r="M2245">
        <f>_xlfn.XLOOKUP(F2245,magnet_list!$A$2:$A$592,magnet_list!$L$2:$L$592,"n/a",0,1)</f>
        <v>20</v>
      </c>
    </row>
    <row r="2246" spans="1:13">
      <c r="A2246" t="s">
        <v>797</v>
      </c>
      <c r="B2246" t="s">
        <v>805</v>
      </c>
      <c r="C2246" t="s">
        <v>806</v>
      </c>
      <c r="E2246" s="2" t="s">
        <v>472</v>
      </c>
      <c r="F2246" s="2" t="s">
        <v>472</v>
      </c>
      <c r="G2246" s="1">
        <v>621.04364199999975</v>
      </c>
      <c r="H2246">
        <v>-15000</v>
      </c>
      <c r="I2246">
        <v>-356679.33214185998</v>
      </c>
      <c r="J2246">
        <v>-90</v>
      </c>
      <c r="K2246">
        <v>180</v>
      </c>
      <c r="L2246">
        <f>_xlfn.XLOOKUP(F2246,magnet_list!$A$2:$A$592,magnet_list!$M$2:$M$592,"n/a",0,1)</f>
        <v>80</v>
      </c>
      <c r="M2246">
        <f>_xlfn.XLOOKUP(F2246,magnet_list!$A$2:$A$592,magnet_list!$L$2:$L$592,"n/a",0,1)</f>
        <v>20</v>
      </c>
    </row>
    <row r="2247" spans="1:13">
      <c r="A2247" t="s">
        <v>797</v>
      </c>
      <c r="B2247" t="s">
        <v>805</v>
      </c>
      <c r="C2247" t="s">
        <v>1152</v>
      </c>
      <c r="D2247" t="s">
        <v>804</v>
      </c>
      <c r="E2247" s="2" t="s">
        <v>1910</v>
      </c>
      <c r="F2247" s="2" t="s">
        <v>472</v>
      </c>
      <c r="G2247" s="1">
        <v>621.04364199999975</v>
      </c>
      <c r="H2247">
        <v>-15000</v>
      </c>
      <c r="I2247">
        <v>-356679.33214185998</v>
      </c>
      <c r="J2247">
        <v>-90</v>
      </c>
      <c r="K2247">
        <v>180</v>
      </c>
      <c r="L2247">
        <f>_xlfn.XLOOKUP(F2247,magnet_list!$A$2:$A$592,magnet_list!$M$2:$M$592,"n/a",0,1)</f>
        <v>80</v>
      </c>
      <c r="M2247">
        <f>_xlfn.XLOOKUP(F2247,magnet_list!$A$2:$A$592,magnet_list!$L$2:$L$592,"n/a",0,1)</f>
        <v>20</v>
      </c>
    </row>
    <row r="2248" spans="1:13">
      <c r="A2248" t="s">
        <v>797</v>
      </c>
      <c r="B2248" t="s">
        <v>805</v>
      </c>
      <c r="C2248" t="s">
        <v>806</v>
      </c>
      <c r="E2248" s="2" t="s">
        <v>473</v>
      </c>
      <c r="F2248" s="2" t="s">
        <v>2809</v>
      </c>
      <c r="G2248" s="1">
        <v>621.29859699999975</v>
      </c>
      <c r="H2248">
        <v>-15000</v>
      </c>
      <c r="I2248">
        <v>-356934.33013304998</v>
      </c>
      <c r="J2248">
        <v>-50</v>
      </c>
      <c r="K2248">
        <v>220</v>
      </c>
      <c r="L2248">
        <f>_xlfn.XLOOKUP(F2248,magnet_list!$A$2:$A$592,magnet_list!$M$2:$M$592,"n/a",0,1)</f>
        <v>200</v>
      </c>
      <c r="M2248">
        <f>_xlfn.XLOOKUP(F2248,magnet_list!$A$2:$A$592,magnet_list!$L$2:$L$592,"n/a",0,1)</f>
        <v>20</v>
      </c>
    </row>
    <row r="2249" spans="1:13">
      <c r="A2249" t="s">
        <v>797</v>
      </c>
      <c r="B2249" t="s">
        <v>805</v>
      </c>
      <c r="C2249" t="s">
        <v>1152</v>
      </c>
      <c r="D2249" t="s">
        <v>804</v>
      </c>
      <c r="E2249" s="2" t="s">
        <v>791</v>
      </c>
      <c r="F2249" s="2" t="s">
        <v>2809</v>
      </c>
      <c r="G2249" s="1">
        <v>621.37360349999972</v>
      </c>
      <c r="H2249">
        <v>-15000</v>
      </c>
      <c r="I2249">
        <v>-357009.33663304994</v>
      </c>
      <c r="J2249">
        <v>-50</v>
      </c>
      <c r="K2249">
        <v>220</v>
      </c>
      <c r="L2249">
        <f>_xlfn.XLOOKUP(F2249,magnet_list!$A$2:$A$592,magnet_list!$M$2:$M$592,"n/a",0,1)</f>
        <v>200</v>
      </c>
      <c r="M2249">
        <f>_xlfn.XLOOKUP(F2249,magnet_list!$A$2:$A$592,magnet_list!$L$2:$L$592,"n/a",0,1)</f>
        <v>20</v>
      </c>
    </row>
    <row r="2250" spans="1:13">
      <c r="A2250" t="s">
        <v>797</v>
      </c>
      <c r="B2250" t="s">
        <v>805</v>
      </c>
      <c r="C2250" t="s">
        <v>806</v>
      </c>
      <c r="E2250" s="2" t="s">
        <v>474</v>
      </c>
      <c r="F2250" s="2" t="s">
        <v>2809</v>
      </c>
      <c r="G2250" s="1">
        <v>621.4486099999998</v>
      </c>
      <c r="H2250">
        <v>-15000</v>
      </c>
      <c r="I2250">
        <v>-357084.31651873002</v>
      </c>
      <c r="J2250">
        <v>-50</v>
      </c>
      <c r="K2250">
        <v>220</v>
      </c>
      <c r="L2250">
        <f>_xlfn.XLOOKUP(F2250,magnet_list!$A$2:$A$592,magnet_list!$M$2:$M$592,"n/a",0,1)</f>
        <v>200</v>
      </c>
      <c r="M2250">
        <f>_xlfn.XLOOKUP(F2250,magnet_list!$A$2:$A$592,magnet_list!$L$2:$L$592,"n/a",0,1)</f>
        <v>20</v>
      </c>
    </row>
    <row r="2251" spans="1:13">
      <c r="A2251" t="s">
        <v>797</v>
      </c>
      <c r="B2251" t="s">
        <v>2288</v>
      </c>
      <c r="C2251" t="s">
        <v>1152</v>
      </c>
      <c r="D2251" t="s">
        <v>804</v>
      </c>
      <c r="E2251" s="8" t="s">
        <v>2307</v>
      </c>
      <c r="F2251" s="8" t="s">
        <v>2307</v>
      </c>
      <c r="G2251" s="1">
        <f>$G$2240+ABS($I$2251-$I$2240)/1000</f>
        <v>621.67675416136979</v>
      </c>
      <c r="H2251">
        <v>-15000</v>
      </c>
      <c r="I2251">
        <f>$I$2240-1364.5127</f>
        <v>-357200.41329546017</v>
      </c>
      <c r="J2251">
        <v>-270</v>
      </c>
      <c r="K2251">
        <v>0</v>
      </c>
    </row>
    <row r="2252" spans="1:13">
      <c r="A2252" t="s">
        <v>797</v>
      </c>
      <c r="B2252" t="s">
        <v>803</v>
      </c>
      <c r="C2252" t="s">
        <v>806</v>
      </c>
      <c r="E2252" t="s">
        <v>1071</v>
      </c>
      <c r="F2252" t="s">
        <v>1071</v>
      </c>
      <c r="G2252" s="1">
        <v>621.68815199999983</v>
      </c>
      <c r="H2252">
        <v>-15400</v>
      </c>
      <c r="I2252">
        <v>-357326.81264123</v>
      </c>
      <c r="J2252">
        <v>-689</v>
      </c>
      <c r="K2252">
        <v>-419</v>
      </c>
    </row>
    <row r="2253" spans="1:13">
      <c r="A2253" t="s">
        <v>797</v>
      </c>
      <c r="B2253" t="s">
        <v>804</v>
      </c>
      <c r="C2253" t="s">
        <v>1152</v>
      </c>
      <c r="D2253" t="s">
        <v>804</v>
      </c>
      <c r="E2253" s="10" t="s">
        <v>1822</v>
      </c>
      <c r="F2253" s="10" t="s">
        <v>2810</v>
      </c>
      <c r="G2253" s="1">
        <f>$G$2254-ABS($I$2254-$I$2253)/1000</f>
        <v>621.85722336136985</v>
      </c>
      <c r="H2253">
        <v>-15000</v>
      </c>
      <c r="I2253">
        <f>$I$2254+$L$2253/2</f>
        <v>-357380.88249546016</v>
      </c>
      <c r="J2253">
        <v>-270</v>
      </c>
      <c r="K2253">
        <v>0</v>
      </c>
      <c r="L2253">
        <v>1889.4492</v>
      </c>
    </row>
    <row r="2254" spans="1:13">
      <c r="A2254" t="s">
        <v>797</v>
      </c>
      <c r="B2254" t="s">
        <v>804</v>
      </c>
      <c r="C2254" t="s">
        <v>1152</v>
      </c>
      <c r="D2254" t="s">
        <v>804</v>
      </c>
      <c r="E2254" s="10" t="s">
        <v>1220</v>
      </c>
      <c r="F2254" s="10" t="s">
        <v>2810</v>
      </c>
      <c r="G2254" s="1">
        <f>$G$2251+ABS($I$2254-$I$2251)/1000</f>
        <v>622.80194796136982</v>
      </c>
      <c r="H2254">
        <v>-15000</v>
      </c>
      <c r="I2254">
        <f>$I$2251-1125.1938</f>
        <v>-358325.60709546017</v>
      </c>
      <c r="J2254">
        <v>-270</v>
      </c>
      <c r="K2254">
        <v>0</v>
      </c>
      <c r="L2254">
        <v>1889.4492</v>
      </c>
    </row>
    <row r="2255" spans="1:13">
      <c r="A2255" t="s">
        <v>797</v>
      </c>
      <c r="B2255" t="s">
        <v>804</v>
      </c>
      <c r="C2255" t="s">
        <v>1152</v>
      </c>
      <c r="D2255" t="s">
        <v>804</v>
      </c>
      <c r="E2255" s="10" t="s">
        <v>1823</v>
      </c>
      <c r="F2255" s="10" t="s">
        <v>2810</v>
      </c>
      <c r="G2255" s="1">
        <f>$G$2254+ABS($I$2255-$I$2254)/1000</f>
        <v>623.74667256136979</v>
      </c>
      <c r="H2255">
        <v>-15000</v>
      </c>
      <c r="I2255">
        <f>$I$2254-$L$2255/2</f>
        <v>-359270.33169546019</v>
      </c>
      <c r="J2255">
        <v>-270</v>
      </c>
      <c r="K2255">
        <v>0</v>
      </c>
      <c r="L2255">
        <v>1889.4492</v>
      </c>
    </row>
    <row r="2256" spans="1:13">
      <c r="A2256" t="s">
        <v>797</v>
      </c>
      <c r="B2256" t="s">
        <v>804</v>
      </c>
      <c r="C2256" t="s">
        <v>1152</v>
      </c>
      <c r="D2256" t="s">
        <v>804</v>
      </c>
      <c r="E2256" s="10" t="s">
        <v>1824</v>
      </c>
      <c r="F2256" s="10" t="s">
        <v>2811</v>
      </c>
      <c r="G2256" s="1">
        <f>$G$2257-ABS($I$2257-$I$2256)/1000</f>
        <v>623.95661436136982</v>
      </c>
      <c r="H2256">
        <v>-15000</v>
      </c>
      <c r="I2256">
        <f>$I$2257+$L$2256/2</f>
        <v>-359480.27349546016</v>
      </c>
      <c r="J2256">
        <v>-270</v>
      </c>
      <c r="K2256">
        <v>0</v>
      </c>
      <c r="L2256">
        <v>1889.4492</v>
      </c>
    </row>
    <row r="2257" spans="1:12">
      <c r="A2257" t="s">
        <v>797</v>
      </c>
      <c r="B2257" t="s">
        <v>804</v>
      </c>
      <c r="C2257" t="s">
        <v>1152</v>
      </c>
      <c r="D2257" t="s">
        <v>804</v>
      </c>
      <c r="E2257" s="10" t="s">
        <v>1276</v>
      </c>
      <c r="F2257" s="10" t="s">
        <v>2811</v>
      </c>
      <c r="G2257" s="1">
        <f>$G$2254+ABS($I$2257-$I$2254)/1000</f>
        <v>624.90133896136979</v>
      </c>
      <c r="H2257">
        <v>-15000</v>
      </c>
      <c r="I2257">
        <f>$I$2254-2099.391</f>
        <v>-360424.99809546018</v>
      </c>
      <c r="J2257">
        <v>-270</v>
      </c>
      <c r="K2257">
        <v>0</v>
      </c>
      <c r="L2257">
        <v>1889.4492</v>
      </c>
    </row>
    <row r="2258" spans="1:12">
      <c r="A2258" t="s">
        <v>797</v>
      </c>
      <c r="B2258" t="s">
        <v>803</v>
      </c>
      <c r="C2258" t="s">
        <v>806</v>
      </c>
      <c r="E2258" t="s">
        <v>918</v>
      </c>
      <c r="F2258" t="s">
        <v>918</v>
      </c>
      <c r="G2258" s="1">
        <v>625.18264699999986</v>
      </c>
      <c r="H2258">
        <v>-13489.300815340001</v>
      </c>
      <c r="I2258">
        <v>-360820.66037390998</v>
      </c>
      <c r="J2258">
        <v>-17.899462379999999</v>
      </c>
      <c r="K2258">
        <v>252.10053762000001</v>
      </c>
    </row>
    <row r="2259" spans="1:12">
      <c r="A2259" t="s">
        <v>797</v>
      </c>
      <c r="B2259" t="s">
        <v>803</v>
      </c>
      <c r="C2259" t="s">
        <v>806</v>
      </c>
      <c r="E2259" t="s">
        <v>917</v>
      </c>
      <c r="F2259" t="s">
        <v>917</v>
      </c>
      <c r="G2259" s="1">
        <v>625.55430799999988</v>
      </c>
      <c r="H2259">
        <v>-17443.25970631</v>
      </c>
      <c r="I2259">
        <v>-361193.68911828002</v>
      </c>
      <c r="J2259">
        <v>-18.49761784</v>
      </c>
      <c r="K2259">
        <v>251.50238216</v>
      </c>
    </row>
    <row r="2260" spans="1:12">
      <c r="A2260" t="s">
        <v>797</v>
      </c>
      <c r="B2260" t="s">
        <v>804</v>
      </c>
      <c r="C2260" t="s">
        <v>1152</v>
      </c>
      <c r="D2260" t="s">
        <v>804</v>
      </c>
      <c r="E2260" s="10" t="s">
        <v>1825</v>
      </c>
      <c r="F2260" s="10" t="s">
        <v>2811</v>
      </c>
      <c r="G2260" s="1">
        <f>$G$2257+ABS($I$2260-$I$2257)/1000</f>
        <v>625.84606356136976</v>
      </c>
      <c r="H2260">
        <v>-15000</v>
      </c>
      <c r="I2260">
        <f>$I$2257-$L$2260/2</f>
        <v>-361369.72269546019</v>
      </c>
      <c r="J2260">
        <v>-270</v>
      </c>
      <c r="K2260">
        <v>0</v>
      </c>
      <c r="L2260">
        <v>1889.4492</v>
      </c>
    </row>
    <row r="2261" spans="1:12">
      <c r="A2261" t="s">
        <v>797</v>
      </c>
      <c r="B2261" t="s">
        <v>1152</v>
      </c>
      <c r="C2261" t="s">
        <v>1152</v>
      </c>
      <c r="D2261" t="s">
        <v>804</v>
      </c>
      <c r="E2261" s="3" t="s">
        <v>2185</v>
      </c>
      <c r="F2261" s="3" t="s">
        <v>2185</v>
      </c>
      <c r="G2261" s="1">
        <f>$G$2257+ABS($I$2261-$I$2257)/1000</f>
        <v>626.0559361613698</v>
      </c>
      <c r="H2261">
        <v>-15000</v>
      </c>
      <c r="I2261">
        <f>$I$2257-1154.5972</f>
        <v>-361579.5952954602</v>
      </c>
      <c r="J2261">
        <v>-270</v>
      </c>
      <c r="K2261">
        <v>0</v>
      </c>
    </row>
    <row r="2262" spans="1:12">
      <c r="A2262" t="s">
        <v>797</v>
      </c>
      <c r="B2262" t="s">
        <v>1152</v>
      </c>
      <c r="C2262" t="s">
        <v>1152</v>
      </c>
      <c r="D2262" t="s">
        <v>804</v>
      </c>
      <c r="E2262" s="3" t="s">
        <v>2186</v>
      </c>
      <c r="F2262" s="3" t="s">
        <v>2186</v>
      </c>
      <c r="G2262" s="1">
        <f>$G$2261+ABS($I$2262-$I$2261)/1000</f>
        <v>626.14093616136984</v>
      </c>
      <c r="H2262">
        <v>-15000</v>
      </c>
      <c r="I2262">
        <f>$I$2261-85</f>
        <v>-361664.5952954602</v>
      </c>
      <c r="J2262">
        <v>-270</v>
      </c>
      <c r="K2262">
        <v>0</v>
      </c>
    </row>
    <row r="2263" spans="1:12">
      <c r="A2263" t="s">
        <v>797</v>
      </c>
      <c r="B2263" t="s">
        <v>804</v>
      </c>
      <c r="C2263" t="s">
        <v>1152</v>
      </c>
      <c r="D2263" t="s">
        <v>804</v>
      </c>
      <c r="E2263" s="10" t="s">
        <v>1826</v>
      </c>
      <c r="F2263" s="10" t="s">
        <v>2812</v>
      </c>
      <c r="G2263" s="1">
        <f>$G$2264-ABS($I$2264-$I$2263)/1000</f>
        <v>626.37090536136986</v>
      </c>
      <c r="H2263">
        <v>-15000</v>
      </c>
      <c r="I2263">
        <f>$I$2264+$L$2263/2</f>
        <v>-361894.56449546019</v>
      </c>
      <c r="J2263">
        <v>-270</v>
      </c>
      <c r="K2263">
        <v>0</v>
      </c>
      <c r="L2263">
        <v>1889.4492</v>
      </c>
    </row>
    <row r="2264" spans="1:12">
      <c r="A2264" t="s">
        <v>797</v>
      </c>
      <c r="B2264" t="s">
        <v>804</v>
      </c>
      <c r="C2264" t="s">
        <v>1152</v>
      </c>
      <c r="D2264" t="s">
        <v>804</v>
      </c>
      <c r="E2264" s="10" t="s">
        <v>1330</v>
      </c>
      <c r="F2264" s="10" t="s">
        <v>2812</v>
      </c>
      <c r="G2264" s="1">
        <f>$G$2262+ABS($I$2264-$I$2262)/1000</f>
        <v>627.31562996136984</v>
      </c>
      <c r="H2264">
        <v>-15000</v>
      </c>
      <c r="I2264">
        <f>$I$2262-1174.6938</f>
        <v>-362839.2890954602</v>
      </c>
      <c r="J2264">
        <v>-270</v>
      </c>
      <c r="K2264">
        <v>0</v>
      </c>
      <c r="L2264">
        <v>1889.4492</v>
      </c>
    </row>
    <row r="2265" spans="1:12">
      <c r="A2265" t="s">
        <v>797</v>
      </c>
      <c r="B2265" t="s">
        <v>804</v>
      </c>
      <c r="C2265" t="s">
        <v>1152</v>
      </c>
      <c r="D2265" t="s">
        <v>804</v>
      </c>
      <c r="E2265" s="10" t="s">
        <v>1827</v>
      </c>
      <c r="F2265" s="10" t="s">
        <v>2812</v>
      </c>
      <c r="G2265" s="1">
        <f>$G$2264+ABS($I$2265-$I$2264)/1000</f>
        <v>628.26035456136981</v>
      </c>
      <c r="H2265">
        <v>-15000</v>
      </c>
      <c r="I2265">
        <f>$I$2264-$L$2265/2</f>
        <v>-363784.01369546022</v>
      </c>
      <c r="J2265">
        <v>-270</v>
      </c>
      <c r="K2265">
        <v>0</v>
      </c>
      <c r="L2265">
        <v>1889.4492</v>
      </c>
    </row>
    <row r="2266" spans="1:12">
      <c r="A2266" t="s">
        <v>797</v>
      </c>
      <c r="B2266" t="s">
        <v>804</v>
      </c>
      <c r="C2266" t="s">
        <v>1152</v>
      </c>
      <c r="D2266" t="s">
        <v>804</v>
      </c>
      <c r="E2266" s="10" t="s">
        <v>1828</v>
      </c>
      <c r="F2266" s="10" t="s">
        <v>2813</v>
      </c>
      <c r="G2266" s="1">
        <f>$G$2267-ABS($I$2267-$I$2266)/1000</f>
        <v>628.47029636136983</v>
      </c>
      <c r="H2266">
        <v>-15000</v>
      </c>
      <c r="I2266">
        <f>$I$2267+$L$2266/2</f>
        <v>-363993.95549546019</v>
      </c>
      <c r="J2266">
        <v>-270</v>
      </c>
      <c r="K2266">
        <v>0</v>
      </c>
      <c r="L2266">
        <v>1889.4492</v>
      </c>
    </row>
    <row r="2267" spans="1:12">
      <c r="A2267" t="s">
        <v>797</v>
      </c>
      <c r="B2267" t="s">
        <v>804</v>
      </c>
      <c r="C2267" t="s">
        <v>1152</v>
      </c>
      <c r="D2267" t="s">
        <v>804</v>
      </c>
      <c r="E2267" s="10" t="s">
        <v>1384</v>
      </c>
      <c r="F2267" s="10" t="s">
        <v>2813</v>
      </c>
      <c r="G2267" s="1">
        <f>$G$2264+ABS($I$2267-$I$2264)/1000</f>
        <v>629.41502096136981</v>
      </c>
      <c r="H2267">
        <v>-15000</v>
      </c>
      <c r="I2267">
        <f>$I$2264-2099.391</f>
        <v>-364938.68009546021</v>
      </c>
      <c r="J2267">
        <v>-270</v>
      </c>
      <c r="K2267">
        <v>0</v>
      </c>
      <c r="L2267">
        <v>1889.4492</v>
      </c>
    </row>
    <row r="2268" spans="1:12">
      <c r="A2268" t="s">
        <v>797</v>
      </c>
      <c r="B2268" t="s">
        <v>804</v>
      </c>
      <c r="C2268" t="s">
        <v>1152</v>
      </c>
      <c r="D2268" t="s">
        <v>804</v>
      </c>
      <c r="E2268" s="10" t="s">
        <v>1829</v>
      </c>
      <c r="F2268" s="10" t="s">
        <v>2813</v>
      </c>
      <c r="G2268" s="1">
        <f>$G$2267+ABS($I$2268-$I$2267)/1000</f>
        <v>630.35974556136978</v>
      </c>
      <c r="H2268">
        <v>-15000</v>
      </c>
      <c r="I2268">
        <f>$I$2267-$L$2268/2</f>
        <v>-365883.40469546022</v>
      </c>
      <c r="J2268">
        <v>-270</v>
      </c>
      <c r="K2268">
        <v>0</v>
      </c>
      <c r="L2268">
        <v>1889.4492</v>
      </c>
    </row>
    <row r="2269" spans="1:12">
      <c r="A2269" t="s">
        <v>797</v>
      </c>
      <c r="B2269" t="s">
        <v>2288</v>
      </c>
      <c r="C2269" t="s">
        <v>1152</v>
      </c>
      <c r="D2269" t="s">
        <v>804</v>
      </c>
      <c r="E2269" s="8" t="s">
        <v>2308</v>
      </c>
      <c r="F2269" s="8" t="s">
        <v>2308</v>
      </c>
      <c r="G2269" s="1">
        <f>$G$2267+ABS($I$2269-$I$2267)/1000</f>
        <v>630.46924146136985</v>
      </c>
      <c r="H2269">
        <v>-15000</v>
      </c>
      <c r="I2269">
        <f>$I$2267-1054.2205</f>
        <v>-365992.9005954602</v>
      </c>
      <c r="J2269">
        <v>-270</v>
      </c>
      <c r="K2269">
        <v>0</v>
      </c>
    </row>
    <row r="2270" spans="1:12">
      <c r="A2270" t="s">
        <v>797</v>
      </c>
      <c r="B2270" t="s">
        <v>803</v>
      </c>
      <c r="C2270" t="s">
        <v>806</v>
      </c>
      <c r="E2270" t="s">
        <v>1070</v>
      </c>
      <c r="F2270" t="s">
        <v>1070</v>
      </c>
      <c r="G2270" s="1">
        <v>630.40510199999983</v>
      </c>
      <c r="H2270">
        <v>-15400</v>
      </c>
      <c r="I2270">
        <v>-366043.74203321</v>
      </c>
      <c r="J2270">
        <v>-689</v>
      </c>
      <c r="K2270">
        <v>-419</v>
      </c>
    </row>
    <row r="2271" spans="1:12">
      <c r="A2271" t="s">
        <v>797</v>
      </c>
      <c r="B2271" t="s">
        <v>1152</v>
      </c>
      <c r="C2271" t="s">
        <v>1152</v>
      </c>
      <c r="D2271" t="s">
        <v>804</v>
      </c>
      <c r="E2271" s="7" t="s">
        <v>2187</v>
      </c>
      <c r="F2271" s="7" t="s">
        <v>2187</v>
      </c>
      <c r="G2271" s="1">
        <f>$G$2269+ABS($I$2271-$I$2269)/1000</f>
        <v>630.55424146136988</v>
      </c>
      <c r="H2271">
        <v>-15000</v>
      </c>
      <c r="I2271">
        <f>$I$2269-85</f>
        <v>-366077.9005954602</v>
      </c>
      <c r="J2271">
        <v>-270</v>
      </c>
      <c r="K2271">
        <v>0</v>
      </c>
    </row>
    <row r="2272" spans="1:12">
      <c r="A2272" t="s">
        <v>797</v>
      </c>
      <c r="B2272" t="s">
        <v>803</v>
      </c>
      <c r="C2272" t="s">
        <v>806</v>
      </c>
      <c r="E2272" t="s">
        <v>919</v>
      </c>
      <c r="F2272" t="s">
        <v>919</v>
      </c>
      <c r="G2272" s="1">
        <v>635.41179099999988</v>
      </c>
      <c r="H2272">
        <v>-17442.414703539998</v>
      </c>
      <c r="I2272">
        <v>-371051.17406331003</v>
      </c>
      <c r="J2272">
        <v>-19.4225314</v>
      </c>
      <c r="K2272">
        <v>250.5774686</v>
      </c>
    </row>
    <row r="2273" spans="1:13">
      <c r="A2273" t="s">
        <v>797</v>
      </c>
      <c r="B2273" t="s">
        <v>803</v>
      </c>
      <c r="C2273" t="s">
        <v>806</v>
      </c>
      <c r="E2273" t="s">
        <v>920</v>
      </c>
      <c r="F2273" t="s">
        <v>920</v>
      </c>
      <c r="G2273" s="1">
        <v>635.74521299999992</v>
      </c>
      <c r="H2273">
        <v>-13483.77217695</v>
      </c>
      <c r="I2273">
        <v>-371383.18979542999</v>
      </c>
      <c r="J2273">
        <v>-19.603097229999999</v>
      </c>
      <c r="K2273">
        <v>250.39690277</v>
      </c>
    </row>
    <row r="2274" spans="1:13">
      <c r="A2274" t="s">
        <v>797</v>
      </c>
      <c r="B2274" t="s">
        <v>803</v>
      </c>
      <c r="C2274" t="s">
        <v>806</v>
      </c>
      <c r="E2274" t="s">
        <v>921</v>
      </c>
      <c r="F2274" t="s">
        <v>921</v>
      </c>
      <c r="G2274" s="1">
        <v>637.79945299999986</v>
      </c>
      <c r="H2274">
        <v>-17435.153758029999</v>
      </c>
      <c r="I2274">
        <v>-373438.82332789002</v>
      </c>
      <c r="J2274">
        <v>-19.512586209999998</v>
      </c>
      <c r="K2274">
        <v>250.48741379000001</v>
      </c>
    </row>
    <row r="2275" spans="1:13">
      <c r="A2275" t="s">
        <v>797</v>
      </c>
      <c r="B2275" t="s">
        <v>1152</v>
      </c>
      <c r="C2275" t="s">
        <v>1152</v>
      </c>
      <c r="D2275" t="s">
        <v>804</v>
      </c>
      <c r="E2275" s="7" t="s">
        <v>2188</v>
      </c>
      <c r="F2275" s="7" t="s">
        <v>2188</v>
      </c>
      <c r="G2275" s="1">
        <f>$G$2271+ABS($I$2275-$I$2271)/1000</f>
        <v>639.13531946136982</v>
      </c>
      <c r="H2275">
        <v>-15000</v>
      </c>
      <c r="I2275">
        <f>$I$2271-8581.078</f>
        <v>-374658.97859546018</v>
      </c>
      <c r="J2275">
        <v>-270</v>
      </c>
      <c r="K2275">
        <v>0</v>
      </c>
    </row>
    <row r="2276" spans="1:13">
      <c r="A2276" t="s">
        <v>797</v>
      </c>
      <c r="B2276" t="s">
        <v>2288</v>
      </c>
      <c r="C2276" t="s">
        <v>1152</v>
      </c>
      <c r="D2276" t="s">
        <v>804</v>
      </c>
      <c r="E2276" s="9" t="s">
        <v>2309</v>
      </c>
      <c r="F2276" s="9" t="s">
        <v>2309</v>
      </c>
      <c r="G2276" s="1">
        <f>$G$2275+ABS($I$2276-$I$2275)/1000</f>
        <v>639.30031946136978</v>
      </c>
      <c r="H2276">
        <v>-15000</v>
      </c>
      <c r="I2276">
        <f>$I$2275-165</f>
        <v>-374823.97859546018</v>
      </c>
      <c r="J2276">
        <v>-270</v>
      </c>
      <c r="K2276">
        <v>0</v>
      </c>
    </row>
    <row r="2277" spans="1:13">
      <c r="A2277" t="s">
        <v>797</v>
      </c>
      <c r="B2277" t="s">
        <v>1152</v>
      </c>
      <c r="C2277" t="s">
        <v>1152</v>
      </c>
      <c r="D2277" t="s">
        <v>804</v>
      </c>
      <c r="E2277" s="7" t="s">
        <v>2189</v>
      </c>
      <c r="F2277" s="7" t="s">
        <v>2189</v>
      </c>
      <c r="G2277" s="1">
        <f>$G$2276+ABS($I$2277-$I$2276)/1000</f>
        <v>639.42131946136976</v>
      </c>
      <c r="H2277">
        <v>-15000</v>
      </c>
      <c r="I2277">
        <f>$I$2276-121</f>
        <v>-374944.97859546018</v>
      </c>
      <c r="J2277">
        <v>-270</v>
      </c>
      <c r="K2277">
        <v>0</v>
      </c>
    </row>
    <row r="2278" spans="1:13">
      <c r="A2278" t="s">
        <v>797</v>
      </c>
      <c r="B2278" t="s">
        <v>805</v>
      </c>
      <c r="C2278" t="s">
        <v>806</v>
      </c>
      <c r="E2278" s="2" t="s">
        <v>475</v>
      </c>
      <c r="F2278" s="2" t="s">
        <v>2814</v>
      </c>
      <c r="G2278" s="1">
        <v>639.54033999999979</v>
      </c>
      <c r="H2278">
        <v>-15000</v>
      </c>
      <c r="I2278">
        <v>-375176.06729094998</v>
      </c>
      <c r="J2278">
        <v>-50</v>
      </c>
      <c r="K2278">
        <v>220</v>
      </c>
      <c r="L2278">
        <f>_xlfn.XLOOKUP(F2278,magnet_list!$A$2:$A$592,magnet_list!$M$2:$M$592,"n/a",0,1)</f>
        <v>200</v>
      </c>
      <c r="M2278">
        <f>_xlfn.XLOOKUP(F2278,magnet_list!$A$2:$A$592,magnet_list!$L$2:$L$592,"n/a",0,1)</f>
        <v>20</v>
      </c>
    </row>
    <row r="2279" spans="1:13">
      <c r="A2279" t="s">
        <v>797</v>
      </c>
      <c r="B2279" t="s">
        <v>803</v>
      </c>
      <c r="C2279" t="s">
        <v>806</v>
      </c>
      <c r="E2279" t="s">
        <v>923</v>
      </c>
      <c r="F2279" t="s">
        <v>923</v>
      </c>
      <c r="G2279" s="1">
        <v>639.5571398999997</v>
      </c>
      <c r="H2279">
        <v>-13485.17741624</v>
      </c>
      <c r="I2279">
        <v>-375192.70125839999</v>
      </c>
      <c r="J2279">
        <v>-19.593431079999998</v>
      </c>
      <c r="K2279">
        <v>250.40656892000001</v>
      </c>
    </row>
    <row r="2280" spans="1:13">
      <c r="A2280" t="s">
        <v>797</v>
      </c>
      <c r="B2280" t="s">
        <v>805</v>
      </c>
      <c r="C2280" t="s">
        <v>1152</v>
      </c>
      <c r="D2280" t="s">
        <v>804</v>
      </c>
      <c r="E2280" s="2" t="s">
        <v>792</v>
      </c>
      <c r="F2280" s="2" t="s">
        <v>2814</v>
      </c>
      <c r="G2280" s="1">
        <v>639.61534399999982</v>
      </c>
      <c r="H2280">
        <v>-15000</v>
      </c>
      <c r="I2280">
        <v>-375251.07129095</v>
      </c>
      <c r="J2280">
        <v>-50</v>
      </c>
      <c r="K2280">
        <v>220</v>
      </c>
      <c r="L2280">
        <f>_xlfn.XLOOKUP(F2280,magnet_list!$A$2:$A$592,magnet_list!$M$2:$M$592,"n/a",0,1)</f>
        <v>200</v>
      </c>
      <c r="M2280">
        <f>_xlfn.XLOOKUP(F2280,magnet_list!$A$2:$A$592,magnet_list!$L$2:$L$592,"n/a",0,1)</f>
        <v>20</v>
      </c>
    </row>
    <row r="2281" spans="1:13">
      <c r="A2281" t="s">
        <v>797</v>
      </c>
      <c r="B2281" t="s">
        <v>805</v>
      </c>
      <c r="C2281" t="s">
        <v>806</v>
      </c>
      <c r="E2281" s="2" t="s">
        <v>476</v>
      </c>
      <c r="F2281" s="2" t="s">
        <v>2814</v>
      </c>
      <c r="G2281" s="1">
        <v>639.69034799999974</v>
      </c>
      <c r="H2281">
        <v>-15000</v>
      </c>
      <c r="I2281">
        <v>-375326.07417218998</v>
      </c>
      <c r="J2281">
        <v>-50</v>
      </c>
      <c r="K2281">
        <v>220</v>
      </c>
      <c r="L2281">
        <f>_xlfn.XLOOKUP(F2281,magnet_list!$A$2:$A$592,magnet_list!$M$2:$M$592,"n/a",0,1)</f>
        <v>200</v>
      </c>
      <c r="M2281">
        <f>_xlfn.XLOOKUP(F2281,magnet_list!$A$2:$A$592,magnet_list!$L$2:$L$592,"n/a",0,1)</f>
        <v>20</v>
      </c>
    </row>
    <row r="2282" spans="1:13">
      <c r="A2282" t="s">
        <v>797</v>
      </c>
      <c r="B2282" t="s">
        <v>805</v>
      </c>
      <c r="C2282" t="s">
        <v>806</v>
      </c>
      <c r="E2282" s="2" t="s">
        <v>477</v>
      </c>
      <c r="F2282" s="2" t="s">
        <v>477</v>
      </c>
      <c r="G2282" s="1">
        <v>639.94529699999975</v>
      </c>
      <c r="H2282">
        <v>-15000</v>
      </c>
      <c r="I2282">
        <v>-375581.03001305001</v>
      </c>
      <c r="J2282">
        <v>-90</v>
      </c>
      <c r="K2282">
        <v>180</v>
      </c>
      <c r="L2282">
        <f>_xlfn.XLOOKUP(F2282,magnet_list!$A$2:$A$592,magnet_list!$M$2:$M$592,"n/a",0,1)</f>
        <v>80</v>
      </c>
      <c r="M2282">
        <f>_xlfn.XLOOKUP(F2282,magnet_list!$A$2:$A$592,magnet_list!$L$2:$L$592,"n/a",0,1)</f>
        <v>20</v>
      </c>
    </row>
    <row r="2283" spans="1:13">
      <c r="A2283" t="s">
        <v>797</v>
      </c>
      <c r="B2283" t="s">
        <v>805</v>
      </c>
      <c r="C2283" t="s">
        <v>1152</v>
      </c>
      <c r="D2283" t="s">
        <v>804</v>
      </c>
      <c r="E2283" s="2" t="s">
        <v>1911</v>
      </c>
      <c r="F2283" s="2" t="s">
        <v>477</v>
      </c>
      <c r="G2283" s="1">
        <v>639.94529699999975</v>
      </c>
      <c r="H2283">
        <v>-15000</v>
      </c>
      <c r="I2283">
        <v>-375581.03001305001</v>
      </c>
      <c r="J2283">
        <v>-90</v>
      </c>
      <c r="K2283">
        <v>180</v>
      </c>
      <c r="L2283">
        <f>_xlfn.XLOOKUP(F2283,magnet_list!$A$2:$A$592,magnet_list!$M$2:$M$592,"n/a",0,1)</f>
        <v>80</v>
      </c>
      <c r="M2283">
        <f>_xlfn.XLOOKUP(F2283,magnet_list!$A$2:$A$592,magnet_list!$L$2:$L$592,"n/a",0,1)</f>
        <v>20</v>
      </c>
    </row>
    <row r="2284" spans="1:13">
      <c r="A2284" t="s">
        <v>797</v>
      </c>
      <c r="B2284" t="s">
        <v>803</v>
      </c>
      <c r="C2284" t="s">
        <v>806</v>
      </c>
      <c r="E2284" t="s">
        <v>922</v>
      </c>
      <c r="F2284" t="s">
        <v>922</v>
      </c>
      <c r="G2284" s="1">
        <v>639.96726899999987</v>
      </c>
      <c r="H2284">
        <v>-17442.769724770002</v>
      </c>
      <c r="I2284">
        <v>-375606.68092055997</v>
      </c>
      <c r="J2284">
        <v>-19.498933539999999</v>
      </c>
      <c r="K2284">
        <v>250.50106646</v>
      </c>
    </row>
    <row r="2285" spans="1:13">
      <c r="A2285" t="s">
        <v>797</v>
      </c>
      <c r="B2285" t="s">
        <v>805</v>
      </c>
      <c r="C2285" t="s">
        <v>806</v>
      </c>
      <c r="E2285" s="2" t="s">
        <v>478</v>
      </c>
      <c r="F2285" s="2" t="s">
        <v>478</v>
      </c>
      <c r="G2285" s="1">
        <v>640.14536199999975</v>
      </c>
      <c r="H2285">
        <v>-15000</v>
      </c>
      <c r="I2285">
        <v>-375781.09584095998</v>
      </c>
      <c r="J2285">
        <v>-90</v>
      </c>
      <c r="K2285">
        <v>180</v>
      </c>
      <c r="L2285">
        <f>_xlfn.XLOOKUP(F2285,magnet_list!$A$2:$A$592,magnet_list!$M$2:$M$592,"n/a",0,1)</f>
        <v>80</v>
      </c>
      <c r="M2285">
        <f>_xlfn.XLOOKUP(F2285,magnet_list!$A$2:$A$592,magnet_list!$L$2:$L$592,"n/a",0,1)</f>
        <v>20</v>
      </c>
    </row>
    <row r="2286" spans="1:13">
      <c r="A2286" t="s">
        <v>797</v>
      </c>
      <c r="B2286" t="s">
        <v>805</v>
      </c>
      <c r="C2286" t="s">
        <v>1152</v>
      </c>
      <c r="D2286" t="s">
        <v>804</v>
      </c>
      <c r="E2286" s="2" t="s">
        <v>1912</v>
      </c>
      <c r="F2286" s="2" t="s">
        <v>478</v>
      </c>
      <c r="G2286" s="1">
        <v>640.14536199999975</v>
      </c>
      <c r="H2286">
        <v>-15000</v>
      </c>
      <c r="I2286">
        <v>-375781.09584095998</v>
      </c>
      <c r="J2286">
        <v>-90</v>
      </c>
      <c r="K2286">
        <v>180</v>
      </c>
      <c r="L2286">
        <f>_xlfn.XLOOKUP(F2286,magnet_list!$A$2:$A$592,magnet_list!$M$2:$M$592,"n/a",0,1)</f>
        <v>80</v>
      </c>
      <c r="M2286">
        <f>_xlfn.XLOOKUP(F2286,magnet_list!$A$2:$A$592,magnet_list!$L$2:$L$592,"n/a",0,1)</f>
        <v>20</v>
      </c>
    </row>
    <row r="2287" spans="1:13">
      <c r="A2287" t="s">
        <v>797</v>
      </c>
      <c r="B2287" t="s">
        <v>805</v>
      </c>
      <c r="C2287" t="s">
        <v>806</v>
      </c>
      <c r="E2287" s="2" t="s">
        <v>479</v>
      </c>
      <c r="F2287" s="2" t="s">
        <v>2815</v>
      </c>
      <c r="G2287" s="1">
        <v>640.40035599999965</v>
      </c>
      <c r="H2287">
        <v>-15000</v>
      </c>
      <c r="I2287">
        <v>-376036.08548513998</v>
      </c>
      <c r="J2287">
        <v>-50</v>
      </c>
      <c r="K2287">
        <v>220</v>
      </c>
      <c r="L2287">
        <f>_xlfn.XLOOKUP(F2287,magnet_list!$A$2:$A$592,magnet_list!$M$2:$M$592,"n/a",0,1)</f>
        <v>200</v>
      </c>
      <c r="M2287">
        <f>_xlfn.XLOOKUP(F2287,magnet_list!$A$2:$A$592,magnet_list!$L$2:$L$592,"n/a",0,1)</f>
        <v>20</v>
      </c>
    </row>
    <row r="2288" spans="1:13">
      <c r="A2288" t="s">
        <v>797</v>
      </c>
      <c r="B2288" t="s">
        <v>805</v>
      </c>
      <c r="C2288" t="s">
        <v>1152</v>
      </c>
      <c r="D2288" t="s">
        <v>804</v>
      </c>
      <c r="E2288" s="2" t="s">
        <v>793</v>
      </c>
      <c r="F2288" s="2" t="s">
        <v>2815</v>
      </c>
      <c r="G2288" s="1">
        <v>640.4753469999996</v>
      </c>
      <c r="H2288">
        <v>-15000</v>
      </c>
      <c r="I2288">
        <v>-376111.07648513996</v>
      </c>
      <c r="J2288">
        <v>-50</v>
      </c>
      <c r="K2288">
        <v>220</v>
      </c>
      <c r="L2288">
        <f>_xlfn.XLOOKUP(F2288,magnet_list!$A$2:$A$592,magnet_list!$M$2:$M$592,"n/a",0,1)</f>
        <v>200</v>
      </c>
      <c r="M2288">
        <f>_xlfn.XLOOKUP(F2288,magnet_list!$A$2:$A$592,magnet_list!$L$2:$L$592,"n/a",0,1)</f>
        <v>20</v>
      </c>
    </row>
    <row r="2289" spans="1:13">
      <c r="A2289" t="s">
        <v>797</v>
      </c>
      <c r="B2289" t="s">
        <v>805</v>
      </c>
      <c r="C2289" t="s">
        <v>806</v>
      </c>
      <c r="E2289" s="2" t="s">
        <v>480</v>
      </c>
      <c r="F2289" s="2" t="s">
        <v>2815</v>
      </c>
      <c r="G2289" s="1">
        <v>640.55033799999967</v>
      </c>
      <c r="H2289">
        <v>-15000</v>
      </c>
      <c r="I2289">
        <v>-376186.09238266002</v>
      </c>
      <c r="J2289">
        <v>-50</v>
      </c>
      <c r="K2289">
        <v>220</v>
      </c>
      <c r="L2289">
        <f>_xlfn.XLOOKUP(F2289,magnet_list!$A$2:$A$592,magnet_list!$M$2:$M$592,"n/a",0,1)</f>
        <v>200</v>
      </c>
      <c r="M2289">
        <f>_xlfn.XLOOKUP(F2289,magnet_list!$A$2:$A$592,magnet_list!$L$2:$L$592,"n/a",0,1)</f>
        <v>20</v>
      </c>
    </row>
    <row r="2290" spans="1:13">
      <c r="A2290" t="s">
        <v>797</v>
      </c>
      <c r="B2290" t="s">
        <v>803</v>
      </c>
      <c r="C2290" t="s">
        <v>806</v>
      </c>
      <c r="E2290" t="s">
        <v>1072</v>
      </c>
      <c r="F2290" t="s">
        <v>1072</v>
      </c>
      <c r="G2290" s="1">
        <v>640.77328929999965</v>
      </c>
      <c r="H2290">
        <v>-15400</v>
      </c>
      <c r="I2290">
        <v>-376409.08908955997</v>
      </c>
      <c r="J2290">
        <v>-689</v>
      </c>
      <c r="K2290">
        <v>-419</v>
      </c>
    </row>
    <row r="2291" spans="1:13">
      <c r="A2291" t="s">
        <v>797</v>
      </c>
      <c r="B2291" t="s">
        <v>805</v>
      </c>
      <c r="C2291" t="s">
        <v>806</v>
      </c>
      <c r="E2291" s="2" t="s">
        <v>794</v>
      </c>
      <c r="F2291" s="2" t="s">
        <v>2816</v>
      </c>
      <c r="G2291" s="1">
        <v>641.56853999999976</v>
      </c>
      <c r="H2291">
        <v>-14971.5</v>
      </c>
      <c r="I2291">
        <v>-376987.00392244</v>
      </c>
      <c r="J2291">
        <v>275</v>
      </c>
      <c r="K2291">
        <v>545</v>
      </c>
      <c r="M2291">
        <f>_xlfn.XLOOKUP(F2291,magnet_list!$A$2:$A$592,magnet_list!$L$2:$L$592,"n/a",0,1)</f>
        <v>25</v>
      </c>
    </row>
    <row r="2292" spans="1:13">
      <c r="A2292" t="s">
        <v>797</v>
      </c>
      <c r="B2292" t="s">
        <v>805</v>
      </c>
      <c r="C2292" t="s">
        <v>1152</v>
      </c>
      <c r="D2292" t="s">
        <v>804</v>
      </c>
      <c r="E2292" s="2" t="s">
        <v>795</v>
      </c>
      <c r="F2292" s="2" t="s">
        <v>2816</v>
      </c>
      <c r="G2292" s="1">
        <v>642.06861489999983</v>
      </c>
      <c r="H2292">
        <v>-15371.5</v>
      </c>
      <c r="I2292">
        <v>-377487.00392244</v>
      </c>
      <c r="J2292">
        <v>275</v>
      </c>
      <c r="K2292">
        <v>545</v>
      </c>
      <c r="M2292">
        <f>_xlfn.XLOOKUP(F2292,magnet_list!$A$2:$A$592,magnet_list!$L$2:$L$592,"n/a",0,1)</f>
        <v>25</v>
      </c>
    </row>
    <row r="2293" spans="1:13">
      <c r="A2293" t="s">
        <v>797</v>
      </c>
      <c r="B2293" t="s">
        <v>805</v>
      </c>
      <c r="C2293" t="s">
        <v>806</v>
      </c>
      <c r="E2293" s="2" t="s">
        <v>796</v>
      </c>
      <c r="F2293" s="2" t="s">
        <v>2816</v>
      </c>
      <c r="G2293" s="1">
        <v>642.56868979999979</v>
      </c>
      <c r="H2293">
        <v>-14943</v>
      </c>
      <c r="I2293">
        <v>-377987.1580313</v>
      </c>
      <c r="J2293">
        <v>275</v>
      </c>
      <c r="K2293">
        <v>545</v>
      </c>
      <c r="M2293">
        <f>_xlfn.XLOOKUP(F2293,magnet_list!$A$2:$A$592,magnet_list!$L$2:$L$592,"n/a",0,1)</f>
        <v>25</v>
      </c>
    </row>
    <row r="2294" spans="1:13">
      <c r="A2294" t="s">
        <v>797</v>
      </c>
      <c r="B2294" t="s">
        <v>803</v>
      </c>
      <c r="C2294" t="s">
        <v>806</v>
      </c>
      <c r="E2294" t="s">
        <v>924</v>
      </c>
      <c r="F2294" t="s">
        <v>924</v>
      </c>
      <c r="G2294" s="1">
        <v>644.45948199999987</v>
      </c>
      <c r="H2294">
        <v>-10497.900555779999</v>
      </c>
      <c r="I2294">
        <v>-380096.45407719002</v>
      </c>
      <c r="J2294">
        <v>441.77185334000001</v>
      </c>
      <c r="K2294">
        <v>711.77185334000001</v>
      </c>
    </row>
    <row r="2295" spans="1:13">
      <c r="A2295" t="s">
        <v>797</v>
      </c>
      <c r="B2295" t="s">
        <v>803</v>
      </c>
      <c r="C2295" t="s">
        <v>806</v>
      </c>
      <c r="E2295" t="s">
        <v>925</v>
      </c>
      <c r="F2295" t="s">
        <v>925</v>
      </c>
      <c r="G2295" s="1">
        <v>647.3655329999998</v>
      </c>
      <c r="H2295">
        <v>-19445.559883099999</v>
      </c>
      <c r="I2295">
        <v>-383005.21764306002</v>
      </c>
      <c r="J2295">
        <v>440.63878685999998</v>
      </c>
      <c r="K2295">
        <v>710.63878685999998</v>
      </c>
    </row>
    <row r="2296" spans="1:13">
      <c r="A2296" t="s">
        <v>797</v>
      </c>
      <c r="B2296" t="s">
        <v>803</v>
      </c>
      <c r="C2296" t="s">
        <v>806</v>
      </c>
      <c r="E2296" t="s">
        <v>926</v>
      </c>
      <c r="F2296" t="s">
        <v>926</v>
      </c>
      <c r="G2296" s="1">
        <v>647.95481399999983</v>
      </c>
      <c r="H2296">
        <v>-10492.78883576</v>
      </c>
      <c r="I2296">
        <v>-383593.48353953997</v>
      </c>
      <c r="J2296">
        <v>197.90825176000001</v>
      </c>
      <c r="K2296">
        <v>467.90825175999998</v>
      </c>
    </row>
    <row r="2297" spans="1:13">
      <c r="A2297" t="s">
        <v>797</v>
      </c>
      <c r="B2297" t="s">
        <v>803</v>
      </c>
      <c r="C2297" t="s">
        <v>806</v>
      </c>
      <c r="E2297" t="s">
        <v>927</v>
      </c>
      <c r="F2297" t="s">
        <v>927</v>
      </c>
      <c r="G2297" s="1">
        <v>658.26061110000001</v>
      </c>
      <c r="H2297">
        <v>-19448.77841626</v>
      </c>
      <c r="I2297">
        <v>-393679.49701896001</v>
      </c>
      <c r="J2297">
        <v>444.72947297000002</v>
      </c>
      <c r="K2297">
        <v>714.72947296999996</v>
      </c>
    </row>
    <row r="2298" spans="1:13">
      <c r="A2298" t="s">
        <v>797</v>
      </c>
      <c r="B2298" t="s">
        <v>803</v>
      </c>
      <c r="C2298" t="s">
        <v>806</v>
      </c>
      <c r="E2298" t="s">
        <v>928</v>
      </c>
      <c r="F2298" t="s">
        <v>928</v>
      </c>
      <c r="G2298" s="1">
        <v>665.71457570000007</v>
      </c>
      <c r="H2298">
        <v>-10486.541993880001</v>
      </c>
      <c r="I2298">
        <v>-401132.44581752998</v>
      </c>
      <c r="J2298">
        <v>443.87805008999999</v>
      </c>
      <c r="K2298">
        <v>713.87805008999999</v>
      </c>
    </row>
    <row r="2299" spans="1:13">
      <c r="A2299" t="s">
        <v>797</v>
      </c>
      <c r="B2299" t="s">
        <v>803</v>
      </c>
      <c r="C2299" t="s">
        <v>806</v>
      </c>
      <c r="E2299" t="s">
        <v>929</v>
      </c>
      <c r="F2299" t="s">
        <v>929</v>
      </c>
      <c r="G2299" s="1">
        <v>670.74389899999983</v>
      </c>
      <c r="H2299">
        <v>-20428.32650014</v>
      </c>
      <c r="I2299">
        <v>-406162.89616557001</v>
      </c>
      <c r="J2299">
        <v>445.98157599000001</v>
      </c>
      <c r="K2299">
        <v>715.98157599000001</v>
      </c>
    </row>
    <row r="2300" spans="1:13">
      <c r="A2300" t="s">
        <v>797</v>
      </c>
      <c r="B2300" t="s">
        <v>803</v>
      </c>
      <c r="C2300" t="s">
        <v>806</v>
      </c>
      <c r="E2300" t="s">
        <v>931</v>
      </c>
      <c r="F2300" t="s">
        <v>931</v>
      </c>
      <c r="G2300" s="1">
        <v>678.81737849999979</v>
      </c>
      <c r="H2300">
        <v>-10500.63005634</v>
      </c>
      <c r="I2300">
        <v>-414235.25007762999</v>
      </c>
      <c r="J2300">
        <v>445.85441952000002</v>
      </c>
      <c r="K2300">
        <v>715.85441951999996</v>
      </c>
    </row>
    <row r="2301" spans="1:13">
      <c r="A2301" t="s">
        <v>797</v>
      </c>
      <c r="B2301" t="s">
        <v>803</v>
      </c>
      <c r="C2301" t="s">
        <v>806</v>
      </c>
      <c r="E2301" t="s">
        <v>930</v>
      </c>
      <c r="F2301" t="s">
        <v>930</v>
      </c>
      <c r="G2301" s="1">
        <v>688.41173789999982</v>
      </c>
      <c r="H2301">
        <v>-20430.89328213</v>
      </c>
      <c r="I2301">
        <v>-423830.73547671997</v>
      </c>
      <c r="J2301">
        <v>446.83475741000001</v>
      </c>
      <c r="K2301">
        <v>716.83475741000007</v>
      </c>
    </row>
  </sheetData>
  <autoFilter ref="B1:D2322" xr:uid="{5AAA5C2D-2E15-4B8C-98A3-EED39E1E942A}"/>
  <pageMargins left="0.70866141732283472" right="0.70866141732283472" top="0.74803149606299213" bottom="0.74803149606299213" header="0.31496062992125984" footer="0.31496062992125984"/>
  <pageSetup paperSize="9"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DDB2-E822-4E9B-B9AB-F382B9412B2A}">
  <sheetPr codeName="Sheet8"/>
  <dimension ref="A1:U632"/>
  <sheetViews>
    <sheetView zoomScale="85" zoomScaleNormal="85" workbookViewId="0">
      <pane xSplit="1" ySplit="2" topLeftCell="B3" activePane="bottomRight" state="frozen"/>
      <selection pane="topRight" activeCell="B1" sqref="B1"/>
      <selection pane="bottomLeft" activeCell="A3" sqref="A3"/>
      <selection pane="bottomRight" activeCell="A30" sqref="A30"/>
    </sheetView>
  </sheetViews>
  <sheetFormatPr baseColWidth="10" defaultColWidth="8.85546875" defaultRowHeight="15"/>
  <cols>
    <col min="1" max="9" width="8.85546875" style="4"/>
    <col min="10" max="10" width="9.140625" style="4" bestFit="1" customWidth="1"/>
    <col min="11" max="11" width="9.28515625" style="4" bestFit="1" customWidth="1"/>
    <col min="12" max="12" width="9.28515625" style="4" customWidth="1"/>
    <col min="13" max="15" width="8.85546875" style="4"/>
    <col min="16" max="16" width="9.85546875" style="4" bestFit="1" customWidth="1"/>
    <col min="17" max="17" width="9.28515625" style="4" bestFit="1" customWidth="1"/>
    <col min="18" max="16384" width="8.85546875" style="4"/>
  </cols>
  <sheetData>
    <row r="1" spans="1:21">
      <c r="D1" s="4">
        <v>20160929</v>
      </c>
      <c r="E1" s="4">
        <v>20180925</v>
      </c>
      <c r="N1" s="4" t="s">
        <v>1915</v>
      </c>
      <c r="O1" s="4" t="s">
        <v>1916</v>
      </c>
      <c r="P1" s="4" t="s">
        <v>1917</v>
      </c>
      <c r="Q1" s="4" t="s">
        <v>1918</v>
      </c>
      <c r="R1" s="4" t="s">
        <v>1919</v>
      </c>
    </row>
    <row r="2" spans="1:21">
      <c r="A2" s="4" t="s">
        <v>0</v>
      </c>
      <c r="B2" s="4" t="s">
        <v>1</v>
      </c>
      <c r="C2" s="4" t="s">
        <v>1920</v>
      </c>
      <c r="D2" s="4" t="s">
        <v>485</v>
      </c>
      <c r="E2" s="4" t="s">
        <v>485</v>
      </c>
      <c r="F2" s="4" t="s">
        <v>485</v>
      </c>
      <c r="G2" s="4" t="s">
        <v>1921</v>
      </c>
      <c r="H2" s="4" t="s">
        <v>1922</v>
      </c>
      <c r="I2" s="4" t="s">
        <v>1864</v>
      </c>
      <c r="L2" s="5">
        <f>SUM(L26:L105)</f>
        <v>-0.38854380821704843</v>
      </c>
      <c r="M2" s="4" t="s">
        <v>1923</v>
      </c>
      <c r="N2" s="5">
        <v>-1.4231</v>
      </c>
      <c r="O2" s="5">
        <v>-4.6848000000000001E-2</v>
      </c>
      <c r="P2" s="5">
        <v>-1.5868999999999999E-4</v>
      </c>
      <c r="Q2" s="5">
        <v>-1.3568000000000001E-7</v>
      </c>
      <c r="S2" s="6"/>
      <c r="T2" s="6"/>
      <c r="U2" s="4">
        <f>SUM(K26:K105)</f>
        <v>4.0355110180693998</v>
      </c>
    </row>
    <row r="3" spans="1:21" ht="16">
      <c r="A3" t="s">
        <v>525</v>
      </c>
      <c r="B3">
        <v>8.0827799999999996</v>
      </c>
      <c r="C3" s="4">
        <f>_xlfn.XLOOKUP($A3,[1]usmn_pd!$A$2:$A$118,[1]usmn_pd!$D$2:$D$118,"n/a",0,1)/1000</f>
        <v>0.69341314523000008</v>
      </c>
      <c r="E3" s="4">
        <v>0.13295088459700877</v>
      </c>
      <c r="F3" s="4">
        <f>_xlfn.XLOOKUP($A3,[1]usmn_pd!$A$2:$A$118,[1]usmn_pd!$F$2:$F$118,"n/a",0,1)</f>
        <v>0</v>
      </c>
      <c r="G3" s="4">
        <f>F3-($F$3-$F$24)/($C$3-$C$24)*($C3-$C$24)-$F$24</f>
        <v>0</v>
      </c>
      <c r="H3" s="4">
        <f>G3+($E$3-$E$24)/($C$3-$C$24)*($C3-$C$24)+$E$24</f>
        <v>0.13295088459700877</v>
      </c>
      <c r="I3" s="4">
        <f>$E3-_xlfn.XLOOKUP($A3,[1]usmn_pd!$A$2:$A$118,[1]usmn_pd!$F$2:$F$118,"n/a",0,1)</f>
        <v>0.13295088459700877</v>
      </c>
      <c r="L3" s="5"/>
      <c r="M3" s="4" t="s">
        <v>1923</v>
      </c>
      <c r="N3" s="5">
        <v>2.7195E-2</v>
      </c>
      <c r="O3" s="5">
        <v>-9.2466999999999994E-2</v>
      </c>
      <c r="P3" s="5">
        <v>5.7087000000000001E-4</v>
      </c>
      <c r="Q3" s="5">
        <v>-4.1452999999999999E-6</v>
      </c>
      <c r="S3" s="6"/>
      <c r="T3" s="6"/>
    </row>
    <row r="4" spans="1:21" ht="16">
      <c r="A4" t="s">
        <v>526</v>
      </c>
      <c r="B4">
        <v>8.4525269999999999</v>
      </c>
      <c r="C4" s="4">
        <f>_xlfn.XLOOKUP($A4,[1]usmn_pd!$A$2:$A$118,[1]usmn_pd!$D$2:$D$118,"n/a",0,1)/1000</f>
        <v>1.0631861980799999</v>
      </c>
      <c r="E4" s="4">
        <v>0.15382666671290024</v>
      </c>
      <c r="F4" s="4">
        <f>_xlfn.XLOOKUP($A4,[1]usmn_pd!$A$2:$A$118,[1]usmn_pd!$F$2:$F$118,"n/a",0,1)</f>
        <v>0.32884537000006731</v>
      </c>
      <c r="G4" s="4">
        <f t="shared" ref="G4:G24" si="0">F4-($F$3-$F$24)/($C$3-$C$24)*($C4-$C$24)-$F$24</f>
        <v>0.29921143604117084</v>
      </c>
      <c r="H4" s="4">
        <f t="shared" ref="H4:H24" si="1">G4+($E$3-$E$24)/($C$3-$C$24)*($C4-$C$24)+$E$24</f>
        <v>0.43144727358883683</v>
      </c>
      <c r="I4" s="4">
        <f>$E4-_xlfn.XLOOKUP($A4,[1]usmn_pd!$A$2:$A$118,[1]usmn_pd!$F$2:$F$118,"n/a",0,1)</f>
        <v>-0.17501870328716707</v>
      </c>
      <c r="L4" s="5"/>
      <c r="N4" s="6"/>
      <c r="O4" s="6"/>
      <c r="P4" s="6"/>
      <c r="Q4" s="6"/>
      <c r="S4" s="6"/>
      <c r="T4" s="6"/>
    </row>
    <row r="5" spans="1:21" ht="16">
      <c r="A5" t="s">
        <v>1073</v>
      </c>
      <c r="B5">
        <v>19.099688</v>
      </c>
      <c r="C5" s="4">
        <f>_xlfn.XLOOKUP($A5,[1]usmn_pd!$A$2:$A$118,[1]usmn_pd!$D$2:$D$118,"n/a",0,1)/1000</f>
        <v>11.710309019649999</v>
      </c>
      <c r="E5" s="4">
        <v>0.13760007722183296</v>
      </c>
      <c r="F5" s="4">
        <f>_xlfn.XLOOKUP($A5,[1]usmn_pd!$A$2:$A$118,[1]usmn_pd!$F$2:$F$118,"n/a",0,1)</f>
        <v>1.1982531800000515</v>
      </c>
      <c r="G5" s="4">
        <f t="shared" si="0"/>
        <v>0.31534956585533536</v>
      </c>
      <c r="H5" s="4">
        <f t="shared" si="1"/>
        <v>0.42699657547496561</v>
      </c>
      <c r="I5" s="4">
        <f>$E5-_xlfn.XLOOKUP($A5,[1]usmn_pd!$A$2:$A$118,[1]usmn_pd!$F$2:$F$118,"n/a",0,1)</f>
        <v>-1.0606531027782187</v>
      </c>
      <c r="L5" s="5"/>
      <c r="N5" s="6"/>
      <c r="O5" s="6"/>
      <c r="P5" s="6"/>
      <c r="Q5" s="6"/>
      <c r="S5" s="6"/>
      <c r="T5" s="6"/>
    </row>
    <row r="6" spans="1:21" ht="16">
      <c r="A6" t="s">
        <v>1075</v>
      </c>
      <c r="B6">
        <v>20.313375000000001</v>
      </c>
      <c r="C6" s="4">
        <f>_xlfn.XLOOKUP($A6,[1]usmn_pd!$A$2:$A$118,[1]usmn_pd!$D$2:$D$118,"n/a",0,1)/1000</f>
        <v>12.92401398296</v>
      </c>
      <c r="E6" s="4">
        <v>-7.5108751374051111E-2</v>
      </c>
      <c r="F6" s="4">
        <f>_xlfn.XLOOKUP($A6,[1]usmn_pd!$A$2:$A$118,[1]usmn_pd!$F$2:$F$118,"n/a",0,1)</f>
        <v>0.97148748000006435</v>
      </c>
      <c r="G6" s="4">
        <f t="shared" si="0"/>
        <v>-8.6835051742610858E-3</v>
      </c>
      <c r="H6" s="4">
        <f t="shared" si="1"/>
        <v>0.10061650769669189</v>
      </c>
      <c r="I6" s="4">
        <f>$E6-_xlfn.XLOOKUP($A6,[1]usmn_pd!$A$2:$A$118,[1]usmn_pd!$F$2:$F$118,"n/a",0,1)</f>
        <v>-1.0465962313741155</v>
      </c>
      <c r="L6" s="5"/>
      <c r="N6" s="6"/>
      <c r="O6" s="6"/>
      <c r="P6" s="6"/>
      <c r="Q6" s="6"/>
      <c r="S6" s="6"/>
      <c r="T6" s="6"/>
    </row>
    <row r="7" spans="1:21" ht="16">
      <c r="A7" t="s">
        <v>1074</v>
      </c>
      <c r="B7">
        <v>29.700552999999999</v>
      </c>
      <c r="C7" s="4">
        <f>_xlfn.XLOOKUP($A7,[1]usmn_pd!$A$2:$A$118,[1]usmn_pd!$D$2:$D$118,"n/a",0,1)/1000</f>
        <v>22.311176522950003</v>
      </c>
      <c r="E7" s="4">
        <v>-0.33716253588249578</v>
      </c>
      <c r="F7" s="4">
        <f>_xlfn.XLOOKUP($A7,[1]usmn_pd!$A$2:$A$118,[1]usmn_pd!$F$2:$F$118,"n/a",0,1)</f>
        <v>1.7136211800000183</v>
      </c>
      <c r="G7" s="4">
        <f t="shared" si="0"/>
        <v>-1.8845172907134611E-2</v>
      </c>
      <c r="H7" s="4">
        <f t="shared" si="1"/>
        <v>7.2302454807068761E-2</v>
      </c>
      <c r="I7" s="4">
        <f>$E7-_xlfn.XLOOKUP($A7,[1]usmn_pd!$A$2:$A$118,[1]usmn_pd!$F$2:$F$118,"n/a",0,1)</f>
        <v>-2.0507837158825142</v>
      </c>
      <c r="L7" s="5"/>
      <c r="N7" s="6"/>
      <c r="O7" s="6"/>
      <c r="P7" s="6"/>
      <c r="Q7" s="6"/>
      <c r="S7" s="6"/>
      <c r="T7" s="6"/>
    </row>
    <row r="8" spans="1:21" ht="16">
      <c r="A8" t="s">
        <v>1077</v>
      </c>
      <c r="B8">
        <v>30.814761999999998</v>
      </c>
      <c r="C8" s="4">
        <f>_xlfn.XLOOKUP($A8,[1]usmn_pd!$A$2:$A$118,[1]usmn_pd!$D$2:$D$118,"n/a",0,1)/1000</f>
        <v>23.42538590741</v>
      </c>
      <c r="E8" s="4">
        <v>-0.18536829008920164</v>
      </c>
      <c r="F8" s="4">
        <f>_xlfn.XLOOKUP($A8,[1]usmn_pd!$A$2:$A$118,[1]usmn_pd!$F$2:$F$118,"n/a",0,1)</f>
        <v>1.7725789000000987</v>
      </c>
      <c r="G8" s="4">
        <f t="shared" si="0"/>
        <v>-4.918116174003373E-2</v>
      </c>
      <c r="H8" s="4">
        <f t="shared" si="1"/>
        <v>3.9811868372836928E-2</v>
      </c>
      <c r="I8" s="4">
        <f>$E8-_xlfn.XLOOKUP($A8,[1]usmn_pd!$A$2:$A$118,[1]usmn_pd!$F$2:$F$118,"n/a",0,1)</f>
        <v>-1.9579471900893002</v>
      </c>
      <c r="L8" s="5"/>
      <c r="N8" s="6"/>
      <c r="O8" s="6"/>
      <c r="P8" s="6"/>
      <c r="Q8" s="6"/>
      <c r="S8" s="6"/>
      <c r="T8" s="6"/>
    </row>
    <row r="9" spans="1:21" ht="16">
      <c r="A9" t="s">
        <v>1076</v>
      </c>
      <c r="B9">
        <v>40.202587000000001</v>
      </c>
      <c r="C9" s="4">
        <f>_xlfn.XLOOKUP($A9,[1]usmn_pd!$A$2:$A$118,[1]usmn_pd!$D$2:$D$118,"n/a",0,1)/1000</f>
        <v>32.813160767250004</v>
      </c>
      <c r="E9" s="4">
        <v>-0.12772409680508398</v>
      </c>
      <c r="F9" s="4">
        <f>_xlfn.XLOOKUP($A9,[1]usmn_pd!$A$2:$A$118,[1]usmn_pd!$F$2:$F$118,"n/a",0,1)</f>
        <v>2.2868186700000024</v>
      </c>
      <c r="G9" s="4">
        <f t="shared" si="0"/>
        <v>-0.28728583131812435</v>
      </c>
      <c r="H9" s="4">
        <f t="shared" si="1"/>
        <v>-0.21644637043287762</v>
      </c>
      <c r="I9" s="4">
        <f>$E9-_xlfn.XLOOKUP($A9,[1]usmn_pd!$A$2:$A$118,[1]usmn_pd!$F$2:$F$118,"n/a",0,1)</f>
        <v>-2.4145427668050865</v>
      </c>
      <c r="L9" s="5"/>
      <c r="N9" s="6"/>
      <c r="O9" s="6"/>
      <c r="P9" s="6"/>
      <c r="Q9" s="6"/>
      <c r="S9" s="6"/>
      <c r="T9" s="6"/>
    </row>
    <row r="10" spans="1:21" ht="16">
      <c r="A10" t="s">
        <v>1079</v>
      </c>
      <c r="B10">
        <v>43.953696999999998</v>
      </c>
      <c r="C10" s="4">
        <f>_xlfn.XLOOKUP($A10,[1]usmn_pd!$A$2:$A$118,[1]usmn_pd!$D$2:$D$118,"n/a",0,1)/1000</f>
        <v>36.564270152980001</v>
      </c>
      <c r="E10" s="4">
        <v>-9.3785813592571113E-2</v>
      </c>
      <c r="F10" s="4">
        <f>_xlfn.XLOOKUP($A10,[1]usmn_pd!$A$2:$A$118,[1]usmn_pd!$F$2:$F$118,"n/a",0,1)</f>
        <v>2.405223890000002</v>
      </c>
      <c r="G10" s="4">
        <f t="shared" si="0"/>
        <v>-0.46949777893636124</v>
      </c>
      <c r="H10" s="4">
        <f t="shared" si="1"/>
        <v>-0.40591200967995278</v>
      </c>
      <c r="I10" s="4">
        <f>$E10-_xlfn.XLOOKUP($A10,[1]usmn_pd!$A$2:$A$118,[1]usmn_pd!$F$2:$F$118,"n/a",0,1)</f>
        <v>-2.4990097035925731</v>
      </c>
      <c r="L10" s="5"/>
      <c r="N10" s="6"/>
      <c r="O10" s="6"/>
      <c r="P10" s="6"/>
      <c r="Q10" s="6"/>
      <c r="S10" s="6"/>
      <c r="T10" s="6"/>
    </row>
    <row r="11" spans="1:21" ht="16">
      <c r="A11" t="s">
        <v>1081</v>
      </c>
      <c r="B11">
        <v>53.461810999999997</v>
      </c>
      <c r="C11" s="4">
        <f>_xlfn.XLOOKUP($A11,[1]usmn_pd!$A$2:$A$118,[1]usmn_pd!$D$2:$D$118,"n/a",0,1)/1000</f>
        <v>46.072349247429997</v>
      </c>
      <c r="E11" s="4">
        <v>-7.0593314142812211E-2</v>
      </c>
      <c r="F11" s="4">
        <f>_xlfn.XLOOKUP($A11,[1]usmn_pd!$A$2:$A$118,[1]usmn_pd!$F$2:$F$118,"n/a",0,1)</f>
        <v>3.1656809600000315</v>
      </c>
      <c r="G11" s="4">
        <f t="shared" si="0"/>
        <v>-0.47102643447589543</v>
      </c>
      <c r="H11" s="4">
        <f t="shared" si="1"/>
        <v>-0.42582687224296512</v>
      </c>
      <c r="I11" s="4">
        <f>$E11-_xlfn.XLOOKUP($A11,[1]usmn_pd!$A$2:$A$118,[1]usmn_pd!$F$2:$F$118,"n/a",0,1)</f>
        <v>-3.2362742741428439</v>
      </c>
      <c r="L11" s="5"/>
      <c r="N11" s="6"/>
      <c r="O11" s="6"/>
      <c r="P11" s="6"/>
      <c r="Q11" s="6"/>
      <c r="S11" s="6"/>
      <c r="T11" s="6"/>
    </row>
    <row r="12" spans="1:21" ht="16">
      <c r="A12" t="s">
        <v>1080</v>
      </c>
      <c r="B12">
        <v>62.010358999999994</v>
      </c>
      <c r="C12" s="4">
        <f>_xlfn.XLOOKUP($A12,[1]usmn_pd!$A$2:$A$118,[1]usmn_pd!$D$2:$D$118,"n/a",0,1)/1000</f>
        <v>54.620860382510003</v>
      </c>
      <c r="E12" s="4">
        <v>-0.10241058701188258</v>
      </c>
      <c r="F12" s="4">
        <f>_xlfn.XLOOKUP($A12,[1]usmn_pd!$A$2:$A$118,[1]usmn_pd!$F$2:$F$118,"n/a",0,1)</f>
        <v>3.9648492800000668</v>
      </c>
      <c r="G12" s="4">
        <f t="shared" si="0"/>
        <v>-0.35694322944394941</v>
      </c>
      <c r="H12" s="4">
        <f t="shared" si="1"/>
        <v>-0.32827431382331274</v>
      </c>
      <c r="I12" s="4">
        <f>$E12-_xlfn.XLOOKUP($A12,[1]usmn_pd!$A$2:$A$118,[1]usmn_pd!$F$2:$F$118,"n/a",0,1)</f>
        <v>-4.0672598670119493</v>
      </c>
      <c r="L12" s="5"/>
      <c r="N12" s="6"/>
      <c r="O12" s="6"/>
      <c r="P12" s="6"/>
      <c r="Q12" s="6"/>
      <c r="S12" s="6"/>
      <c r="T12" s="6"/>
    </row>
    <row r="13" spans="1:21" ht="16">
      <c r="A13" t="s">
        <v>1083</v>
      </c>
      <c r="B13">
        <v>63.150418999999992</v>
      </c>
      <c r="C13" s="4">
        <f>_xlfn.XLOOKUP($A13,[1]usmn_pd!$A$2:$A$118,[1]usmn_pd!$D$2:$D$118,"n/a",0,1)/1000</f>
        <v>55.760873217229999</v>
      </c>
      <c r="E13" s="4">
        <v>-6.3009916855218839E-2</v>
      </c>
      <c r="F13" s="4">
        <f>_xlfn.XLOOKUP($A13,[1]usmn_pd!$A$2:$A$118,[1]usmn_pd!$F$2:$F$118,"n/a",0,1)</f>
        <v>3.9566328000000794</v>
      </c>
      <c r="G13" s="4">
        <f t="shared" si="0"/>
        <v>-0.45652132921586031</v>
      </c>
      <c r="H13" s="4">
        <f t="shared" si="1"/>
        <v>-0.43005690850743139</v>
      </c>
      <c r="I13" s="4">
        <f>$E13-_xlfn.XLOOKUP($A13,[1]usmn_pd!$A$2:$A$118,[1]usmn_pd!$F$2:$F$118,"n/a",0,1)</f>
        <v>-4.0196427168552979</v>
      </c>
      <c r="L13" s="5"/>
      <c r="N13" s="6"/>
      <c r="O13" s="6"/>
      <c r="P13" s="6"/>
      <c r="Q13" s="6"/>
      <c r="S13" s="6"/>
      <c r="T13" s="6"/>
    </row>
    <row r="14" spans="1:21" ht="16">
      <c r="A14" t="s">
        <v>1082</v>
      </c>
      <c r="B14">
        <v>71.698402999999985</v>
      </c>
      <c r="C14" s="4">
        <f>_xlfn.XLOOKUP($A14,[1]usmn_pd!$A$2:$A$118,[1]usmn_pd!$D$2:$D$118,"n/a",0,1)/1000</f>
        <v>64.308842514770006</v>
      </c>
      <c r="E14" s="4">
        <v>2.5925552445390666E-2</v>
      </c>
      <c r="F14" s="4">
        <f>_xlfn.XLOOKUP($A14,[1]usmn_pd!$A$2:$A$118,[1]usmn_pd!$F$2:$F$118,"n/a",0,1)</f>
        <v>4.9925491800000827</v>
      </c>
      <c r="G14" s="4">
        <f t="shared" si="0"/>
        <v>-0.10564664085238462</v>
      </c>
      <c r="H14" s="4">
        <f t="shared" si="1"/>
        <v>-9.5711818980238519E-2</v>
      </c>
      <c r="I14" s="4">
        <f>$E14-_xlfn.XLOOKUP($A14,[1]usmn_pd!$A$2:$A$118,[1]usmn_pd!$F$2:$F$118,"n/a",0,1)</f>
        <v>-4.966623627554692</v>
      </c>
      <c r="L14" s="5"/>
      <c r="N14" s="6"/>
      <c r="O14" s="6"/>
      <c r="P14" s="6"/>
      <c r="Q14" s="6"/>
      <c r="S14" s="6"/>
      <c r="T14" s="6"/>
    </row>
    <row r="15" spans="1:21" ht="16">
      <c r="A15" t="s">
        <v>1085</v>
      </c>
      <c r="B15">
        <v>72.75006599999999</v>
      </c>
      <c r="C15" s="4">
        <f>_xlfn.XLOOKUP($A15,[1]usmn_pd!$A$2:$A$118,[1]usmn_pd!$D$2:$D$118,"n/a",0,1)/1000</f>
        <v>65.360490091849996</v>
      </c>
      <c r="E15" s="4">
        <v>0.25589642339542351</v>
      </c>
      <c r="F15" s="4">
        <f>_xlfn.XLOOKUP($A15,[1]usmn_pd!$A$2:$A$118,[1]usmn_pd!$F$2:$F$118,"n/a",0,1)</f>
        <v>5.0987181100000498</v>
      </c>
      <c r="G15" s="4">
        <f t="shared" si="0"/>
        <v>-8.3757662046867409E-2</v>
      </c>
      <c r="H15" s="4">
        <f t="shared" si="1"/>
        <v>-7.5856459150316344E-2</v>
      </c>
      <c r="I15" s="4">
        <f>$E15-_xlfn.XLOOKUP($A15,[1]usmn_pd!$A$2:$A$118,[1]usmn_pd!$F$2:$F$118,"n/a",0,1)</f>
        <v>-4.8428216866046263</v>
      </c>
      <c r="L15" s="5"/>
      <c r="N15" s="6"/>
      <c r="O15" s="6"/>
      <c r="P15" s="6"/>
      <c r="Q15" s="6"/>
      <c r="S15" s="6"/>
      <c r="T15" s="6"/>
    </row>
    <row r="16" spans="1:21" ht="16">
      <c r="A16" t="s">
        <v>1084</v>
      </c>
      <c r="B16">
        <v>81.297968999999995</v>
      </c>
      <c r="C16" s="4">
        <f>_xlfn.XLOOKUP($A16,[1]usmn_pd!$A$2:$A$118,[1]usmn_pd!$D$2:$D$118,"n/a",0,1)/1000</f>
        <v>73.908370766589996</v>
      </c>
      <c r="E16" s="4">
        <v>-3.7863372430435631E-2</v>
      </c>
      <c r="F16" s="4">
        <f>_xlfn.XLOOKUP($A16,[1]usmn_pd!$A$2:$A$118,[1]usmn_pd!$F$2:$F$118,"n/a",0,1)</f>
        <v>5.4497473700000683</v>
      </c>
      <c r="G16" s="4">
        <f t="shared" si="0"/>
        <v>-0.41776299137512751</v>
      </c>
      <c r="H16" s="4">
        <f t="shared" si="1"/>
        <v>-0.42639121594090124</v>
      </c>
      <c r="I16" s="4">
        <f>$E16-_xlfn.XLOOKUP($A16,[1]usmn_pd!$A$2:$A$118,[1]usmn_pd!$F$2:$F$118,"n/a",0,1)</f>
        <v>-5.4876107424305038</v>
      </c>
      <c r="L16" s="5"/>
      <c r="N16" s="6"/>
      <c r="O16" s="6"/>
      <c r="P16" s="6"/>
      <c r="Q16" s="6"/>
      <c r="S16" s="6"/>
      <c r="T16" s="6"/>
    </row>
    <row r="17" spans="1:20" ht="16">
      <c r="A17" t="s">
        <v>1087</v>
      </c>
      <c r="B17">
        <v>82.352720999999988</v>
      </c>
      <c r="C17" s="4">
        <f>_xlfn.XLOOKUP($A17,[1]usmn_pd!$A$2:$A$118,[1]usmn_pd!$D$2:$D$118,"n/a",0,1)/1000</f>
        <v>74.963221009760005</v>
      </c>
      <c r="E17" s="4">
        <v>-0.28805061674790683</v>
      </c>
      <c r="F17" s="4">
        <f>_xlfn.XLOOKUP($A17,[1]usmn_pd!$A$2:$A$118,[1]usmn_pd!$F$2:$F$118,"n/a",0,1)</f>
        <v>5.3646122000000105</v>
      </c>
      <c r="G17" s="4">
        <f t="shared" si="0"/>
        <v>-0.58743477701468549</v>
      </c>
      <c r="H17" s="4">
        <f t="shared" si="1"/>
        <v>-0.5981028136978207</v>
      </c>
      <c r="I17" s="4">
        <f>$E17-_xlfn.XLOOKUP($A17,[1]usmn_pd!$A$2:$A$118,[1]usmn_pd!$F$2:$F$118,"n/a",0,1)</f>
        <v>-5.6526628167479176</v>
      </c>
      <c r="L17" s="5"/>
      <c r="N17" s="6"/>
      <c r="O17" s="6"/>
      <c r="P17" s="6"/>
      <c r="Q17" s="6"/>
      <c r="S17" s="6"/>
      <c r="T17" s="6"/>
    </row>
    <row r="18" spans="1:20" ht="16">
      <c r="A18" t="s">
        <v>1086</v>
      </c>
      <c r="B18">
        <v>90.900906999999989</v>
      </c>
      <c r="C18" s="4">
        <f>_xlfn.XLOOKUP($A18,[1]usmn_pd!$A$2:$A$118,[1]usmn_pd!$D$2:$D$118,"n/a",0,1)/1000</f>
        <v>83.511392317909994</v>
      </c>
      <c r="E18" s="4">
        <v>2.3226149549437629E-2</v>
      </c>
      <c r="F18" s="4">
        <f>_xlfn.XLOOKUP($A18,[1]usmn_pd!$A$2:$A$118,[1]usmn_pd!$F$2:$F$118,"n/a",0,1)</f>
        <v>6.3545777200000657</v>
      </c>
      <c r="G18" s="4">
        <f t="shared" si="0"/>
        <v>-0.28252713795708218</v>
      </c>
      <c r="H18" s="4">
        <f t="shared" si="1"/>
        <v>-0.3097251641136477</v>
      </c>
      <c r="I18" s="4">
        <f>$E18-_xlfn.XLOOKUP($A18,[1]usmn_pd!$A$2:$A$118,[1]usmn_pd!$F$2:$F$118,"n/a",0,1)</f>
        <v>-6.3313515704506278</v>
      </c>
      <c r="L18" s="5"/>
      <c r="N18" s="6"/>
      <c r="O18" s="6"/>
      <c r="P18" s="6"/>
      <c r="Q18" s="6"/>
      <c r="S18" s="6"/>
      <c r="T18" s="6"/>
    </row>
    <row r="19" spans="1:20" ht="16">
      <c r="A19" t="s">
        <v>1089</v>
      </c>
      <c r="B19">
        <v>91.949908999999991</v>
      </c>
      <c r="C19" s="4">
        <f>_xlfn.XLOOKUP($A19,[1]usmn_pd!$A$2:$A$118,[1]usmn_pd!$D$2:$D$118,"n/a",0,1)/1000</f>
        <v>84.560416836040005</v>
      </c>
      <c r="E19" s="4">
        <v>1.0124014556368628</v>
      </c>
      <c r="F19" s="4">
        <f>_xlfn.XLOOKUP($A19,[1]usmn_pd!$A$2:$A$118,[1]usmn_pd!$F$2:$F$118,"n/a",0,1)</f>
        <v>6.3047892100000809</v>
      </c>
      <c r="G19" s="4">
        <f t="shared" si="0"/>
        <v>-0.41638538492661681</v>
      </c>
      <c r="H19" s="4">
        <f t="shared" si="1"/>
        <v>-0.4456119577298232</v>
      </c>
      <c r="I19" s="4">
        <f>$E19-_xlfn.XLOOKUP($A19,[1]usmn_pd!$A$2:$A$118,[1]usmn_pd!$F$2:$F$118,"n/a",0,1)</f>
        <v>-5.2923877543632178</v>
      </c>
      <c r="L19" s="5"/>
      <c r="N19" s="6"/>
      <c r="O19" s="6"/>
      <c r="P19" s="6"/>
      <c r="Q19" s="6"/>
      <c r="S19" s="6"/>
      <c r="T19" s="6"/>
    </row>
    <row r="20" spans="1:20" ht="16">
      <c r="A20" t="s">
        <v>1088</v>
      </c>
      <c r="B20">
        <v>100.49764999999998</v>
      </c>
      <c r="C20" s="4">
        <f>_xlfn.XLOOKUP($A20,[1]usmn_pd!$A$2:$A$118,[1]usmn_pd!$D$2:$D$118,"n/a",0,1)/1000</f>
        <v>93.108185650419998</v>
      </c>
      <c r="E20" s="4">
        <v>-0.21656326683801938</v>
      </c>
      <c r="F20" s="4">
        <f>_xlfn.XLOOKUP($A20,[1]usmn_pd!$A$2:$A$118,[1]usmn_pd!$F$2:$F$118,"n/a",0,1)</f>
        <v>6.8759296500001028</v>
      </c>
      <c r="G20" s="4">
        <f t="shared" si="0"/>
        <v>-0.53027056966836383</v>
      </c>
      <c r="H20" s="4">
        <f t="shared" si="1"/>
        <v>-0.57602635362440535</v>
      </c>
      <c r="I20" s="4">
        <f>$E20-_xlfn.XLOOKUP($A20,[1]usmn_pd!$A$2:$A$118,[1]usmn_pd!$F$2:$F$118,"n/a",0,1)</f>
        <v>-7.0924929168381219</v>
      </c>
      <c r="L20" s="5"/>
      <c r="N20" s="6"/>
      <c r="O20" s="6"/>
      <c r="P20" s="6"/>
      <c r="Q20" s="6"/>
      <c r="S20" s="6"/>
      <c r="T20" s="6"/>
    </row>
    <row r="21" spans="1:20" ht="16">
      <c r="A21" t="s">
        <v>1091</v>
      </c>
      <c r="B21">
        <v>101.54792799999998</v>
      </c>
      <c r="C21" s="4">
        <f>_xlfn.XLOOKUP($A21,[1]usmn_pd!$A$2:$A$118,[1]usmn_pd!$D$2:$D$118,"n/a",0,1)/1000</f>
        <v>94.158369181560005</v>
      </c>
      <c r="E21" s="4">
        <v>-0.31228075809636124</v>
      </c>
      <c r="F21" s="4">
        <f>_xlfn.XLOOKUP($A21,[1]usmn_pd!$A$2:$A$118,[1]usmn_pd!$F$2:$F$118,"n/a",0,1)</f>
        <v>6.8531956700001047</v>
      </c>
      <c r="G21" s="4">
        <f t="shared" si="0"/>
        <v>-0.63716717094825093</v>
      </c>
      <c r="H21" s="4">
        <f t="shared" si="1"/>
        <v>-0.68495374278735277</v>
      </c>
      <c r="I21" s="4">
        <f>$E21-_xlfn.XLOOKUP($A21,[1]usmn_pd!$A$2:$A$118,[1]usmn_pd!$F$2:$F$118,"n/a",0,1)</f>
        <v>-7.1654764280964658</v>
      </c>
      <c r="L21" s="5"/>
      <c r="N21" s="6"/>
      <c r="O21" s="6"/>
      <c r="P21" s="6"/>
      <c r="Q21" s="6"/>
      <c r="S21" s="6"/>
      <c r="T21" s="6"/>
    </row>
    <row r="22" spans="1:20" ht="16">
      <c r="A22" t="s">
        <v>1090</v>
      </c>
      <c r="B22">
        <v>110.09624799999999</v>
      </c>
      <c r="C22" s="4">
        <f>_xlfn.XLOOKUP($A22,[1]usmn_pd!$A$2:$A$118,[1]usmn_pd!$D$2:$D$118,"n/a",0,1)/1000</f>
        <v>102.70670880847</v>
      </c>
      <c r="E22" s="4">
        <v>-0.18667081376732717</v>
      </c>
      <c r="F22" s="4">
        <f>_xlfn.XLOOKUP($A22,[1]usmn_pd!$A$2:$A$118,[1]usmn_pd!$F$2:$F$118,"n/a",0,1)</f>
        <v>7.8022453300000052</v>
      </c>
      <c r="G22" s="4">
        <f t="shared" si="0"/>
        <v>-0.37318888110257475</v>
      </c>
      <c r="H22" s="4">
        <f t="shared" si="1"/>
        <v>-0.43750576790078455</v>
      </c>
      <c r="I22" s="4">
        <f>$E22-_xlfn.XLOOKUP($A22,[1]usmn_pd!$A$2:$A$118,[1]usmn_pd!$F$2:$F$118,"n/a",0,1)</f>
        <v>-7.9889161437673319</v>
      </c>
      <c r="L22" s="5"/>
      <c r="N22" s="6"/>
      <c r="O22" s="6"/>
      <c r="P22" s="6"/>
      <c r="Q22" s="6"/>
      <c r="S22" s="6"/>
      <c r="T22" s="6"/>
    </row>
    <row r="23" spans="1:20" ht="16">
      <c r="A23" t="s">
        <v>1093</v>
      </c>
      <c r="B23">
        <v>111.14629199999999</v>
      </c>
      <c r="C23" s="4">
        <f>_xlfn.XLOOKUP($A23,[1]usmn_pd!$A$2:$A$118,[1]usmn_pd!$D$2:$D$118,"n/a",0,1)/1000</f>
        <v>103.75668379852999</v>
      </c>
      <c r="E23" s="4">
        <v>-0.17013773259253354</v>
      </c>
      <c r="F23" s="4">
        <f>_xlfn.XLOOKUP($A23,[1]usmn_pd!$A$2:$A$118,[1]usmn_pd!$F$2:$F$118,"n/a",0,1)</f>
        <v>7.8851746700000831</v>
      </c>
      <c r="G23" s="4">
        <f t="shared" si="0"/>
        <v>-0.37440544971891399</v>
      </c>
      <c r="H23" s="4">
        <f t="shared" si="1"/>
        <v>-0.44075272113476816</v>
      </c>
      <c r="I23" s="4">
        <f>$E23-_xlfn.XLOOKUP($A23,[1]usmn_pd!$A$2:$A$118,[1]usmn_pd!$F$2:$F$118,"n/a",0,1)</f>
        <v>-8.0553124025926159</v>
      </c>
      <c r="L23" s="5"/>
      <c r="N23" s="6"/>
      <c r="O23" s="6"/>
      <c r="P23" s="6"/>
      <c r="Q23" s="6"/>
      <c r="S23" s="6"/>
      <c r="T23" s="6"/>
    </row>
    <row r="24" spans="1:20" ht="16">
      <c r="A24" t="s">
        <v>1092</v>
      </c>
      <c r="B24">
        <v>119.69509699999998</v>
      </c>
      <c r="C24" s="4">
        <f>_xlfn.XLOOKUP($A24,[1]usmn_pd!$A$2:$A$118,[1]usmn_pd!$D$2:$D$118,"n/a",0,1)/1000</f>
        <v>112.30557370804999</v>
      </c>
      <c r="E24" s="4">
        <v>-8.2878650481590793E-2</v>
      </c>
      <c r="F24" s="4">
        <f>_xlfn.XLOOKUP($A24,[1]usmn_pd!$A$2:$A$118,[1]usmn_pd!$F$2:$F$118,"n/a",0,1)</f>
        <v>8.9446955900000376</v>
      </c>
      <c r="G24" s="4">
        <f t="shared" si="0"/>
        <v>0</v>
      </c>
      <c r="H24" s="4">
        <f t="shared" si="1"/>
        <v>-8.2878650481590793E-2</v>
      </c>
      <c r="I24" s="4">
        <f>$E24-_xlfn.XLOOKUP($A24,[1]usmn_pd!$A$2:$A$118,[1]usmn_pd!$F$2:$F$118,"n/a",0,1)</f>
        <v>-9.0275742404816288</v>
      </c>
      <c r="L24" s="5"/>
      <c r="N24" s="6"/>
      <c r="O24" s="6"/>
      <c r="P24" s="6"/>
      <c r="Q24" s="6"/>
      <c r="S24" s="6"/>
      <c r="T24" s="6"/>
    </row>
    <row r="25" spans="1:20">
      <c r="L25" s="5"/>
      <c r="N25" s="6"/>
      <c r="O25" s="6"/>
      <c r="P25" s="6"/>
      <c r="Q25" s="6"/>
      <c r="S25" s="6"/>
      <c r="T25" s="6"/>
    </row>
    <row r="26" spans="1:20">
      <c r="A26" s="4" t="s">
        <v>1111</v>
      </c>
      <c r="B26" s="4">
        <f>VLOOKUP(A26,[2]usmn_ana14_pd!$A$2:$B$119,2,FALSE)</f>
        <v>152.47842999999997</v>
      </c>
      <c r="C26" s="4">
        <f>_xlfn.XLOOKUP($A26,[1]usmn_pd!$A$2:$A$118,[1]usmn_pd!$D$2:$D$118,"n/a",0,1)/1000</f>
        <v>111.88288818897</v>
      </c>
      <c r="D26" s="4">
        <v>-2.7450181204649204E-2</v>
      </c>
      <c r="F26" s="4">
        <f>_xlfn.XLOOKUP($A26,[1]usmn_pd!$A$2:$A$118,[1]usmn_pd!$F$2:$F$118,"N/A",0,1)</f>
        <v>8.5861618900000849</v>
      </c>
      <c r="G26" s="4">
        <f t="shared" ref="G26:G89" si="2">F26-($F$26-$F$105)/($C$26*1000-$C$105*1000)*($C26*1000-$C$105*1000)-$F$105</f>
        <v>0</v>
      </c>
      <c r="H26" s="4">
        <f t="shared" ref="H26:H89" si="3">G26+($D$26-$D$105)/($C$26*1000-$C$105*1000)*($C26*1000-$C$105*1000)+$D$105</f>
        <v>-2.7450181204649204E-2</v>
      </c>
      <c r="I26" s="4">
        <f>$D26-VLOOKUP($A26,[1]usmn_pd!$A$2:$F$118,6,FALSE)</f>
        <v>-8.6136120712047344</v>
      </c>
      <c r="J26" s="5">
        <f>$Q$2*$C26^3+$P$2*$C26^2+$O$2*$C26+$N$2</f>
        <v>-8.8410594540578646</v>
      </c>
      <c r="K26" s="4">
        <f>(I26-J26)^2</f>
        <v>5.1732311966738415E-2</v>
      </c>
      <c r="L26" s="5">
        <f>K26/J26</f>
        <v>-5.85137021592976E-3</v>
      </c>
      <c r="M26" s="4" t="s">
        <v>1923</v>
      </c>
      <c r="N26" s="5">
        <v>-1.4231</v>
      </c>
      <c r="O26" s="5">
        <v>-4.6848000000000001E-2</v>
      </c>
      <c r="P26" s="5">
        <v>-1.5868999999999999E-4</v>
      </c>
      <c r="Q26" s="5">
        <v>-1.3568000000000001E-7</v>
      </c>
      <c r="R26" s="6"/>
    </row>
    <row r="27" spans="1:20">
      <c r="A27" s="4" t="s">
        <v>1110</v>
      </c>
      <c r="B27" s="4">
        <f>VLOOKUP(A27,[2]usmn_ana14_pd!$A$2:$B$119,2,FALSE)</f>
        <v>153.98864099999997</v>
      </c>
      <c r="C27" s="4">
        <f>_xlfn.XLOOKUP($A27,[1]usmn_pd!$A$2:$A$118,[1]usmn_pd!$D$2:$D$118,"n/a",0,1)/1000</f>
        <v>110.37267982963999</v>
      </c>
      <c r="D27" s="4">
        <v>-0.13252759650542584</v>
      </c>
      <c r="F27" s="4">
        <f>_xlfn.XLOOKUP($A27,[1]usmn_pd!$A$2:$A$118,[1]usmn_pd!$F$2:$F$118,"N/A",0,1)</f>
        <v>8.4759195900001032</v>
      </c>
      <c r="G27" s="4">
        <f t="shared" si="2"/>
        <v>-7.9250114497156687E-2</v>
      </c>
      <c r="H27" s="4">
        <f t="shared" si="3"/>
        <v>-0.10620734023656547</v>
      </c>
      <c r="I27" s="4">
        <f>$D27-VLOOKUP($A27,[1]usmn_pd!$A$2:$F$118,6,FALSE)</f>
        <v>-8.6084471865055292</v>
      </c>
      <c r="J27" s="5">
        <f t="shared" ref="J27:J90" si="4">$Q$2*$C27^3+$P$2*$C27^2+$O$2*$C27+$N$2</f>
        <v>-8.7094530913149644</v>
      </c>
      <c r="K27" s="4">
        <f t="shared" ref="K27:K90" si="5">(I27-J27)^2</f>
        <v>1.0202192806372678E-2</v>
      </c>
      <c r="L27" s="5">
        <f t="shared" ref="L27:L90" si="6">K27/J27</f>
        <v>-1.1713930483816795E-3</v>
      </c>
    </row>
    <row r="28" spans="1:20">
      <c r="A28" s="4" t="s">
        <v>1095</v>
      </c>
      <c r="B28" s="4">
        <f>VLOOKUP(A28,[2]usmn_ana14_pd!$A$2:$B$119,2,FALSE)</f>
        <v>156.54550899999995</v>
      </c>
      <c r="C28" s="4">
        <f>_xlfn.XLOOKUP($A28,[1]usmn_pd!$A$2:$A$118,[1]usmn_pd!$D$2:$D$118,"n/a",0,1)/1000</f>
        <v>107.81579313671</v>
      </c>
      <c r="D28" s="4">
        <v>-0.30836283330986647</v>
      </c>
      <c r="F28" s="4">
        <f>_xlfn.XLOOKUP($A28,[1]usmn_pd!$A$2:$A$118,[1]usmn_pd!$F$2:$F$118,"N/A",0,1)</f>
        <v>7.979824800000074</v>
      </c>
      <c r="G28" s="4">
        <f t="shared" si="2"/>
        <v>-0.52287300139360049</v>
      </c>
      <c r="H28" s="4">
        <f t="shared" si="3"/>
        <v>-0.54899561960253618</v>
      </c>
      <c r="I28" s="4">
        <f>$D28-VLOOKUP($A28,[1]usmn_pd!$A$2:$F$118,6,FALSE)</f>
        <v>-8.2881876333099402</v>
      </c>
      <c r="J28" s="5">
        <f t="shared" si="4"/>
        <v>-8.4887504089171593</v>
      </c>
      <c r="K28" s="4">
        <f t="shared" si="5"/>
        <v>4.0225426959271691E-2</v>
      </c>
      <c r="L28" s="5">
        <f t="shared" si="6"/>
        <v>-4.7386747190748093E-3</v>
      </c>
      <c r="N28" s="4" t="s">
        <v>1924</v>
      </c>
      <c r="P28" s="4">
        <f>ATAN(($D$26-$D$105)/($C$26*1000-$C$105*1000))</f>
        <v>-3.2641553213165144E-7</v>
      </c>
    </row>
    <row r="29" spans="1:20">
      <c r="A29" s="4" t="s">
        <v>1094</v>
      </c>
      <c r="B29" s="4">
        <f>VLOOKUP(A29,[2]usmn_ana14_pd!$A$2:$B$119,2,FALSE)</f>
        <v>165.26051799999996</v>
      </c>
      <c r="C29" s="4">
        <f>_xlfn.XLOOKUP($A29,[1]usmn_pd!$A$2:$A$118,[1]usmn_pd!$D$2:$D$118,"n/a",0,1)/1000</f>
        <v>99.10072644380999</v>
      </c>
      <c r="D29" s="4">
        <v>-0.29240464658028009</v>
      </c>
      <c r="F29" s="4">
        <f>_xlfn.XLOOKUP($A29,[1]usmn_pd!$A$2:$A$118,[1]usmn_pd!$F$2:$F$118,"N/A",0,1)</f>
        <v>7.1568697000000157</v>
      </c>
      <c r="G29" s="4">
        <f t="shared" si="2"/>
        <v>-1.1669792942425232</v>
      </c>
      <c r="H29" s="4">
        <f t="shared" si="3"/>
        <v>-1.1902571793193331</v>
      </c>
      <c r="I29" s="4">
        <f>$D29-VLOOKUP($A29,[1]usmn_pd!$A$2:$F$118,6,FALSE)</f>
        <v>-7.449274346580296</v>
      </c>
      <c r="J29" s="5">
        <f t="shared" si="4"/>
        <v>-7.7563104350765908</v>
      </c>
      <c r="K29" s="4">
        <f t="shared" si="5"/>
        <v>9.4271159639104582E-2</v>
      </c>
      <c r="L29" s="5">
        <f t="shared" si="6"/>
        <v>-1.2154124106840714E-2</v>
      </c>
      <c r="N29" s="4" t="s">
        <v>1925</v>
      </c>
      <c r="P29" s="4">
        <f>ATAN(($F$26-$F$105)/($C$26*1000-$C$105*1000))</f>
        <v>2.0521794431215635E-5</v>
      </c>
    </row>
    <row r="30" spans="1:20">
      <c r="A30" s="4" t="s">
        <v>1097</v>
      </c>
      <c r="B30" s="4">
        <f>VLOOKUP(A30,[2]usmn_ana14_pd!$A$2:$B$119,2,FALSE)</f>
        <v>166.14232299999995</v>
      </c>
      <c r="C30" s="4">
        <f>_xlfn.XLOOKUP($A30,[1]usmn_pd!$A$2:$A$118,[1]usmn_pd!$D$2:$D$118,"n/a",0,1)/1000</f>
        <v>98.21895993342001</v>
      </c>
      <c r="D30" s="4">
        <v>-0.33990306508205581</v>
      </c>
      <c r="F30" s="4">
        <f>_xlfn.XLOOKUP($A30,[1]usmn_pd!$A$2:$A$118,[1]usmn_pd!$F$2:$F$118,"N/A",0,1)</f>
        <v>7.7999047200000859</v>
      </c>
      <c r="G30" s="4">
        <f t="shared" si="2"/>
        <v>-0.50584884317735934</v>
      </c>
      <c r="H30" s="4">
        <f t="shared" si="3"/>
        <v>-0.52883890596946437</v>
      </c>
      <c r="I30" s="4">
        <f>$D30-VLOOKUP($A30,[1]usmn_pd!$A$2:$F$118,6,FALSE)</f>
        <v>-8.1398077850821409</v>
      </c>
      <c r="J30" s="5">
        <f t="shared" si="4"/>
        <v>-7.6838973717459629</v>
      </c>
      <c r="K30" s="4">
        <f t="shared" si="5"/>
        <v>0.20785430498836466</v>
      </c>
      <c r="L30" s="5">
        <f t="shared" si="6"/>
        <v>-2.7050635235271923E-2</v>
      </c>
    </row>
    <row r="31" spans="1:20">
      <c r="A31" s="4" t="s">
        <v>1096</v>
      </c>
      <c r="B31" s="4">
        <f>VLOOKUP(A31,[2]usmn_ana14_pd!$A$2:$B$119,2,FALSE)</f>
        <v>174.85890799999993</v>
      </c>
      <c r="C31" s="4">
        <f>_xlfn.XLOOKUP($A31,[1]usmn_pd!$A$2:$A$118,[1]usmn_pd!$D$2:$D$118,"n/a",0,1)/1000</f>
        <v>89.502261735060003</v>
      </c>
      <c r="D31" s="4">
        <v>-0.33030504003033889</v>
      </c>
      <c r="F31" s="4">
        <f>_xlfn.XLOOKUP($A31,[1]usmn_pd!$A$2:$A$118,[1]usmn_pd!$F$2:$F$118,"N/A",0,1)</f>
        <v>6.7852866600001107</v>
      </c>
      <c r="G31" s="4">
        <f t="shared" si="2"/>
        <v>-1.341584614606532</v>
      </c>
      <c r="H31" s="4">
        <f t="shared" si="3"/>
        <v>-1.3617294117177883</v>
      </c>
      <c r="I31" s="4">
        <f>$D31-VLOOKUP($A31,[1]usmn_pd!$A$2:$F$118,6,FALSE)</f>
        <v>-7.1155917000304498</v>
      </c>
      <c r="J31" s="5">
        <f t="shared" si="4"/>
        <v>-6.9845915008095139</v>
      </c>
      <c r="K31" s="4">
        <f t="shared" si="5"/>
        <v>1.7161052195924915E-2</v>
      </c>
      <c r="L31" s="5">
        <f t="shared" si="6"/>
        <v>-2.4569872402610731E-3</v>
      </c>
    </row>
    <row r="32" spans="1:20">
      <c r="A32" s="4" t="s">
        <v>1099</v>
      </c>
      <c r="B32" s="4">
        <f>VLOOKUP(A32,[2]usmn_ana14_pd!$A$2:$B$119,2,FALSE)</f>
        <v>175.74261599999994</v>
      </c>
      <c r="C32" s="4">
        <f>_xlfn.XLOOKUP($A32,[1]usmn_pd!$A$2:$A$118,[1]usmn_pd!$D$2:$D$118,"n/a",0,1)/1000</f>
        <v>88.618731960549994</v>
      </c>
      <c r="D32" s="4">
        <v>-0.57464007153745078</v>
      </c>
      <c r="F32" s="4">
        <f>_xlfn.XLOOKUP($A32,[1]usmn_pd!$A$2:$A$118,[1]usmn_pd!$F$2:$F$118,"N/A",0,1)</f>
        <v>6.6921718700000383</v>
      </c>
      <c r="G32" s="4">
        <f t="shared" si="2"/>
        <v>-1.416567788197705</v>
      </c>
      <c r="H32" s="4">
        <f t="shared" si="3"/>
        <v>-1.4364241874674604</v>
      </c>
      <c r="I32" s="4">
        <f>$D32-VLOOKUP($A32,[1]usmn_pd!$A$2:$F$118,6,FALSE)</f>
        <v>-7.2668119415374894</v>
      </c>
      <c r="J32" s="5">
        <f t="shared" si="4"/>
        <v>-6.9153734850875024</v>
      </c>
      <c r="K32" s="4">
        <f t="shared" si="5"/>
        <v>0.12350898867194945</v>
      </c>
      <c r="L32" s="5">
        <f t="shared" si="6"/>
        <v>-1.7860060478047581E-2</v>
      </c>
    </row>
    <row r="33" spans="1:12">
      <c r="A33" s="4" t="s">
        <v>1101</v>
      </c>
      <c r="B33" s="4">
        <f>VLOOKUP(A33,[2]usmn_ana14_pd!$A$2:$B$119,2,FALSE)</f>
        <v>185.33915799999997</v>
      </c>
      <c r="C33" s="4">
        <f>_xlfn.XLOOKUP($A33,[1]usmn_pd!$A$2:$A$118,[1]usmn_pd!$D$2:$D$118,"n/a",0,1)/1000</f>
        <v>79.022111112540003</v>
      </c>
      <c r="D33" s="4">
        <v>-0.42151246848916585</v>
      </c>
      <c r="F33" s="4">
        <f>_xlfn.XLOOKUP($A33,[1]usmn_pd!$A$2:$A$118,[1]usmn_pd!$F$2:$F$118,"N/A",0,1)</f>
        <v>5.6420025800000531</v>
      </c>
      <c r="G33" s="4">
        <f t="shared" si="2"/>
        <v>-2.2697971978928653</v>
      </c>
      <c r="H33" s="4">
        <f t="shared" si="3"/>
        <v>-2.2865211110618517</v>
      </c>
      <c r="I33" s="4">
        <f>$D33-VLOOKUP($A33,[1]usmn_pd!$A$2:$F$118,6,FALSE)</f>
        <v>-6.0635150484892186</v>
      </c>
      <c r="J33" s="5">
        <f t="shared" si="4"/>
        <v>-6.1830183382629498</v>
      </c>
      <c r="K33" s="4">
        <f t="shared" si="5"/>
        <v>1.4281036266744356E-2</v>
      </c>
      <c r="L33" s="5">
        <f t="shared" si="6"/>
        <v>-2.3097192156729808E-3</v>
      </c>
    </row>
    <row r="34" spans="1:12">
      <c r="A34" s="4" t="s">
        <v>1100</v>
      </c>
      <c r="B34" s="4">
        <f>VLOOKUP(A34,[2]usmn_ana14_pd!$A$2:$B$119,2,FALSE)</f>
        <v>194.05496099999996</v>
      </c>
      <c r="C34" s="4">
        <f>_xlfn.XLOOKUP($A34,[1]usmn_pd!$A$2:$A$118,[1]usmn_pd!$D$2:$D$118,"n/a",0,1)/1000</f>
        <v>70.306213648940002</v>
      </c>
      <c r="D34" s="4">
        <v>-0.55073983208663346</v>
      </c>
      <c r="F34" s="4">
        <f>_xlfn.XLOOKUP($A34,[1]usmn_pd!$A$2:$A$118,[1]usmn_pd!$F$2:$F$118,"N/A",0,1)</f>
        <v>4.9493896600000653</v>
      </c>
      <c r="G34" s="4">
        <f t="shared" si="2"/>
        <v>-2.7835442618361892</v>
      </c>
      <c r="H34" s="4">
        <f t="shared" si="3"/>
        <v>-2.7974231706965895</v>
      </c>
      <c r="I34" s="4">
        <f>$D34-VLOOKUP($A34,[1]usmn_pd!$A$2:$F$118,6,FALSE)</f>
        <v>-5.5001294920866988</v>
      </c>
      <c r="J34" s="5">
        <f t="shared" si="4"/>
        <v>-5.5483560605042195</v>
      </c>
      <c r="K34" s="4">
        <f t="shared" si="5"/>
        <v>2.3258019013298061E-3</v>
      </c>
      <c r="L34" s="5">
        <f t="shared" si="6"/>
        <v>-4.1918757123140426E-4</v>
      </c>
    </row>
    <row r="35" spans="1:12">
      <c r="A35" s="4" t="s">
        <v>1103</v>
      </c>
      <c r="B35" s="4">
        <f>VLOOKUP(A35,[2]usmn_ana14_pd!$A$2:$B$119,2,FALSE)</f>
        <v>194.94342399999994</v>
      </c>
      <c r="C35" s="4">
        <f>_xlfn.XLOOKUP($A35,[1]usmn_pd!$A$2:$A$118,[1]usmn_pd!$D$2:$D$118,"n/a",0,1)/1000</f>
        <v>69.417902122019996</v>
      </c>
      <c r="D35" s="4">
        <v>-0.61277711251767453</v>
      </c>
      <c r="F35" s="4">
        <f>_xlfn.XLOOKUP($A35,[1]usmn_pd!$A$2:$A$118,[1]usmn_pd!$F$2:$F$118,"N/A",0,1)</f>
        <v>5.0002632300000869</v>
      </c>
      <c r="G35" s="4">
        <f t="shared" si="2"/>
        <v>-2.7144409452872793</v>
      </c>
      <c r="H35" s="4">
        <f t="shared" si="3"/>
        <v>-2.7280298954679214</v>
      </c>
      <c r="I35" s="4">
        <f>$D35-VLOOKUP($A35,[1]usmn_pd!$A$2:$F$118,6,FALSE)</f>
        <v>-5.6130403425177615</v>
      </c>
      <c r="J35" s="5">
        <f t="shared" si="4"/>
        <v>-5.4852792888803981</v>
      </c>
      <c r="K35" s="4">
        <f t="shared" si="5"/>
        <v>1.632288682652926E-2</v>
      </c>
      <c r="L35" s="5">
        <f t="shared" si="6"/>
        <v>-2.9757622113460204E-3</v>
      </c>
    </row>
    <row r="36" spans="1:12">
      <c r="A36" s="4" t="s">
        <v>1102</v>
      </c>
      <c r="B36" s="4">
        <f>VLOOKUP(A36,[2]usmn_ana14_pd!$A$2:$B$119,2,FALSE)</f>
        <v>203.65968099999995</v>
      </c>
      <c r="C36" s="4">
        <f>_xlfn.XLOOKUP($A36,[1]usmn_pd!$A$2:$A$118,[1]usmn_pd!$D$2:$D$118,"n/a",0,1)/1000</f>
        <v>60.701588236879999</v>
      </c>
      <c r="D36" s="4">
        <v>-0.732062095438619</v>
      </c>
      <c r="F36" s="4">
        <f>_xlfn.XLOOKUP($A36,[1]usmn_pd!$A$2:$A$118,[1]usmn_pd!$F$2:$F$118,"N/A",0,1)</f>
        <v>4.5463958500000672</v>
      </c>
      <c r="G36" s="4">
        <f t="shared" si="2"/>
        <v>-2.9894339235133938</v>
      </c>
      <c r="H36" s="4">
        <f t="shared" si="3"/>
        <v>-3.0001777334589912</v>
      </c>
      <c r="I36" s="4">
        <f>$D36-VLOOKUP($A36,[1]usmn_pd!$A$2:$F$118,6,FALSE)</f>
        <v>-5.278457945438686</v>
      </c>
      <c r="J36" s="5">
        <f t="shared" si="4"/>
        <v>-4.8819173378618421</v>
      </c>
      <c r="K36" s="4">
        <f t="shared" si="5"/>
        <v>0.15724445345741248</v>
      </c>
      <c r="L36" s="5">
        <f t="shared" si="6"/>
        <v>-3.2209569022789236E-2</v>
      </c>
    </row>
    <row r="37" spans="1:12">
      <c r="A37" s="4" t="s">
        <v>1105</v>
      </c>
      <c r="B37" s="4">
        <f>VLOOKUP(A37,[2]usmn_ana14_pd!$A$2:$B$119,2,FALSE)</f>
        <v>204.51867499999997</v>
      </c>
      <c r="C37" s="4">
        <f>_xlfn.XLOOKUP($A37,[1]usmn_pd!$A$2:$A$118,[1]usmn_pd!$D$2:$D$118,"n/a",0,1)/1000</f>
        <v>59.842605103100006</v>
      </c>
      <c r="D37" s="4">
        <v>-0.73649151222294396</v>
      </c>
      <c r="F37" s="4">
        <f>_xlfn.XLOOKUP($A37,[1]usmn_pd!$A$2:$A$118,[1]usmn_pd!$F$2:$F$118,"N/A",0,1)</f>
        <v>4.4174910800001044</v>
      </c>
      <c r="G37" s="4">
        <f t="shared" si="2"/>
        <v>-3.100710818219568</v>
      </c>
      <c r="H37" s="4">
        <f t="shared" si="3"/>
        <v>-3.1111742427284605</v>
      </c>
      <c r="I37" s="4">
        <f>$D37-VLOOKUP($A37,[1]usmn_pd!$A$2:$F$118,6,FALSE)</f>
        <v>-5.1539825922230484</v>
      </c>
      <c r="J37" s="5">
        <f t="shared" si="4"/>
        <v>-4.8239739024021056</v>
      </c>
      <c r="K37" s="4">
        <f t="shared" si="5"/>
        <v>0.10890573535733529</v>
      </c>
      <c r="L37" s="5">
        <f t="shared" si="6"/>
        <v>-2.2575937921866764E-2</v>
      </c>
    </row>
    <row r="38" spans="1:12">
      <c r="A38" s="4" t="s">
        <v>1104</v>
      </c>
      <c r="B38" s="4">
        <f>VLOOKUP(A38,[2]usmn_ana14_pd!$A$2:$B$119,2,FALSE)</f>
        <v>213.23380299999997</v>
      </c>
      <c r="C38" s="4">
        <f>_xlfn.XLOOKUP($A38,[1]usmn_pd!$A$2:$A$118,[1]usmn_pd!$D$2:$D$118,"n/a",0,1)/1000</f>
        <v>51.12744503647</v>
      </c>
      <c r="D38" s="4">
        <v>-0.83140313247638342</v>
      </c>
      <c r="F38" s="4">
        <f>_xlfn.XLOOKUP($A38,[1]usmn_pd!$A$2:$A$118,[1]usmn_pd!$F$2:$F$118,"N/A",0,1)</f>
        <v>3.317781210000021</v>
      </c>
      <c r="G38" s="4">
        <f t="shared" si="2"/>
        <v>-4.0215699648720236</v>
      </c>
      <c r="H38" s="4">
        <f t="shared" si="3"/>
        <v>-4.0291886257701544</v>
      </c>
      <c r="I38" s="4">
        <f>$D38-VLOOKUP($A38,[1]usmn_pd!$A$2:$F$118,6,FALSE)</f>
        <v>-4.1491843424764046</v>
      </c>
      <c r="J38" s="5">
        <f t="shared" si="4"/>
        <v>-4.2512700389398193</v>
      </c>
      <c r="K38" s="4">
        <f t="shared" si="5"/>
        <v>1.042148942242044E-2</v>
      </c>
      <c r="L38" s="5">
        <f t="shared" si="6"/>
        <v>-2.4513826049542948E-3</v>
      </c>
    </row>
    <row r="39" spans="1:12">
      <c r="A39" s="4" t="s">
        <v>1107</v>
      </c>
      <c r="B39" s="4">
        <f>VLOOKUP(A39,[2]usmn_ana14_pd!$A$2:$B$119,2,FALSE)</f>
        <v>214.19955299999995</v>
      </c>
      <c r="C39" s="4">
        <f>_xlfn.XLOOKUP($A39,[1]usmn_pd!$A$2:$A$118,[1]usmn_pd!$D$2:$D$118,"n/a",0,1)/1000</f>
        <v>50.161761072540003</v>
      </c>
      <c r="D39" s="4">
        <v>-0.81204505269227667</v>
      </c>
      <c r="F39" s="4">
        <f>_xlfn.XLOOKUP($A39,[1]usmn_pd!$A$2:$A$118,[1]usmn_pd!$F$2:$F$118,"N/A",0,1)</f>
        <v>3.3487412500001028</v>
      </c>
      <c r="G39" s="4">
        <f t="shared" si="2"/>
        <v>-3.970792357075867</v>
      </c>
      <c r="H39" s="4">
        <f t="shared" si="3"/>
        <v>-3.9780958037290408</v>
      </c>
      <c r="I39" s="4">
        <f>$D39-VLOOKUP($A39,[1]usmn_pd!$A$2:$F$118,6,FALSE)</f>
        <v>-4.1607863026923795</v>
      </c>
      <c r="J39" s="5">
        <f t="shared" si="4"/>
        <v>-4.1894994627565874</v>
      </c>
      <c r="K39" s="4">
        <f t="shared" si="5"/>
        <v>8.2444556087282208E-4</v>
      </c>
      <c r="L39" s="5">
        <f t="shared" si="6"/>
        <v>-1.9678855868150827E-4</v>
      </c>
    </row>
    <row r="40" spans="1:12">
      <c r="A40" s="4" t="s">
        <v>1106</v>
      </c>
      <c r="B40" s="4">
        <f>VLOOKUP(A40,[2]usmn_ana14_pd!$A$2:$B$119,2,FALSE)</f>
        <v>222.91542199999995</v>
      </c>
      <c r="C40" s="4">
        <f>_xlfn.XLOOKUP($A40,[1]usmn_pd!$A$2:$A$118,[1]usmn_pd!$D$2:$D$118,"n/a",0,1)/1000</f>
        <v>41.44585653459</v>
      </c>
      <c r="D40" s="4">
        <v>-0.67198668779492787</v>
      </c>
      <c r="F40" s="4">
        <f>_xlfn.XLOOKUP($A40,[1]usmn_pd!$A$2:$A$118,[1]usmn_pd!$F$2:$F$118,"N/A",0,1)</f>
        <v>2.7508357000000387</v>
      </c>
      <c r="G40" s="4">
        <f t="shared" si="2"/>
        <v>-4.3898319058409108</v>
      </c>
      <c r="H40" s="4">
        <f t="shared" si="3"/>
        <v>-4.3942903458763203</v>
      </c>
      <c r="I40" s="4">
        <f>$D40-VLOOKUP($A40,[1]usmn_pd!$A$2:$F$118,6,FALSE)</f>
        <v>-3.4228223877949668</v>
      </c>
      <c r="J40" s="5">
        <f t="shared" si="4"/>
        <v>-3.6470062675476473</v>
      </c>
      <c r="K40" s="4">
        <f t="shared" si="5"/>
        <v>5.0258411940964309E-2</v>
      </c>
      <c r="L40" s="5">
        <f t="shared" si="6"/>
        <v>-1.378073089376935E-2</v>
      </c>
    </row>
    <row r="41" spans="1:12">
      <c r="A41" s="4" t="s">
        <v>1109</v>
      </c>
      <c r="B41" s="4">
        <f>VLOOKUP(A41,[2]usmn_ana14_pd!$A$2:$B$119,2,FALSE)</f>
        <v>228.20102399999999</v>
      </c>
      <c r="C41" s="4">
        <f>_xlfn.XLOOKUP($A41,[1]usmn_pd!$A$2:$A$118,[1]usmn_pd!$D$2:$D$118,"n/a",0,1)/1000</f>
        <v>36.160219480209996</v>
      </c>
      <c r="D41" s="4">
        <v>-1.0751789438142363</v>
      </c>
      <c r="F41" s="4">
        <f>_xlfn.XLOOKUP($A41,[1]usmn_pd!$A$2:$A$118,[1]usmn_pd!$F$2:$F$118,"N/A",0,1)</f>
        <v>2.1111618500000304</v>
      </c>
      <c r="G41" s="4">
        <f t="shared" si="2"/>
        <v>-4.9210349987576887</v>
      </c>
      <c r="H41" s="4">
        <f t="shared" si="3"/>
        <v>-4.9237681247613381</v>
      </c>
      <c r="I41" s="4">
        <f>$D41-VLOOKUP($A41,[1]usmn_pd!$A$2:$F$118,6,FALSE)</f>
        <v>-3.1863407938142667</v>
      </c>
      <c r="J41" s="5">
        <f t="shared" si="4"/>
        <v>-3.3310460747279622</v>
      </c>
      <c r="K41" s="4">
        <f t="shared" si="5"/>
        <v>2.0939618324311526E-2</v>
      </c>
      <c r="L41" s="5">
        <f t="shared" si="6"/>
        <v>-6.2861989460838092E-3</v>
      </c>
    </row>
    <row r="42" spans="1:12">
      <c r="A42" s="4" t="s">
        <v>1108</v>
      </c>
      <c r="B42" s="4">
        <f>VLOOKUP(A42,[2]usmn_ana14_pd!$A$2:$B$119,2,FALSE)</f>
        <v>236.91723499999998</v>
      </c>
      <c r="C42" s="4">
        <f>_xlfn.XLOOKUP($A42,[1]usmn_pd!$A$2:$A$118,[1]usmn_pd!$D$2:$D$118,"n/a",0,1)/1000</f>
        <v>27.44394971953</v>
      </c>
      <c r="D42" s="4">
        <v>-0.92856152379916956</v>
      </c>
      <c r="F42" s="4">
        <f>_xlfn.XLOOKUP($A42,[1]usmn_pd!$A$2:$A$118,[1]usmn_pd!$F$2:$F$118,"N/A",0,1)</f>
        <v>1.8974857400000928</v>
      </c>
      <c r="G42" s="4">
        <f t="shared" si="2"/>
        <v>-4.9558376124968202</v>
      </c>
      <c r="H42" s="4">
        <f t="shared" si="3"/>
        <v>-4.955725612668334</v>
      </c>
      <c r="I42" s="4">
        <f>$D42-VLOOKUP($A42,[1]usmn_pd!$A$2:$F$118,6,FALSE)</f>
        <v>-2.8260472637992624</v>
      </c>
      <c r="J42" s="5">
        <f t="shared" si="4"/>
        <v>-2.83111926498177</v>
      </c>
      <c r="K42" s="4">
        <f t="shared" si="5"/>
        <v>2.5725195995358623E-5</v>
      </c>
      <c r="L42" s="5">
        <f t="shared" si="6"/>
        <v>-9.0865815204448018E-6</v>
      </c>
    </row>
    <row r="43" spans="1:12">
      <c r="A43" s="4" t="s">
        <v>999</v>
      </c>
      <c r="B43" s="4">
        <f>VLOOKUP(A43,[2]usmn_ana14_pd!$A$2:$B$119,2,FALSE)</f>
        <v>238.11592599999997</v>
      </c>
      <c r="C43" s="4">
        <f>_xlfn.XLOOKUP($A43,[1]usmn_pd!$A$2:$A$118,[1]usmn_pd!$D$2:$D$118,"n/a",0,1)/1000</f>
        <v>26.24535833661</v>
      </c>
      <c r="D43" s="4">
        <v>-0.79085051727881173</v>
      </c>
      <c r="F43" s="4">
        <f>_xlfn.XLOOKUP($A43,[1]usmn_pd!$A$2:$A$118,[1]usmn_pd!$F$2:$F$118,"N/A",0,1)</f>
        <v>1.9915099700000383</v>
      </c>
      <c r="G43" s="4">
        <f t="shared" si="2"/>
        <v>-4.8372161365261128</v>
      </c>
      <c r="H43" s="4">
        <f t="shared" si="3"/>
        <v>-4.8367128978535625</v>
      </c>
      <c r="I43" s="4">
        <f>$D43-VLOOKUP($A43,[1]usmn_pd!$A$2:$F$118,6,FALSE)</f>
        <v>-2.7823604872788499</v>
      </c>
      <c r="J43" s="5">
        <f t="shared" si="4"/>
        <v>-2.7644040715104214</v>
      </c>
      <c r="K43" s="4">
        <f t="shared" si="5"/>
        <v>3.2243286724866534E-4</v>
      </c>
      <c r="L43" s="5">
        <f t="shared" si="6"/>
        <v>-1.166373869043297E-4</v>
      </c>
    </row>
    <row r="44" spans="1:12">
      <c r="A44" s="4" t="s">
        <v>1001</v>
      </c>
      <c r="B44" s="4">
        <f>VLOOKUP(A44,[2]usmn_ana14_pd!$A$2:$B$119,2,FALSE)</f>
        <v>247.70651399999997</v>
      </c>
      <c r="C44" s="4">
        <f>_xlfn.XLOOKUP($A44,[1]usmn_pd!$A$2:$A$118,[1]usmn_pd!$D$2:$D$118,"n/a",0,1)/1000</f>
        <v>16.654773188330001</v>
      </c>
      <c r="D44" s="4">
        <v>-0.76166601162973135</v>
      </c>
      <c r="F44" s="4">
        <f>_xlfn.XLOOKUP($A44,[1]usmn_pd!$A$2:$A$118,[1]usmn_pd!$F$2:$F$118,"N/A",0,1)</f>
        <v>0.77773657000000185</v>
      </c>
      <c r="G44" s="4">
        <f t="shared" si="2"/>
        <v>-5.8541735196104465</v>
      </c>
      <c r="H44" s="4">
        <f t="shared" si="3"/>
        <v>-5.8505397649832664</v>
      </c>
      <c r="I44" s="4">
        <f>$D44-VLOOKUP($A44,[1]usmn_pd!$A$2:$F$118,6,FALSE)</f>
        <v>-1.5394025816297332</v>
      </c>
      <c r="J44" s="5">
        <f t="shared" si="4"/>
        <v>-2.2479872841455966</v>
      </c>
      <c r="K44" s="4">
        <f t="shared" si="5"/>
        <v>0.50209228063949463</v>
      </c>
      <c r="L44" s="5">
        <f t="shared" si="6"/>
        <v>-0.22335192204182208</v>
      </c>
    </row>
    <row r="45" spans="1:12">
      <c r="A45" s="4" t="s">
        <v>1000</v>
      </c>
      <c r="B45" s="4">
        <f>VLOOKUP(A45,[2]usmn_ana14_pd!$A$2:$B$119,2,FALSE)</f>
        <v>256.42060699999996</v>
      </c>
      <c r="C45" s="4">
        <f>_xlfn.XLOOKUP($A45,[1]usmn_pd!$A$2:$A$118,[1]usmn_pd!$D$2:$D$118,"n/a",0,1)/1000</f>
        <v>7.9405835600800003</v>
      </c>
      <c r="D45" s="4">
        <v>-0.72309443239753413</v>
      </c>
      <c r="F45" s="4">
        <f>_xlfn.XLOOKUP($A45,[1]usmn_pd!$A$2:$A$118,[1]usmn_pd!$F$2:$F$118,"N/A",0,1)</f>
        <v>0.89558274000000893</v>
      </c>
      <c r="G45" s="4">
        <f t="shared" si="2"/>
        <v>-5.5574965413997566</v>
      </c>
      <c r="H45" s="4">
        <f t="shared" si="3"/>
        <v>-5.5510183399279747</v>
      </c>
      <c r="I45" s="4">
        <f>$D45-VLOOKUP($A45,[1]usmn_pd!$A$2:$F$118,6,FALSE)</f>
        <v>-1.6186771723975431</v>
      </c>
      <c r="J45" s="5">
        <f t="shared" si="4"/>
        <v>-1.8051742499262731</v>
      </c>
      <c r="K45" s="4">
        <f t="shared" si="5"/>
        <v>3.4781159926757135E-2</v>
      </c>
      <c r="L45" s="5">
        <f t="shared" si="6"/>
        <v>-1.9267480648019253E-2</v>
      </c>
    </row>
    <row r="46" spans="1:12">
      <c r="A46" s="4" t="s">
        <v>1005</v>
      </c>
      <c r="B46" s="4">
        <f>VLOOKUP(A46,[2]usmn_ana14_pd!$A$2:$B$119,2,FALSE)</f>
        <v>257.31755299999998</v>
      </c>
      <c r="C46" s="4">
        <f>_xlfn.XLOOKUP($A46,[1]usmn_pd!$A$2:$A$118,[1]usmn_pd!$D$2:$D$118,"n/a",0,1)/1000</f>
        <v>7.0437711151699993</v>
      </c>
      <c r="D46" s="4">
        <v>-0.64861521834210412</v>
      </c>
      <c r="F46" s="4">
        <f>_xlfn.XLOOKUP($A46,[1]usmn_pd!$A$2:$A$118,[1]usmn_pd!$F$2:$F$118,"N/A",0,1)</f>
        <v>1.1990933100000802</v>
      </c>
      <c r="G46" s="4">
        <f t="shared" si="2"/>
        <v>-5.2355817707593033</v>
      </c>
      <c r="H46" s="4">
        <f t="shared" si="3"/>
        <v>-5.2288108357760938</v>
      </c>
      <c r="I46" s="4">
        <f>$D46-VLOOKUP($A46,[1]usmn_pd!$A$2:$F$118,6,FALSE)</f>
        <v>-1.8477085283421844</v>
      </c>
      <c r="J46" s="5">
        <f t="shared" si="4"/>
        <v>-1.7610073644985387</v>
      </c>
      <c r="K46" s="4">
        <f t="shared" si="5"/>
        <v>7.5170918118426929E-3</v>
      </c>
      <c r="L46" s="5">
        <f t="shared" si="6"/>
        <v>-4.2686316726354215E-3</v>
      </c>
    </row>
    <row r="47" spans="1:12">
      <c r="A47" s="4" t="s">
        <v>1004</v>
      </c>
      <c r="B47" s="4">
        <f>VLOOKUP(A47,[2]usmn_ana14_pd!$A$2:$B$119,2,FALSE)</f>
        <v>266.03217899999993</v>
      </c>
      <c r="C47" s="4">
        <f>_xlfn.XLOOKUP($A47,[1]usmn_pd!$A$2:$A$118,[1]usmn_pd!$D$2:$D$118,"n/a",0,1)/1000</f>
        <v>-1.67097066741</v>
      </c>
      <c r="D47" s="4">
        <v>-0.64000384260334398</v>
      </c>
      <c r="F47" s="4">
        <f>_xlfn.XLOOKUP($A47,[1]usmn_pd!$A$2:$A$118,[1]usmn_pd!$F$2:$F$118,"N/A",0,1)</f>
        <v>1.0766786600000842</v>
      </c>
      <c r="G47" s="4">
        <f t="shared" si="2"/>
        <v>-5.1791542813509608</v>
      </c>
      <c r="H47" s="4">
        <f t="shared" si="3"/>
        <v>-5.1695387192914009</v>
      </c>
      <c r="I47" s="4">
        <f>$D47-VLOOKUP($A47,[1]usmn_pd!$A$2:$F$118,6,FALSE)</f>
        <v>-1.7166825026034283</v>
      </c>
      <c r="J47" s="5">
        <f t="shared" si="4"/>
        <v>-1.345260818314183</v>
      </c>
      <c r="K47" s="4">
        <f t="shared" si="5"/>
        <v>0.1379540675602598</v>
      </c>
      <c r="L47" s="5">
        <f t="shared" si="6"/>
        <v>-0.10254819413616557</v>
      </c>
    </row>
    <row r="48" spans="1:12">
      <c r="A48" s="4" t="s">
        <v>1007</v>
      </c>
      <c r="B48" s="4">
        <f>VLOOKUP(A48,[2]usmn_ana14_pd!$A$2:$B$119,2,FALSE)</f>
        <v>277.8389269999999</v>
      </c>
      <c r="C48" s="4">
        <f>_xlfn.XLOOKUP($A48,[1]usmn_pd!$A$2:$A$118,[1]usmn_pd!$D$2:$D$118,"n/a",0,1)/1000</f>
        <v>-13.4777968243</v>
      </c>
      <c r="D48" s="4">
        <v>-0.49258423829524084</v>
      </c>
      <c r="F48" s="4">
        <f>_xlfn.XLOOKUP($A48,[1]usmn_pd!$A$2:$A$118,[1]usmn_pd!$F$2:$F$118,"N/A",0,1)</f>
        <v>0.44132610000008299</v>
      </c>
      <c r="G48" s="4">
        <f t="shared" si="2"/>
        <v>-5.5722095820401512</v>
      </c>
      <c r="H48" s="4">
        <f t="shared" si="3"/>
        <v>-5.558740088537804</v>
      </c>
      <c r="I48" s="4">
        <f>$D48-VLOOKUP($A48,[1]usmn_pd!$A$2:$F$118,6,FALSE)</f>
        <v>-0.93391033829532377</v>
      </c>
      <c r="J48" s="5">
        <f t="shared" si="4"/>
        <v>-0.82018619342525656</v>
      </c>
      <c r="K48" s="4">
        <f t="shared" si="5"/>
        <v>1.2933181126428035E-2</v>
      </c>
      <c r="L48" s="5">
        <f t="shared" si="6"/>
        <v>-1.5768591607737949E-2</v>
      </c>
    </row>
    <row r="49" spans="1:12">
      <c r="A49" s="4" t="s">
        <v>1006</v>
      </c>
      <c r="B49" s="4">
        <f>VLOOKUP(A49,[2]usmn_ana14_pd!$A$2:$B$119,2,FALSE)</f>
        <v>287.49834099999993</v>
      </c>
      <c r="C49" s="4">
        <f>_xlfn.XLOOKUP($A49,[1]usmn_pd!$A$2:$A$118,[1]usmn_pd!$D$2:$D$118,"n/a",0,1)/1000</f>
        <v>-23.13693933403</v>
      </c>
      <c r="D49" s="4">
        <v>9.2928152268012099E-2</v>
      </c>
      <c r="F49" s="4">
        <f>_xlfn.XLOOKUP($A49,[1]usmn_pd!$A$2:$A$118,[1]usmn_pd!$F$2:$F$118,"N/A",0,1)</f>
        <v>-1.5944499999704931E-3</v>
      </c>
      <c r="G49" s="4">
        <f t="shared" si="2"/>
        <v>-5.816907195045883</v>
      </c>
      <c r="H49" s="4">
        <f t="shared" si="3"/>
        <v>-5.8002848074012867</v>
      </c>
      <c r="I49" s="4">
        <f>$D49-VLOOKUP($A49,[1]usmn_pd!$A$2:$F$118,6,FALSE)</f>
        <v>9.4522602267982592E-2</v>
      </c>
      <c r="J49" s="5">
        <f t="shared" si="4"/>
        <v>-0.42244979261514648</v>
      </c>
      <c r="K49" s="4">
        <f t="shared" si="5"/>
        <v>0.26726045707119794</v>
      </c>
      <c r="L49" s="5">
        <f t="shared" si="6"/>
        <v>-0.63264430884612444</v>
      </c>
    </row>
    <row r="50" spans="1:12">
      <c r="A50" s="4" t="s">
        <v>1009</v>
      </c>
      <c r="B50" s="4">
        <f>VLOOKUP(A50,[2]usmn_ana14_pd!$A$2:$B$119,2,FALSE)</f>
        <v>287.82182199999994</v>
      </c>
      <c r="C50" s="4">
        <f>_xlfn.XLOOKUP($A50,[1]usmn_pd!$A$2:$A$118,[1]usmn_pd!$D$2:$D$118,"n/a",0,1)/1000</f>
        <v>-23.460692029419999</v>
      </c>
      <c r="D50" s="4">
        <v>-0.49490180763994329</v>
      </c>
      <c r="F50" s="4">
        <f>_xlfn.XLOOKUP($A50,[1]usmn_pd!$A$2:$A$118,[1]usmn_pd!$F$2:$F$118,"N/A",0,1)</f>
        <v>-0.14414062999992439</v>
      </c>
      <c r="G50" s="4">
        <f t="shared" si="2"/>
        <v>-5.9528093887835594</v>
      </c>
      <c r="H50" s="4">
        <f t="shared" si="3"/>
        <v>-5.936081323230618</v>
      </c>
      <c r="I50" s="4">
        <f>$D50-VLOOKUP($A50,[1]usmn_pd!$A$2:$F$118,6,FALSE)</f>
        <v>-0.35076117764001891</v>
      </c>
      <c r="J50" s="5">
        <f t="shared" si="4"/>
        <v>-0.40960510485558688</v>
      </c>
      <c r="K50" s="4">
        <f t="shared" si="5"/>
        <v>3.4626077701510609E-3</v>
      </c>
      <c r="L50" s="5">
        <f t="shared" si="6"/>
        <v>-8.453526894817048E-3</v>
      </c>
    </row>
    <row r="51" spans="1:12">
      <c r="A51" s="4" t="s">
        <v>1008</v>
      </c>
      <c r="B51" s="4">
        <f>VLOOKUP(A51,[2]usmn_ana14_pd!$A$2:$B$119,2,FALSE)</f>
        <v>294.19867799999997</v>
      </c>
      <c r="C51" s="4">
        <f>_xlfn.XLOOKUP($A51,[1]usmn_pd!$A$2:$A$118,[1]usmn_pd!$D$2:$D$118,"n/a",0,1)/1000</f>
        <v>-29.837445735469998</v>
      </c>
      <c r="D51" s="4">
        <v>-0.40121954393472375</v>
      </c>
      <c r="F51" s="4">
        <f>_xlfn.XLOOKUP($A51,[1]usmn_pd!$A$2:$A$118,[1]usmn_pd!$F$2:$F$118,"N/A",0,1)</f>
        <v>-0.1528929399999015</v>
      </c>
      <c r="G51" s="4">
        <f t="shared" si="2"/>
        <v>-5.8306992700711149</v>
      </c>
      <c r="H51" s="4">
        <f t="shared" si="3"/>
        <v>-5.811889733063941</v>
      </c>
      <c r="I51" s="4">
        <f>$D51-VLOOKUP($A51,[1]usmn_pd!$A$2:$F$118,6,FALSE)</f>
        <v>-0.24832660393482225</v>
      </c>
      <c r="J51" s="5">
        <f t="shared" si="4"/>
        <v>-0.16294865861178476</v>
      </c>
      <c r="K51" s="4">
        <f t="shared" si="5"/>
        <v>7.28939354758358E-3</v>
      </c>
      <c r="L51" s="5">
        <f t="shared" si="6"/>
        <v>-4.4734296125444738E-2</v>
      </c>
    </row>
    <row r="52" spans="1:12">
      <c r="A52" s="4" t="s">
        <v>1011</v>
      </c>
      <c r="B52" s="4">
        <f>VLOOKUP(A52,[2]usmn_ana14_pd!$A$2:$B$119,2,FALSE)</f>
        <v>294.52192499999995</v>
      </c>
      <c r="C52" s="4">
        <f>_xlfn.XLOOKUP($A52,[1]usmn_pd!$A$2:$A$118,[1]usmn_pd!$D$2:$D$118,"n/a",0,1)/1000</f>
        <v>-30.160889954269997</v>
      </c>
      <c r="D52" s="4">
        <v>-0.39730444742564047</v>
      </c>
      <c r="F52" s="4">
        <f>_xlfn.XLOOKUP($A52,[1]usmn_pd!$A$2:$A$118,[1]usmn_pd!$F$2:$F$118,"N/A",0,1)</f>
        <v>-7.856054999990647E-2</v>
      </c>
      <c r="G52" s="4">
        <f t="shared" si="2"/>
        <v>-5.7497292243020093</v>
      </c>
      <c r="H52" s="4">
        <f t="shared" si="3"/>
        <v>-5.7308141100780405</v>
      </c>
      <c r="I52" s="4">
        <f>$D52-VLOOKUP($A52,[1]usmn_pd!$A$2:$F$118,6,FALSE)</f>
        <v>-0.318743897425734</v>
      </c>
      <c r="J52" s="5">
        <f t="shared" si="4"/>
        <v>-0.15075701637390027</v>
      </c>
      <c r="K52" s="4">
        <f t="shared" si="5"/>
        <v>2.8219592205522937E-2</v>
      </c>
      <c r="L52" s="5">
        <f t="shared" si="6"/>
        <v>-0.18718592928062511</v>
      </c>
    </row>
    <row r="53" spans="1:12">
      <c r="A53" s="4" t="s">
        <v>1010</v>
      </c>
      <c r="B53" s="4">
        <f>VLOOKUP(A53,[2]usmn_ana14_pd!$A$2:$B$119,2,FALSE)</f>
        <v>304.89211799999993</v>
      </c>
      <c r="C53" s="4">
        <f>_xlfn.XLOOKUP($A53,[1]usmn_pd!$A$2:$A$118,[1]usmn_pd!$D$2:$D$118,"n/a",0,1)/1000</f>
        <v>-40.530734924340003</v>
      </c>
      <c r="D53" s="4">
        <v>-0.33957742716315437</v>
      </c>
      <c r="F53" s="4">
        <f>_xlfn.XLOOKUP($A53,[1]usmn_pd!$A$2:$A$118,[1]usmn_pd!$F$2:$F$118,"N/A",0,1)</f>
        <v>-0.53003039999998691</v>
      </c>
      <c r="G53" s="4">
        <f t="shared" si="2"/>
        <v>-5.9883912475128636</v>
      </c>
      <c r="H53" s="4">
        <f t="shared" si="3"/>
        <v>-5.9660912548248666</v>
      </c>
      <c r="I53" s="4">
        <f>$D53-VLOOKUP($A53,[1]usmn_pd!$A$2:$F$118,6,FALSE)</f>
        <v>0.19045297283683255</v>
      </c>
      <c r="J53" s="5">
        <f t="shared" si="4"/>
        <v>0.2240311590221018</v>
      </c>
      <c r="K53" s="4">
        <f t="shared" si="5"/>
        <v>1.127494587492607E-3</v>
      </c>
      <c r="L53" s="5">
        <f t="shared" si="6"/>
        <v>5.0327579092753526E-3</v>
      </c>
    </row>
    <row r="54" spans="1:12">
      <c r="A54" s="4" t="s">
        <v>1012</v>
      </c>
      <c r="B54" s="4">
        <f>VLOOKUP(A54,[2]usmn_ana14_pd!$A$2:$B$119,2,FALSE)</f>
        <v>306.78192999999987</v>
      </c>
      <c r="C54" s="4">
        <f>_xlfn.XLOOKUP($A54,[1]usmn_pd!$A$2:$A$118,[1]usmn_pd!$D$2:$D$118,"n/a",0,1)/1000</f>
        <v>-42.420700450110004</v>
      </c>
      <c r="D54" s="4">
        <v>-0.38911332354271849</v>
      </c>
      <c r="F54" s="4">
        <f>_xlfn.XLOOKUP($A54,[1]usmn_pd!$A$2:$A$118,[1]usmn_pd!$F$2:$F$118,"N/A",0,1)</f>
        <v>-0.65330564999999297</v>
      </c>
      <c r="G54" s="4">
        <f t="shared" si="2"/>
        <v>-6.072881013505488</v>
      </c>
      <c r="H54" s="4">
        <f t="shared" si="3"/>
        <v>-6.0499641067146861</v>
      </c>
      <c r="I54" s="4">
        <f>$D54-VLOOKUP($A54,[1]usmn_pd!$A$2:$F$118,6,FALSE)</f>
        <v>0.26419232645727447</v>
      </c>
      <c r="J54" s="5">
        <f t="shared" si="4"/>
        <v>0.28901717457030762</v>
      </c>
      <c r="K54" s="4">
        <f t="shared" si="5"/>
        <v>6.1627308383516545E-4</v>
      </c>
      <c r="L54" s="5">
        <f t="shared" si="6"/>
        <v>2.1323060982497014E-3</v>
      </c>
    </row>
    <row r="55" spans="1:12">
      <c r="A55" s="4" t="s">
        <v>1014</v>
      </c>
      <c r="B55" s="4">
        <f>VLOOKUP(A55,[2]usmn_ana14_pd!$A$2:$B$119,2,FALSE)</f>
        <v>333.03611699999988</v>
      </c>
      <c r="C55" s="4">
        <f>_xlfn.XLOOKUP($A55,[1]usmn_pd!$A$2:$A$118,[1]usmn_pd!$D$2:$D$118,"n/a",0,1)/1000</f>
        <v>-68.674872915969999</v>
      </c>
      <c r="D55" s="4">
        <v>-0.34311649120002652</v>
      </c>
      <c r="F55" s="4">
        <f>_xlfn.XLOOKUP($A55,[1]usmn_pd!$A$2:$A$118,[1]usmn_pd!$F$2:$F$118,"N/A",0,1)</f>
        <v>-1.490430339999989</v>
      </c>
      <c r="G55" s="4">
        <f t="shared" si="2"/>
        <v>-6.371222973123789</v>
      </c>
      <c r="H55" s="4">
        <f t="shared" si="3"/>
        <v>-6.3397362966568673</v>
      </c>
      <c r="I55" s="4">
        <f>$D55-VLOOKUP($A55,[1]usmn_pd!$A$2:$F$118,6,FALSE)</f>
        <v>1.1473138487999623</v>
      </c>
      <c r="J55" s="5">
        <f t="shared" si="4"/>
        <v>1.0897056070555575</v>
      </c>
      <c r="K55" s="4">
        <f t="shared" si="5"/>
        <v>3.3187095168817861E-3</v>
      </c>
      <c r="L55" s="5">
        <f t="shared" si="6"/>
        <v>3.0455101776057807E-3</v>
      </c>
    </row>
    <row r="56" spans="1:12">
      <c r="A56" s="4" t="s">
        <v>1017</v>
      </c>
      <c r="B56" s="4">
        <f>VLOOKUP(A56,[2]usmn_ana14_pd!$A$2:$B$119,2,FALSE)</f>
        <v>333.36209799999989</v>
      </c>
      <c r="C56" s="4">
        <f>_xlfn.XLOOKUP($A56,[1]usmn_pd!$A$2:$A$118,[1]usmn_pd!$D$2:$D$118,"n/a",0,1)/1000</f>
        <v>-69.000833900390006</v>
      </c>
      <c r="D56" s="4">
        <v>-0.35785923253600604</v>
      </c>
      <c r="F56" s="4">
        <f>_xlfn.XLOOKUP($A56,[1]usmn_pd!$A$2:$A$118,[1]usmn_pd!$F$2:$F$118,"N/A",0,1)</f>
        <v>-1.5040860699999712</v>
      </c>
      <c r="G56" s="4">
        <f t="shared" si="2"/>
        <v>-6.3781893988079679</v>
      </c>
      <c r="H56" s="4">
        <f t="shared" si="3"/>
        <v>-6.3465963236128626</v>
      </c>
      <c r="I56" s="4">
        <f>$D56-VLOOKUP($A56,[1]usmn_pd!$A$2:$F$118,6,FALSE)</f>
        <v>1.1462268374639653</v>
      </c>
      <c r="J56" s="5">
        <f t="shared" si="4"/>
        <v>1.0984834318566603</v>
      </c>
      <c r="K56" s="4">
        <f t="shared" si="5"/>
        <v>2.2794327789836372E-3</v>
      </c>
      <c r="L56" s="5">
        <f t="shared" si="6"/>
        <v>2.0750725162335241E-3</v>
      </c>
    </row>
    <row r="57" spans="1:12">
      <c r="A57" s="4" t="s">
        <v>1016</v>
      </c>
      <c r="B57" s="4">
        <f>VLOOKUP(A57,[2]usmn_ana14_pd!$A$2:$B$119,2,FALSE)</f>
        <v>342.84917399999989</v>
      </c>
      <c r="C57" s="4">
        <f>_xlfn.XLOOKUP($A57,[1]usmn_pd!$A$2:$A$118,[1]usmn_pd!$D$2:$D$118,"n/a",0,1)/1000</f>
        <v>-78.48798771093</v>
      </c>
      <c r="D57" s="4">
        <v>-0.26178464615647229</v>
      </c>
      <c r="F57" s="4">
        <f>_xlfn.XLOOKUP($A57,[1]usmn_pd!$A$2:$A$118,[1]usmn_pd!$F$2:$F$118,"N/A",0,1)</f>
        <v>-1.4084741099999292</v>
      </c>
      <c r="G57" s="4">
        <f t="shared" si="2"/>
        <v>-6.0878840185433685</v>
      </c>
      <c r="H57" s="4">
        <f t="shared" si="3"/>
        <v>-6.0531941889887806</v>
      </c>
      <c r="I57" s="4">
        <f>$D57-VLOOKUP($A57,[1]usmn_pd!$A$2:$F$118,6,FALSE)</f>
        <v>1.1466894638434568</v>
      </c>
      <c r="J57" s="5">
        <f t="shared" si="4"/>
        <v>1.3419203106964444</v>
      </c>
      <c r="K57" s="4">
        <f t="shared" si="5"/>
        <v>3.8115083562934672E-2</v>
      </c>
      <c r="L57" s="5">
        <f t="shared" si="6"/>
        <v>2.8403388233354403E-2</v>
      </c>
    </row>
    <row r="58" spans="1:12">
      <c r="A58" s="4" t="s">
        <v>1019</v>
      </c>
      <c r="B58" s="4">
        <f>VLOOKUP(A58,[2]usmn_ana14_pd!$A$2:$B$119,2,FALSE)</f>
        <v>343.22894999999988</v>
      </c>
      <c r="C58" s="4">
        <f>_xlfn.XLOOKUP($A58,[1]usmn_pd!$A$2:$A$118,[1]usmn_pd!$D$2:$D$118,"n/a",0,1)/1000</f>
        <v>-78.867579884029993</v>
      </c>
      <c r="D58" s="4">
        <v>-0.36830493584139828</v>
      </c>
      <c r="F58" s="4">
        <f>_xlfn.XLOOKUP($A58,[1]usmn_pd!$A$2:$A$118,[1]usmn_pd!$F$2:$F$118,"N/A",0,1)</f>
        <v>-1.7880587999999307</v>
      </c>
      <c r="G58" s="4">
        <f t="shared" si="2"/>
        <v>-6.4596787959982205</v>
      </c>
      <c r="H58" s="4">
        <f t="shared" si="3"/>
        <v>-6.424865061662457</v>
      </c>
      <c r="I58" s="4">
        <f>$D58-VLOOKUP($A58,[1]usmn_pd!$A$2:$F$118,6,FALSE)</f>
        <v>1.4197538641585323</v>
      </c>
      <c r="J58" s="5">
        <f t="shared" si="4"/>
        <v>1.3511811853737281</v>
      </c>
      <c r="K58" s="4">
        <f t="shared" si="5"/>
        <v>4.7022122757239384E-3</v>
      </c>
      <c r="L58" s="5">
        <f t="shared" si="6"/>
        <v>3.4800753049439009E-3</v>
      </c>
    </row>
    <row r="59" spans="1:12">
      <c r="A59" s="4" t="s">
        <v>1018</v>
      </c>
      <c r="B59" s="4">
        <f>VLOOKUP(A59,[2]usmn_ana14_pd!$A$2:$B$119,2,FALSE)</f>
        <v>352.31123999999988</v>
      </c>
      <c r="C59" s="4">
        <f>_xlfn.XLOOKUP($A59,[1]usmn_pd!$A$2:$A$118,[1]usmn_pd!$D$2:$D$118,"n/a",0,1)/1000</f>
        <v>-87.949886356989992</v>
      </c>
      <c r="D59" s="4">
        <v>-0.24660073252092946</v>
      </c>
      <c r="F59" s="4">
        <f>_xlfn.XLOOKUP($A59,[1]usmn_pd!$A$2:$A$118,[1]usmn_pd!$F$2:$F$118,"N/A",0,1)</f>
        <v>-1.7695628999999826</v>
      </c>
      <c r="G59" s="4">
        <f t="shared" si="2"/>
        <v>-6.2547976695727234</v>
      </c>
      <c r="H59" s="4">
        <f t="shared" si="3"/>
        <v>-6.2170193293366056</v>
      </c>
      <c r="I59" s="4">
        <f>$D59-VLOOKUP($A59,[1]usmn_pd!$A$2:$F$118,6,FALSE)</f>
        <v>1.5229621674790532</v>
      </c>
      <c r="J59" s="5">
        <f t="shared" si="4"/>
        <v>1.5619844103025462</v>
      </c>
      <c r="K59" s="4">
        <f t="shared" si="5"/>
        <v>1.5227354349756494E-3</v>
      </c>
      <c r="L59" s="5">
        <f t="shared" si="6"/>
        <v>9.7487236423870929E-4</v>
      </c>
    </row>
    <row r="60" spans="1:12">
      <c r="A60" s="4" t="s">
        <v>1021</v>
      </c>
      <c r="B60" s="4">
        <f>VLOOKUP(A60,[2]usmn_ana14_pd!$A$2:$B$119,2,FALSE)</f>
        <v>353.59675099999987</v>
      </c>
      <c r="C60" s="4">
        <f>_xlfn.XLOOKUP($A60,[1]usmn_pd!$A$2:$A$118,[1]usmn_pd!$D$2:$D$118,"n/a",0,1)/1000</f>
        <v>-89.235331156560008</v>
      </c>
      <c r="D60" s="4">
        <v>-0.15019874903777999</v>
      </c>
      <c r="F60" s="4">
        <f>_xlfn.XLOOKUP($A60,[1]usmn_pd!$A$2:$A$118,[1]usmn_pd!$F$2:$F$118,"N/A",0,1)</f>
        <v>-1.5324638599998934</v>
      </c>
      <c r="G60" s="4">
        <f t="shared" si="2"/>
        <v>-5.9913189956394799</v>
      </c>
      <c r="H60" s="4">
        <f t="shared" si="3"/>
        <v>-5.9531210662550853</v>
      </c>
      <c r="I60" s="4">
        <f>$D60-VLOOKUP($A60,[1]usmn_pd!$A$2:$F$118,6,FALSE)</f>
        <v>1.3822651109621134</v>
      </c>
      <c r="J60" s="5">
        <f t="shared" si="4"/>
        <v>1.5901681069789271</v>
      </c>
      <c r="K60" s="4">
        <f t="shared" si="5"/>
        <v>4.3223655752767265E-2</v>
      </c>
      <c r="L60" s="5">
        <f t="shared" si="6"/>
        <v>2.7181815282967477E-2</v>
      </c>
    </row>
    <row r="61" spans="1:12">
      <c r="A61" s="4" t="s">
        <v>1020</v>
      </c>
      <c r="B61" s="4">
        <f>VLOOKUP(A61,[2]usmn_ana14_pd!$A$2:$B$119,2,FALSE)</f>
        <v>364.68369399999989</v>
      </c>
      <c r="C61" s="4">
        <f>_xlfn.XLOOKUP($A61,[1]usmn_pd!$A$2:$A$118,[1]usmn_pd!$D$2:$D$118,"n/a",0,1)/1000</f>
        <v>-100.32244223927</v>
      </c>
      <c r="D61" s="4">
        <v>-0.16765862452791924</v>
      </c>
      <c r="F61" s="4">
        <f>_xlfn.XLOOKUP($A61,[1]usmn_pd!$A$2:$A$118,[1]usmn_pd!$F$2:$F$118,"N/A",0,1)</f>
        <v>-1.4830540599999722</v>
      </c>
      <c r="G61" s="4">
        <f t="shared" si="2"/>
        <v>-5.7143817811321904</v>
      </c>
      <c r="H61" s="4">
        <f t="shared" si="3"/>
        <v>-5.6725648464839296</v>
      </c>
      <c r="I61" s="4">
        <f>$D61-VLOOKUP($A61,[1]usmn_pd!$A$2:$F$118,6,FALSE)</f>
        <v>1.315395435472053</v>
      </c>
      <c r="J61" s="5">
        <f t="shared" si="4"/>
        <v>1.8166523087884718</v>
      </c>
      <c r="K61" s="4">
        <f t="shared" si="5"/>
        <v>0.25125845304695243</v>
      </c>
      <c r="L61" s="5">
        <f t="shared" si="6"/>
        <v>0.13830849845698712</v>
      </c>
    </row>
    <row r="62" spans="1:12">
      <c r="A62" s="4" t="s">
        <v>1023</v>
      </c>
      <c r="B62" s="4">
        <f>VLOOKUP(A62,[2]usmn_ana14_pd!$A$2:$B$119,2,FALSE)</f>
        <v>365.84132599999987</v>
      </c>
      <c r="C62" s="4">
        <f>_xlfn.XLOOKUP($A62,[1]usmn_pd!$A$2:$A$118,[1]usmn_pd!$D$2:$D$118,"n/a",0,1)/1000</f>
        <v>-101.47994029378</v>
      </c>
      <c r="D62" s="4">
        <v>-0.15268265968941191</v>
      </c>
      <c r="F62" s="4">
        <f>_xlfn.XLOOKUP($A62,[1]usmn_pd!$A$2:$A$118,[1]usmn_pd!$F$2:$F$118,"N/A",0,1)</f>
        <v>-1.9376166399999875</v>
      </c>
      <c r="G62" s="4">
        <f t="shared" si="2"/>
        <v>-6.1451904239996846</v>
      </c>
      <c r="H62" s="4">
        <f t="shared" si="3"/>
        <v>-6.1029956640080201</v>
      </c>
      <c r="I62" s="4">
        <f>$D62-VLOOKUP($A62,[1]usmn_pd!$A$2:$F$118,6,FALSE)</f>
        <v>1.7849339803105755</v>
      </c>
      <c r="J62" s="5">
        <f t="shared" si="4"/>
        <v>1.8386078709208193</v>
      </c>
      <c r="K62" s="4">
        <f t="shared" si="5"/>
        <v>2.8808865332404236E-3</v>
      </c>
      <c r="L62" s="5">
        <f t="shared" si="6"/>
        <v>1.5668846951022819E-3</v>
      </c>
    </row>
    <row r="63" spans="1:12">
      <c r="A63" s="4" t="s">
        <v>1022</v>
      </c>
      <c r="B63" s="4">
        <f>VLOOKUP(A63,[2]usmn_ana14_pd!$A$2:$B$119,2,FALSE)</f>
        <v>376.92742399999986</v>
      </c>
      <c r="C63" s="4">
        <f>_xlfn.XLOOKUP($A63,[1]usmn_pd!$A$2:$A$118,[1]usmn_pd!$D$2:$D$118,"n/a",0,1)/1000</f>
        <v>-112.56610584596</v>
      </c>
      <c r="D63" s="4">
        <v>-0.16484765291907474</v>
      </c>
      <c r="F63" s="4">
        <f>_xlfn.XLOOKUP($A63,[1]usmn_pd!$A$2:$A$118,[1]usmn_pd!$F$2:$F$118,"N/A",0,1)</f>
        <v>-1.9582451899999569</v>
      </c>
      <c r="G63" s="4">
        <f t="shared" si="2"/>
        <v>-5.9383109634754545</v>
      </c>
      <c r="H63" s="4">
        <f t="shared" si="3"/>
        <v>-5.8924975068557748</v>
      </c>
      <c r="I63" s="4">
        <f>$D63-VLOOKUP($A63,[1]usmn_pd!$A$2:$F$118,6,FALSE)</f>
        <v>1.7933975370808821</v>
      </c>
      <c r="J63" s="5">
        <f t="shared" si="4"/>
        <v>2.0331413459679881</v>
      </c>
      <c r="K63" s="4">
        <f t="shared" si="5"/>
        <v>5.7477093899697206E-2</v>
      </c>
      <c r="L63" s="5">
        <f t="shared" si="6"/>
        <v>2.8270092491937442E-2</v>
      </c>
    </row>
    <row r="64" spans="1:12">
      <c r="A64" s="4" t="s">
        <v>1025</v>
      </c>
      <c r="B64" s="4">
        <f>VLOOKUP(A64,[2]usmn_ana14_pd!$A$2:$B$119,2,FALSE)</f>
        <v>378.50721699999991</v>
      </c>
      <c r="C64" s="4">
        <f>_xlfn.XLOOKUP($A64,[1]usmn_pd!$A$2:$A$118,[1]usmn_pd!$D$2:$D$118,"n/a",0,1)/1000</f>
        <v>-114.14595742044</v>
      </c>
      <c r="D64" s="4">
        <v>-0.32958746134573391</v>
      </c>
      <c r="F64" s="4">
        <f>_xlfn.XLOOKUP($A64,[1]usmn_pd!$A$2:$A$118,[1]usmn_pd!$F$2:$F$118,"N/A",0,1)</f>
        <v>-2.2814497999999048</v>
      </c>
      <c r="G64" s="4">
        <f t="shared" si="2"/>
        <v>-6.2290941842275407</v>
      </c>
      <c r="H64" s="4">
        <f t="shared" si="3"/>
        <v>-6.1827650395154885</v>
      </c>
      <c r="I64" s="4">
        <f>$D64-VLOOKUP($A64,[1]usmn_pd!$A$2:$F$118,6,FALSE)</f>
        <v>1.9518623386541709</v>
      </c>
      <c r="J64" s="5">
        <f t="shared" si="4"/>
        <v>2.0585792382835386</v>
      </c>
      <c r="K64" s="4">
        <f t="shared" si="5"/>
        <v>1.138849666650454E-2</v>
      </c>
      <c r="L64" s="5">
        <f t="shared" si="6"/>
        <v>5.5322119521619036E-3</v>
      </c>
    </row>
    <row r="65" spans="1:12">
      <c r="A65" s="4" t="s">
        <v>1024</v>
      </c>
      <c r="B65" s="4">
        <f>VLOOKUP(A65,[2]usmn_ana14_pd!$A$2:$B$119,2,FALSE)</f>
        <v>387.22322999999989</v>
      </c>
      <c r="C65" s="4">
        <f>_xlfn.XLOOKUP($A65,[1]usmn_pd!$A$2:$A$118,[1]usmn_pd!$D$2:$D$118,"n/a",0,1)/1000</f>
        <v>-122.86201179607001</v>
      </c>
      <c r="D65" s="4">
        <v>-0.31991417385991749</v>
      </c>
      <c r="F65" s="4">
        <f>_xlfn.XLOOKUP($A65,[1]usmn_pd!$A$2:$A$118,[1]usmn_pd!$F$2:$F$118,"N/A",0,1)</f>
        <v>-2.5877546999998913</v>
      </c>
      <c r="G65" s="4">
        <f t="shared" si="2"/>
        <v>-6.35653000805444</v>
      </c>
      <c r="H65" s="4">
        <f t="shared" si="3"/>
        <v>-6.307355807815278</v>
      </c>
      <c r="I65" s="4">
        <f>$D65-VLOOKUP($A65,[1]usmn_pd!$A$2:$F$118,6,FALSE)</f>
        <v>2.2678405261399739</v>
      </c>
      <c r="J65" s="5">
        <f t="shared" si="4"/>
        <v>2.1889358858859378</v>
      </c>
      <c r="K65" s="4">
        <f t="shared" si="5"/>
        <v>6.2259422536188533E-3</v>
      </c>
      <c r="L65" s="5">
        <f t="shared" si="6"/>
        <v>2.8442780319712286E-3</v>
      </c>
    </row>
    <row r="66" spans="1:12">
      <c r="A66" s="4" t="s">
        <v>1027</v>
      </c>
      <c r="B66" s="4">
        <f>VLOOKUP(A66,[2]usmn_ana14_pd!$A$2:$B$119,2,FALSE)</f>
        <v>389.33865599999984</v>
      </c>
      <c r="C66" s="4">
        <f>_xlfn.XLOOKUP($A66,[1]usmn_pd!$A$2:$A$118,[1]usmn_pd!$D$2:$D$118,"n/a",0,1)/1000</f>
        <v>-124.97742147143001</v>
      </c>
      <c r="D66" s="4">
        <v>-0.32675633738498733</v>
      </c>
      <c r="F66" s="4">
        <f>_xlfn.XLOOKUP($A66,[1]usmn_pd!$A$2:$A$118,[1]usmn_pd!$F$2:$F$118,"N/A",0,1)</f>
        <v>-2.6084739499999614</v>
      </c>
      <c r="G66" s="4">
        <f t="shared" si="2"/>
        <v>-6.3338372555528739</v>
      </c>
      <c r="H66" s="4">
        <f t="shared" si="3"/>
        <v>-6.2839725527388524</v>
      </c>
      <c r="I66" s="4">
        <f>$D66-VLOOKUP($A66,[1]usmn_pd!$A$2:$F$118,6,FALSE)</f>
        <v>2.2817176126149743</v>
      </c>
      <c r="J66" s="5">
        <f t="shared" si="4"/>
        <v>2.218063083364525</v>
      </c>
      <c r="K66" s="4">
        <f t="shared" si="5"/>
        <v>4.0518990940963109E-3</v>
      </c>
      <c r="L66" s="5">
        <f t="shared" si="6"/>
        <v>1.826773604630796E-3</v>
      </c>
    </row>
    <row r="67" spans="1:12">
      <c r="A67" s="4" t="s">
        <v>1026</v>
      </c>
      <c r="B67" s="4">
        <f>VLOOKUP(A67,[2]usmn_ana14_pd!$A$2:$B$119,2,FALSE)</f>
        <v>398.05489099999983</v>
      </c>
      <c r="C67" s="4">
        <f>_xlfn.XLOOKUP($A67,[1]usmn_pd!$A$2:$A$118,[1]usmn_pd!$D$2:$D$118,"n/a",0,1)/1000</f>
        <v>-133.69367495502999</v>
      </c>
      <c r="D67" s="4">
        <v>-0.54947683871133413</v>
      </c>
      <c r="F67" s="4">
        <f>_xlfn.XLOOKUP($A67,[1]usmn_pd!$A$2:$A$118,[1]usmn_pd!$F$2:$F$118,"N/A",0,1)</f>
        <v>-3.0291007399999899</v>
      </c>
      <c r="G67" s="4">
        <f t="shared" si="2"/>
        <v>-6.5755908833269849</v>
      </c>
      <c r="H67" s="4">
        <f t="shared" si="3"/>
        <v>-6.52288105999392</v>
      </c>
      <c r="I67" s="4">
        <f>$D67-VLOOKUP($A67,[1]usmn_pd!$A$2:$F$118,6,FALSE)</f>
        <v>2.4796239012886558</v>
      </c>
      <c r="J67" s="5">
        <f t="shared" si="4"/>
        <v>2.3279828602159176</v>
      </c>
      <c r="K67" s="4">
        <f t="shared" si="5"/>
        <v>2.2995005337623886E-2</v>
      </c>
      <c r="L67" s="5">
        <f t="shared" si="6"/>
        <v>9.8776523361048824E-3</v>
      </c>
    </row>
    <row r="68" spans="1:12">
      <c r="A68" s="4" t="s">
        <v>1031</v>
      </c>
      <c r="B68" s="4">
        <f>VLOOKUP(A68,[2]usmn_ana14_pd!$A$2:$B$119,2,FALSE)</f>
        <v>424.25118599999979</v>
      </c>
      <c r="C68" s="4">
        <f>_xlfn.XLOOKUP($A68,[1]usmn_pd!$A$2:$A$118,[1]usmn_pd!$D$2:$D$118,"n/a",0,1)/1000</f>
        <v>-159.88987573514001</v>
      </c>
      <c r="D68" s="4">
        <v>-0.10567525555258578</v>
      </c>
      <c r="F68" s="4">
        <f>_xlfn.XLOOKUP($A68,[1]usmn_pd!$A$2:$A$118,[1]usmn_pd!$F$2:$F$118,"N/A",0,1)</f>
        <v>-2.772538309999959</v>
      </c>
      <c r="G68" s="4">
        <f t="shared" si="2"/>
        <v>-5.7814354059632187</v>
      </c>
      <c r="H68" s="4">
        <f t="shared" si="3"/>
        <v>-5.7201747358126864</v>
      </c>
      <c r="I68" s="4">
        <f>$D68-VLOOKUP($A68,[1]usmn_pd!$A$2:$F$118,6,FALSE)</f>
        <v>2.666863054447373</v>
      </c>
      <c r="J68" s="5">
        <f t="shared" si="4"/>
        <v>2.5651457223410912</v>
      </c>
      <c r="K68" s="4">
        <f t="shared" si="5"/>
        <v>1.0346415650819639E-2</v>
      </c>
      <c r="L68" s="5">
        <f t="shared" si="6"/>
        <v>4.0334611639049256E-3</v>
      </c>
    </row>
    <row r="69" spans="1:12">
      <c r="A69" s="4" t="s">
        <v>1030</v>
      </c>
      <c r="B69" s="4">
        <f>VLOOKUP(A69,[2]usmn_ana14_pd!$A$2:$B$119,2,FALSE)</f>
        <v>432.96672199999983</v>
      </c>
      <c r="C69" s="4">
        <f>_xlfn.XLOOKUP($A69,[1]usmn_pd!$A$2:$A$118,[1]usmn_pd!$D$2:$D$118,"n/a",0,1)/1000</f>
        <v>-168.60539680050999</v>
      </c>
      <c r="D69" s="4">
        <v>-0.10941851099231546</v>
      </c>
      <c r="F69" s="4">
        <f>_xlfn.XLOOKUP($A69,[1]usmn_pd!$A$2:$A$118,[1]usmn_pd!$F$2:$F$118,"N/A",0,1)</f>
        <v>-2.5723083299999416</v>
      </c>
      <c r="G69" s="4">
        <f t="shared" si="2"/>
        <v>-5.4023472942736399</v>
      </c>
      <c r="H69" s="4">
        <f t="shared" si="3"/>
        <v>-5.3382417426767503</v>
      </c>
      <c r="I69" s="4">
        <f>$D69-VLOOKUP($A69,[1]usmn_pd!$A$2:$F$118,6,FALSE)</f>
        <v>2.4628898190076263</v>
      </c>
      <c r="J69" s="5">
        <f t="shared" si="4"/>
        <v>2.6148459487628219</v>
      </c>
      <c r="K69" s="4">
        <f t="shared" si="5"/>
        <v>2.3090665370177867E-2</v>
      </c>
      <c r="L69" s="5">
        <f t="shared" si="6"/>
        <v>8.8306025756901257E-3</v>
      </c>
    </row>
    <row r="70" spans="1:12">
      <c r="A70" s="4" t="s">
        <v>1033</v>
      </c>
      <c r="B70" s="4">
        <f>VLOOKUP(A70,[2]usmn_ana14_pd!$A$2:$B$119,2,FALSE)</f>
        <v>433.25072199999983</v>
      </c>
      <c r="C70" s="4">
        <f>_xlfn.XLOOKUP($A70,[1]usmn_pd!$A$2:$A$118,[1]usmn_pd!$D$2:$D$118,"n/a",0,1)/1000</f>
        <v>-168.88944289962998</v>
      </c>
      <c r="D70" s="4">
        <v>-2.2477516754041953E-2</v>
      </c>
      <c r="F70" s="4">
        <f>_xlfn.XLOOKUP($A70,[1]usmn_pd!$A$2:$A$118,[1]usmn_pd!$F$2:$F$118,"N/A",0,1)</f>
        <v>-2.4289270699999861</v>
      </c>
      <c r="G70" s="4">
        <f t="shared" si="2"/>
        <v>-5.2531368986177371</v>
      </c>
      <c r="H70" s="4">
        <f t="shared" si="3"/>
        <v>-5.1889386299622533</v>
      </c>
      <c r="I70" s="4">
        <f>$D70-VLOOKUP($A70,[1]usmn_pd!$A$2:$F$118,6,FALSE)</f>
        <v>2.406449553245944</v>
      </c>
      <c r="J70" s="5">
        <f t="shared" si="4"/>
        <v>2.6162325743827353</v>
      </c>
      <c r="K70" s="4">
        <f t="shared" si="5"/>
        <v>4.4008915957279411E-2</v>
      </c>
      <c r="L70" s="5">
        <f t="shared" si="6"/>
        <v>1.6821484598961055E-2</v>
      </c>
    </row>
    <row r="71" spans="1:12">
      <c r="A71" s="4" t="s">
        <v>1032</v>
      </c>
      <c r="B71" s="4">
        <f>VLOOKUP(A71,[2]usmn_ana14_pd!$A$2:$B$119,2,FALSE)</f>
        <v>441.96738399999987</v>
      </c>
      <c r="C71" s="4">
        <f>_xlfn.XLOOKUP($A71,[1]usmn_pd!$A$2:$A$118,[1]usmn_pd!$D$2:$D$118,"n/a",0,1)/1000</f>
        <v>-177.60605967957</v>
      </c>
      <c r="D71" s="4">
        <v>-6.5459208717267819E-2</v>
      </c>
      <c r="F71" s="4">
        <f>_xlfn.XLOOKUP($A71,[1]usmn_pd!$A$2:$A$118,[1]usmn_pd!$F$2:$F$118,"N/A",0,1)</f>
        <v>-2.9424330899998949</v>
      </c>
      <c r="G71" s="4">
        <f t="shared" si="2"/>
        <v>-5.5877623008989206</v>
      </c>
      <c r="H71" s="4">
        <f t="shared" si="3"/>
        <v>-5.5207187931388244</v>
      </c>
      <c r="I71" s="4">
        <f>$D71-VLOOKUP($A71,[1]usmn_pd!$A$2:$F$118,6,FALSE)</f>
        <v>2.8769738812826273</v>
      </c>
      <c r="J71" s="5">
        <f t="shared" si="4"/>
        <v>2.6518174940194301</v>
      </c>
      <c r="K71" s="4">
        <f t="shared" si="5"/>
        <v>5.0695398725414828E-2</v>
      </c>
      <c r="L71" s="5">
        <f t="shared" si="6"/>
        <v>1.911722765225991E-2</v>
      </c>
    </row>
    <row r="72" spans="1:12">
      <c r="A72" s="4" t="s">
        <v>1035</v>
      </c>
      <c r="B72" s="4">
        <f>VLOOKUP(A72,[2]usmn_ana14_pd!$A$2:$B$119,2,FALSE)</f>
        <v>443.45673799999986</v>
      </c>
      <c r="C72" s="4">
        <f>_xlfn.XLOOKUP($A72,[1]usmn_pd!$A$2:$A$118,[1]usmn_pd!$D$2:$D$118,"n/a",0,1)/1000</f>
        <v>-179.09540847970999</v>
      </c>
      <c r="D72" s="4">
        <v>-0.11993385651441724</v>
      </c>
      <c r="F72" s="4">
        <f>_xlfn.XLOOKUP($A72,[1]usmn_pd!$A$2:$A$118,[1]usmn_pd!$F$2:$F$118,"N/A",0,1)</f>
        <v>-2.9908503499999597</v>
      </c>
      <c r="G72" s="4">
        <f t="shared" si="2"/>
        <v>-5.6056154509818441</v>
      </c>
      <c r="H72" s="4">
        <f t="shared" si="3"/>
        <v>-5.5380857966406207</v>
      </c>
      <c r="I72" s="4">
        <f>$D72-VLOOKUP($A72,[1]usmn_pd!$A$2:$F$118,6,FALSE)</f>
        <v>2.8709164934855425</v>
      </c>
      <c r="J72" s="5">
        <f t="shared" si="4"/>
        <v>2.656569482156705</v>
      </c>
      <c r="K72" s="4">
        <f t="shared" si="5"/>
        <v>4.594464126560479E-2</v>
      </c>
      <c r="L72" s="5">
        <f t="shared" si="6"/>
        <v>1.7294725989363234E-2</v>
      </c>
    </row>
    <row r="73" spans="1:12">
      <c r="A73" s="4" t="s">
        <v>1034</v>
      </c>
      <c r="B73" s="4">
        <f>VLOOKUP(A73,[2]usmn_ana14_pd!$A$2:$B$119,2,FALSE)</f>
        <v>452.17305599999986</v>
      </c>
      <c r="C73" s="4">
        <f>_xlfn.XLOOKUP($A73,[1]usmn_pd!$A$2:$A$118,[1]usmn_pd!$D$2:$D$118,"n/a",0,1)/1000</f>
        <v>-187.81169471000999</v>
      </c>
      <c r="D73" s="4">
        <v>-7.4186534815432234E-2</v>
      </c>
      <c r="F73" s="4">
        <f>_xlfn.XLOOKUP($A73,[1]usmn_pd!$A$2:$A$118,[1]usmn_pd!$F$2:$F$118,"N/A",0,1)</f>
        <v>-3.1417866499999718</v>
      </c>
      <c r="G73" s="4">
        <f t="shared" si="2"/>
        <v>-5.5776779167348938</v>
      </c>
      <c r="H73" s="4">
        <f t="shared" si="3"/>
        <v>-5.5073031311855951</v>
      </c>
      <c r="I73" s="4">
        <f>$D73-VLOOKUP($A73,[1]usmn_pd!$A$2:$F$118,6,FALSE)</f>
        <v>3.0676001151845398</v>
      </c>
      <c r="J73" s="5">
        <f t="shared" si="4"/>
        <v>2.676835751567789</v>
      </c>
      <c r="K73" s="4">
        <f t="shared" si="5"/>
        <v>0.15269678787280425</v>
      </c>
      <c r="L73" s="5">
        <f t="shared" si="6"/>
        <v>5.7043764371187758E-2</v>
      </c>
    </row>
    <row r="74" spans="1:12">
      <c r="A74" s="4" t="s">
        <v>1037</v>
      </c>
      <c r="B74" s="4">
        <f>VLOOKUP(A74,[2]usmn_ana14_pd!$A$2:$B$119,2,FALSE)</f>
        <v>452.4525119999999</v>
      </c>
      <c r="C74" s="4">
        <f>_xlfn.XLOOKUP($A74,[1]usmn_pd!$A$2:$A$118,[1]usmn_pd!$D$2:$D$118,"n/a",0,1)/1000</f>
        <v>-188.09112080385</v>
      </c>
      <c r="D74" s="4">
        <v>-8.2358719643867873E-2</v>
      </c>
      <c r="F74" s="4">
        <f>_xlfn.XLOOKUP($A74,[1]usmn_pd!$A$2:$A$118,[1]usmn_pd!$F$2:$F$118,"N/A",0,1)</f>
        <v>-3.1793766999999207</v>
      </c>
      <c r="G74" s="4">
        <f t="shared" si="2"/>
        <v>-5.609533641877535</v>
      </c>
      <c r="H74" s="4">
        <f t="shared" si="3"/>
        <v>-5.539067647311124</v>
      </c>
      <c r="I74" s="4">
        <f>$D74-VLOOKUP($A74,[1]usmn_pd!$A$2:$F$118,6,FALSE)</f>
        <v>3.0970179803560529</v>
      </c>
      <c r="J74" s="5">
        <f t="shared" si="4"/>
        <v>2.6772758394718865</v>
      </c>
      <c r="K74" s="4">
        <f t="shared" si="5"/>
        <v>0.17618346483402339</v>
      </c>
      <c r="L74" s="5">
        <f t="shared" si="6"/>
        <v>6.5806990163843906E-2</v>
      </c>
    </row>
    <row r="75" spans="1:12">
      <c r="A75" s="4" t="s">
        <v>1036</v>
      </c>
      <c r="B75" s="4">
        <f>VLOOKUP(A75,[2]usmn_ana14_pd!$A$2:$B$119,2,FALSE)</f>
        <v>461.16904299999987</v>
      </c>
      <c r="C75" s="4">
        <f>_xlfn.XLOOKUP($A75,[1]usmn_pd!$A$2:$A$118,[1]usmn_pd!$D$2:$D$118,"n/a",0,1)/1000</f>
        <v>-196.80765349293</v>
      </c>
      <c r="D75" s="4">
        <v>3.888235298198079E-2</v>
      </c>
      <c r="F75" s="4">
        <f>_xlfn.XLOOKUP($A75,[1]usmn_pd!$A$2:$A$118,[1]usmn_pd!$F$2:$F$118,"N/A",0,1)</f>
        <v>-2.8224138199999516</v>
      </c>
      <c r="G75" s="4">
        <f t="shared" si="2"/>
        <v>-5.0736918698541835</v>
      </c>
      <c r="H75" s="4">
        <f t="shared" si="3"/>
        <v>-5.0003806636317236</v>
      </c>
      <c r="I75" s="4">
        <f>$D75-VLOOKUP($A75,[1]usmn_pd!$A$2:$F$118,6,FALSE)</f>
        <v>2.8612961729819322</v>
      </c>
      <c r="J75" s="5">
        <f t="shared" si="4"/>
        <v>2.684653827939492</v>
      </c>
      <c r="K75" s="4">
        <f t="shared" si="5"/>
        <v>3.1202518062092476E-2</v>
      </c>
      <c r="L75" s="5">
        <f t="shared" si="6"/>
        <v>1.1622548031095997E-2</v>
      </c>
    </row>
    <row r="76" spans="1:12">
      <c r="A76" s="4" t="s">
        <v>1039</v>
      </c>
      <c r="B76" s="4">
        <f>VLOOKUP(A76,[2]usmn_ana14_pd!$A$2:$B$119,2,FALSE)</f>
        <v>462.6563129999999</v>
      </c>
      <c r="C76" s="4">
        <f>_xlfn.XLOOKUP($A76,[1]usmn_pd!$A$2:$A$118,[1]usmn_pd!$D$2:$D$118,"n/a",0,1)/1000</f>
        <v>-198.29493224083001</v>
      </c>
      <c r="D76" s="4">
        <v>-2.439588741227635E-2</v>
      </c>
      <c r="F76" s="4">
        <f>_xlfn.XLOOKUP($A76,[1]usmn_pd!$A$2:$A$118,[1]usmn_pd!$F$2:$F$118,"N/A",0,1)</f>
        <v>-2.6928637299999991</v>
      </c>
      <c r="G76" s="4">
        <f t="shared" si="2"/>
        <v>-4.9136201511236273</v>
      </c>
      <c r="H76" s="4">
        <f t="shared" si="3"/>
        <v>-4.8398234740172432</v>
      </c>
      <c r="I76" s="4">
        <f>$D76-VLOOKUP($A76,[1]usmn_pd!$A$2:$F$118,6,FALSE)</f>
        <v>2.6684678425877228</v>
      </c>
      <c r="J76" s="5">
        <f t="shared" si="4"/>
        <v>2.6847052843336225</v>
      </c>
      <c r="K76" s="4">
        <f t="shared" si="5"/>
        <v>2.6365451445148612E-4</v>
      </c>
      <c r="L76" s="5">
        <f t="shared" si="6"/>
        <v>9.8206129361766607E-5</v>
      </c>
    </row>
    <row r="77" spans="1:12">
      <c r="A77" s="4" t="s">
        <v>1038</v>
      </c>
      <c r="B77" s="4">
        <f>VLOOKUP(A77,[2]usmn_ana14_pd!$A$2:$B$119,2,FALSE)</f>
        <v>471.37264399999992</v>
      </c>
      <c r="C77" s="4">
        <f>_xlfn.XLOOKUP($A77,[1]usmn_pd!$A$2:$A$118,[1]usmn_pd!$D$2:$D$118,"n/a",0,1)/1000</f>
        <v>-207.01122576457001</v>
      </c>
      <c r="D77" s="4">
        <v>1.9551638184701771E-2</v>
      </c>
      <c r="F77" s="4">
        <f>_xlfn.XLOOKUP($A77,[1]usmn_pd!$A$2:$A$118,[1]usmn_pd!$F$2:$F$118,"N/A",0,1)</f>
        <v>-2.8116779899999074</v>
      </c>
      <c r="G77" s="4">
        <f t="shared" si="2"/>
        <v>-4.8535604272020967</v>
      </c>
      <c r="H77" s="4">
        <f t="shared" si="3"/>
        <v>-4.7769186165069453</v>
      </c>
      <c r="I77" s="4">
        <f>$D77-VLOOKUP($A77,[1]usmn_pd!$A$2:$F$118,6,FALSE)</f>
        <v>2.8312296281846092</v>
      </c>
      <c r="J77" s="5">
        <f t="shared" si="4"/>
        <v>2.6781591004593999</v>
      </c>
      <c r="K77" s="4">
        <f t="shared" si="5"/>
        <v>2.3430586458074085E-2</v>
      </c>
      <c r="L77" s="5">
        <f t="shared" si="6"/>
        <v>8.7487656928428581E-3</v>
      </c>
    </row>
    <row r="78" spans="1:12">
      <c r="A78" s="4" t="s">
        <v>1041</v>
      </c>
      <c r="B78" s="4">
        <f>VLOOKUP(A78,[2]usmn_ana14_pd!$A$2:$B$119,2,FALSE)</f>
        <v>471.65109699999988</v>
      </c>
      <c r="C78" s="4">
        <f>_xlfn.XLOOKUP($A78,[1]usmn_pd!$A$2:$A$118,[1]usmn_pd!$D$2:$D$118,"n/a",0,1)/1000</f>
        <v>-207.28962542251</v>
      </c>
      <c r="D78" s="4">
        <v>-2.5227988922902856E-3</v>
      </c>
      <c r="F78" s="4">
        <f>_xlfn.XLOOKUP($A78,[1]usmn_pd!$A$2:$A$118,[1]usmn_pd!$F$2:$F$118,"N/A",0,1)</f>
        <v>-2.8723654999998871</v>
      </c>
      <c r="G78" s="4">
        <f t="shared" si="2"/>
        <v>-4.9085346766513087</v>
      </c>
      <c r="H78" s="4">
        <f t="shared" si="3"/>
        <v>-4.8318019919836654</v>
      </c>
      <c r="I78" s="4">
        <f>$D78-VLOOKUP($A78,[1]usmn_pd!$A$2:$F$118,6,FALSE)</f>
        <v>2.8698427011075966</v>
      </c>
      <c r="J78" s="5">
        <f t="shared" si="4"/>
        <v>2.6777607705794502</v>
      </c>
      <c r="K78" s="4">
        <f t="shared" si="5"/>
        <v>3.6895468035419689E-2</v>
      </c>
      <c r="L78" s="5">
        <f t="shared" si="6"/>
        <v>1.3778478063010739E-2</v>
      </c>
    </row>
    <row r="79" spans="1:12">
      <c r="A79" s="4" t="s">
        <v>1043</v>
      </c>
      <c r="B79" s="4">
        <f>VLOOKUP(A79,[2]usmn_ana14_pd!$A$2:$B$119,2,FALSE)</f>
        <v>484.57235399999985</v>
      </c>
      <c r="C79" s="4">
        <f>_xlfn.XLOOKUP($A79,[1]usmn_pd!$A$2:$A$118,[1]usmn_pd!$D$2:$D$118,"n/a",0,1)/1000</f>
        <v>-220.21113411873</v>
      </c>
      <c r="D79" s="4">
        <v>-0.38075783385358164</v>
      </c>
      <c r="F79" s="4">
        <f>_xlfn.XLOOKUP($A79,[1]usmn_pd!$A$2:$A$118,[1]usmn_pd!$F$2:$F$118,"N/A",0,1)</f>
        <v>-2.8259804599999825</v>
      </c>
      <c r="G79" s="4">
        <f t="shared" si="2"/>
        <v>-4.5969770914091868</v>
      </c>
      <c r="H79" s="4">
        <f t="shared" si="3"/>
        <v>-4.5160266256045229</v>
      </c>
      <c r="I79" s="4">
        <f>$D79-VLOOKUP($A79,[1]usmn_pd!$A$2:$F$118,6,FALSE)</f>
        <v>2.4452226261464007</v>
      </c>
      <c r="J79" s="5">
        <f t="shared" si="4"/>
        <v>2.6468901236025308</v>
      </c>
      <c r="K79" s="4">
        <f t="shared" si="5"/>
        <v>4.066977953021824E-2</v>
      </c>
      <c r="L79" s="5">
        <f t="shared" si="6"/>
        <v>1.5365118169266856E-2</v>
      </c>
    </row>
    <row r="80" spans="1:12">
      <c r="A80" s="4" t="s">
        <v>1042</v>
      </c>
      <c r="B80" s="4">
        <f>VLOOKUP(A80,[2]usmn_ana14_pd!$A$2:$B$119,2,FALSE)</f>
        <v>493.28802799999988</v>
      </c>
      <c r="C80" s="4">
        <f>_xlfn.XLOOKUP($A80,[1]usmn_pd!$A$2:$A$118,[1]usmn_pd!$D$2:$D$118,"n/a",0,1)/1000</f>
        <v>-228.92679553312999</v>
      </c>
      <c r="D80" s="4">
        <v>2.4219289870143958E-2</v>
      </c>
      <c r="F80" s="4">
        <f>_xlfn.XLOOKUP($A80,[1]usmn_pd!$A$2:$A$118,[1]usmn_pd!$F$2:$F$118,"N/A",0,1)</f>
        <v>-2.7021634199999198</v>
      </c>
      <c r="G80" s="4">
        <f t="shared" si="2"/>
        <v>-4.2942990395056206</v>
      </c>
      <c r="H80" s="4">
        <f t="shared" si="3"/>
        <v>-4.2105036464424961</v>
      </c>
      <c r="I80" s="4">
        <f>$D80-VLOOKUP($A80,[1]usmn_pd!$A$2:$F$118,6,FALSE)</f>
        <v>2.7263827098700637</v>
      </c>
      <c r="J80" s="5">
        <f t="shared" si="4"/>
        <v>2.6129374136866481</v>
      </c>
      <c r="K80" s="4">
        <f t="shared" si="5"/>
        <v>1.2869835226142887E-2</v>
      </c>
      <c r="L80" s="5">
        <f t="shared" si="6"/>
        <v>4.9254280484217821E-3</v>
      </c>
    </row>
    <row r="81" spans="1:12">
      <c r="A81" s="4" t="s">
        <v>1044</v>
      </c>
      <c r="B81" s="4">
        <f>VLOOKUP(A81,[2]usmn_ana14_pd!$A$2:$B$119,2,FALSE)</f>
        <v>502.27875299999982</v>
      </c>
      <c r="C81" s="4">
        <f>_xlfn.XLOOKUP($A81,[1]usmn_pd!$A$2:$A$118,[1]usmn_pd!$D$2:$D$118,"n/a",0,1)/1000</f>
        <v>-237.91746579581002</v>
      </c>
      <c r="D81" s="4">
        <v>0.14810174386486102</v>
      </c>
      <c r="F81" s="4">
        <f>_xlfn.XLOOKUP($A81,[1]usmn_pd!$A$2:$A$118,[1]usmn_pd!$F$2:$F$118,"N/A",0,1)</f>
        <v>-2.049409639999908</v>
      </c>
      <c r="G81" s="4">
        <f t="shared" si="2"/>
        <v>-3.4570405725501452</v>
      </c>
      <c r="H81" s="4">
        <f t="shared" si="3"/>
        <v>-3.3703104850690084</v>
      </c>
      <c r="I81" s="4">
        <f>$D81-VLOOKUP($A81,[1]usmn_pd!$A$2:$F$118,6,FALSE)</f>
        <v>2.1975113838647689</v>
      </c>
      <c r="J81" s="5">
        <f t="shared" si="4"/>
        <v>2.567491041915047</v>
      </c>
      <c r="K81" s="4">
        <f t="shared" si="5"/>
        <v>0.13688494737100071</v>
      </c>
      <c r="L81" s="5">
        <f t="shared" si="6"/>
        <v>5.331467379488912E-2</v>
      </c>
    </row>
    <row r="82" spans="1:12">
      <c r="A82" s="4" t="s">
        <v>1047</v>
      </c>
      <c r="B82" s="4">
        <f>VLOOKUP(A82,[2]usmn_ana14_pd!$A$2:$B$119,2,FALSE)</f>
        <v>503.77381499999984</v>
      </c>
      <c r="C82" s="4">
        <f>_xlfn.XLOOKUP($A82,[1]usmn_pd!$A$2:$A$118,[1]usmn_pd!$D$2:$D$118,"n/a",0,1)/1000</f>
        <v>-239.41240284625999</v>
      </c>
      <c r="D82" s="4">
        <v>0.18551149137690498</v>
      </c>
      <c r="F82" s="4">
        <f>_xlfn.XLOOKUP($A82,[1]usmn_pd!$A$2:$A$118,[1]usmn_pd!$F$2:$F$118,"N/A",0,1)</f>
        <v>-2.1016034399999626</v>
      </c>
      <c r="G82" s="4">
        <f t="shared" si="2"/>
        <v>-3.4785555817089504</v>
      </c>
      <c r="H82" s="4">
        <f t="shared" si="3"/>
        <v>-3.3913375235549874</v>
      </c>
      <c r="I82" s="4">
        <f>$D82-VLOOKUP($A82,[1]usmn_pd!$A$2:$F$118,6,FALSE)</f>
        <v>2.2871149313768675</v>
      </c>
      <c r="J82" s="5">
        <f t="shared" si="4"/>
        <v>2.5589489482799754</v>
      </c>
      <c r="K82" s="4">
        <f t="shared" si="5"/>
        <v>7.3893732745679175E-2</v>
      </c>
      <c r="L82" s="5">
        <f t="shared" si="6"/>
        <v>2.8876595133071187E-2</v>
      </c>
    </row>
    <row r="83" spans="1:12">
      <c r="A83" s="4" t="s">
        <v>1046</v>
      </c>
      <c r="B83" s="4">
        <f>VLOOKUP(A83,[2]usmn_ana14_pd!$A$2:$B$119,2,FALSE)</f>
        <v>512.4899039999998</v>
      </c>
      <c r="C83" s="4">
        <f>_xlfn.XLOOKUP($A83,[1]usmn_pd!$A$2:$A$118,[1]usmn_pd!$D$2:$D$118,"n/a",0,1)/1000</f>
        <v>-248.12850379078</v>
      </c>
      <c r="D83" s="4">
        <v>0.18590872478634871</v>
      </c>
      <c r="F83" s="4">
        <f>_xlfn.XLOOKUP($A83,[1]usmn_pd!$A$2:$A$118,[1]usmn_pd!$F$2:$F$118,"N/A",0,1)</f>
        <v>-2.3156956499999524</v>
      </c>
      <c r="G83" s="4">
        <f t="shared" si="2"/>
        <v>-3.5137777598586659</v>
      </c>
      <c r="H83" s="4">
        <f t="shared" si="3"/>
        <v>-3.4237146309767845</v>
      </c>
      <c r="I83" s="4">
        <f>$D83-VLOOKUP($A83,[1]usmn_pd!$A$2:$F$118,6,FALSE)</f>
        <v>2.501604374786301</v>
      </c>
      <c r="J83" s="5">
        <f t="shared" si="4"/>
        <v>2.5037818621634074</v>
      </c>
      <c r="K83" s="4">
        <f t="shared" si="5"/>
        <v>4.7414512774573787E-6</v>
      </c>
      <c r="L83" s="5">
        <f t="shared" si="6"/>
        <v>1.8937158021268274E-6</v>
      </c>
    </row>
    <row r="84" spans="1:12">
      <c r="A84" s="4" t="s">
        <v>1049</v>
      </c>
      <c r="B84" s="4">
        <f>VLOOKUP(A84,[2]usmn_ana14_pd!$A$2:$B$119,2,FALSE)</f>
        <v>512.76513299999976</v>
      </c>
      <c r="C84" s="4">
        <f>_xlfn.XLOOKUP($A84,[1]usmn_pd!$A$2:$A$118,[1]usmn_pd!$D$2:$D$118,"n/a",0,1)/1000</f>
        <v>-248.40380771210002</v>
      </c>
      <c r="D84" s="4">
        <v>8.8704315102661316E-2</v>
      </c>
      <c r="F84" s="4">
        <f>_xlfn.XLOOKUP($A84,[1]usmn_pd!$A$2:$A$118,[1]usmn_pd!$F$2:$F$118,"N/A",0,1)</f>
        <v>-2.3840284499999598</v>
      </c>
      <c r="G84" s="4">
        <f t="shared" si="2"/>
        <v>-3.5764608293784441</v>
      </c>
      <c r="H84" s="4">
        <f t="shared" si="3"/>
        <v>-3.4863078370205871</v>
      </c>
      <c r="I84" s="4">
        <f>$D84-VLOOKUP($A84,[1]usmn_pd!$A$2:$F$118,6,FALSE)</f>
        <v>2.472732765102621</v>
      </c>
      <c r="J84" s="5">
        <f t="shared" si="4"/>
        <v>2.501893729237068</v>
      </c>
      <c r="K84" s="4">
        <f t="shared" si="5"/>
        <v>8.503618292505055E-4</v>
      </c>
      <c r="L84" s="5">
        <f t="shared" si="6"/>
        <v>3.3988726991606328E-4</v>
      </c>
    </row>
    <row r="85" spans="1:12">
      <c r="A85" s="4" t="s">
        <v>1048</v>
      </c>
      <c r="B85" s="4">
        <f>VLOOKUP(A85,[2]usmn_ana14_pd!$A$2:$B$119,2,FALSE)</f>
        <v>521.48056499999984</v>
      </c>
      <c r="C85" s="4">
        <f>_xlfn.XLOOKUP($A85,[1]usmn_pd!$A$2:$A$118,[1]usmn_pd!$D$2:$D$118,"n/a",0,1)/1000</f>
        <v>-257.11919830863002</v>
      </c>
      <c r="D85" s="4">
        <v>-7.2491343619836982E-3</v>
      </c>
      <c r="F85" s="4">
        <f>_xlfn.XLOOKUP($A85,[1]usmn_pd!$A$2:$A$118,[1]usmn_pd!$F$2:$F$118,"N/A",0,1)</f>
        <v>-2.4395192899999074</v>
      </c>
      <c r="G85" s="4">
        <f t="shared" si="2"/>
        <v>-3.4530962151435443</v>
      </c>
      <c r="H85" s="4">
        <f t="shared" si="3"/>
        <v>-3.3600983839263856</v>
      </c>
      <c r="I85" s="4">
        <f>$D85-VLOOKUP($A85,[1]usmn_pd!$A$2:$F$118,6,FALSE)</f>
        <v>2.4322701556379238</v>
      </c>
      <c r="J85" s="5">
        <f t="shared" si="4"/>
        <v>2.4376983915836643</v>
      </c>
      <c r="K85" s="4">
        <f t="shared" si="5"/>
        <v>2.9465745482629146E-5</v>
      </c>
      <c r="L85" s="5">
        <f t="shared" si="6"/>
        <v>1.208752714624657E-5</v>
      </c>
    </row>
    <row r="86" spans="1:12">
      <c r="A86" s="4" t="s">
        <v>1051</v>
      </c>
      <c r="B86" s="4">
        <f>VLOOKUP(A86,[2]usmn_ana14_pd!$A$2:$B$119,2,FALSE)</f>
        <v>522.97194899999988</v>
      </c>
      <c r="C86" s="4">
        <f>_xlfn.XLOOKUP($A86,[1]usmn_pd!$A$2:$A$118,[1]usmn_pd!$D$2:$D$118,"n/a",0,1)/1000</f>
        <v>-258.61047776685001</v>
      </c>
      <c r="D86" s="4">
        <v>5.4525595034438774E-2</v>
      </c>
      <c r="F86" s="4">
        <f>_xlfn.XLOOKUP($A86,[1]usmn_pd!$A$2:$A$118,[1]usmn_pd!$F$2:$F$118,"N/A",0,1)</f>
        <v>-2.2886858699999948</v>
      </c>
      <c r="G86" s="4">
        <f t="shared" si="2"/>
        <v>-3.2716590646582508</v>
      </c>
      <c r="H86" s="4">
        <f t="shared" si="3"/>
        <v>-3.17817445666318</v>
      </c>
      <c r="I86" s="4">
        <f>$D86-VLOOKUP($A86,[1]usmn_pd!$A$2:$F$118,6,FALSE)</f>
        <v>2.3432114650344338</v>
      </c>
      <c r="J86" s="5">
        <f t="shared" si="4"/>
        <v>2.4258766654543127</v>
      </c>
      <c r="K86" s="4">
        <f t="shared" si="5"/>
        <v>6.833535360458747E-3</v>
      </c>
      <c r="L86" s="5">
        <f t="shared" si="6"/>
        <v>2.8169343717146388E-3</v>
      </c>
    </row>
    <row r="87" spans="1:12">
      <c r="A87" s="4" t="s">
        <v>1050</v>
      </c>
      <c r="B87" s="4">
        <f>VLOOKUP(A87,[2]usmn_ana14_pd!$A$2:$B$119,2,FALSE)</f>
        <v>531.68756599999983</v>
      </c>
      <c r="C87" s="4">
        <f>_xlfn.XLOOKUP($A87,[1]usmn_pd!$A$2:$A$118,[1]usmn_pd!$D$2:$D$118,"n/a",0,1)/1000</f>
        <v>-267.32610114803998</v>
      </c>
      <c r="D87" s="4">
        <v>8.3312326101964485E-2</v>
      </c>
      <c r="F87" s="4">
        <f>_xlfn.XLOOKUP($A87,[1]usmn_pd!$A$2:$A$118,[1]usmn_pd!$F$2:$F$118,"N/A",0,1)</f>
        <v>-2.8271001599999863</v>
      </c>
      <c r="G87" s="4">
        <f t="shared" si="2"/>
        <v>-3.6312131232644571</v>
      </c>
      <c r="H87" s="4">
        <f t="shared" si="3"/>
        <v>-3.5348836004255562</v>
      </c>
      <c r="I87" s="4">
        <f>$D87-VLOOKUP($A87,[1]usmn_pd!$A$2:$F$118,6,FALSE)</f>
        <v>2.9104124861019507</v>
      </c>
      <c r="J87" s="5">
        <f t="shared" si="4"/>
        <v>2.3521203694089365</v>
      </c>
      <c r="K87" s="4">
        <f t="shared" si="5"/>
        <v>0.31169008756156613</v>
      </c>
      <c r="L87" s="5">
        <f t="shared" si="6"/>
        <v>0.13251451397442326</v>
      </c>
    </row>
    <row r="88" spans="1:12">
      <c r="A88" s="4" t="s">
        <v>1053</v>
      </c>
      <c r="B88" s="4">
        <f>VLOOKUP(A88,[2]usmn_ana14_pd!$A$2:$B$119,2,FALSE)</f>
        <v>531.96092199999987</v>
      </c>
      <c r="C88" s="4">
        <f>_xlfn.XLOOKUP($A88,[1]usmn_pd!$A$2:$A$118,[1]usmn_pd!$D$2:$D$118,"n/a",0,1)/1000</f>
        <v>-267.59951964774001</v>
      </c>
      <c r="D88" s="4">
        <v>0.16872330104813826</v>
      </c>
      <c r="F88" s="4">
        <f>_xlfn.XLOOKUP($A88,[1]usmn_pd!$A$2:$A$118,[1]usmn_pd!$F$2:$F$118,"N/A",0,1)</f>
        <v>-2.1606726799999478</v>
      </c>
      <c r="G88" s="4">
        <f t="shared" si="2"/>
        <v>-2.9591746050190952</v>
      </c>
      <c r="H88" s="4">
        <f t="shared" si="3"/>
        <v>-2.86275583413512</v>
      </c>
      <c r="I88" s="4">
        <f>$D88-VLOOKUP($A88,[1]usmn_pd!$A$2:$F$118,6,FALSE)</f>
        <v>2.3293959810480862</v>
      </c>
      <c r="J88" s="5">
        <f t="shared" si="4"/>
        <v>2.3496811520322094</v>
      </c>
      <c r="K88" s="4">
        <f t="shared" si="5"/>
        <v>4.1148816185511341E-4</v>
      </c>
      <c r="L88" s="5">
        <f t="shared" si="6"/>
        <v>1.7512510644230282E-4</v>
      </c>
    </row>
    <row r="89" spans="1:12">
      <c r="A89" s="4" t="s">
        <v>1052</v>
      </c>
      <c r="B89" s="4">
        <f>VLOOKUP(A89,[2]usmn_ana14_pd!$A$2:$B$119,2,FALSE)</f>
        <v>540.677232</v>
      </c>
      <c r="C89" s="4">
        <f>_xlfn.XLOOKUP($A89,[1]usmn_pd!$A$2:$A$118,[1]usmn_pd!$D$2:$D$118,"n/a",0,1)/1000</f>
        <v>-276.31580236988998</v>
      </c>
      <c r="D89" s="4">
        <v>0.10091865233384641</v>
      </c>
      <c r="F89" s="4">
        <f>_xlfn.XLOOKUP($A89,[1]usmn_pd!$A$2:$A$118,[1]usmn_pd!$F$2:$F$118,"N/A",0,1)</f>
        <v>-1.8828356299999314</v>
      </c>
      <c r="G89" s="4">
        <f t="shared" si="2"/>
        <v>-2.5024637927656497</v>
      </c>
      <c r="H89" s="4">
        <f t="shared" si="3"/>
        <v>-2.4031998918187139</v>
      </c>
      <c r="I89" s="4">
        <f>$D89-VLOOKUP($A89,[1]usmn_pd!$A$2:$F$118,6,FALSE)</f>
        <v>1.9837542823337777</v>
      </c>
      <c r="J89" s="5">
        <f t="shared" si="4"/>
        <v>2.2681118035671659</v>
      </c>
      <c r="K89" s="4">
        <f t="shared" si="5"/>
        <v>8.0859199881996816E-2</v>
      </c>
      <c r="L89" s="5">
        <f t="shared" si="6"/>
        <v>3.5650447105308368E-2</v>
      </c>
    </row>
    <row r="90" spans="1:12">
      <c r="A90" s="4" t="s">
        <v>1055</v>
      </c>
      <c r="B90" s="4">
        <f>VLOOKUP(A90,[2]usmn_ana14_pd!$A$2:$B$119,2,FALSE)</f>
        <v>542.16968199999997</v>
      </c>
      <c r="C90" s="4">
        <f>_xlfn.XLOOKUP($A90,[1]usmn_pd!$A$2:$A$118,[1]usmn_pd!$D$2:$D$118,"n/a",0,1)/1000</f>
        <v>-277.80817616213005</v>
      </c>
      <c r="D90" s="4">
        <v>0.18398328335027286</v>
      </c>
      <c r="F90" s="4">
        <f>_xlfn.XLOOKUP($A90,[1]usmn_pd!$A$2:$A$118,[1]usmn_pd!$F$2:$F$118,"N/A",0,1)</f>
        <v>-2.0912351099999569</v>
      </c>
      <c r="G90" s="4">
        <f t="shared" ref="G90:G105" si="7">F90-($F$26-$F$105)/($C$26*1000-$C$105*1000)*($C90*1000-$C$105*1000)-$F$105</f>
        <v>-2.6802370845824921</v>
      </c>
      <c r="H90" s="4">
        <f t="shared" ref="H90:H105" si="8">G90+($D$26-$D$105)/($C$26*1000-$C$105*1000)*($C90*1000-$C$105*1000)+$D$105</f>
        <v>-2.5804860496500228</v>
      </c>
      <c r="I90" s="4">
        <f>$D90-VLOOKUP($A90,[1]usmn_pd!$A$2:$F$118,6,FALSE)</f>
        <v>2.2752183933502299</v>
      </c>
      <c r="J90" s="5">
        <f t="shared" si="4"/>
        <v>2.2534266868214523</v>
      </c>
      <c r="K90" s="4">
        <f t="shared" si="5"/>
        <v>4.7487847343636821E-4</v>
      </c>
      <c r="L90" s="5">
        <f t="shared" si="6"/>
        <v>2.1073615405975472E-4</v>
      </c>
    </row>
    <row r="91" spans="1:12">
      <c r="A91" s="4" t="s">
        <v>1054</v>
      </c>
      <c r="B91" s="4">
        <f>VLOOKUP(A91,[2]usmn_ana14_pd!$A$2:$B$119,2,FALSE)</f>
        <v>550.88620099999991</v>
      </c>
      <c r="C91" s="4">
        <f>_xlfn.XLOOKUP($A91,[1]usmn_pd!$A$2:$A$118,[1]usmn_pd!$D$2:$D$118,"n/a",0,1)/1000</f>
        <v>-286.52471277396</v>
      </c>
      <c r="D91" s="4">
        <v>2.8151162768106641E-2</v>
      </c>
      <c r="F91" s="4">
        <f>_xlfn.XLOOKUP($A91,[1]usmn_pd!$A$2:$A$118,[1]usmn_pd!$F$2:$F$118,"N/A",0,1)</f>
        <v>-2.1143001399999548</v>
      </c>
      <c r="G91" s="4">
        <f t="shared" si="7"/>
        <v>-2.5244231420572385</v>
      </c>
      <c r="H91" s="4">
        <f t="shared" si="8"/>
        <v>-2.4218268941882735</v>
      </c>
      <c r="I91" s="4">
        <f>$D91-VLOOKUP($A91,[1]usmn_pd!$A$2:$F$118,6,FALSE)</f>
        <v>2.1424513027680616</v>
      </c>
      <c r="J91" s="5">
        <f t="shared" ref="J91:J105" si="9">$Q$2*$C91^3+$P$2*$C91^2+$O$2*$C91+$N$2</f>
        <v>2.1636835097304825</v>
      </c>
      <c r="K91" s="4">
        <f t="shared" ref="K91:K105" si="10">(I91-J91)^2</f>
        <v>4.508066124950744E-4</v>
      </c>
      <c r="L91" s="5">
        <f t="shared" ref="L91:L105" si="11">K91/J91</f>
        <v>2.0835145734933699E-4</v>
      </c>
    </row>
    <row r="92" spans="1:12">
      <c r="A92" s="4" t="s">
        <v>1057</v>
      </c>
      <c r="B92" s="4">
        <f>VLOOKUP(A92,[2]usmn_ana14_pd!$A$2:$B$119,2,FALSE)</f>
        <v>551.15510599999993</v>
      </c>
      <c r="C92" s="4">
        <f>_xlfn.XLOOKUP($A92,[1]usmn_pd!$A$2:$A$118,[1]usmn_pd!$D$2:$D$118,"n/a",0,1)/1000</f>
        <v>-286.79368459282</v>
      </c>
      <c r="D92" s="4">
        <v>2.4840685179695608E-3</v>
      </c>
      <c r="F92" s="4">
        <f>_xlfn.XLOOKUP($A92,[1]usmn_pd!$A$2:$A$118,[1]usmn_pd!$F$2:$F$118,"N/A",0,1)</f>
        <v>-2.1828499699998929</v>
      </c>
      <c r="G92" s="4">
        <f t="shared" si="7"/>
        <v>-2.5874531876819669</v>
      </c>
      <c r="H92" s="4">
        <f t="shared" si="8"/>
        <v>-2.4847691432336205</v>
      </c>
      <c r="I92" s="4">
        <f>$D92-VLOOKUP($A92,[1]usmn_pd!$A$2:$F$118,6,FALSE)</f>
        <v>2.1853340385178623</v>
      </c>
      <c r="J92" s="5">
        <f t="shared" si="9"/>
        <v>2.1608098163952842</v>
      </c>
      <c r="K92" s="4">
        <f t="shared" si="10"/>
        <v>6.0143747071754905E-4</v>
      </c>
      <c r="L92" s="5">
        <f t="shared" si="11"/>
        <v>2.7833892004474589E-4</v>
      </c>
    </row>
    <row r="93" spans="1:12">
      <c r="A93" s="4" t="s">
        <v>1058</v>
      </c>
      <c r="B93" s="4">
        <f>VLOOKUP(A93,[2]usmn_ana14_pd!$A$2:$B$119,2,FALSE)</f>
        <v>572.8094309999999</v>
      </c>
      <c r="C93" s="4">
        <f>_xlfn.XLOOKUP($A93,[1]usmn_pd!$A$2:$A$118,[1]usmn_pd!$D$2:$D$118,"n/a",0,1)/1000</f>
        <v>-308.44817343596998</v>
      </c>
      <c r="D93" s="4">
        <v>1.9247525896567235E-2</v>
      </c>
      <c r="F93" s="4">
        <f>_xlfn.XLOOKUP($A93,[1]usmn_pd!$A$2:$A$118,[1]usmn_pd!$F$2:$F$118,"N/A",0,1)</f>
        <v>-1.4952364699998952</v>
      </c>
      <c r="G93" s="4">
        <f t="shared" si="7"/>
        <v>-1.4554507190674091</v>
      </c>
      <c r="H93" s="4">
        <f t="shared" si="8"/>
        <v>-1.3456983131202866</v>
      </c>
      <c r="I93" s="4">
        <f>$D93-VLOOKUP($A93,[1]usmn_pd!$A$2:$F$118,6,FALSE)</f>
        <v>1.5144839958964624</v>
      </c>
      <c r="J93" s="5">
        <f t="shared" si="9"/>
        <v>1.9109138279420443</v>
      </c>
      <c r="K93" s="4">
        <f t="shared" si="10"/>
        <v>0.15715661173568829</v>
      </c>
      <c r="L93" s="5">
        <f t="shared" si="11"/>
        <v>8.2241600556597502E-2</v>
      </c>
    </row>
    <row r="94" spans="1:12">
      <c r="A94" s="4" t="s">
        <v>1061</v>
      </c>
      <c r="B94" s="4">
        <f>VLOOKUP(A94,[2]usmn_ana14_pd!$A$2:$B$119,2,FALSE)</f>
        <v>573.07825199999991</v>
      </c>
      <c r="C94" s="4">
        <f>_xlfn.XLOOKUP($A94,[1]usmn_pd!$A$2:$A$118,[1]usmn_pd!$D$2:$D$118,"n/a",0,1)/1000</f>
        <v>-308.71699904372997</v>
      </c>
      <c r="D94" s="4">
        <v>5.2709545137752674E-2</v>
      </c>
      <c r="F94" s="4">
        <f>_xlfn.XLOOKUP($A94,[1]usmn_pd!$A$2:$A$118,[1]usmn_pd!$F$2:$F$118,"N/A",0,1)</f>
        <v>-1.7939341499999273</v>
      </c>
      <c r="G94" s="4">
        <f t="shared" si="7"/>
        <v>-1.7486316152063699</v>
      </c>
      <c r="H94" s="4">
        <f t="shared" si="8"/>
        <v>-1.6387914604054399</v>
      </c>
      <c r="I94" s="4">
        <f>$D94-VLOOKUP($A94,[1]usmn_pd!$A$2:$F$118,6,FALSE)</f>
        <v>1.8466436951376799</v>
      </c>
      <c r="J94" s="5">
        <f t="shared" si="9"/>
        <v>1.9075991322978447</v>
      </c>
      <c r="K94" s="4">
        <f t="shared" si="10"/>
        <v>3.7155653193868031E-3</v>
      </c>
      <c r="L94" s="5">
        <f t="shared" si="11"/>
        <v>1.9477705019246517E-3</v>
      </c>
    </row>
    <row r="95" spans="1:12">
      <c r="A95" s="4" t="s">
        <v>1060</v>
      </c>
      <c r="B95" s="4">
        <f>VLOOKUP(A95,[2]usmn_ana14_pd!$A$2:$B$119,2,FALSE)</f>
        <v>581.79420099999993</v>
      </c>
      <c r="C95" s="4">
        <f>_xlfn.XLOOKUP($A95,[1]usmn_pd!$A$2:$A$118,[1]usmn_pd!$D$2:$D$118,"n/a",0,1)/1000</f>
        <v>-317.43293472565</v>
      </c>
      <c r="D95" s="4">
        <v>0.14099999511809311</v>
      </c>
      <c r="F95" s="4">
        <f>_xlfn.XLOOKUP($A95,[1]usmn_pd!$A$2:$A$118,[1]usmn_pd!$F$2:$F$118,"N/A",0,1)</f>
        <v>-1.6266361399999596</v>
      </c>
      <c r="G95" s="4">
        <f t="shared" si="7"/>
        <v>-1.4024669648412322</v>
      </c>
      <c r="H95" s="4">
        <f t="shared" si="8"/>
        <v>-1.2897817932566629</v>
      </c>
      <c r="I95" s="4">
        <f>$D95-VLOOKUP($A95,[1]usmn_pd!$A$2:$F$118,6,FALSE)</f>
        <v>1.7676361351180527</v>
      </c>
      <c r="J95" s="5">
        <f t="shared" si="9"/>
        <v>1.7976323504908434</v>
      </c>
      <c r="K95" s="4">
        <f t="shared" si="10"/>
        <v>8.9977293669084063E-4</v>
      </c>
      <c r="L95" s="5">
        <f t="shared" si="11"/>
        <v>5.0053223421638894E-4</v>
      </c>
    </row>
    <row r="96" spans="1:12">
      <c r="A96" s="4" t="s">
        <v>1063</v>
      </c>
      <c r="B96" s="4">
        <f>VLOOKUP(A96,[2]usmn_ana14_pd!$A$2:$B$119,2,FALSE)</f>
        <v>583.28280199999995</v>
      </c>
      <c r="C96" s="4">
        <f>_xlfn.XLOOKUP($A96,[1]usmn_pd!$A$2:$A$118,[1]usmn_pd!$D$2:$D$118,"n/a",0,1)/1000</f>
        <v>-318.92140800792998</v>
      </c>
      <c r="D96" s="4">
        <v>0.14690120148403757</v>
      </c>
      <c r="F96" s="4">
        <f>_xlfn.XLOOKUP($A96,[1]usmn_pd!$A$2:$A$118,[1]usmn_pd!$F$2:$F$118,"N/A",0,1)</f>
        <v>-1.4377391499999703</v>
      </c>
      <c r="G96" s="4">
        <f t="shared" si="7"/>
        <v>-1.1830238321216484</v>
      </c>
      <c r="H96" s="4">
        <f t="shared" si="8"/>
        <v>-1.0698527997385801</v>
      </c>
      <c r="I96" s="4">
        <f>$D96-VLOOKUP($A96,[1]usmn_pd!$A$2:$F$118,6,FALSE)</f>
        <v>1.5846403514840079</v>
      </c>
      <c r="J96" s="5">
        <f t="shared" si="9"/>
        <v>1.7783899571988255</v>
      </c>
      <c r="K96" s="4">
        <f t="shared" si="10"/>
        <v>3.7538909714647274E-2</v>
      </c>
      <c r="L96" s="5">
        <f t="shared" si="11"/>
        <v>2.1108368028447202E-2</v>
      </c>
    </row>
    <row r="97" spans="1:12">
      <c r="A97" s="4" t="s">
        <v>1062</v>
      </c>
      <c r="B97" s="4">
        <f>VLOOKUP(A97,[2]usmn_ana14_pd!$A$2:$B$119,2,FALSE)</f>
        <v>592.00284499999987</v>
      </c>
      <c r="C97" s="4">
        <f>_xlfn.XLOOKUP($A97,[1]usmn_pd!$A$2:$A$118,[1]usmn_pd!$D$2:$D$118,"n/a",0,1)/1000</f>
        <v>-327.64145332625003</v>
      </c>
      <c r="D97" s="4">
        <v>0.14523106143402387</v>
      </c>
      <c r="F97" s="4">
        <f>_xlfn.XLOOKUP($A97,[1]usmn_pd!$A$2:$A$118,[1]usmn_pd!$F$2:$F$118,"N/A",0,1)</f>
        <v>-1.405656259999887</v>
      </c>
      <c r="G97" s="4">
        <f t="shared" si="7"/>
        <v>-0.97198996464299547</v>
      </c>
      <c r="H97" s="4">
        <f t="shared" si="8"/>
        <v>-0.85597257402713534</v>
      </c>
      <c r="I97" s="4">
        <f>$D97-VLOOKUP($A97,[1]usmn_pd!$A$2:$F$118,6,FALSE)</f>
        <v>1.5508873214339109</v>
      </c>
      <c r="J97" s="5">
        <f t="shared" si="9"/>
        <v>1.6631774813030462</v>
      </c>
      <c r="K97" s="4">
        <f t="shared" si="10"/>
        <v>1.2609080003435956E-2</v>
      </c>
      <c r="L97" s="5">
        <f t="shared" si="11"/>
        <v>7.58131957965012E-3</v>
      </c>
    </row>
    <row r="98" spans="1:12">
      <c r="A98" s="4" t="s">
        <v>1065</v>
      </c>
      <c r="B98" s="4">
        <f>VLOOKUP(A98,[2]usmn_ana14_pd!$A$2:$B$119,2,FALSE)</f>
        <v>592.27754399999992</v>
      </c>
      <c r="C98" s="4">
        <f>_xlfn.XLOOKUP($A98,[1]usmn_pd!$A$2:$A$118,[1]usmn_pd!$D$2:$D$118,"n/a",0,1)/1000</f>
        <v>-327.91625520396002</v>
      </c>
      <c r="D98" s="4">
        <v>0.22491658480873705</v>
      </c>
      <c r="F98" s="4">
        <f>_xlfn.XLOOKUP($A98,[1]usmn_pd!$A$2:$A$118,[1]usmn_pd!$F$2:$F$118,"N/A",0,1)</f>
        <v>-1.2069777199999407</v>
      </c>
      <c r="G98" s="4">
        <f t="shared" si="7"/>
        <v>-0.76767199699858146</v>
      </c>
      <c r="H98" s="4">
        <f t="shared" si="8"/>
        <v>-0.65156490678157786</v>
      </c>
      <c r="I98" s="4">
        <f>$D98-VLOOKUP($A98,[1]usmn_pd!$A$2:$F$118,6,FALSE)</f>
        <v>1.4318943048086779</v>
      </c>
      <c r="J98" s="5">
        <f t="shared" si="9"/>
        <v>1.6594812617017156</v>
      </c>
      <c r="K98" s="4">
        <f t="shared" si="10"/>
        <v>5.1795822947833428E-2</v>
      </c>
      <c r="L98" s="5">
        <f t="shared" si="11"/>
        <v>3.1212056528266783E-2</v>
      </c>
    </row>
    <row r="99" spans="1:12">
      <c r="A99" s="4" t="s">
        <v>1064</v>
      </c>
      <c r="B99" s="4">
        <f>VLOOKUP(A99,[2]usmn_ana14_pd!$A$2:$B$119,2,FALSE)</f>
        <v>600.99368799999979</v>
      </c>
      <c r="C99" s="4">
        <f>_xlfn.XLOOKUP($A99,[1]usmn_pd!$A$2:$A$118,[1]usmn_pd!$D$2:$D$118,"n/a",0,1)/1000</f>
        <v>-336.63240850833</v>
      </c>
      <c r="D99" s="4">
        <v>0.14564867870828849</v>
      </c>
      <c r="F99" s="4">
        <f>_xlfn.XLOOKUP($A99,[1]usmn_pd!$A$2:$A$118,[1]usmn_pd!$F$2:$F$118,"N/A",0,1)</f>
        <v>-1.5191246099999489</v>
      </c>
      <c r="G99" s="4">
        <f t="shared" si="7"/>
        <v>-0.90094778063023728</v>
      </c>
      <c r="H99" s="4">
        <f t="shared" si="8"/>
        <v>-0.78199560259424661</v>
      </c>
      <c r="I99" s="4">
        <f>$D99-VLOOKUP($A99,[1]usmn_pd!$A$2:$F$118,6,FALSE)</f>
        <v>1.6647732887082374</v>
      </c>
      <c r="J99" s="5">
        <f t="shared" si="9"/>
        <v>1.5403584836925714</v>
      </c>
      <c r="K99" s="4">
        <f t="shared" si="10"/>
        <v>1.5479043707086172E-2</v>
      </c>
      <c r="L99" s="5">
        <f t="shared" si="11"/>
        <v>1.0048987862863953E-2</v>
      </c>
    </row>
    <row r="100" spans="1:12">
      <c r="A100" s="4" t="s">
        <v>1067</v>
      </c>
      <c r="B100" s="4">
        <f>VLOOKUP(A100,[2]usmn_ana14_pd!$A$2:$B$119,2,FALSE)</f>
        <v>602.4838749999999</v>
      </c>
      <c r="C100" s="4">
        <f>_xlfn.XLOOKUP($A100,[1]usmn_pd!$A$2:$A$118,[1]usmn_pd!$D$2:$D$118,"n/a",0,1)/1000</f>
        <v>-338.12253456764</v>
      </c>
      <c r="D100" s="4">
        <v>0.13127327792720508</v>
      </c>
      <c r="F100" s="4">
        <f>_xlfn.XLOOKUP($A100,[1]usmn_pd!$A$2:$A$118,[1]usmn_pd!$F$2:$F$118,"N/A",0,1)</f>
        <v>-1.5518604399999276</v>
      </c>
      <c r="G100" s="4">
        <f t="shared" si="7"/>
        <v>-0.90310354996016606</v>
      </c>
      <c r="H100" s="4">
        <f t="shared" si="8"/>
        <v>-0.7836649716335824</v>
      </c>
      <c r="I100" s="4">
        <f>$D100-VLOOKUP($A100,[1]usmn_pd!$A$2:$F$118,6,FALSE)</f>
        <v>1.6831337179271326</v>
      </c>
      <c r="J100" s="5">
        <f t="shared" si="9"/>
        <v>1.5196486440280237</v>
      </c>
      <c r="K100" s="4">
        <f t="shared" si="10"/>
        <v>2.6727369387797108E-2</v>
      </c>
      <c r="L100" s="5">
        <f t="shared" si="11"/>
        <v>1.7587861176220829E-2</v>
      </c>
    </row>
    <row r="101" spans="1:12">
      <c r="A101" s="4" t="s">
        <v>1066</v>
      </c>
      <c r="B101" s="4">
        <f>VLOOKUP(A101,[2]usmn_ana14_pd!$A$2:$B$119,2,FALSE)</f>
        <v>611.20182799999986</v>
      </c>
      <c r="C101" s="4">
        <f>_xlfn.XLOOKUP($A101,[1]usmn_pd!$A$2:$A$118,[1]usmn_pd!$D$2:$D$118,"n/a",0,1)/1000</f>
        <v>-346.84048168142999</v>
      </c>
      <c r="D101" s="4">
        <v>0.20019035979497105</v>
      </c>
      <c r="F101" s="4">
        <f>_xlfn.XLOOKUP($A101,[1]usmn_pd!$A$2:$A$118,[1]usmn_pd!$F$2:$F$118,"N/A",0,1)</f>
        <v>-1.3687327899999673</v>
      </c>
      <c r="G101" s="4">
        <f t="shared" si="7"/>
        <v>-0.54106798140368184</v>
      </c>
      <c r="H101" s="4">
        <f t="shared" si="8"/>
        <v>-0.41878372973085476</v>
      </c>
      <c r="I101" s="4">
        <f>$D101-VLOOKUP($A101,[1]usmn_pd!$A$2:$F$118,6,FALSE)</f>
        <v>1.5689231497949383</v>
      </c>
      <c r="J101" s="5">
        <f t="shared" si="9"/>
        <v>1.3966992366752338</v>
      </c>
      <c r="K101" s="4">
        <f t="shared" si="10"/>
        <v>2.9661076250263534E-2</v>
      </c>
      <c r="L101" s="5">
        <f t="shared" si="11"/>
        <v>2.1236552202083325E-2</v>
      </c>
    </row>
    <row r="102" spans="1:12">
      <c r="A102" s="4" t="s">
        <v>1069</v>
      </c>
      <c r="B102" s="4">
        <f>VLOOKUP(A102,[2]usmn_ana14_pd!$A$2:$B$119,2,FALSE)</f>
        <v>611.47626099999979</v>
      </c>
      <c r="C102" s="4">
        <f>_xlfn.XLOOKUP($A102,[1]usmn_pd!$A$2:$A$118,[1]usmn_pd!$D$2:$D$118,"n/a",0,1)/1000</f>
        <v>-347.11490588147001</v>
      </c>
      <c r="D102" s="4">
        <v>0.18794882115350045</v>
      </c>
      <c r="F102" s="4">
        <f>_xlfn.XLOOKUP($A102,[1]usmn_pd!$A$2:$A$118,[1]usmn_pd!$F$2:$F$118,"N/A",0,1)</f>
        <v>-1.2256843599999456</v>
      </c>
      <c r="G102" s="4">
        <f t="shared" si="7"/>
        <v>-0.39238787438269807</v>
      </c>
      <c r="H102" s="4">
        <f t="shared" si="8"/>
        <v>-0.27001404638858506</v>
      </c>
      <c r="I102" s="4">
        <f>$D102-VLOOKUP($A102,[1]usmn_pd!$A$2:$F$118,6,FALSE)</f>
        <v>1.4136331811534462</v>
      </c>
      <c r="J102" s="5">
        <f t="shared" si="9"/>
        <v>1.3927829839318038</v>
      </c>
      <c r="K102" s="4">
        <f t="shared" si="10"/>
        <v>4.3473072418138389E-4</v>
      </c>
      <c r="L102" s="5">
        <f t="shared" si="11"/>
        <v>3.1213098465214306E-4</v>
      </c>
    </row>
    <row r="103" spans="1:12">
      <c r="A103" s="4" t="s">
        <v>1068</v>
      </c>
      <c r="B103" s="4">
        <f>VLOOKUP(A103,[2]usmn_ana14_pd!$A$2:$B$119,2,FALSE)</f>
        <v>620.19389399999989</v>
      </c>
      <c r="C103" s="4">
        <f>_xlfn.XLOOKUP($A103,[1]usmn_pd!$A$2:$A$118,[1]usmn_pd!$D$2:$D$118,"n/a",0,1)/1000</f>
        <v>-355.83255700709003</v>
      </c>
      <c r="D103" s="4">
        <v>1.004392818159028E-2</v>
      </c>
      <c r="F103" s="4">
        <f>_xlfn.XLOOKUP($A103,[1]usmn_pd!$A$2:$A$118,[1]usmn_pd!$F$2:$F$118,"N/A",0,1)</f>
        <v>-1.1967998599999419</v>
      </c>
      <c r="G103" s="4">
        <f t="shared" si="7"/>
        <v>-0.18460153003455049</v>
      </c>
      <c r="H103" s="4">
        <f t="shared" si="8"/>
        <v>-5.9382125309330069E-2</v>
      </c>
      <c r="I103" s="4">
        <f>$D103-VLOOKUP($A103,[1]usmn_pd!$A$2:$F$118,6,FALSE)</f>
        <v>1.2068437881815322</v>
      </c>
      <c r="J103" s="5">
        <f t="shared" si="9"/>
        <v>1.2671009244896945</v>
      </c>
      <c r="K103" s="4">
        <f t="shared" si="10"/>
        <v>3.6309224760604536E-3</v>
      </c>
      <c r="L103" s="5">
        <f t="shared" si="11"/>
        <v>2.8655353380968862E-3</v>
      </c>
    </row>
    <row r="104" spans="1:12">
      <c r="A104" s="4" t="s">
        <v>1071</v>
      </c>
      <c r="B104" s="4">
        <f>VLOOKUP(A104,[2]usmn_ana14_pd!$A$2:$B$119,2,FALSE)</f>
        <v>621.68815199999983</v>
      </c>
      <c r="C104" s="4">
        <f>_xlfn.XLOOKUP($A104,[1]usmn_pd!$A$2:$A$118,[1]usmn_pd!$D$2:$D$118,"n/a",0,1)/1000</f>
        <v>-357.32681264122999</v>
      </c>
      <c r="D104" s="4">
        <v>8.6889485587879747E-2</v>
      </c>
      <c r="F104" s="4">
        <f>_xlfn.XLOOKUP($A104,[1]usmn_pd!$A$2:$A$118,[1]usmn_pd!$F$2:$F$118,"N/A",0,1)</f>
        <v>-1.1857251299999234</v>
      </c>
      <c r="G104" s="4">
        <f t="shared" si="7"/>
        <v>-0.1428619930787205</v>
      </c>
      <c r="H104" s="4">
        <f t="shared" si="8"/>
        <v>-1.7154840105541552E-2</v>
      </c>
      <c r="I104" s="4">
        <f>$D104-VLOOKUP($A104,[1]usmn_pd!$A$2:$F$118,6,FALSE)</f>
        <v>1.2726146155878031</v>
      </c>
      <c r="J104" s="5">
        <f t="shared" si="9"/>
        <v>1.2453319710862141</v>
      </c>
      <c r="K104" s="4">
        <f t="shared" si="10"/>
        <v>7.4434269100008533E-4</v>
      </c>
      <c r="L104" s="5">
        <f t="shared" si="11"/>
        <v>5.9770624081131429E-4</v>
      </c>
    </row>
    <row r="105" spans="1:12">
      <c r="A105" s="4" t="s">
        <v>1070</v>
      </c>
      <c r="B105" s="4">
        <f>VLOOKUP(A105,[2]usmn_ana14_pd!$A$2:$B$119,2,FALSE)</f>
        <v>630.40510199999983</v>
      </c>
      <c r="C105" s="4">
        <f>_xlfn.XLOOKUP($A105,[1]usmn_pd!$A$2:$A$118,[1]usmn_pd!$D$2:$D$118,"n/a",0,1)/1000</f>
        <v>-366.04374203320998</v>
      </c>
      <c r="D105" s="4">
        <v>0.12855249411921624</v>
      </c>
      <c r="F105" s="4">
        <f>_xlfn.XLOOKUP($A105,[1]usmn_pd!$A$2:$A$118,[1]usmn_pd!$F$2:$F$118,"N/A",0,1)</f>
        <v>-1.2217501699999502</v>
      </c>
      <c r="G105" s="4">
        <f t="shared" si="7"/>
        <v>0</v>
      </c>
      <c r="H105" s="4">
        <f t="shared" si="8"/>
        <v>0.12855249411921624</v>
      </c>
      <c r="I105" s="4">
        <f>$D105-VLOOKUP($A105,[1]usmn_pd!$A$2:$F$118,6,FALSE)</f>
        <v>1.3503026641191664</v>
      </c>
      <c r="J105" s="5">
        <f t="shared" si="9"/>
        <v>1.1172484297140952</v>
      </c>
      <c r="K105" s="4">
        <f t="shared" si="10"/>
        <v>5.4314276174133883E-2</v>
      </c>
      <c r="L105" s="5">
        <f t="shared" si="11"/>
        <v>4.8614323125997096E-2</v>
      </c>
    </row>
    <row r="107" spans="1:12">
      <c r="C107" s="4">
        <v>124.105</v>
      </c>
      <c r="J107" s="5">
        <f>$Q$2*$C107^3+$P$2*$C107^2+$O$2*$C107+$N$2</f>
        <v>-9.9406709760379002</v>
      </c>
    </row>
    <row r="108" spans="1:12">
      <c r="C108" s="4">
        <f>C107-1</f>
        <v>123.105</v>
      </c>
      <c r="J108" s="5">
        <f t="shared" ref="J108:J171" si="12">$Q$2*$C108^3+$P$2*$C108^2+$O$2*$C108+$N$2</f>
        <v>-9.8483743503078838</v>
      </c>
    </row>
    <row r="109" spans="1:12">
      <c r="C109" s="4">
        <f t="shared" ref="C109:C172" si="13">C108-1</f>
        <v>122.105</v>
      </c>
      <c r="J109" s="5">
        <f t="shared" si="12"/>
        <v>-9.7564953218962689</v>
      </c>
    </row>
    <row r="110" spans="1:12">
      <c r="C110" s="4">
        <f t="shared" si="13"/>
        <v>121.105</v>
      </c>
      <c r="J110" s="5">
        <f t="shared" si="12"/>
        <v>-9.6650330767230539</v>
      </c>
    </row>
    <row r="111" spans="1:12">
      <c r="C111" s="4">
        <f t="shared" si="13"/>
        <v>120.105</v>
      </c>
      <c r="J111" s="5">
        <f t="shared" si="12"/>
        <v>-9.5739868007082354</v>
      </c>
    </row>
    <row r="112" spans="1:12">
      <c r="C112" s="4">
        <f t="shared" si="13"/>
        <v>119.105</v>
      </c>
      <c r="J112" s="5">
        <f t="shared" si="12"/>
        <v>-9.4833556797718206</v>
      </c>
    </row>
    <row r="113" spans="3:10">
      <c r="C113" s="4">
        <f t="shared" si="13"/>
        <v>118.105</v>
      </c>
      <c r="J113" s="5">
        <f t="shared" si="12"/>
        <v>-9.3931388998338043</v>
      </c>
    </row>
    <row r="114" spans="3:10">
      <c r="C114" s="4">
        <f t="shared" si="13"/>
        <v>117.105</v>
      </c>
      <c r="J114" s="5">
        <f t="shared" si="12"/>
        <v>-9.3033356468141903</v>
      </c>
    </row>
    <row r="115" spans="3:10">
      <c r="C115" s="4">
        <f t="shared" si="13"/>
        <v>116.105</v>
      </c>
      <c r="J115" s="5">
        <f t="shared" si="12"/>
        <v>-9.2139451066329716</v>
      </c>
    </row>
    <row r="116" spans="3:10">
      <c r="C116" s="4">
        <f t="shared" si="13"/>
        <v>115.105</v>
      </c>
      <c r="J116" s="5">
        <f t="shared" si="12"/>
        <v>-9.1249664652101572</v>
      </c>
    </row>
    <row r="117" spans="3:10">
      <c r="C117" s="4">
        <f t="shared" si="13"/>
        <v>114.105</v>
      </c>
      <c r="J117" s="5">
        <f t="shared" si="12"/>
        <v>-9.0363989084657419</v>
      </c>
    </row>
    <row r="118" spans="3:10">
      <c r="C118" s="4">
        <f t="shared" si="13"/>
        <v>113.105</v>
      </c>
      <c r="J118" s="5">
        <f t="shared" si="12"/>
        <v>-8.9482416223197259</v>
      </c>
    </row>
    <row r="119" spans="3:10">
      <c r="C119" s="4">
        <f t="shared" si="13"/>
        <v>112.105</v>
      </c>
      <c r="J119" s="5">
        <f t="shared" si="12"/>
        <v>-8.8604937926921092</v>
      </c>
    </row>
    <row r="120" spans="3:10">
      <c r="C120" s="4">
        <f t="shared" si="13"/>
        <v>111.105</v>
      </c>
      <c r="J120" s="5">
        <f t="shared" si="12"/>
        <v>-8.7731546055028922</v>
      </c>
    </row>
    <row r="121" spans="3:10">
      <c r="C121" s="4">
        <f t="shared" si="13"/>
        <v>110.105</v>
      </c>
      <c r="J121" s="5">
        <f t="shared" si="12"/>
        <v>-8.6862232466720766</v>
      </c>
    </row>
    <row r="122" spans="3:10">
      <c r="C122" s="4">
        <f t="shared" si="13"/>
        <v>109.105</v>
      </c>
      <c r="J122" s="5">
        <f t="shared" si="12"/>
        <v>-8.5996989021196608</v>
      </c>
    </row>
    <row r="123" spans="3:10">
      <c r="C123" s="4">
        <f t="shared" si="13"/>
        <v>108.105</v>
      </c>
      <c r="J123" s="5">
        <f t="shared" si="12"/>
        <v>-8.513580757765645</v>
      </c>
    </row>
    <row r="124" spans="3:10">
      <c r="C124" s="4">
        <f t="shared" si="13"/>
        <v>107.105</v>
      </c>
      <c r="J124" s="5">
        <f t="shared" si="12"/>
        <v>-8.4278679995300294</v>
      </c>
    </row>
    <row r="125" spans="3:10">
      <c r="C125" s="4">
        <f t="shared" si="13"/>
        <v>106.105</v>
      </c>
      <c r="J125" s="5">
        <f t="shared" si="12"/>
        <v>-8.3425598133328123</v>
      </c>
    </row>
    <row r="126" spans="3:10">
      <c r="C126" s="4">
        <f t="shared" si="13"/>
        <v>105.105</v>
      </c>
      <c r="J126" s="5">
        <f t="shared" si="12"/>
        <v>-8.2576553850939973</v>
      </c>
    </row>
    <row r="127" spans="3:10">
      <c r="C127" s="4">
        <f t="shared" si="13"/>
        <v>104.105</v>
      </c>
      <c r="J127" s="5">
        <f t="shared" si="12"/>
        <v>-8.1731539007335812</v>
      </c>
    </row>
    <row r="128" spans="3:10">
      <c r="C128" s="4">
        <f t="shared" si="13"/>
        <v>103.105</v>
      </c>
      <c r="J128" s="5">
        <f t="shared" si="12"/>
        <v>-8.0890545461715657</v>
      </c>
    </row>
    <row r="129" spans="3:10">
      <c r="C129" s="4">
        <f t="shared" si="13"/>
        <v>102.105</v>
      </c>
      <c r="J129" s="5">
        <f t="shared" si="12"/>
        <v>-8.0053565073279493</v>
      </c>
    </row>
    <row r="130" spans="3:10">
      <c r="C130" s="4">
        <f t="shared" si="13"/>
        <v>101.105</v>
      </c>
      <c r="J130" s="5">
        <f t="shared" si="12"/>
        <v>-7.9220589701227331</v>
      </c>
    </row>
    <row r="131" spans="3:10">
      <c r="C131" s="4">
        <f t="shared" si="13"/>
        <v>100.105</v>
      </c>
      <c r="J131" s="5">
        <f t="shared" si="12"/>
        <v>-7.8391611204759162</v>
      </c>
    </row>
    <row r="132" spans="3:10">
      <c r="C132" s="4">
        <f t="shared" si="13"/>
        <v>99.105000000000004</v>
      </c>
      <c r="J132" s="5">
        <f t="shared" si="12"/>
        <v>-7.7566621443075006</v>
      </c>
    </row>
    <row r="133" spans="3:10">
      <c r="C133" s="4">
        <f t="shared" si="13"/>
        <v>98.105000000000004</v>
      </c>
      <c r="J133" s="5">
        <f t="shared" si="12"/>
        <v>-7.6745612275374846</v>
      </c>
    </row>
    <row r="134" spans="3:10">
      <c r="C134" s="4">
        <f t="shared" si="13"/>
        <v>97.105000000000004</v>
      </c>
      <c r="J134" s="5">
        <f t="shared" si="12"/>
        <v>-7.5928575560858693</v>
      </c>
    </row>
    <row r="135" spans="3:10">
      <c r="C135" s="4">
        <f t="shared" si="13"/>
        <v>96.105000000000004</v>
      </c>
      <c r="J135" s="5">
        <f t="shared" si="12"/>
        <v>-7.5115503158726522</v>
      </c>
    </row>
    <row r="136" spans="3:10">
      <c r="C136" s="4">
        <f t="shared" si="13"/>
        <v>95.105000000000004</v>
      </c>
      <c r="J136" s="5">
        <f t="shared" si="12"/>
        <v>-7.430638692817837</v>
      </c>
    </row>
    <row r="137" spans="3:10">
      <c r="C137" s="4">
        <f t="shared" si="13"/>
        <v>94.105000000000004</v>
      </c>
      <c r="J137" s="5">
        <f t="shared" si="12"/>
        <v>-7.350121872841421</v>
      </c>
    </row>
    <row r="138" spans="3:10">
      <c r="C138" s="4">
        <f t="shared" si="13"/>
        <v>93.105000000000004</v>
      </c>
      <c r="J138" s="5">
        <f t="shared" si="12"/>
        <v>-7.2699990418634055</v>
      </c>
    </row>
    <row r="139" spans="3:10">
      <c r="C139" s="4">
        <f t="shared" si="13"/>
        <v>92.105000000000004</v>
      </c>
      <c r="J139" s="5">
        <f t="shared" si="12"/>
        <v>-7.1902693858037887</v>
      </c>
    </row>
    <row r="140" spans="3:10">
      <c r="C140" s="4">
        <f t="shared" si="13"/>
        <v>91.105000000000004</v>
      </c>
      <c r="J140" s="5">
        <f t="shared" si="12"/>
        <v>-7.1109320905825726</v>
      </c>
    </row>
    <row r="141" spans="3:10">
      <c r="C141" s="4">
        <f t="shared" si="13"/>
        <v>90.105000000000004</v>
      </c>
      <c r="J141" s="5">
        <f t="shared" si="12"/>
        <v>-7.0319863421197564</v>
      </c>
    </row>
    <row r="142" spans="3:10">
      <c r="C142" s="4">
        <f t="shared" si="13"/>
        <v>89.105000000000004</v>
      </c>
      <c r="J142" s="5">
        <f t="shared" si="12"/>
        <v>-6.9534313263353411</v>
      </c>
    </row>
    <row r="143" spans="3:10">
      <c r="C143" s="4">
        <f t="shared" si="13"/>
        <v>88.105000000000004</v>
      </c>
      <c r="J143" s="5">
        <f t="shared" si="12"/>
        <v>-6.8752662291493243</v>
      </c>
    </row>
    <row r="144" spans="3:10">
      <c r="C144" s="4">
        <f t="shared" si="13"/>
        <v>87.105000000000004</v>
      </c>
      <c r="J144" s="5">
        <f t="shared" si="12"/>
        <v>-6.7974902364817087</v>
      </c>
    </row>
    <row r="145" spans="3:10">
      <c r="C145" s="4">
        <f t="shared" si="13"/>
        <v>86.105000000000004</v>
      </c>
      <c r="J145" s="5">
        <f t="shared" si="12"/>
        <v>-6.7201025342524927</v>
      </c>
    </row>
    <row r="146" spans="3:10">
      <c r="C146" s="4">
        <f t="shared" si="13"/>
        <v>85.105000000000004</v>
      </c>
      <c r="J146" s="5">
        <f t="shared" si="12"/>
        <v>-6.6431023083816765</v>
      </c>
    </row>
    <row r="147" spans="3:10">
      <c r="C147" s="4">
        <f t="shared" si="13"/>
        <v>84.105000000000004</v>
      </c>
      <c r="J147" s="5">
        <f t="shared" si="12"/>
        <v>-6.566488744789261</v>
      </c>
    </row>
    <row r="148" spans="3:10">
      <c r="C148" s="4">
        <f t="shared" si="13"/>
        <v>83.105000000000004</v>
      </c>
      <c r="J148" s="5">
        <f t="shared" si="12"/>
        <v>-6.4902610293952447</v>
      </c>
    </row>
    <row r="149" spans="3:10">
      <c r="C149" s="4">
        <f t="shared" si="13"/>
        <v>82.105000000000004</v>
      </c>
      <c r="J149" s="5">
        <f t="shared" si="12"/>
        <v>-6.4144183481196286</v>
      </c>
    </row>
    <row r="150" spans="3:10">
      <c r="C150" s="4">
        <f t="shared" si="13"/>
        <v>81.105000000000004</v>
      </c>
      <c r="J150" s="5">
        <f t="shared" si="12"/>
        <v>-6.3389598868824129</v>
      </c>
    </row>
    <row r="151" spans="3:10">
      <c r="C151" s="4">
        <f t="shared" si="13"/>
        <v>80.105000000000004</v>
      </c>
      <c r="J151" s="5">
        <f t="shared" si="12"/>
        <v>-6.2638848316035967</v>
      </c>
    </row>
    <row r="152" spans="3:10">
      <c r="C152" s="4">
        <f t="shared" si="13"/>
        <v>79.105000000000004</v>
      </c>
      <c r="J152" s="5">
        <f t="shared" si="12"/>
        <v>-6.1891923682031802</v>
      </c>
    </row>
    <row r="153" spans="3:10">
      <c r="C153" s="4">
        <f t="shared" si="13"/>
        <v>78.105000000000004</v>
      </c>
      <c r="J153" s="5">
        <f t="shared" si="12"/>
        <v>-6.1148816826011654</v>
      </c>
    </row>
    <row r="154" spans="3:10">
      <c r="C154" s="4">
        <f t="shared" si="13"/>
        <v>77.105000000000004</v>
      </c>
      <c r="J154" s="5">
        <f t="shared" si="12"/>
        <v>-6.0409519607175488</v>
      </c>
    </row>
    <row r="155" spans="3:10">
      <c r="C155" s="4">
        <f t="shared" si="13"/>
        <v>76.105000000000004</v>
      </c>
      <c r="J155" s="5">
        <f t="shared" si="12"/>
        <v>-5.9674023884723333</v>
      </c>
    </row>
    <row r="156" spans="3:10">
      <c r="C156" s="4">
        <f t="shared" si="13"/>
        <v>75.105000000000004</v>
      </c>
      <c r="J156" s="5">
        <f t="shared" si="12"/>
        <v>-5.8942321517855163</v>
      </c>
    </row>
    <row r="157" spans="3:10">
      <c r="C157" s="4">
        <f t="shared" si="13"/>
        <v>74.105000000000004</v>
      </c>
      <c r="J157" s="5">
        <f t="shared" si="12"/>
        <v>-5.8214404365771006</v>
      </c>
    </row>
    <row r="158" spans="3:10">
      <c r="C158" s="4">
        <f t="shared" si="13"/>
        <v>73.105000000000004</v>
      </c>
      <c r="J158" s="5">
        <f t="shared" si="12"/>
        <v>-5.7490264287670847</v>
      </c>
    </row>
    <row r="159" spans="3:10">
      <c r="C159" s="4">
        <f t="shared" si="13"/>
        <v>72.105000000000004</v>
      </c>
      <c r="J159" s="5">
        <f t="shared" si="12"/>
        <v>-5.6769893142754686</v>
      </c>
    </row>
    <row r="160" spans="3:10">
      <c r="C160" s="4">
        <f t="shared" si="13"/>
        <v>71.105000000000004</v>
      </c>
      <c r="J160" s="5">
        <f t="shared" si="12"/>
        <v>-5.6053282790222525</v>
      </c>
    </row>
    <row r="161" spans="3:10">
      <c r="C161" s="4">
        <f t="shared" si="13"/>
        <v>70.105000000000004</v>
      </c>
      <c r="J161" s="5">
        <f t="shared" si="12"/>
        <v>-5.5340425089274365</v>
      </c>
    </row>
    <row r="162" spans="3:10">
      <c r="C162" s="4">
        <f t="shared" si="13"/>
        <v>69.105000000000004</v>
      </c>
      <c r="J162" s="5">
        <f t="shared" si="12"/>
        <v>-5.4631311899110209</v>
      </c>
    </row>
    <row r="163" spans="3:10">
      <c r="C163" s="4">
        <f t="shared" si="13"/>
        <v>68.105000000000004</v>
      </c>
      <c r="J163" s="5">
        <f t="shared" si="12"/>
        <v>-5.3925935078930047</v>
      </c>
    </row>
    <row r="164" spans="3:10">
      <c r="C164" s="4">
        <f t="shared" si="13"/>
        <v>67.105000000000004</v>
      </c>
      <c r="J164" s="5">
        <f t="shared" si="12"/>
        <v>-5.3224286487933883</v>
      </c>
    </row>
    <row r="165" spans="3:10">
      <c r="C165" s="4">
        <f t="shared" si="13"/>
        <v>66.105000000000004</v>
      </c>
      <c r="J165" s="5">
        <f t="shared" si="12"/>
        <v>-5.2526357985321726</v>
      </c>
    </row>
    <row r="166" spans="3:10">
      <c r="C166" s="4">
        <f t="shared" si="13"/>
        <v>65.105000000000004</v>
      </c>
      <c r="J166" s="5">
        <f t="shared" si="12"/>
        <v>-5.1832141430293568</v>
      </c>
    </row>
    <row r="167" spans="3:10">
      <c r="C167" s="4">
        <f t="shared" si="13"/>
        <v>64.105000000000004</v>
      </c>
      <c r="J167" s="5">
        <f t="shared" si="12"/>
        <v>-5.1141628682049411</v>
      </c>
    </row>
    <row r="168" spans="3:10">
      <c r="C168" s="4">
        <f t="shared" si="13"/>
        <v>63.105000000000004</v>
      </c>
      <c r="J168" s="5">
        <f t="shared" si="12"/>
        <v>-5.0454811599789249</v>
      </c>
    </row>
    <row r="169" spans="3:10">
      <c r="C169" s="4">
        <f t="shared" si="13"/>
        <v>62.105000000000004</v>
      </c>
      <c r="J169" s="5">
        <f t="shared" si="12"/>
        <v>-4.977168204271309</v>
      </c>
    </row>
    <row r="170" spans="3:10">
      <c r="C170" s="4">
        <f t="shared" si="13"/>
        <v>61.105000000000004</v>
      </c>
      <c r="J170" s="5">
        <f t="shared" si="12"/>
        <v>-4.9092231870020928</v>
      </c>
    </row>
    <row r="171" spans="3:10">
      <c r="C171" s="4">
        <f t="shared" si="13"/>
        <v>60.105000000000004</v>
      </c>
      <c r="J171" s="5">
        <f t="shared" si="12"/>
        <v>-4.8416452940912773</v>
      </c>
    </row>
    <row r="172" spans="3:10">
      <c r="C172" s="4">
        <f t="shared" si="13"/>
        <v>59.105000000000004</v>
      </c>
      <c r="J172" s="5">
        <f t="shared" ref="J172:J235" si="14">$Q$2*$C172^3+$P$2*$C172^2+$O$2*$C172+$N$2</f>
        <v>-4.7744337114588609</v>
      </c>
    </row>
    <row r="173" spans="3:10">
      <c r="C173" s="4">
        <f t="shared" ref="C173:C236" si="15">C172-1</f>
        <v>58.105000000000004</v>
      </c>
      <c r="J173" s="5">
        <f t="shared" si="14"/>
        <v>-4.7075876250248454</v>
      </c>
    </row>
    <row r="174" spans="3:10">
      <c r="C174" s="4">
        <f t="shared" si="15"/>
        <v>57.105000000000004</v>
      </c>
      <c r="J174" s="5">
        <f t="shared" si="14"/>
        <v>-4.6411062207092284</v>
      </c>
    </row>
    <row r="175" spans="3:10">
      <c r="C175" s="4">
        <f t="shared" si="15"/>
        <v>56.105000000000004</v>
      </c>
      <c r="J175" s="5">
        <f t="shared" si="14"/>
        <v>-4.5749886844320127</v>
      </c>
    </row>
    <row r="176" spans="3:10">
      <c r="C176" s="4">
        <f t="shared" si="15"/>
        <v>55.105000000000004</v>
      </c>
      <c r="J176" s="5">
        <f t="shared" si="14"/>
        <v>-4.5092342021131966</v>
      </c>
    </row>
    <row r="177" spans="3:10">
      <c r="C177" s="4">
        <f t="shared" si="15"/>
        <v>54.105000000000004</v>
      </c>
      <c r="J177" s="5">
        <f t="shared" si="14"/>
        <v>-4.4438419596727812</v>
      </c>
    </row>
    <row r="178" spans="3:10">
      <c r="C178" s="4">
        <f t="shared" si="15"/>
        <v>53.105000000000004</v>
      </c>
      <c r="J178" s="5">
        <f t="shared" si="14"/>
        <v>-4.3788111430307648</v>
      </c>
    </row>
    <row r="179" spans="3:10">
      <c r="C179" s="4">
        <f t="shared" si="15"/>
        <v>52.105000000000004</v>
      </c>
      <c r="J179" s="5">
        <f t="shared" si="14"/>
        <v>-4.3141409381071485</v>
      </c>
    </row>
    <row r="180" spans="3:10">
      <c r="C180" s="4">
        <f t="shared" si="15"/>
        <v>51.105000000000004</v>
      </c>
      <c r="J180" s="5">
        <f t="shared" si="14"/>
        <v>-4.2498305308219324</v>
      </c>
    </row>
    <row r="181" spans="3:10">
      <c r="C181" s="4">
        <f t="shared" si="15"/>
        <v>50.105000000000004</v>
      </c>
      <c r="J181" s="5">
        <f t="shared" si="14"/>
        <v>-4.1858791070951167</v>
      </c>
    </row>
    <row r="182" spans="3:10">
      <c r="C182" s="4">
        <f t="shared" si="15"/>
        <v>49.105000000000004</v>
      </c>
      <c r="J182" s="5">
        <f t="shared" si="14"/>
        <v>-4.1222858528467006</v>
      </c>
    </row>
    <row r="183" spans="3:10">
      <c r="C183" s="4">
        <f t="shared" si="15"/>
        <v>48.105000000000004</v>
      </c>
      <c r="J183" s="5">
        <f t="shared" si="14"/>
        <v>-4.0590499539966851</v>
      </c>
    </row>
    <row r="184" spans="3:10">
      <c r="C184" s="4">
        <f t="shared" si="15"/>
        <v>47.105000000000004</v>
      </c>
      <c r="J184" s="5">
        <f t="shared" si="14"/>
        <v>-3.9961705964650687</v>
      </c>
    </row>
    <row r="185" spans="3:10">
      <c r="C185" s="4">
        <f t="shared" si="15"/>
        <v>46.105000000000004</v>
      </c>
      <c r="J185" s="5">
        <f t="shared" si="14"/>
        <v>-3.9336469661718532</v>
      </c>
    </row>
    <row r="186" spans="3:10">
      <c r="C186" s="4">
        <f t="shared" si="15"/>
        <v>45.105000000000004</v>
      </c>
      <c r="J186" s="5">
        <f t="shared" si="14"/>
        <v>-3.871478249037037</v>
      </c>
    </row>
    <row r="187" spans="3:10">
      <c r="C187" s="4">
        <f t="shared" si="15"/>
        <v>44.105000000000004</v>
      </c>
      <c r="J187" s="5">
        <f t="shared" si="14"/>
        <v>-3.8096636309806211</v>
      </c>
    </row>
    <row r="188" spans="3:10">
      <c r="C188" s="4">
        <f t="shared" si="15"/>
        <v>43.105000000000004</v>
      </c>
      <c r="J188" s="5">
        <f t="shared" si="14"/>
        <v>-3.7482022979226048</v>
      </c>
    </row>
    <row r="189" spans="3:10">
      <c r="C189" s="4">
        <f t="shared" si="15"/>
        <v>42.105000000000004</v>
      </c>
      <c r="J189" s="5">
        <f t="shared" si="14"/>
        <v>-3.6870934357829883</v>
      </c>
    </row>
    <row r="190" spans="3:10">
      <c r="C190" s="4">
        <f t="shared" si="15"/>
        <v>41.105000000000004</v>
      </c>
      <c r="J190" s="5">
        <f t="shared" si="14"/>
        <v>-3.6263362304817726</v>
      </c>
    </row>
    <row r="191" spans="3:10">
      <c r="C191" s="4">
        <f t="shared" si="15"/>
        <v>40.105000000000004</v>
      </c>
      <c r="J191" s="5">
        <f t="shared" si="14"/>
        <v>-3.5659298679389568</v>
      </c>
    </row>
    <row r="192" spans="3:10">
      <c r="C192" s="4">
        <f t="shared" si="15"/>
        <v>39.105000000000004</v>
      </c>
      <c r="J192" s="5">
        <f t="shared" si="14"/>
        <v>-3.5058735340745404</v>
      </c>
    </row>
    <row r="193" spans="3:10">
      <c r="C193" s="4">
        <f t="shared" si="15"/>
        <v>38.105000000000004</v>
      </c>
      <c r="J193" s="5">
        <f t="shared" si="14"/>
        <v>-3.4461664148085251</v>
      </c>
    </row>
    <row r="194" spans="3:10">
      <c r="C194" s="4">
        <f t="shared" si="15"/>
        <v>37.105000000000004</v>
      </c>
      <c r="J194" s="5">
        <f t="shared" si="14"/>
        <v>-3.3868076960609086</v>
      </c>
    </row>
    <row r="195" spans="3:10">
      <c r="C195" s="4">
        <f t="shared" si="15"/>
        <v>36.105000000000004</v>
      </c>
      <c r="J195" s="5">
        <f t="shared" si="14"/>
        <v>-3.3277965637516926</v>
      </c>
    </row>
    <row r="196" spans="3:10">
      <c r="C196" s="4">
        <f t="shared" si="15"/>
        <v>35.105000000000004</v>
      </c>
      <c r="J196" s="5">
        <f t="shared" si="14"/>
        <v>-3.2691322038008765</v>
      </c>
    </row>
    <row r="197" spans="3:10">
      <c r="C197" s="4">
        <f t="shared" si="15"/>
        <v>34.105000000000004</v>
      </c>
      <c r="J197" s="5">
        <f t="shared" si="14"/>
        <v>-3.2108138021284605</v>
      </c>
    </row>
    <row r="198" spans="3:10">
      <c r="C198" s="4">
        <f t="shared" si="15"/>
        <v>33.105000000000004</v>
      </c>
      <c r="J198" s="5">
        <f t="shared" si="14"/>
        <v>-3.1528405446544445</v>
      </c>
    </row>
    <row r="199" spans="3:10">
      <c r="C199" s="4">
        <f t="shared" si="15"/>
        <v>32.105000000000004</v>
      </c>
      <c r="J199" s="5">
        <f t="shared" si="14"/>
        <v>-3.0952116172988289</v>
      </c>
    </row>
    <row r="200" spans="3:10">
      <c r="C200" s="4">
        <f t="shared" si="15"/>
        <v>31.105000000000004</v>
      </c>
      <c r="J200" s="5">
        <f t="shared" si="14"/>
        <v>-3.0379262059816128</v>
      </c>
    </row>
    <row r="201" spans="3:10">
      <c r="C201" s="4">
        <f t="shared" si="15"/>
        <v>30.105000000000004</v>
      </c>
      <c r="J201" s="5">
        <f t="shared" si="14"/>
        <v>-2.9809834966227968</v>
      </c>
    </row>
    <row r="202" spans="3:10">
      <c r="C202" s="4">
        <f t="shared" si="15"/>
        <v>29.105000000000004</v>
      </c>
      <c r="J202" s="5">
        <f t="shared" si="14"/>
        <v>-2.9243826751423807</v>
      </c>
    </row>
    <row r="203" spans="3:10">
      <c r="C203" s="4">
        <f t="shared" si="15"/>
        <v>28.105000000000004</v>
      </c>
      <c r="J203" s="5">
        <f t="shared" si="14"/>
        <v>-2.868122927460365</v>
      </c>
    </row>
    <row r="204" spans="3:10">
      <c r="C204" s="4">
        <f t="shared" si="15"/>
        <v>27.105000000000004</v>
      </c>
      <c r="J204" s="5">
        <f t="shared" si="14"/>
        <v>-2.8122034394967486</v>
      </c>
    </row>
    <row r="205" spans="3:10">
      <c r="C205" s="4">
        <f t="shared" si="15"/>
        <v>26.105000000000004</v>
      </c>
      <c r="J205" s="5">
        <f t="shared" si="14"/>
        <v>-2.7566233971715328</v>
      </c>
    </row>
    <row r="206" spans="3:10">
      <c r="C206" s="4">
        <f t="shared" si="15"/>
        <v>25.105000000000004</v>
      </c>
      <c r="J206" s="5">
        <f t="shared" si="14"/>
        <v>-2.7013819864047166</v>
      </c>
    </row>
    <row r="207" spans="3:10">
      <c r="C207" s="4">
        <f t="shared" si="15"/>
        <v>24.105000000000004</v>
      </c>
      <c r="J207" s="5">
        <f t="shared" si="14"/>
        <v>-2.6464783931163005</v>
      </c>
    </row>
    <row r="208" spans="3:10">
      <c r="C208" s="4">
        <f t="shared" si="15"/>
        <v>23.105000000000004</v>
      </c>
      <c r="J208" s="5">
        <f t="shared" si="14"/>
        <v>-2.5919118032262847</v>
      </c>
    </row>
    <row r="209" spans="3:10">
      <c r="C209" s="4">
        <f t="shared" si="15"/>
        <v>22.105000000000004</v>
      </c>
      <c r="J209" s="5">
        <f t="shared" si="14"/>
        <v>-2.5376814026546688</v>
      </c>
    </row>
    <row r="210" spans="3:10">
      <c r="C210" s="4">
        <f t="shared" si="15"/>
        <v>21.105000000000004</v>
      </c>
      <c r="J210" s="5">
        <f t="shared" si="14"/>
        <v>-2.4837863773214526</v>
      </c>
    </row>
    <row r="211" spans="3:10">
      <c r="C211" s="4">
        <f t="shared" si="15"/>
        <v>20.105000000000004</v>
      </c>
      <c r="J211" s="5">
        <f t="shared" si="14"/>
        <v>-2.4302259131466366</v>
      </c>
    </row>
    <row r="212" spans="3:10">
      <c r="C212" s="4">
        <f t="shared" si="15"/>
        <v>19.105000000000004</v>
      </c>
      <c r="J212" s="5">
        <f t="shared" si="14"/>
        <v>-2.376999196050221</v>
      </c>
    </row>
    <row r="213" spans="3:10">
      <c r="C213" s="4">
        <f t="shared" si="15"/>
        <v>18.105000000000004</v>
      </c>
      <c r="J213" s="5">
        <f t="shared" si="14"/>
        <v>-2.3241054119522051</v>
      </c>
    </row>
    <row r="214" spans="3:10">
      <c r="C214" s="4">
        <f t="shared" si="15"/>
        <v>17.105000000000004</v>
      </c>
      <c r="J214" s="5">
        <f t="shared" si="14"/>
        <v>-2.271543746772589</v>
      </c>
    </row>
    <row r="215" spans="3:10">
      <c r="C215" s="4">
        <f t="shared" si="15"/>
        <v>16.105000000000004</v>
      </c>
      <c r="J215" s="5">
        <f t="shared" si="14"/>
        <v>-2.2193133864313728</v>
      </c>
    </row>
    <row r="216" spans="3:10">
      <c r="C216" s="4">
        <f t="shared" si="15"/>
        <v>15.105000000000004</v>
      </c>
      <c r="J216" s="5">
        <f t="shared" si="14"/>
        <v>-2.1674135168485567</v>
      </c>
    </row>
    <row r="217" spans="3:10">
      <c r="C217" s="4">
        <f t="shared" si="15"/>
        <v>14.105000000000004</v>
      </c>
      <c r="J217" s="5">
        <f t="shared" si="14"/>
        <v>-2.1158433239441408</v>
      </c>
    </row>
    <row r="218" spans="3:10">
      <c r="C218" s="4">
        <f t="shared" si="15"/>
        <v>13.105000000000004</v>
      </c>
      <c r="J218" s="5">
        <f t="shared" si="14"/>
        <v>-2.0646019936381248</v>
      </c>
    </row>
    <row r="219" spans="3:10">
      <c r="C219" s="4">
        <f t="shared" si="15"/>
        <v>12.105000000000004</v>
      </c>
      <c r="J219" s="5">
        <f t="shared" si="14"/>
        <v>-2.0136887118505089</v>
      </c>
    </row>
    <row r="220" spans="3:10">
      <c r="C220" s="4">
        <f t="shared" si="15"/>
        <v>11.105000000000004</v>
      </c>
      <c r="J220" s="5">
        <f t="shared" si="14"/>
        <v>-1.9631026645012928</v>
      </c>
    </row>
    <row r="221" spans="3:10">
      <c r="C221" s="4">
        <f t="shared" si="15"/>
        <v>10.105000000000004</v>
      </c>
      <c r="J221" s="5">
        <f t="shared" si="14"/>
        <v>-1.9128430375104768</v>
      </c>
    </row>
    <row r="222" spans="3:10">
      <c r="C222" s="4">
        <f t="shared" si="15"/>
        <v>9.105000000000004</v>
      </c>
      <c r="J222" s="5">
        <f t="shared" si="14"/>
        <v>-1.8629090167980609</v>
      </c>
    </row>
    <row r="223" spans="3:10">
      <c r="C223" s="4">
        <f t="shared" si="15"/>
        <v>8.105000000000004</v>
      </c>
      <c r="J223" s="5">
        <f t="shared" si="14"/>
        <v>-1.8132997882840449</v>
      </c>
    </row>
    <row r="224" spans="3:10">
      <c r="C224" s="4">
        <f t="shared" si="15"/>
        <v>7.105000000000004</v>
      </c>
      <c r="J224" s="5">
        <f t="shared" si="14"/>
        <v>-1.7640145378884289</v>
      </c>
    </row>
    <row r="225" spans="3:10">
      <c r="C225" s="4">
        <f t="shared" si="15"/>
        <v>6.105000000000004</v>
      </c>
      <c r="J225" s="5">
        <f t="shared" si="14"/>
        <v>-1.7150524515312129</v>
      </c>
    </row>
    <row r="226" spans="3:10">
      <c r="C226" s="4">
        <f t="shared" si="15"/>
        <v>5.105000000000004</v>
      </c>
      <c r="J226" s="5">
        <f t="shared" si="14"/>
        <v>-1.6664127151323969</v>
      </c>
    </row>
    <row r="227" spans="3:10">
      <c r="C227" s="4">
        <f t="shared" si="15"/>
        <v>4.105000000000004</v>
      </c>
      <c r="J227" s="5">
        <f t="shared" si="14"/>
        <v>-1.6180945146119807</v>
      </c>
    </row>
    <row r="228" spans="3:10">
      <c r="C228" s="4">
        <f t="shared" si="15"/>
        <v>3.105000000000004</v>
      </c>
      <c r="J228" s="5">
        <f t="shared" si="14"/>
        <v>-1.5700970358899649</v>
      </c>
    </row>
    <row r="229" spans="3:10">
      <c r="C229" s="4">
        <f t="shared" si="15"/>
        <v>2.105000000000004</v>
      </c>
      <c r="J229" s="5">
        <f t="shared" si="14"/>
        <v>-1.5224194648863487</v>
      </c>
    </row>
    <row r="230" spans="3:10">
      <c r="C230" s="4">
        <f t="shared" si="15"/>
        <v>1.105000000000004</v>
      </c>
      <c r="J230" s="5">
        <f t="shared" si="14"/>
        <v>-1.4750609875211327</v>
      </c>
    </row>
    <row r="231" spans="3:10">
      <c r="C231" s="4">
        <f t="shared" si="15"/>
        <v>0.10500000000000398</v>
      </c>
      <c r="J231" s="5">
        <f t="shared" si="14"/>
        <v>-1.4280207897143167</v>
      </c>
    </row>
    <row r="232" spans="3:10">
      <c r="C232" s="4">
        <f t="shared" si="15"/>
        <v>-0.89499999999999602</v>
      </c>
      <c r="J232" s="5">
        <f t="shared" si="14"/>
        <v>-1.3812980573859008</v>
      </c>
    </row>
    <row r="233" spans="3:10">
      <c r="C233" s="4">
        <f t="shared" si="15"/>
        <v>-1.894999999999996</v>
      </c>
      <c r="J233" s="5">
        <f t="shared" si="14"/>
        <v>-1.3348919764558849</v>
      </c>
    </row>
    <row r="234" spans="3:10">
      <c r="C234" s="4">
        <f t="shared" si="15"/>
        <v>-2.894999999999996</v>
      </c>
      <c r="J234" s="5">
        <f t="shared" si="14"/>
        <v>-1.2888017328442687</v>
      </c>
    </row>
    <row r="235" spans="3:10">
      <c r="C235" s="4">
        <f t="shared" si="15"/>
        <v>-3.894999999999996</v>
      </c>
      <c r="J235" s="5">
        <f t="shared" si="14"/>
        <v>-1.2430265124710527</v>
      </c>
    </row>
    <row r="236" spans="3:10">
      <c r="C236" s="4">
        <f t="shared" si="15"/>
        <v>-4.894999999999996</v>
      </c>
      <c r="J236" s="5">
        <f t="shared" ref="J236:J299" si="16">$Q$2*$C236^3+$P$2*$C236^2+$O$2*$C236+$N$2</f>
        <v>-1.1975655012562367</v>
      </c>
    </row>
    <row r="237" spans="3:10">
      <c r="C237" s="4">
        <f t="shared" ref="C237:C300" si="17">C236-1</f>
        <v>-5.894999999999996</v>
      </c>
      <c r="J237" s="5">
        <f t="shared" si="16"/>
        <v>-1.1524178851198208</v>
      </c>
    </row>
    <row r="238" spans="3:10">
      <c r="C238" s="4">
        <f t="shared" si="17"/>
        <v>-6.894999999999996</v>
      </c>
      <c r="J238" s="5">
        <f t="shared" si="16"/>
        <v>-1.1075828499818048</v>
      </c>
    </row>
    <row r="239" spans="3:10">
      <c r="C239" s="4">
        <f t="shared" si="17"/>
        <v>-7.894999999999996</v>
      </c>
      <c r="J239" s="5">
        <f t="shared" si="16"/>
        <v>-1.0630595817621888</v>
      </c>
    </row>
    <row r="240" spans="3:10">
      <c r="C240" s="4">
        <f t="shared" si="17"/>
        <v>-8.894999999999996</v>
      </c>
      <c r="J240" s="5">
        <f t="shared" si="16"/>
        <v>-1.0188472663809729</v>
      </c>
    </row>
    <row r="241" spans="3:10">
      <c r="C241" s="4">
        <f t="shared" si="17"/>
        <v>-9.894999999999996</v>
      </c>
      <c r="J241" s="5">
        <f t="shared" si="16"/>
        <v>-0.97494508975815686</v>
      </c>
    </row>
    <row r="242" spans="3:10">
      <c r="C242" s="4">
        <f t="shared" si="17"/>
        <v>-10.894999999999996</v>
      </c>
      <c r="J242" s="5">
        <f t="shared" si="16"/>
        <v>-0.93135223781374077</v>
      </c>
    </row>
    <row r="243" spans="3:10">
      <c r="C243" s="4">
        <f t="shared" si="17"/>
        <v>-11.894999999999996</v>
      </c>
      <c r="J243" s="5">
        <f t="shared" si="16"/>
        <v>-0.88806789646772477</v>
      </c>
    </row>
    <row r="244" spans="3:10">
      <c r="C244" s="4">
        <f t="shared" si="17"/>
        <v>-12.894999999999996</v>
      </c>
      <c r="J244" s="5">
        <f t="shared" si="16"/>
        <v>-0.84509125164010879</v>
      </c>
    </row>
    <row r="245" spans="3:10">
      <c r="C245" s="4">
        <f t="shared" si="17"/>
        <v>-13.894999999999996</v>
      </c>
      <c r="J245" s="5">
        <f t="shared" si="16"/>
        <v>-0.80242148925089274</v>
      </c>
    </row>
    <row r="246" spans="3:10">
      <c r="C246" s="4">
        <f t="shared" si="17"/>
        <v>-14.894999999999996</v>
      </c>
      <c r="J246" s="5">
        <f t="shared" si="16"/>
        <v>-0.76005779522007677</v>
      </c>
    </row>
    <row r="247" spans="3:10">
      <c r="C247" s="4">
        <f t="shared" si="17"/>
        <v>-15.894999999999996</v>
      </c>
      <c r="J247" s="5">
        <f t="shared" si="16"/>
        <v>-0.7179993554676608</v>
      </c>
    </row>
    <row r="248" spans="3:10">
      <c r="C248" s="4">
        <f t="shared" si="17"/>
        <v>-16.894999999999996</v>
      </c>
      <c r="J248" s="5">
        <f t="shared" si="16"/>
        <v>-0.67624535591364476</v>
      </c>
    </row>
    <row r="249" spans="3:10">
      <c r="C249" s="4">
        <f t="shared" si="17"/>
        <v>-17.894999999999996</v>
      </c>
      <c r="J249" s="5">
        <f t="shared" si="16"/>
        <v>-0.63479498247802879</v>
      </c>
    </row>
    <row r="250" spans="3:10">
      <c r="C250" s="4">
        <f t="shared" si="17"/>
        <v>-18.894999999999996</v>
      </c>
      <c r="J250" s="5">
        <f t="shared" si="16"/>
        <v>-0.5936474210808127</v>
      </c>
    </row>
    <row r="251" spans="3:10">
      <c r="C251" s="4">
        <f t="shared" si="17"/>
        <v>-19.894999999999996</v>
      </c>
      <c r="J251" s="5">
        <f t="shared" si="16"/>
        <v>-0.55280185764199674</v>
      </c>
    </row>
    <row r="252" spans="3:10">
      <c r="C252" s="4">
        <f t="shared" si="17"/>
        <v>-20.894999999999996</v>
      </c>
      <c r="J252" s="5">
        <f t="shared" si="16"/>
        <v>-0.51225747808158073</v>
      </c>
    </row>
    <row r="253" spans="3:10">
      <c r="C253" s="4">
        <f t="shared" si="17"/>
        <v>-21.894999999999996</v>
      </c>
      <c r="J253" s="5">
        <f t="shared" si="16"/>
        <v>-0.4720134683195647</v>
      </c>
    </row>
    <row r="254" spans="3:10">
      <c r="C254" s="4">
        <f t="shared" si="17"/>
        <v>-22.894999999999996</v>
      </c>
      <c r="J254" s="5">
        <f t="shared" si="16"/>
        <v>-0.43206901427594868</v>
      </c>
    </row>
    <row r="255" spans="3:10">
      <c r="C255" s="4">
        <f t="shared" si="17"/>
        <v>-23.894999999999996</v>
      </c>
      <c r="J255" s="5">
        <f t="shared" si="16"/>
        <v>-0.3924233018707326</v>
      </c>
    </row>
    <row r="256" spans="3:10">
      <c r="C256" s="4">
        <f t="shared" si="17"/>
        <v>-24.894999999999996</v>
      </c>
      <c r="J256" s="5">
        <f t="shared" si="16"/>
        <v>-0.3530755170239166</v>
      </c>
    </row>
    <row r="257" spans="3:10">
      <c r="C257" s="4">
        <f t="shared" si="17"/>
        <v>-25.894999999999996</v>
      </c>
      <c r="J257" s="5">
        <f t="shared" si="16"/>
        <v>-0.3140248456555006</v>
      </c>
    </row>
    <row r="258" spans="3:10">
      <c r="C258" s="4">
        <f t="shared" si="17"/>
        <v>-26.894999999999996</v>
      </c>
      <c r="J258" s="5">
        <f t="shared" si="16"/>
        <v>-0.27527047368548474</v>
      </c>
    </row>
    <row r="259" spans="3:10">
      <c r="C259" s="4">
        <f t="shared" si="17"/>
        <v>-27.894999999999996</v>
      </c>
      <c r="J259" s="5">
        <f t="shared" si="16"/>
        <v>-0.23681158703386873</v>
      </c>
    </row>
    <row r="260" spans="3:10">
      <c r="C260" s="4">
        <f t="shared" si="17"/>
        <v>-28.894999999999996</v>
      </c>
      <c r="J260" s="5">
        <f t="shared" si="16"/>
        <v>-0.19864737162065249</v>
      </c>
    </row>
    <row r="261" spans="3:10">
      <c r="C261" s="4">
        <f t="shared" si="17"/>
        <v>-29.894999999999996</v>
      </c>
      <c r="J261" s="5">
        <f t="shared" si="16"/>
        <v>-0.16077701336583661</v>
      </c>
    </row>
    <row r="262" spans="3:10">
      <c r="C262" s="4">
        <f t="shared" si="17"/>
        <v>-30.894999999999996</v>
      </c>
      <c r="J262" s="5">
        <f t="shared" si="16"/>
        <v>-0.12319969818942056</v>
      </c>
    </row>
    <row r="263" spans="3:10">
      <c r="C263" s="4">
        <f t="shared" si="17"/>
        <v>-31.894999999999996</v>
      </c>
      <c r="J263" s="5">
        <f t="shared" si="16"/>
        <v>-8.5914612011404712E-2</v>
      </c>
    </row>
    <row r="264" spans="3:10">
      <c r="C264" s="4">
        <f t="shared" si="17"/>
        <v>-32.894999999999996</v>
      </c>
      <c r="J264" s="5">
        <f t="shared" si="16"/>
        <v>-4.8920940751788544E-2</v>
      </c>
    </row>
    <row r="265" spans="3:10">
      <c r="C265" s="4">
        <f t="shared" si="17"/>
        <v>-33.894999999999996</v>
      </c>
      <c r="J265" s="5">
        <f t="shared" si="16"/>
        <v>-1.2217870330572644E-2</v>
      </c>
    </row>
    <row r="266" spans="3:10">
      <c r="C266" s="4">
        <f t="shared" si="17"/>
        <v>-34.894999999999996</v>
      </c>
      <c r="J266" s="5">
        <f t="shared" si="16"/>
        <v>2.4195413332243509E-2</v>
      </c>
    </row>
    <row r="267" spans="3:10">
      <c r="C267" s="4">
        <f t="shared" si="17"/>
        <v>-35.894999999999996</v>
      </c>
      <c r="J267" s="5">
        <f t="shared" si="16"/>
        <v>6.0319724316659329E-2</v>
      </c>
    </row>
    <row r="268" spans="3:10">
      <c r="C268" s="4">
        <f t="shared" si="17"/>
        <v>-36.894999999999996</v>
      </c>
      <c r="J268" s="5">
        <f t="shared" si="16"/>
        <v>9.6155876702675336E-2</v>
      </c>
    </row>
    <row r="269" spans="3:10">
      <c r="C269" s="4">
        <f t="shared" si="17"/>
        <v>-37.894999999999996</v>
      </c>
      <c r="J269" s="5">
        <f t="shared" si="16"/>
        <v>0.13170468457029139</v>
      </c>
    </row>
    <row r="270" spans="3:10">
      <c r="C270" s="4">
        <f t="shared" si="17"/>
        <v>-38.894999999999996</v>
      </c>
      <c r="J270" s="5">
        <f t="shared" si="16"/>
        <v>0.16696696199950734</v>
      </c>
    </row>
    <row r="271" spans="3:10">
      <c r="C271" s="4">
        <f t="shared" si="17"/>
        <v>-39.894999999999996</v>
      </c>
      <c r="J271" s="5">
        <f t="shared" si="16"/>
        <v>0.20194352307032348</v>
      </c>
    </row>
    <row r="272" spans="3:10">
      <c r="C272" s="4">
        <f t="shared" si="17"/>
        <v>-40.894999999999996</v>
      </c>
      <c r="J272" s="5">
        <f t="shared" si="16"/>
        <v>0.23663518186273946</v>
      </c>
    </row>
    <row r="273" spans="3:10">
      <c r="C273" s="4">
        <f t="shared" si="17"/>
        <v>-41.894999999999996</v>
      </c>
      <c r="J273" s="5">
        <f t="shared" si="16"/>
        <v>0.27104275245675535</v>
      </c>
    </row>
    <row r="274" spans="3:10">
      <c r="C274" s="4">
        <f t="shared" si="17"/>
        <v>-42.894999999999996</v>
      </c>
      <c r="J274" s="5">
        <f t="shared" si="16"/>
        <v>0.30516704893237145</v>
      </c>
    </row>
    <row r="275" spans="3:10">
      <c r="C275" s="4">
        <f t="shared" si="17"/>
        <v>-43.894999999999996</v>
      </c>
      <c r="J275" s="5">
        <f t="shared" si="16"/>
        <v>0.33900888536958718</v>
      </c>
    </row>
    <row r="276" spans="3:10">
      <c r="C276" s="4">
        <f t="shared" si="17"/>
        <v>-44.894999999999996</v>
      </c>
      <c r="J276" s="5">
        <f t="shared" si="16"/>
        <v>0.37256907584840349</v>
      </c>
    </row>
    <row r="277" spans="3:10">
      <c r="C277" s="4">
        <f t="shared" si="17"/>
        <v>-45.894999999999996</v>
      </c>
      <c r="J277" s="5">
        <f t="shared" si="16"/>
        <v>0.40584843444881913</v>
      </c>
    </row>
    <row r="278" spans="3:10">
      <c r="C278" s="4">
        <f t="shared" si="17"/>
        <v>-46.894999999999996</v>
      </c>
      <c r="J278" s="5">
        <f t="shared" si="16"/>
        <v>0.43884777525083551</v>
      </c>
    </row>
    <row r="279" spans="3:10">
      <c r="C279" s="4">
        <f t="shared" si="17"/>
        <v>-47.894999999999996</v>
      </c>
      <c r="J279" s="5">
        <f t="shared" si="16"/>
        <v>0.47156791233445117</v>
      </c>
    </row>
    <row r="280" spans="3:10">
      <c r="C280" s="4">
        <f t="shared" si="17"/>
        <v>-48.894999999999996</v>
      </c>
      <c r="J280" s="5">
        <f t="shared" si="16"/>
        <v>0.5040096597796675</v>
      </c>
    </row>
    <row r="281" spans="3:10">
      <c r="C281" s="4">
        <f t="shared" si="17"/>
        <v>-49.894999999999996</v>
      </c>
      <c r="J281" s="5">
        <f t="shared" si="16"/>
        <v>0.53617383166648325</v>
      </c>
    </row>
    <row r="282" spans="3:10">
      <c r="C282" s="4">
        <f t="shared" si="17"/>
        <v>-50.894999999999996</v>
      </c>
      <c r="J282" s="5">
        <f t="shared" si="16"/>
        <v>0.56806124207489939</v>
      </c>
    </row>
    <row r="283" spans="3:10">
      <c r="C283" s="4">
        <f t="shared" si="17"/>
        <v>-51.894999999999996</v>
      </c>
      <c r="J283" s="5">
        <f t="shared" si="16"/>
        <v>0.5996727050849151</v>
      </c>
    </row>
    <row r="284" spans="3:10">
      <c r="C284" s="4">
        <f t="shared" si="17"/>
        <v>-52.894999999999996</v>
      </c>
      <c r="J284" s="5">
        <f t="shared" si="16"/>
        <v>0.63100903477653136</v>
      </c>
    </row>
    <row r="285" spans="3:10">
      <c r="C285" s="4">
        <f t="shared" si="17"/>
        <v>-53.894999999999996</v>
      </c>
      <c r="J285" s="5">
        <f t="shared" si="16"/>
        <v>0.66207104522974736</v>
      </c>
    </row>
    <row r="286" spans="3:10">
      <c r="C286" s="4">
        <f t="shared" si="17"/>
        <v>-54.894999999999996</v>
      </c>
      <c r="J286" s="5">
        <f t="shared" si="16"/>
        <v>0.69285955052456338</v>
      </c>
    </row>
    <row r="287" spans="3:10">
      <c r="C287" s="4">
        <f t="shared" si="17"/>
        <v>-55.894999999999996</v>
      </c>
      <c r="J287" s="5">
        <f t="shared" si="16"/>
        <v>0.7233753647409793</v>
      </c>
    </row>
    <row r="288" spans="3:10">
      <c r="C288" s="4">
        <f t="shared" si="17"/>
        <v>-56.894999999999996</v>
      </c>
      <c r="J288" s="5">
        <f t="shared" si="16"/>
        <v>0.7536193019589954</v>
      </c>
    </row>
    <row r="289" spans="3:10">
      <c r="C289" s="4">
        <f t="shared" si="17"/>
        <v>-57.894999999999996</v>
      </c>
      <c r="J289" s="5">
        <f t="shared" si="16"/>
        <v>0.78359217625861111</v>
      </c>
    </row>
    <row r="290" spans="3:10">
      <c r="C290" s="4">
        <f t="shared" si="17"/>
        <v>-58.894999999999996</v>
      </c>
      <c r="J290" s="5">
        <f t="shared" si="16"/>
        <v>0.8132948017198276</v>
      </c>
    </row>
    <row r="291" spans="3:10">
      <c r="C291" s="4">
        <f t="shared" si="17"/>
        <v>-59.894999999999996</v>
      </c>
      <c r="J291" s="5">
        <f t="shared" si="16"/>
        <v>0.8427279924226434</v>
      </c>
    </row>
    <row r="292" spans="3:10">
      <c r="C292" s="4">
        <f t="shared" si="17"/>
        <v>-60.894999999999996</v>
      </c>
      <c r="J292" s="5">
        <f t="shared" si="16"/>
        <v>0.87189256244705926</v>
      </c>
    </row>
    <row r="293" spans="3:10">
      <c r="C293" s="4">
        <f t="shared" si="17"/>
        <v>-61.894999999999996</v>
      </c>
      <c r="J293" s="5">
        <f t="shared" si="16"/>
        <v>0.90078932587307547</v>
      </c>
    </row>
    <row r="294" spans="3:10">
      <c r="C294" s="4">
        <f t="shared" si="17"/>
        <v>-62.894999999999996</v>
      </c>
      <c r="J294" s="5">
        <f t="shared" si="16"/>
        <v>0.92941909678069146</v>
      </c>
    </row>
    <row r="295" spans="3:10">
      <c r="C295" s="4">
        <f t="shared" si="17"/>
        <v>-63.894999999999996</v>
      </c>
      <c r="J295" s="5">
        <f t="shared" si="16"/>
        <v>0.9577826892499075</v>
      </c>
    </row>
    <row r="296" spans="3:10">
      <c r="C296" s="4">
        <f t="shared" si="17"/>
        <v>-64.894999999999996</v>
      </c>
      <c r="J296" s="5">
        <f t="shared" si="16"/>
        <v>0.98588091736072347</v>
      </c>
    </row>
    <row r="297" spans="3:10">
      <c r="C297" s="4">
        <f t="shared" si="17"/>
        <v>-65.894999999999996</v>
      </c>
      <c r="J297" s="5">
        <f t="shared" si="16"/>
        <v>1.0137145951931392</v>
      </c>
    </row>
    <row r="298" spans="3:10">
      <c r="C298" s="4">
        <f t="shared" si="17"/>
        <v>-66.894999999999996</v>
      </c>
      <c r="J298" s="5">
        <f t="shared" si="16"/>
        <v>1.0412845368271555</v>
      </c>
    </row>
    <row r="299" spans="3:10">
      <c r="C299" s="4">
        <f t="shared" si="17"/>
        <v>-67.894999999999996</v>
      </c>
      <c r="J299" s="5">
        <f t="shared" si="16"/>
        <v>1.0685915563427713</v>
      </c>
    </row>
    <row r="300" spans="3:10">
      <c r="C300" s="4">
        <f t="shared" si="17"/>
        <v>-68.894999999999996</v>
      </c>
      <c r="J300" s="5">
        <f t="shared" ref="J300:J363" si="18">$Q$2*$C300^3+$P$2*$C300^2+$O$2*$C300+$N$2</f>
        <v>1.0956364678199877</v>
      </c>
    </row>
    <row r="301" spans="3:10">
      <c r="C301" s="4">
        <f t="shared" ref="C301:C364" si="19">C300-1</f>
        <v>-69.894999999999996</v>
      </c>
      <c r="J301" s="5">
        <f t="shared" si="18"/>
        <v>1.1224200853388033</v>
      </c>
    </row>
    <row r="302" spans="3:10">
      <c r="C302" s="4">
        <f t="shared" si="19"/>
        <v>-70.894999999999996</v>
      </c>
      <c r="J302" s="5">
        <f t="shared" si="18"/>
        <v>1.1489432229792198</v>
      </c>
    </row>
    <row r="303" spans="3:10">
      <c r="C303" s="4">
        <f t="shared" si="19"/>
        <v>-71.894999999999996</v>
      </c>
      <c r="J303" s="5">
        <f t="shared" si="18"/>
        <v>1.1752066948212352</v>
      </c>
    </row>
    <row r="304" spans="3:10">
      <c r="C304" s="4">
        <f t="shared" si="19"/>
        <v>-72.894999999999996</v>
      </c>
      <c r="J304" s="5">
        <f t="shared" si="18"/>
        <v>1.2012113149448516</v>
      </c>
    </row>
    <row r="305" spans="3:10">
      <c r="C305" s="4">
        <f t="shared" si="19"/>
        <v>-73.894999999999996</v>
      </c>
      <c r="J305" s="5">
        <f t="shared" si="18"/>
        <v>1.2269578974300674</v>
      </c>
    </row>
    <row r="306" spans="3:10">
      <c r="C306" s="4">
        <f t="shared" si="19"/>
        <v>-74.894999999999996</v>
      </c>
      <c r="J306" s="5">
        <f t="shared" si="18"/>
        <v>1.2524472563568836</v>
      </c>
    </row>
    <row r="307" spans="3:10">
      <c r="C307" s="4">
        <f t="shared" si="19"/>
        <v>-75.894999999999996</v>
      </c>
      <c r="J307" s="5">
        <f t="shared" si="18"/>
        <v>1.2776802058052994</v>
      </c>
    </row>
    <row r="308" spans="3:10">
      <c r="C308" s="4">
        <f t="shared" si="19"/>
        <v>-76.894999999999996</v>
      </c>
      <c r="J308" s="5">
        <f t="shared" si="18"/>
        <v>1.3026575598553156</v>
      </c>
    </row>
    <row r="309" spans="3:10">
      <c r="C309" s="4">
        <f t="shared" si="19"/>
        <v>-77.894999999999996</v>
      </c>
      <c r="J309" s="5">
        <f t="shared" si="18"/>
        <v>1.3273801325869312</v>
      </c>
    </row>
    <row r="310" spans="3:10">
      <c r="C310" s="4">
        <f t="shared" si="19"/>
        <v>-78.894999999999996</v>
      </c>
      <c r="J310" s="5">
        <f t="shared" si="18"/>
        <v>1.3518487380801474</v>
      </c>
    </row>
    <row r="311" spans="3:10">
      <c r="C311" s="4">
        <f t="shared" si="19"/>
        <v>-79.894999999999996</v>
      </c>
      <c r="J311" s="5">
        <f t="shared" si="18"/>
        <v>1.3760641904149635</v>
      </c>
    </row>
    <row r="312" spans="3:10">
      <c r="C312" s="4">
        <f t="shared" si="19"/>
        <v>-80.894999999999996</v>
      </c>
      <c r="J312" s="5">
        <f t="shared" si="18"/>
        <v>1.4000273036713795</v>
      </c>
    </row>
    <row r="313" spans="3:10">
      <c r="C313" s="4">
        <f t="shared" si="19"/>
        <v>-81.894999999999996</v>
      </c>
      <c r="J313" s="5">
        <f t="shared" si="18"/>
        <v>1.4237388919293952</v>
      </c>
    </row>
    <row r="314" spans="3:10">
      <c r="C314" s="4">
        <f t="shared" si="19"/>
        <v>-82.894999999999996</v>
      </c>
      <c r="J314" s="5">
        <f t="shared" si="18"/>
        <v>1.4471997692690113</v>
      </c>
    </row>
    <row r="315" spans="3:10">
      <c r="C315" s="4">
        <f t="shared" si="19"/>
        <v>-83.894999999999996</v>
      </c>
      <c r="J315" s="5">
        <f t="shared" si="18"/>
        <v>1.4704107497702272</v>
      </c>
    </row>
    <row r="316" spans="3:10">
      <c r="C316" s="4">
        <f t="shared" si="19"/>
        <v>-84.894999999999996</v>
      </c>
      <c r="J316" s="5">
        <f t="shared" si="18"/>
        <v>1.4933726475130438</v>
      </c>
    </row>
    <row r="317" spans="3:10">
      <c r="C317" s="4">
        <f t="shared" si="19"/>
        <v>-85.894999999999996</v>
      </c>
      <c r="J317" s="5">
        <f t="shared" si="18"/>
        <v>1.516086276577459</v>
      </c>
    </row>
    <row r="318" spans="3:10">
      <c r="C318" s="4">
        <f t="shared" si="19"/>
        <v>-86.894999999999996</v>
      </c>
      <c r="J318" s="5">
        <f t="shared" si="18"/>
        <v>1.5385524510434754</v>
      </c>
    </row>
    <row r="319" spans="3:10">
      <c r="C319" s="4">
        <f t="shared" si="19"/>
        <v>-87.894999999999996</v>
      </c>
      <c r="J319" s="5">
        <f t="shared" si="18"/>
        <v>1.5607719849910919</v>
      </c>
    </row>
    <row r="320" spans="3:10">
      <c r="C320" s="4">
        <f t="shared" si="19"/>
        <v>-88.894999999999996</v>
      </c>
      <c r="J320" s="5">
        <f t="shared" si="18"/>
        <v>1.5827456925003076</v>
      </c>
    </row>
    <row r="321" spans="3:10">
      <c r="C321" s="4">
        <f t="shared" si="19"/>
        <v>-89.894999999999996</v>
      </c>
      <c r="J321" s="5">
        <f t="shared" si="18"/>
        <v>1.6044743876511232</v>
      </c>
    </row>
    <row r="322" spans="3:10">
      <c r="C322" s="4">
        <f t="shared" si="19"/>
        <v>-90.894999999999996</v>
      </c>
      <c r="J322" s="5">
        <f t="shared" si="18"/>
        <v>1.6259588845235393</v>
      </c>
    </row>
    <row r="323" spans="3:10">
      <c r="C323" s="4">
        <f t="shared" si="19"/>
        <v>-91.894999999999996</v>
      </c>
      <c r="J323" s="5">
        <f t="shared" si="18"/>
        <v>1.6471999971975559</v>
      </c>
    </row>
    <row r="324" spans="3:10">
      <c r="C324" s="4">
        <f t="shared" si="19"/>
        <v>-92.894999999999996</v>
      </c>
      <c r="J324" s="5">
        <f t="shared" si="18"/>
        <v>1.6681985397531716</v>
      </c>
    </row>
    <row r="325" spans="3:10">
      <c r="C325" s="4">
        <f t="shared" si="19"/>
        <v>-93.894999999999996</v>
      </c>
      <c r="J325" s="5">
        <f t="shared" si="18"/>
        <v>1.6889553262703874</v>
      </c>
    </row>
    <row r="326" spans="3:10">
      <c r="C326" s="4">
        <f t="shared" si="19"/>
        <v>-94.894999999999996</v>
      </c>
      <c r="J326" s="5">
        <f t="shared" si="18"/>
        <v>1.7094711708292032</v>
      </c>
    </row>
    <row r="327" spans="3:10">
      <c r="C327" s="4">
        <f t="shared" si="19"/>
        <v>-95.894999999999996</v>
      </c>
      <c r="J327" s="5">
        <f t="shared" si="18"/>
        <v>1.7297468875096198</v>
      </c>
    </row>
    <row r="328" spans="3:10">
      <c r="C328" s="4">
        <f t="shared" si="19"/>
        <v>-96.894999999999996</v>
      </c>
      <c r="J328" s="5">
        <f t="shared" si="18"/>
        <v>1.7497832903916357</v>
      </c>
    </row>
    <row r="329" spans="3:10">
      <c r="C329" s="4">
        <f t="shared" si="19"/>
        <v>-97.894999999999996</v>
      </c>
      <c r="J329" s="5">
        <f t="shared" si="18"/>
        <v>1.7695811935552512</v>
      </c>
    </row>
    <row r="330" spans="3:10">
      <c r="C330" s="4">
        <f t="shared" si="19"/>
        <v>-98.894999999999996</v>
      </c>
      <c r="J330" s="5">
        <f t="shared" si="18"/>
        <v>1.7891414110804671</v>
      </c>
    </row>
    <row r="331" spans="3:10">
      <c r="C331" s="4">
        <f t="shared" si="19"/>
        <v>-99.894999999999996</v>
      </c>
      <c r="J331" s="5">
        <f t="shared" si="18"/>
        <v>1.8084647570472836</v>
      </c>
    </row>
    <row r="332" spans="3:10">
      <c r="C332" s="4">
        <f t="shared" si="19"/>
        <v>-100.895</v>
      </c>
      <c r="J332" s="5">
        <f t="shared" si="18"/>
        <v>1.8275520455356997</v>
      </c>
    </row>
    <row r="333" spans="3:10">
      <c r="C333" s="4">
        <f t="shared" si="19"/>
        <v>-101.895</v>
      </c>
      <c r="J333" s="5">
        <f t="shared" si="18"/>
        <v>1.8464040906257153</v>
      </c>
    </row>
    <row r="334" spans="3:10">
      <c r="C334" s="4">
        <f t="shared" si="19"/>
        <v>-102.895</v>
      </c>
      <c r="J334" s="5">
        <f t="shared" si="18"/>
        <v>1.8650217063973311</v>
      </c>
    </row>
    <row r="335" spans="3:10">
      <c r="C335" s="4">
        <f t="shared" si="19"/>
        <v>-103.895</v>
      </c>
      <c r="J335" s="5">
        <f t="shared" si="18"/>
        <v>1.8834057069305479</v>
      </c>
    </row>
    <row r="336" spans="3:10">
      <c r="C336" s="4">
        <f t="shared" si="19"/>
        <v>-104.895</v>
      </c>
      <c r="J336" s="5">
        <f t="shared" si="18"/>
        <v>1.9015569063053637</v>
      </c>
    </row>
    <row r="337" spans="3:10">
      <c r="C337" s="4">
        <f t="shared" si="19"/>
        <v>-105.895</v>
      </c>
      <c r="J337" s="5">
        <f t="shared" si="18"/>
        <v>1.9194761186017792</v>
      </c>
    </row>
    <row r="338" spans="3:10">
      <c r="C338" s="4">
        <f t="shared" si="19"/>
        <v>-106.895</v>
      </c>
      <c r="J338" s="5">
        <f t="shared" si="18"/>
        <v>1.9371641578997953</v>
      </c>
    </row>
    <row r="339" spans="3:10">
      <c r="C339" s="4">
        <f t="shared" si="19"/>
        <v>-107.895</v>
      </c>
      <c r="J339" s="5">
        <f t="shared" si="18"/>
        <v>1.9546218382794118</v>
      </c>
    </row>
    <row r="340" spans="3:10">
      <c r="C340" s="4">
        <f t="shared" si="19"/>
        <v>-108.895</v>
      </c>
      <c r="J340" s="5">
        <f t="shared" si="18"/>
        <v>1.9718499738206277</v>
      </c>
    </row>
    <row r="341" spans="3:10">
      <c r="C341" s="4">
        <f t="shared" si="19"/>
        <v>-109.895</v>
      </c>
      <c r="J341" s="5">
        <f t="shared" si="18"/>
        <v>1.9888493786034436</v>
      </c>
    </row>
    <row r="342" spans="3:10">
      <c r="C342" s="4">
        <f t="shared" si="19"/>
        <v>-110.895</v>
      </c>
      <c r="J342" s="5">
        <f t="shared" si="18"/>
        <v>2.0056208667078597</v>
      </c>
    </row>
    <row r="343" spans="3:10">
      <c r="C343" s="4">
        <f t="shared" si="19"/>
        <v>-111.895</v>
      </c>
      <c r="J343" s="5">
        <f t="shared" si="18"/>
        <v>2.0221652522138758</v>
      </c>
    </row>
    <row r="344" spans="3:10">
      <c r="C344" s="4">
        <f t="shared" si="19"/>
        <v>-112.895</v>
      </c>
      <c r="J344" s="5">
        <f t="shared" si="18"/>
        <v>2.038483349201492</v>
      </c>
    </row>
    <row r="345" spans="3:10">
      <c r="C345" s="4">
        <f t="shared" si="19"/>
        <v>-113.895</v>
      </c>
      <c r="J345" s="5">
        <f t="shared" si="18"/>
        <v>2.0545759717507073</v>
      </c>
    </row>
    <row r="346" spans="3:10">
      <c r="C346" s="4">
        <f t="shared" si="19"/>
        <v>-114.895</v>
      </c>
      <c r="J346" s="5">
        <f t="shared" si="18"/>
        <v>2.0704439339415233</v>
      </c>
    </row>
    <row r="347" spans="3:10">
      <c r="C347" s="4">
        <f t="shared" si="19"/>
        <v>-115.895</v>
      </c>
      <c r="J347" s="5">
        <f t="shared" si="18"/>
        <v>2.0860880498539398</v>
      </c>
    </row>
    <row r="348" spans="3:10">
      <c r="C348" s="4">
        <f t="shared" si="19"/>
        <v>-116.895</v>
      </c>
      <c r="J348" s="5">
        <f t="shared" si="18"/>
        <v>2.1015091335679559</v>
      </c>
    </row>
    <row r="349" spans="3:10">
      <c r="C349" s="4">
        <f t="shared" si="19"/>
        <v>-117.895</v>
      </c>
      <c r="J349" s="5">
        <f t="shared" si="18"/>
        <v>2.1167079991635713</v>
      </c>
    </row>
    <row r="350" spans="3:10">
      <c r="C350" s="4">
        <f t="shared" si="19"/>
        <v>-118.895</v>
      </c>
      <c r="J350" s="5">
        <f t="shared" si="18"/>
        <v>2.1316854607207869</v>
      </c>
    </row>
    <row r="351" spans="3:10">
      <c r="C351" s="4">
        <f t="shared" si="19"/>
        <v>-119.895</v>
      </c>
      <c r="J351" s="5">
        <f t="shared" si="18"/>
        <v>2.1464423323196042</v>
      </c>
    </row>
    <row r="352" spans="3:10">
      <c r="C352" s="4">
        <f t="shared" si="19"/>
        <v>-120.895</v>
      </c>
      <c r="J352" s="5">
        <f t="shared" si="18"/>
        <v>2.1609794280400196</v>
      </c>
    </row>
    <row r="353" spans="3:10">
      <c r="C353" s="4">
        <f t="shared" si="19"/>
        <v>-121.895</v>
      </c>
      <c r="J353" s="5">
        <f t="shared" si="18"/>
        <v>2.1752975619620356</v>
      </c>
    </row>
    <row r="354" spans="3:10">
      <c r="C354" s="4">
        <f t="shared" si="19"/>
        <v>-122.895</v>
      </c>
      <c r="J354" s="5">
        <f t="shared" si="18"/>
        <v>2.1893975481656511</v>
      </c>
    </row>
    <row r="355" spans="3:10">
      <c r="C355" s="4">
        <f t="shared" si="19"/>
        <v>-123.895</v>
      </c>
      <c r="J355" s="5">
        <f t="shared" si="18"/>
        <v>2.2032802007308678</v>
      </c>
    </row>
    <row r="356" spans="3:10">
      <c r="C356" s="4">
        <f t="shared" si="19"/>
        <v>-124.895</v>
      </c>
      <c r="J356" s="5">
        <f t="shared" si="18"/>
        <v>2.2169463337376838</v>
      </c>
    </row>
    <row r="357" spans="3:10">
      <c r="C357" s="4">
        <f t="shared" si="19"/>
        <v>-125.895</v>
      </c>
      <c r="J357" s="5">
        <f t="shared" si="18"/>
        <v>2.2303967612660998</v>
      </c>
    </row>
    <row r="358" spans="3:10">
      <c r="C358" s="4">
        <f t="shared" si="19"/>
        <v>-126.895</v>
      </c>
      <c r="J358" s="5">
        <f t="shared" si="18"/>
        <v>2.2436322973961156</v>
      </c>
    </row>
    <row r="359" spans="3:10">
      <c r="C359" s="4">
        <f t="shared" si="19"/>
        <v>-127.895</v>
      </c>
      <c r="J359" s="5">
        <f t="shared" si="18"/>
        <v>2.256653756207732</v>
      </c>
    </row>
    <row r="360" spans="3:10">
      <c r="C360" s="4">
        <f t="shared" si="19"/>
        <v>-128.89499999999998</v>
      </c>
      <c r="J360" s="5">
        <f t="shared" si="18"/>
        <v>2.2694619517809471</v>
      </c>
    </row>
    <row r="361" spans="3:10">
      <c r="C361" s="4">
        <f t="shared" si="19"/>
        <v>-129.89499999999998</v>
      </c>
      <c r="J361" s="5">
        <f t="shared" si="18"/>
        <v>2.2820576981957625</v>
      </c>
    </row>
    <row r="362" spans="3:10">
      <c r="C362" s="4">
        <f t="shared" si="19"/>
        <v>-130.89499999999998</v>
      </c>
      <c r="J362" s="5">
        <f t="shared" si="18"/>
        <v>2.2944418095321799</v>
      </c>
    </row>
    <row r="363" spans="3:10">
      <c r="C363" s="4">
        <f t="shared" si="19"/>
        <v>-131.89499999999998</v>
      </c>
      <c r="J363" s="5">
        <f t="shared" si="18"/>
        <v>2.3066150998701955</v>
      </c>
    </row>
    <row r="364" spans="3:10">
      <c r="C364" s="4">
        <f t="shared" si="19"/>
        <v>-132.89499999999998</v>
      </c>
      <c r="J364" s="5">
        <f t="shared" ref="J364:J427" si="20">$Q$2*$C364^3+$P$2*$C364^2+$O$2*$C364+$N$2</f>
        <v>2.318578383289811</v>
      </c>
    </row>
    <row r="365" spans="3:10">
      <c r="C365" s="4">
        <f t="shared" ref="C365:C428" si="21">C364-1</f>
        <v>-133.89499999999998</v>
      </c>
      <c r="J365" s="5">
        <f t="shared" si="20"/>
        <v>2.3303324738710272</v>
      </c>
    </row>
    <row r="366" spans="3:10">
      <c r="C366" s="4">
        <f t="shared" si="21"/>
        <v>-134.89499999999998</v>
      </c>
      <c r="J366" s="5">
        <f t="shared" si="20"/>
        <v>2.3418781856938446</v>
      </c>
    </row>
    <row r="367" spans="3:10">
      <c r="C367" s="4">
        <f t="shared" si="21"/>
        <v>-135.89499999999998</v>
      </c>
      <c r="J367" s="5">
        <f t="shared" si="20"/>
        <v>2.3532163328382598</v>
      </c>
    </row>
    <row r="368" spans="3:10">
      <c r="C368" s="4">
        <f t="shared" si="21"/>
        <v>-136.89499999999998</v>
      </c>
      <c r="J368" s="5">
        <f t="shared" si="20"/>
        <v>2.3643477293842752</v>
      </c>
    </row>
    <row r="369" spans="3:10">
      <c r="C369" s="4">
        <f t="shared" si="21"/>
        <v>-137.89499999999998</v>
      </c>
      <c r="J369" s="5">
        <f t="shared" si="20"/>
        <v>2.3752731894118915</v>
      </c>
    </row>
    <row r="370" spans="3:10">
      <c r="C370" s="4">
        <f t="shared" si="21"/>
        <v>-138.89499999999998</v>
      </c>
      <c r="J370" s="5">
        <f t="shared" si="20"/>
        <v>2.3859935270011086</v>
      </c>
    </row>
    <row r="371" spans="3:10">
      <c r="C371" s="4">
        <f t="shared" si="21"/>
        <v>-139.89499999999998</v>
      </c>
      <c r="J371" s="5">
        <f t="shared" si="20"/>
        <v>2.3965095562319236</v>
      </c>
    </row>
    <row r="372" spans="3:10">
      <c r="C372" s="4">
        <f t="shared" si="21"/>
        <v>-140.89499999999998</v>
      </c>
      <c r="J372" s="5">
        <f t="shared" si="20"/>
        <v>2.4068220911843392</v>
      </c>
    </row>
    <row r="373" spans="3:10">
      <c r="C373" s="4">
        <f t="shared" si="21"/>
        <v>-141.89499999999998</v>
      </c>
      <c r="J373" s="5">
        <f t="shared" si="20"/>
        <v>2.4169319459383551</v>
      </c>
    </row>
    <row r="374" spans="3:10">
      <c r="C374" s="4">
        <f t="shared" si="21"/>
        <v>-142.89499999999998</v>
      </c>
      <c r="J374" s="5">
        <f t="shared" si="20"/>
        <v>2.4268399345739722</v>
      </c>
    </row>
    <row r="375" spans="3:10">
      <c r="C375" s="4">
        <f t="shared" si="21"/>
        <v>-143.89499999999998</v>
      </c>
      <c r="J375" s="5">
        <f t="shared" si="20"/>
        <v>2.4365468711711875</v>
      </c>
    </row>
    <row r="376" spans="3:10">
      <c r="C376" s="4">
        <f t="shared" si="21"/>
        <v>-144.89499999999998</v>
      </c>
      <c r="J376" s="5">
        <f t="shared" si="20"/>
        <v>2.4460535698100037</v>
      </c>
    </row>
    <row r="377" spans="3:10">
      <c r="C377" s="4">
        <f t="shared" si="21"/>
        <v>-145.89499999999998</v>
      </c>
      <c r="J377" s="5">
        <f t="shared" si="20"/>
        <v>2.4553608445704187</v>
      </c>
    </row>
    <row r="378" spans="3:10">
      <c r="C378" s="4">
        <f t="shared" si="21"/>
        <v>-146.89499999999998</v>
      </c>
      <c r="J378" s="5">
        <f t="shared" si="20"/>
        <v>2.464469509532436</v>
      </c>
    </row>
    <row r="379" spans="3:10">
      <c r="C379" s="4">
        <f t="shared" si="21"/>
        <v>-147.89499999999998</v>
      </c>
      <c r="J379" s="5">
        <f t="shared" si="20"/>
        <v>2.473380378776052</v>
      </c>
    </row>
    <row r="380" spans="3:10">
      <c r="C380" s="4">
        <f t="shared" si="21"/>
        <v>-148.89499999999998</v>
      </c>
      <c r="J380" s="5">
        <f t="shared" si="20"/>
        <v>2.4820942663812673</v>
      </c>
    </row>
    <row r="381" spans="3:10">
      <c r="C381" s="4">
        <f t="shared" si="21"/>
        <v>-149.89499999999998</v>
      </c>
      <c r="J381" s="5">
        <f t="shared" si="20"/>
        <v>2.4906119864280827</v>
      </c>
    </row>
    <row r="382" spans="3:10">
      <c r="C382" s="4">
        <f t="shared" si="21"/>
        <v>-150.89499999999998</v>
      </c>
      <c r="J382" s="5">
        <f t="shared" si="20"/>
        <v>2.4989343529964998</v>
      </c>
    </row>
    <row r="383" spans="3:10">
      <c r="C383" s="4">
        <f t="shared" si="21"/>
        <v>-151.89499999999998</v>
      </c>
      <c r="J383" s="5">
        <f t="shared" si="20"/>
        <v>2.5070621801665158</v>
      </c>
    </row>
    <row r="384" spans="3:10">
      <c r="C384" s="4">
        <f t="shared" si="21"/>
        <v>-152.89499999999998</v>
      </c>
      <c r="J384" s="5">
        <f t="shared" si="20"/>
        <v>2.5149962820181315</v>
      </c>
    </row>
    <row r="385" spans="3:10">
      <c r="C385" s="4">
        <f t="shared" si="21"/>
        <v>-153.89499999999998</v>
      </c>
      <c r="J385" s="5">
        <f t="shared" si="20"/>
        <v>2.5227374726313476</v>
      </c>
    </row>
    <row r="386" spans="3:10">
      <c r="C386" s="4">
        <f t="shared" si="21"/>
        <v>-154.89499999999998</v>
      </c>
      <c r="J386" s="5">
        <f t="shared" si="20"/>
        <v>2.530286566086164</v>
      </c>
    </row>
    <row r="387" spans="3:10">
      <c r="C387" s="4">
        <f t="shared" si="21"/>
        <v>-155.89499999999998</v>
      </c>
      <c r="J387" s="5">
        <f t="shared" si="20"/>
        <v>2.5376443764625796</v>
      </c>
    </row>
    <row r="388" spans="3:10">
      <c r="C388" s="4">
        <f t="shared" si="21"/>
        <v>-156.89499999999998</v>
      </c>
      <c r="J388" s="5">
        <f t="shared" si="20"/>
        <v>2.5448117178405951</v>
      </c>
    </row>
    <row r="389" spans="3:10">
      <c r="C389" s="4">
        <f t="shared" si="21"/>
        <v>-157.89499999999998</v>
      </c>
      <c r="J389" s="5">
        <f t="shared" si="20"/>
        <v>2.5517894043002114</v>
      </c>
    </row>
    <row r="390" spans="3:10">
      <c r="C390" s="4">
        <f t="shared" si="21"/>
        <v>-158.89499999999998</v>
      </c>
      <c r="J390" s="5">
        <f t="shared" si="20"/>
        <v>2.5585782499214282</v>
      </c>
    </row>
    <row r="391" spans="3:10">
      <c r="C391" s="4">
        <f t="shared" si="21"/>
        <v>-159.89499999999998</v>
      </c>
      <c r="J391" s="5">
        <f t="shared" si="20"/>
        <v>2.5651790687842437</v>
      </c>
    </row>
    <row r="392" spans="3:10">
      <c r="C392" s="4">
        <f t="shared" si="21"/>
        <v>-160.89499999999998</v>
      </c>
      <c r="J392" s="5">
        <f t="shared" si="20"/>
        <v>2.5715926749686595</v>
      </c>
    </row>
    <row r="393" spans="3:10">
      <c r="C393" s="4">
        <f t="shared" si="21"/>
        <v>-161.89499999999998</v>
      </c>
      <c r="J393" s="5">
        <f t="shared" si="20"/>
        <v>2.5778198825546754</v>
      </c>
    </row>
    <row r="394" spans="3:10">
      <c r="C394" s="4">
        <f t="shared" si="21"/>
        <v>-162.89499999999998</v>
      </c>
      <c r="J394" s="5">
        <f t="shared" si="20"/>
        <v>2.5838615056222931</v>
      </c>
    </row>
    <row r="395" spans="3:10">
      <c r="C395" s="4">
        <f t="shared" si="21"/>
        <v>-163.89499999999998</v>
      </c>
      <c r="J395" s="5">
        <f t="shared" si="20"/>
        <v>2.589718358251508</v>
      </c>
    </row>
    <row r="396" spans="3:10">
      <c r="C396" s="4">
        <f t="shared" si="21"/>
        <v>-164.89499999999998</v>
      </c>
      <c r="J396" s="5">
        <f t="shared" si="20"/>
        <v>2.5953912545223243</v>
      </c>
    </row>
    <row r="397" spans="3:10">
      <c r="C397" s="4">
        <f t="shared" si="21"/>
        <v>-165.89499999999998</v>
      </c>
      <c r="J397" s="5">
        <f t="shared" si="20"/>
        <v>2.6008810085147394</v>
      </c>
    </row>
    <row r="398" spans="3:10">
      <c r="C398" s="4">
        <f t="shared" si="21"/>
        <v>-166.89499999999998</v>
      </c>
      <c r="J398" s="5">
        <f t="shared" si="20"/>
        <v>2.6061884343087565</v>
      </c>
    </row>
    <row r="399" spans="3:10">
      <c r="C399" s="4">
        <f t="shared" si="21"/>
        <v>-167.89499999999998</v>
      </c>
      <c r="J399" s="5">
        <f t="shared" si="20"/>
        <v>2.611314345984372</v>
      </c>
    </row>
    <row r="400" spans="3:10">
      <c r="C400" s="4">
        <f t="shared" si="21"/>
        <v>-168.89499999999998</v>
      </c>
      <c r="J400" s="5">
        <f t="shared" si="20"/>
        <v>2.6162595576215883</v>
      </c>
    </row>
    <row r="401" spans="3:10">
      <c r="C401" s="4">
        <f t="shared" si="21"/>
        <v>-169.89499999999998</v>
      </c>
      <c r="J401" s="5">
        <f t="shared" si="20"/>
        <v>2.6210248833004037</v>
      </c>
    </row>
    <row r="402" spans="3:10">
      <c r="C402" s="4">
        <f t="shared" si="21"/>
        <v>-170.89499999999998</v>
      </c>
      <c r="J402" s="5">
        <f t="shared" si="20"/>
        <v>2.6256111371008206</v>
      </c>
    </row>
    <row r="403" spans="3:10">
      <c r="C403" s="4">
        <f t="shared" si="21"/>
        <v>-171.89499999999998</v>
      </c>
      <c r="J403" s="5">
        <f t="shared" si="20"/>
        <v>2.6300191331028362</v>
      </c>
    </row>
    <row r="404" spans="3:10">
      <c r="C404" s="4">
        <f t="shared" si="21"/>
        <v>-172.89499999999998</v>
      </c>
      <c r="J404" s="5">
        <f t="shared" si="20"/>
        <v>2.6342496853864521</v>
      </c>
    </row>
    <row r="405" spans="3:10">
      <c r="C405" s="4">
        <f t="shared" si="21"/>
        <v>-173.89499999999998</v>
      </c>
      <c r="J405" s="5">
        <f t="shared" si="20"/>
        <v>2.6383036080316682</v>
      </c>
    </row>
    <row r="406" spans="3:10">
      <c r="C406" s="4">
        <f t="shared" si="21"/>
        <v>-174.89499999999998</v>
      </c>
      <c r="J406" s="5">
        <f t="shared" si="20"/>
        <v>2.6421817151184834</v>
      </c>
    </row>
    <row r="407" spans="3:10">
      <c r="C407" s="4">
        <f t="shared" si="21"/>
        <v>-175.89499999999998</v>
      </c>
      <c r="J407" s="5">
        <f t="shared" si="20"/>
        <v>2.6458848207269003</v>
      </c>
    </row>
    <row r="408" spans="3:10">
      <c r="C408" s="4">
        <f t="shared" si="21"/>
        <v>-176.89499999999998</v>
      </c>
      <c r="J408" s="5">
        <f t="shared" si="20"/>
        <v>2.649413738936917</v>
      </c>
    </row>
    <row r="409" spans="3:10">
      <c r="C409" s="4">
        <f t="shared" si="21"/>
        <v>-177.89499999999998</v>
      </c>
      <c r="J409" s="5">
        <f t="shared" si="20"/>
        <v>2.6527692838285315</v>
      </c>
    </row>
    <row r="410" spans="3:10">
      <c r="C410" s="4">
        <f t="shared" si="21"/>
        <v>-178.89499999999998</v>
      </c>
      <c r="J410" s="5">
        <f t="shared" si="20"/>
        <v>2.6559522694817481</v>
      </c>
    </row>
    <row r="411" spans="3:10">
      <c r="C411" s="4">
        <f t="shared" si="21"/>
        <v>-179.89499999999998</v>
      </c>
      <c r="J411" s="5">
        <f t="shared" si="20"/>
        <v>2.6589635099765641</v>
      </c>
    </row>
    <row r="412" spans="3:10">
      <c r="C412" s="4">
        <f t="shared" si="21"/>
        <v>-180.89499999999998</v>
      </c>
      <c r="J412" s="5">
        <f t="shared" si="20"/>
        <v>2.6618038193929801</v>
      </c>
    </row>
    <row r="413" spans="3:10">
      <c r="C413" s="4">
        <f t="shared" si="21"/>
        <v>-181.89499999999998</v>
      </c>
      <c r="J413" s="5">
        <f t="shared" si="20"/>
        <v>2.6644740118109969</v>
      </c>
    </row>
    <row r="414" spans="3:10">
      <c r="C414" s="4">
        <f t="shared" si="21"/>
        <v>-182.89499999999998</v>
      </c>
      <c r="J414" s="5">
        <f t="shared" si="20"/>
        <v>2.6669749013106117</v>
      </c>
    </row>
    <row r="415" spans="3:10">
      <c r="C415" s="4">
        <f t="shared" si="21"/>
        <v>-183.89499999999998</v>
      </c>
      <c r="J415" s="5">
        <f t="shared" si="20"/>
        <v>2.6693073019718279</v>
      </c>
    </row>
    <row r="416" spans="3:10">
      <c r="C416" s="4">
        <f t="shared" si="21"/>
        <v>-184.89499999999998</v>
      </c>
      <c r="J416" s="5">
        <f t="shared" si="20"/>
        <v>2.6714720278746444</v>
      </c>
    </row>
    <row r="417" spans="3:10">
      <c r="C417" s="4">
        <f t="shared" si="21"/>
        <v>-185.89499999999998</v>
      </c>
      <c r="J417" s="5">
        <f t="shared" si="20"/>
        <v>2.6734698930990595</v>
      </c>
    </row>
    <row r="418" spans="3:10">
      <c r="C418" s="4">
        <f t="shared" si="21"/>
        <v>-186.89499999999998</v>
      </c>
      <c r="J418" s="5">
        <f t="shared" si="20"/>
        <v>2.6753017117250764</v>
      </c>
    </row>
    <row r="419" spans="3:10">
      <c r="C419" s="4">
        <f t="shared" si="21"/>
        <v>-187.89499999999998</v>
      </c>
      <c r="J419" s="5">
        <f t="shared" si="20"/>
        <v>2.6769682978326905</v>
      </c>
    </row>
    <row r="420" spans="3:10">
      <c r="C420" s="4">
        <f t="shared" si="21"/>
        <v>-188.89499999999998</v>
      </c>
      <c r="J420" s="5">
        <f t="shared" si="20"/>
        <v>2.678470465501908</v>
      </c>
    </row>
    <row r="421" spans="3:10">
      <c r="C421" s="4">
        <f t="shared" si="21"/>
        <v>-189.89499999999998</v>
      </c>
      <c r="J421" s="5">
        <f t="shared" si="20"/>
        <v>2.6798090288127252</v>
      </c>
    </row>
    <row r="422" spans="3:10">
      <c r="C422" s="4">
        <f t="shared" si="21"/>
        <v>-190.89499999999998</v>
      </c>
      <c r="J422" s="5">
        <f t="shared" si="20"/>
        <v>2.6809848018451392</v>
      </c>
    </row>
    <row r="423" spans="3:10">
      <c r="C423" s="4">
        <f t="shared" si="21"/>
        <v>-191.89499999999998</v>
      </c>
      <c r="J423" s="5">
        <f t="shared" si="20"/>
        <v>2.6819985986791561</v>
      </c>
    </row>
    <row r="424" spans="3:10">
      <c r="C424" s="4">
        <f t="shared" si="21"/>
        <v>-192.89499999999998</v>
      </c>
      <c r="J424" s="5">
        <f t="shared" si="20"/>
        <v>2.6828512333947732</v>
      </c>
    </row>
    <row r="425" spans="3:10">
      <c r="C425" s="4">
        <f t="shared" si="21"/>
        <v>-193.89499999999998</v>
      </c>
      <c r="J425" s="5">
        <f t="shared" si="20"/>
        <v>2.6835435200719875</v>
      </c>
    </row>
    <row r="426" spans="3:10">
      <c r="C426" s="4">
        <f t="shared" si="21"/>
        <v>-194.89499999999998</v>
      </c>
      <c r="J426" s="5">
        <f t="shared" si="20"/>
        <v>2.6840762727908043</v>
      </c>
    </row>
    <row r="427" spans="3:10">
      <c r="C427" s="4">
        <f t="shared" si="21"/>
        <v>-195.89499999999998</v>
      </c>
      <c r="J427" s="5">
        <f t="shared" si="20"/>
        <v>2.684450305631219</v>
      </c>
    </row>
    <row r="428" spans="3:10">
      <c r="C428" s="4">
        <f t="shared" si="21"/>
        <v>-196.89499999999998</v>
      </c>
      <c r="J428" s="5">
        <f t="shared" ref="J428:J491" si="22">$Q$2*$C428^3+$P$2*$C428^2+$O$2*$C428+$N$2</f>
        <v>2.6846664326732359</v>
      </c>
    </row>
    <row r="429" spans="3:10">
      <c r="C429" s="4">
        <f t="shared" ref="C429:C492" si="23">C428-1</f>
        <v>-197.89499999999998</v>
      </c>
      <c r="J429" s="5">
        <f t="shared" si="22"/>
        <v>2.684725467996854</v>
      </c>
    </row>
    <row r="430" spans="3:10">
      <c r="C430" s="4">
        <f t="shared" si="23"/>
        <v>-198.89499999999998</v>
      </c>
      <c r="J430" s="5">
        <f t="shared" si="22"/>
        <v>2.6846282256820677</v>
      </c>
    </row>
    <row r="431" spans="3:10">
      <c r="C431" s="4">
        <f t="shared" si="23"/>
        <v>-199.89499999999998</v>
      </c>
      <c r="J431" s="5">
        <f t="shared" si="22"/>
        <v>2.684375519808885</v>
      </c>
    </row>
    <row r="432" spans="3:10">
      <c r="C432" s="4">
        <f t="shared" si="23"/>
        <v>-200.89499999999998</v>
      </c>
      <c r="J432" s="5">
        <f t="shared" si="22"/>
        <v>2.6839681644573012</v>
      </c>
    </row>
    <row r="433" spans="3:10">
      <c r="C433" s="4">
        <f t="shared" si="23"/>
        <v>-201.89499999999998</v>
      </c>
      <c r="J433" s="5">
        <f t="shared" si="22"/>
        <v>2.6834069737073163</v>
      </c>
    </row>
    <row r="434" spans="3:10">
      <c r="C434" s="4">
        <f t="shared" si="23"/>
        <v>-202.89499999999998</v>
      </c>
      <c r="J434" s="5">
        <f t="shared" si="22"/>
        <v>2.6826927616389327</v>
      </c>
    </row>
    <row r="435" spans="3:10">
      <c r="C435" s="4">
        <f t="shared" si="23"/>
        <v>-203.89499999999998</v>
      </c>
      <c r="J435" s="5">
        <f t="shared" si="22"/>
        <v>2.6818263423321467</v>
      </c>
    </row>
    <row r="436" spans="3:10">
      <c r="C436" s="4">
        <f t="shared" si="23"/>
        <v>-204.89499999999998</v>
      </c>
      <c r="J436" s="5">
        <f t="shared" si="22"/>
        <v>2.6808085298669653</v>
      </c>
    </row>
    <row r="437" spans="3:10">
      <c r="C437" s="4">
        <f t="shared" si="23"/>
        <v>-205.89499999999998</v>
      </c>
      <c r="J437" s="5">
        <f t="shared" si="22"/>
        <v>2.6796401383233812</v>
      </c>
    </row>
    <row r="438" spans="3:10">
      <c r="C438" s="4">
        <f t="shared" si="23"/>
        <v>-206.89499999999998</v>
      </c>
      <c r="J438" s="5">
        <f t="shared" si="22"/>
        <v>2.6783219817813961</v>
      </c>
    </row>
    <row r="439" spans="3:10">
      <c r="C439" s="4">
        <f t="shared" si="23"/>
        <v>-207.89499999999998</v>
      </c>
      <c r="J439" s="5">
        <f t="shared" si="22"/>
        <v>2.6768548743210125</v>
      </c>
    </row>
    <row r="440" spans="3:10">
      <c r="C440" s="4">
        <f t="shared" si="23"/>
        <v>-208.89499999999998</v>
      </c>
      <c r="J440" s="5">
        <f t="shared" si="22"/>
        <v>2.6752396300222294</v>
      </c>
    </row>
    <row r="441" spans="3:10">
      <c r="C441" s="4">
        <f t="shared" si="23"/>
        <v>-209.89499999999998</v>
      </c>
      <c r="J441" s="5">
        <f t="shared" si="22"/>
        <v>2.6734770629650448</v>
      </c>
    </row>
    <row r="442" spans="3:10">
      <c r="C442" s="4">
        <f t="shared" si="23"/>
        <v>-210.89499999999998</v>
      </c>
      <c r="J442" s="5">
        <f t="shared" si="22"/>
        <v>2.6715679872294604</v>
      </c>
    </row>
    <row r="443" spans="3:10">
      <c r="C443" s="4">
        <f t="shared" si="23"/>
        <v>-211.89499999999998</v>
      </c>
      <c r="J443" s="5">
        <f t="shared" si="22"/>
        <v>2.6695132168954752</v>
      </c>
    </row>
    <row r="444" spans="3:10">
      <c r="C444" s="4">
        <f t="shared" si="23"/>
        <v>-212.89499999999998</v>
      </c>
      <c r="J444" s="5">
        <f t="shared" si="22"/>
        <v>2.6673135660430933</v>
      </c>
    </row>
    <row r="445" spans="3:10">
      <c r="C445" s="4">
        <f t="shared" si="23"/>
        <v>-213.89499999999998</v>
      </c>
      <c r="J445" s="5">
        <f t="shared" si="22"/>
        <v>2.6649698487523095</v>
      </c>
    </row>
    <row r="446" spans="3:10">
      <c r="C446" s="4">
        <f t="shared" si="23"/>
        <v>-214.89499999999998</v>
      </c>
      <c r="J446" s="5">
        <f t="shared" si="22"/>
        <v>2.6624828791031243</v>
      </c>
    </row>
    <row r="447" spans="3:10">
      <c r="C447" s="4">
        <f t="shared" si="23"/>
        <v>-215.89499999999998</v>
      </c>
      <c r="J447" s="5">
        <f t="shared" si="22"/>
        <v>2.6598534711755404</v>
      </c>
    </row>
    <row r="448" spans="3:10">
      <c r="C448" s="4">
        <f t="shared" si="23"/>
        <v>-216.89499999999998</v>
      </c>
      <c r="J448" s="5">
        <f t="shared" si="22"/>
        <v>2.6570824390495575</v>
      </c>
    </row>
    <row r="449" spans="3:10">
      <c r="C449" s="4">
        <f t="shared" si="23"/>
        <v>-217.89499999999998</v>
      </c>
      <c r="J449" s="5">
        <f t="shared" si="22"/>
        <v>2.6541705968051721</v>
      </c>
    </row>
    <row r="450" spans="3:10">
      <c r="C450" s="4">
        <f t="shared" si="23"/>
        <v>-218.89499999999998</v>
      </c>
      <c r="J450" s="5">
        <f t="shared" si="22"/>
        <v>2.6511187585223883</v>
      </c>
    </row>
    <row r="451" spans="3:10">
      <c r="C451" s="4">
        <f t="shared" si="23"/>
        <v>-219.89499999999998</v>
      </c>
      <c r="J451" s="5">
        <f t="shared" si="22"/>
        <v>2.6479277382812034</v>
      </c>
    </row>
    <row r="452" spans="3:10">
      <c r="C452" s="4">
        <f t="shared" si="23"/>
        <v>-220.89499999999998</v>
      </c>
      <c r="J452" s="5">
        <f t="shared" si="22"/>
        <v>2.6445983501616208</v>
      </c>
    </row>
    <row r="453" spans="3:10">
      <c r="C453" s="4">
        <f t="shared" si="23"/>
        <v>-221.89499999999998</v>
      </c>
      <c r="J453" s="5">
        <f t="shared" si="22"/>
        <v>2.6411314082436377</v>
      </c>
    </row>
    <row r="454" spans="3:10">
      <c r="C454" s="4">
        <f t="shared" si="23"/>
        <v>-222.89499999999998</v>
      </c>
      <c r="J454" s="5">
        <f t="shared" si="22"/>
        <v>2.637527726607253</v>
      </c>
    </row>
    <row r="455" spans="3:10">
      <c r="C455" s="4">
        <f t="shared" si="23"/>
        <v>-223.89499999999998</v>
      </c>
      <c r="J455" s="5">
        <f t="shared" si="22"/>
        <v>2.6337881193324693</v>
      </c>
    </row>
    <row r="456" spans="3:10">
      <c r="C456" s="4">
        <f t="shared" si="23"/>
        <v>-224.89499999999998</v>
      </c>
      <c r="J456" s="5">
        <f t="shared" si="22"/>
        <v>2.6299134004992846</v>
      </c>
    </row>
    <row r="457" spans="3:10">
      <c r="C457" s="4">
        <f t="shared" si="23"/>
        <v>-225.89499999999998</v>
      </c>
      <c r="J457" s="5">
        <f t="shared" si="22"/>
        <v>2.6259043841877006</v>
      </c>
    </row>
    <row r="458" spans="3:10">
      <c r="C458" s="4">
        <f t="shared" si="23"/>
        <v>-226.89499999999998</v>
      </c>
      <c r="J458" s="5">
        <f t="shared" si="22"/>
        <v>2.6217618844777171</v>
      </c>
    </row>
    <row r="459" spans="3:10">
      <c r="C459" s="4">
        <f t="shared" si="23"/>
        <v>-227.89499999999998</v>
      </c>
      <c r="J459" s="5">
        <f t="shared" si="22"/>
        <v>2.6174867154493322</v>
      </c>
    </row>
    <row r="460" spans="3:10">
      <c r="C460" s="4">
        <f t="shared" si="23"/>
        <v>-228.89499999999998</v>
      </c>
      <c r="J460" s="5">
        <f t="shared" si="22"/>
        <v>2.6130796911825485</v>
      </c>
    </row>
    <row r="461" spans="3:10">
      <c r="C461" s="4">
        <f t="shared" si="23"/>
        <v>-229.89499999999998</v>
      </c>
      <c r="J461" s="5">
        <f t="shared" si="22"/>
        <v>2.6085416257573657</v>
      </c>
    </row>
    <row r="462" spans="3:10">
      <c r="C462" s="4">
        <f t="shared" si="23"/>
        <v>-230.89499999999998</v>
      </c>
      <c r="J462" s="5">
        <f t="shared" si="22"/>
        <v>2.6038733332537802</v>
      </c>
    </row>
    <row r="463" spans="3:10">
      <c r="C463" s="4">
        <f t="shared" si="23"/>
        <v>-231.89499999999998</v>
      </c>
      <c r="J463" s="5">
        <f t="shared" si="22"/>
        <v>2.5990756277517972</v>
      </c>
    </row>
    <row r="464" spans="3:10">
      <c r="C464" s="4">
        <f t="shared" si="23"/>
        <v>-232.89499999999998</v>
      </c>
      <c r="J464" s="5">
        <f t="shared" si="22"/>
        <v>2.594149323331413</v>
      </c>
    </row>
    <row r="465" spans="3:10">
      <c r="C465" s="4">
        <f t="shared" si="23"/>
        <v>-233.89499999999998</v>
      </c>
      <c r="J465" s="5">
        <f t="shared" si="22"/>
        <v>2.5890952340726283</v>
      </c>
    </row>
    <row r="466" spans="3:10">
      <c r="C466" s="4">
        <f t="shared" si="23"/>
        <v>-234.89499999999998</v>
      </c>
      <c r="J466" s="5">
        <f t="shared" si="22"/>
        <v>2.5839141740554448</v>
      </c>
    </row>
    <row r="467" spans="3:10">
      <c r="C467" s="4">
        <f t="shared" si="23"/>
        <v>-235.89499999999998</v>
      </c>
      <c r="J467" s="5">
        <f t="shared" si="22"/>
        <v>2.5786069573598596</v>
      </c>
    </row>
    <row r="468" spans="3:10">
      <c r="C468" s="4">
        <f t="shared" si="23"/>
        <v>-236.89499999999998</v>
      </c>
      <c r="J468" s="5">
        <f t="shared" si="22"/>
        <v>2.573174398065877</v>
      </c>
    </row>
    <row r="469" spans="3:10">
      <c r="C469" s="4">
        <f t="shared" si="23"/>
        <v>-237.89499999999998</v>
      </c>
      <c r="J469" s="5">
        <f t="shared" si="22"/>
        <v>2.5676173102534943</v>
      </c>
    </row>
    <row r="470" spans="3:10">
      <c r="C470" s="4">
        <f t="shared" si="23"/>
        <v>-238.89499999999998</v>
      </c>
      <c r="J470" s="5">
        <f t="shared" si="22"/>
        <v>2.5619365080027077</v>
      </c>
    </row>
    <row r="471" spans="3:10">
      <c r="C471" s="4">
        <f t="shared" si="23"/>
        <v>-239.89499999999998</v>
      </c>
      <c r="J471" s="5">
        <f t="shared" si="22"/>
        <v>2.5561328053935259</v>
      </c>
    </row>
    <row r="472" spans="3:10">
      <c r="C472" s="4">
        <f t="shared" si="23"/>
        <v>-240.89499999999998</v>
      </c>
      <c r="J472" s="5">
        <f t="shared" si="22"/>
        <v>2.5502070165059418</v>
      </c>
    </row>
    <row r="473" spans="3:10">
      <c r="C473" s="4">
        <f t="shared" si="23"/>
        <v>-241.89499999999998</v>
      </c>
      <c r="J473" s="5">
        <f t="shared" si="22"/>
        <v>2.544159955419957</v>
      </c>
    </row>
    <row r="474" spans="3:10">
      <c r="C474" s="4">
        <f t="shared" si="23"/>
        <v>-242.89499999999998</v>
      </c>
      <c r="J474" s="5">
        <f t="shared" si="22"/>
        <v>2.537992436215573</v>
      </c>
    </row>
    <row r="475" spans="3:10">
      <c r="C475" s="4">
        <f t="shared" si="23"/>
        <v>-243.89499999999998</v>
      </c>
      <c r="J475" s="5">
        <f t="shared" si="22"/>
        <v>2.531705272972788</v>
      </c>
    </row>
    <row r="476" spans="3:10">
      <c r="C476" s="4">
        <f t="shared" si="23"/>
        <v>-244.89499999999998</v>
      </c>
      <c r="J476" s="5">
        <f t="shared" si="22"/>
        <v>2.5252992797716054</v>
      </c>
    </row>
    <row r="477" spans="3:10">
      <c r="C477" s="4">
        <f t="shared" si="23"/>
        <v>-245.89499999999998</v>
      </c>
      <c r="J477" s="5">
        <f t="shared" si="22"/>
        <v>2.5187752706920223</v>
      </c>
    </row>
    <row r="478" spans="3:10">
      <c r="C478" s="4">
        <f t="shared" si="23"/>
        <v>-246.89499999999998</v>
      </c>
      <c r="J478" s="5">
        <f t="shared" si="22"/>
        <v>2.512134059814036</v>
      </c>
    </row>
    <row r="479" spans="3:10">
      <c r="C479" s="4">
        <f t="shared" si="23"/>
        <v>-247.89499999999998</v>
      </c>
      <c r="J479" s="5">
        <f t="shared" si="22"/>
        <v>2.5053764612176526</v>
      </c>
    </row>
    <row r="480" spans="3:10">
      <c r="C480" s="4">
        <f t="shared" si="23"/>
        <v>-248.89499999999998</v>
      </c>
      <c r="J480" s="5">
        <f t="shared" si="22"/>
        <v>2.4985032889828691</v>
      </c>
    </row>
    <row r="481" spans="3:10">
      <c r="C481" s="4">
        <f t="shared" si="23"/>
        <v>-249.89499999999998</v>
      </c>
      <c r="J481" s="5">
        <f t="shared" si="22"/>
        <v>2.4915153571896838</v>
      </c>
    </row>
    <row r="482" spans="3:10">
      <c r="C482" s="4">
        <f t="shared" si="23"/>
        <v>-250.89499999999998</v>
      </c>
      <c r="J482" s="5">
        <f t="shared" si="22"/>
        <v>2.4844134799180999</v>
      </c>
    </row>
    <row r="483" spans="3:10">
      <c r="C483" s="4">
        <f t="shared" si="23"/>
        <v>-251.89499999999998</v>
      </c>
      <c r="J483" s="5">
        <f t="shared" si="22"/>
        <v>2.4771984712481157</v>
      </c>
    </row>
    <row r="484" spans="3:10">
      <c r="C484" s="4">
        <f t="shared" si="23"/>
        <v>-252.89499999999998</v>
      </c>
      <c r="J484" s="5">
        <f t="shared" si="22"/>
        <v>2.4698711452597326</v>
      </c>
    </row>
    <row r="485" spans="3:10">
      <c r="C485" s="4">
        <f t="shared" si="23"/>
        <v>-253.89499999999998</v>
      </c>
      <c r="J485" s="5">
        <f t="shared" si="22"/>
        <v>2.4624323160329507</v>
      </c>
    </row>
    <row r="486" spans="3:10">
      <c r="C486" s="4">
        <f t="shared" si="23"/>
        <v>-254.89499999999998</v>
      </c>
      <c r="J486" s="5">
        <f t="shared" si="22"/>
        <v>2.4548827976477643</v>
      </c>
    </row>
    <row r="487" spans="3:10">
      <c r="C487" s="4">
        <f t="shared" si="23"/>
        <v>-255.89499999999998</v>
      </c>
      <c r="J487" s="5">
        <f t="shared" si="22"/>
        <v>2.4472234041841823</v>
      </c>
    </row>
    <row r="488" spans="3:10">
      <c r="C488" s="4">
        <f t="shared" si="23"/>
        <v>-256.89499999999998</v>
      </c>
      <c r="J488" s="5">
        <f t="shared" si="22"/>
        <v>2.4394549497221973</v>
      </c>
    </row>
    <row r="489" spans="3:10">
      <c r="C489" s="4">
        <f t="shared" si="23"/>
        <v>-257.89499999999998</v>
      </c>
      <c r="J489" s="5">
        <f t="shared" si="22"/>
        <v>2.4315782483418129</v>
      </c>
    </row>
    <row r="490" spans="3:10">
      <c r="C490" s="4">
        <f t="shared" si="23"/>
        <v>-258.89499999999998</v>
      </c>
      <c r="J490" s="5">
        <f t="shared" si="22"/>
        <v>2.4235941141230306</v>
      </c>
    </row>
    <row r="491" spans="3:10">
      <c r="C491" s="4">
        <f t="shared" si="23"/>
        <v>-259.89499999999998</v>
      </c>
      <c r="J491" s="5">
        <f t="shared" si="22"/>
        <v>2.4155033611458432</v>
      </c>
    </row>
    <row r="492" spans="3:10">
      <c r="C492" s="4">
        <f t="shared" si="23"/>
        <v>-260.89499999999998</v>
      </c>
      <c r="J492" s="5">
        <f t="shared" ref="J492:J555" si="24">$Q$2*$C492^3+$P$2*$C492^2+$O$2*$C492+$N$2</f>
        <v>2.4073068034902612</v>
      </c>
    </row>
    <row r="493" spans="3:10">
      <c r="C493" s="4">
        <f t="shared" ref="C493:C556" si="25">C492-1</f>
        <v>-261.89499999999998</v>
      </c>
      <c r="J493" s="5">
        <f t="shared" si="24"/>
        <v>2.3990052552362755</v>
      </c>
    </row>
    <row r="494" spans="3:10">
      <c r="C494" s="4">
        <f t="shared" si="25"/>
        <v>-262.89499999999998</v>
      </c>
      <c r="J494" s="5">
        <f t="shared" si="24"/>
        <v>2.3905995304638914</v>
      </c>
    </row>
    <row r="495" spans="3:10">
      <c r="C495" s="4">
        <f t="shared" si="25"/>
        <v>-263.89499999999998</v>
      </c>
      <c r="J495" s="5">
        <f t="shared" si="24"/>
        <v>2.3820904432531087</v>
      </c>
    </row>
    <row r="496" spans="3:10">
      <c r="C496" s="4">
        <f t="shared" si="25"/>
        <v>-264.89499999999998</v>
      </c>
      <c r="J496" s="5">
        <f t="shared" si="24"/>
        <v>2.3734788076839273</v>
      </c>
    </row>
    <row r="497" spans="3:10">
      <c r="C497" s="4">
        <f t="shared" si="25"/>
        <v>-265.89499999999998</v>
      </c>
      <c r="J497" s="5">
        <f t="shared" si="24"/>
        <v>2.3647654378363416</v>
      </c>
    </row>
    <row r="498" spans="3:10">
      <c r="C498" s="4">
        <f t="shared" si="25"/>
        <v>-266.89499999999998</v>
      </c>
      <c r="J498" s="5">
        <f t="shared" si="24"/>
        <v>2.3559511477903587</v>
      </c>
    </row>
    <row r="499" spans="3:10">
      <c r="C499" s="4">
        <f t="shared" si="25"/>
        <v>-267.89499999999998</v>
      </c>
      <c r="J499" s="5">
        <f t="shared" si="24"/>
        <v>2.3470367516259731</v>
      </c>
    </row>
    <row r="500" spans="3:10">
      <c r="C500" s="4">
        <f t="shared" si="25"/>
        <v>-268.89499999999998</v>
      </c>
      <c r="J500" s="5">
        <f t="shared" si="24"/>
        <v>2.3380230634231882</v>
      </c>
    </row>
    <row r="501" spans="3:10">
      <c r="C501" s="4">
        <f t="shared" si="25"/>
        <v>-269.89499999999998</v>
      </c>
      <c r="J501" s="5">
        <f t="shared" si="24"/>
        <v>2.3289108972620056</v>
      </c>
    </row>
    <row r="502" spans="3:10">
      <c r="C502" s="4">
        <f t="shared" si="25"/>
        <v>-270.89499999999998</v>
      </c>
      <c r="J502" s="5">
        <f t="shared" si="24"/>
        <v>2.3197010672224199</v>
      </c>
    </row>
    <row r="503" spans="3:10">
      <c r="C503" s="4">
        <f t="shared" si="25"/>
        <v>-271.89499999999998</v>
      </c>
      <c r="J503" s="5">
        <f t="shared" si="24"/>
        <v>2.3103943873844361</v>
      </c>
    </row>
    <row r="504" spans="3:10">
      <c r="C504" s="4">
        <f t="shared" si="25"/>
        <v>-272.89499999999998</v>
      </c>
      <c r="J504" s="5">
        <f t="shared" si="24"/>
        <v>2.3009916718280543</v>
      </c>
    </row>
    <row r="505" spans="3:10">
      <c r="C505" s="4">
        <f t="shared" si="25"/>
        <v>-273.89499999999998</v>
      </c>
      <c r="J505" s="5">
        <f t="shared" si="24"/>
        <v>2.2914937346332689</v>
      </c>
    </row>
    <row r="506" spans="3:10">
      <c r="C506" s="4">
        <f t="shared" si="25"/>
        <v>-274.89499999999998</v>
      </c>
      <c r="J506" s="5">
        <f t="shared" si="24"/>
        <v>2.2819013898800868</v>
      </c>
    </row>
    <row r="507" spans="3:10">
      <c r="C507" s="4">
        <f t="shared" si="25"/>
        <v>-275.89499999999998</v>
      </c>
      <c r="J507" s="5">
        <f t="shared" si="24"/>
        <v>2.2722154516485009</v>
      </c>
    </row>
    <row r="508" spans="3:10">
      <c r="C508" s="4">
        <f t="shared" si="25"/>
        <v>-276.89499999999998</v>
      </c>
      <c r="J508" s="5">
        <f t="shared" si="24"/>
        <v>2.2624367340185163</v>
      </c>
    </row>
    <row r="509" spans="3:10">
      <c r="C509" s="4">
        <f t="shared" si="25"/>
        <v>-277.89499999999998</v>
      </c>
      <c r="J509" s="5">
        <f t="shared" si="24"/>
        <v>2.2525660510701329</v>
      </c>
    </row>
    <row r="510" spans="3:10">
      <c r="C510" s="4">
        <f t="shared" si="25"/>
        <v>-278.89499999999998</v>
      </c>
      <c r="J510" s="5">
        <f t="shared" si="24"/>
        <v>2.2426042168833487</v>
      </c>
    </row>
    <row r="511" spans="3:10">
      <c r="C511" s="4">
        <f t="shared" si="25"/>
        <v>-279.89499999999998</v>
      </c>
      <c r="J511" s="5">
        <f t="shared" si="24"/>
        <v>2.2325520455381653</v>
      </c>
    </row>
    <row r="512" spans="3:10">
      <c r="C512" s="4">
        <f t="shared" si="25"/>
        <v>-280.89499999999998</v>
      </c>
      <c r="J512" s="5">
        <f t="shared" si="24"/>
        <v>2.2224103511145827</v>
      </c>
    </row>
    <row r="513" spans="3:10">
      <c r="C513" s="4">
        <f t="shared" si="25"/>
        <v>-281.89499999999998</v>
      </c>
      <c r="J513" s="5">
        <f t="shared" si="24"/>
        <v>2.2121799476925972</v>
      </c>
    </row>
    <row r="514" spans="3:10">
      <c r="C514" s="4">
        <f t="shared" si="25"/>
        <v>-282.89499999999998</v>
      </c>
      <c r="J514" s="5">
        <f t="shared" si="24"/>
        <v>2.2018616493522138</v>
      </c>
    </row>
    <row r="515" spans="3:10">
      <c r="C515" s="4">
        <f t="shared" si="25"/>
        <v>-283.89499999999998</v>
      </c>
      <c r="J515" s="5">
        <f t="shared" si="24"/>
        <v>2.191456270173429</v>
      </c>
    </row>
    <row r="516" spans="3:10">
      <c r="C516" s="4">
        <f t="shared" si="25"/>
        <v>-284.89499999999998</v>
      </c>
      <c r="J516" s="5">
        <f t="shared" si="24"/>
        <v>2.1809646242362444</v>
      </c>
    </row>
    <row r="517" spans="3:10">
      <c r="C517" s="4">
        <f t="shared" si="25"/>
        <v>-285.89499999999998</v>
      </c>
      <c r="J517" s="5">
        <f t="shared" si="24"/>
        <v>2.1703875256206633</v>
      </c>
    </row>
    <row r="518" spans="3:10">
      <c r="C518" s="4">
        <f t="shared" si="25"/>
        <v>-286.89499999999998</v>
      </c>
      <c r="J518" s="5">
        <f t="shared" si="24"/>
        <v>2.1597257884066767</v>
      </c>
    </row>
    <row r="519" spans="3:10">
      <c r="C519" s="4">
        <f t="shared" si="25"/>
        <v>-287.89499999999998</v>
      </c>
      <c r="J519" s="5">
        <f t="shared" si="24"/>
        <v>2.1489802266742934</v>
      </c>
    </row>
    <row r="520" spans="3:10">
      <c r="C520" s="4">
        <f t="shared" si="25"/>
        <v>-288.89499999999998</v>
      </c>
      <c r="J520" s="5">
        <f t="shared" si="24"/>
        <v>2.1381516545035115</v>
      </c>
    </row>
    <row r="521" spans="3:10">
      <c r="C521" s="4">
        <f t="shared" si="25"/>
        <v>-289.89499999999998</v>
      </c>
      <c r="J521" s="5">
        <f t="shared" si="24"/>
        <v>2.1272408859743237</v>
      </c>
    </row>
    <row r="522" spans="3:10">
      <c r="C522" s="4">
        <f t="shared" si="25"/>
        <v>-290.89499999999998</v>
      </c>
      <c r="J522" s="5">
        <f t="shared" si="24"/>
        <v>2.1162487351667423</v>
      </c>
    </row>
    <row r="523" spans="3:10">
      <c r="C523" s="4">
        <f t="shared" si="25"/>
        <v>-291.89499999999998</v>
      </c>
      <c r="J523" s="5">
        <f t="shared" si="24"/>
        <v>2.1051760161607564</v>
      </c>
    </row>
    <row r="524" spans="3:10">
      <c r="C524" s="4">
        <f t="shared" si="25"/>
        <v>-292.89499999999998</v>
      </c>
      <c r="J524" s="5">
        <f t="shared" si="24"/>
        <v>2.0940235430363749</v>
      </c>
    </row>
    <row r="525" spans="3:10">
      <c r="C525" s="4">
        <f t="shared" si="25"/>
        <v>-293.89499999999998</v>
      </c>
      <c r="J525" s="5">
        <f t="shared" si="24"/>
        <v>2.0827921298735887</v>
      </c>
    </row>
    <row r="526" spans="3:10">
      <c r="C526" s="4">
        <f t="shared" si="25"/>
        <v>-294.89499999999998</v>
      </c>
      <c r="J526" s="5">
        <f t="shared" si="24"/>
        <v>2.0714825907524066</v>
      </c>
    </row>
    <row r="527" spans="3:10">
      <c r="C527" s="4">
        <f t="shared" si="25"/>
        <v>-295.89499999999998</v>
      </c>
      <c r="J527" s="5">
        <f t="shared" si="24"/>
        <v>2.0600957397528212</v>
      </c>
    </row>
    <row r="528" spans="3:10">
      <c r="C528" s="4">
        <f t="shared" si="25"/>
        <v>-296.89499999999998</v>
      </c>
      <c r="J528" s="5">
        <f t="shared" si="24"/>
        <v>2.0486323909548378</v>
      </c>
    </row>
    <row r="529" spans="3:10">
      <c r="C529" s="4">
        <f t="shared" si="25"/>
        <v>-297.89499999999998</v>
      </c>
      <c r="J529" s="5">
        <f t="shared" si="24"/>
        <v>2.0370933584384545</v>
      </c>
    </row>
    <row r="530" spans="3:10">
      <c r="C530" s="4">
        <f t="shared" si="25"/>
        <v>-298.89499999999998</v>
      </c>
      <c r="J530" s="5">
        <f t="shared" si="24"/>
        <v>2.0254794562836675</v>
      </c>
    </row>
    <row r="531" spans="3:10">
      <c r="C531" s="4">
        <f t="shared" si="25"/>
        <v>-299.89499999999998</v>
      </c>
      <c r="J531" s="5">
        <f t="shared" si="24"/>
        <v>2.0137914985704839</v>
      </c>
    </row>
    <row r="532" spans="3:10">
      <c r="C532" s="4">
        <f t="shared" si="25"/>
        <v>-300.89499999999998</v>
      </c>
      <c r="J532" s="5">
        <f t="shared" si="24"/>
        <v>2.0020302993789016</v>
      </c>
    </row>
    <row r="533" spans="3:10">
      <c r="C533" s="4">
        <f t="shared" si="25"/>
        <v>-301.89499999999998</v>
      </c>
      <c r="J533" s="5">
        <f t="shared" si="24"/>
        <v>1.9901966727889187</v>
      </c>
    </row>
    <row r="534" spans="3:10">
      <c r="C534" s="4">
        <f t="shared" si="25"/>
        <v>-302.89499999999998</v>
      </c>
      <c r="J534" s="5">
        <f t="shared" si="24"/>
        <v>1.9782914328805334</v>
      </c>
    </row>
    <row r="535" spans="3:10">
      <c r="C535" s="4">
        <f t="shared" si="25"/>
        <v>-303.89499999999998</v>
      </c>
      <c r="J535" s="5">
        <f t="shared" si="24"/>
        <v>1.9663153937337492</v>
      </c>
    </row>
    <row r="536" spans="3:10">
      <c r="C536" s="4">
        <f t="shared" si="25"/>
        <v>-304.89499999999998</v>
      </c>
      <c r="J536" s="5">
        <f t="shared" si="24"/>
        <v>1.9542693694285675</v>
      </c>
    </row>
    <row r="537" spans="3:10">
      <c r="C537" s="4">
        <f t="shared" si="25"/>
        <v>-305.89499999999998</v>
      </c>
      <c r="J537" s="5">
        <f t="shared" si="24"/>
        <v>1.9421541740449795</v>
      </c>
    </row>
    <row r="538" spans="3:10">
      <c r="C538" s="4">
        <f t="shared" si="25"/>
        <v>-306.89499999999998</v>
      </c>
      <c r="J538" s="5">
        <f t="shared" si="24"/>
        <v>1.9299706216629973</v>
      </c>
    </row>
    <row r="539" spans="3:10">
      <c r="C539" s="4">
        <f t="shared" si="25"/>
        <v>-307.89499999999998</v>
      </c>
      <c r="J539" s="5">
        <f t="shared" si="24"/>
        <v>1.9177195263626119</v>
      </c>
    </row>
    <row r="540" spans="3:10">
      <c r="C540" s="4">
        <f t="shared" si="25"/>
        <v>-308.89499999999998</v>
      </c>
      <c r="J540" s="5">
        <f t="shared" si="24"/>
        <v>1.9054017022238285</v>
      </c>
    </row>
    <row r="541" spans="3:10">
      <c r="C541" s="4">
        <f t="shared" si="25"/>
        <v>-309.89499999999998</v>
      </c>
      <c r="J541" s="5">
        <f t="shared" si="24"/>
        <v>1.8930179633266471</v>
      </c>
    </row>
    <row r="542" spans="3:10">
      <c r="C542" s="4">
        <f t="shared" si="25"/>
        <v>-310.89499999999998</v>
      </c>
      <c r="J542" s="5">
        <f t="shared" si="24"/>
        <v>1.8805691237510602</v>
      </c>
    </row>
    <row r="543" spans="3:10">
      <c r="C543" s="4">
        <f t="shared" si="25"/>
        <v>-311.89499999999998</v>
      </c>
      <c r="J543" s="5">
        <f t="shared" si="24"/>
        <v>1.8680559975770767</v>
      </c>
    </row>
    <row r="544" spans="3:10">
      <c r="C544" s="4">
        <f t="shared" si="25"/>
        <v>-312.89499999999998</v>
      </c>
      <c r="J544" s="5">
        <f t="shared" si="24"/>
        <v>1.8554793988846929</v>
      </c>
    </row>
    <row r="545" spans="3:10">
      <c r="C545" s="4">
        <f t="shared" si="25"/>
        <v>-313.89499999999998</v>
      </c>
      <c r="J545" s="5">
        <f t="shared" si="24"/>
        <v>1.8428401417539086</v>
      </c>
    </row>
    <row r="546" spans="3:10">
      <c r="C546" s="4">
        <f t="shared" si="25"/>
        <v>-314.89499999999998</v>
      </c>
      <c r="J546" s="5">
        <f t="shared" si="24"/>
        <v>1.8301390402647255</v>
      </c>
    </row>
    <row r="547" spans="3:10">
      <c r="C547" s="4">
        <f t="shared" si="25"/>
        <v>-315.89499999999998</v>
      </c>
      <c r="J547" s="5">
        <f t="shared" si="24"/>
        <v>1.8173769084971416</v>
      </c>
    </row>
    <row r="548" spans="3:10">
      <c r="C548" s="4">
        <f t="shared" si="25"/>
        <v>-316.89499999999998</v>
      </c>
      <c r="J548" s="5">
        <f t="shared" si="24"/>
        <v>1.8045545605311586</v>
      </c>
    </row>
    <row r="549" spans="3:10">
      <c r="C549" s="4">
        <f t="shared" si="25"/>
        <v>-317.89499999999998</v>
      </c>
      <c r="J549" s="5">
        <f t="shared" si="24"/>
        <v>1.7916728104467763</v>
      </c>
    </row>
    <row r="550" spans="3:10">
      <c r="C550" s="4">
        <f t="shared" si="25"/>
        <v>-318.89499999999998</v>
      </c>
      <c r="J550" s="5">
        <f t="shared" si="24"/>
        <v>1.7787324723239875</v>
      </c>
    </row>
    <row r="551" spans="3:10">
      <c r="C551" s="4">
        <f t="shared" si="25"/>
        <v>-319.89499999999998</v>
      </c>
      <c r="J551" s="5">
        <f t="shared" si="24"/>
        <v>1.7657343602428044</v>
      </c>
    </row>
    <row r="552" spans="3:10">
      <c r="C552" s="4">
        <f t="shared" si="25"/>
        <v>-320.89499999999998</v>
      </c>
      <c r="J552" s="5">
        <f t="shared" si="24"/>
        <v>1.7526792882832234</v>
      </c>
    </row>
    <row r="553" spans="3:10">
      <c r="C553" s="4">
        <f t="shared" si="25"/>
        <v>-321.89499999999998</v>
      </c>
      <c r="J553" s="5">
        <f t="shared" si="24"/>
        <v>1.7395680705252372</v>
      </c>
    </row>
    <row r="554" spans="3:10">
      <c r="C554" s="4">
        <f t="shared" si="25"/>
        <v>-322.89499999999998</v>
      </c>
      <c r="J554" s="5">
        <f t="shared" si="24"/>
        <v>1.7264015210488546</v>
      </c>
    </row>
    <row r="555" spans="3:10">
      <c r="C555" s="4">
        <f t="shared" si="25"/>
        <v>-323.89499999999998</v>
      </c>
      <c r="J555" s="5">
        <f t="shared" si="24"/>
        <v>1.7131804539340665</v>
      </c>
    </row>
    <row r="556" spans="3:10">
      <c r="C556" s="4">
        <f t="shared" si="25"/>
        <v>-324.89499999999998</v>
      </c>
      <c r="J556" s="5">
        <f t="shared" ref="J556:J619" si="26">$Q$2*$C556^3+$P$2*$C556^2+$O$2*$C556+$N$2</f>
        <v>1.6999056832608852</v>
      </c>
    </row>
    <row r="557" spans="3:10">
      <c r="C557" s="4">
        <f t="shared" ref="C557:C620" si="27">C556-1</f>
        <v>-325.89499999999998</v>
      </c>
      <c r="J557" s="5">
        <f t="shared" si="26"/>
        <v>1.6865780231093035</v>
      </c>
    </row>
    <row r="558" spans="3:10">
      <c r="C558" s="4">
        <f t="shared" si="27"/>
        <v>-326.89499999999998</v>
      </c>
      <c r="J558" s="5">
        <f t="shared" si="26"/>
        <v>1.6731982875593194</v>
      </c>
    </row>
    <row r="559" spans="3:10">
      <c r="C559" s="4">
        <f t="shared" si="27"/>
        <v>-327.89499999999998</v>
      </c>
      <c r="J559" s="5">
        <f t="shared" si="26"/>
        <v>1.6597672906909346</v>
      </c>
    </row>
    <row r="560" spans="3:10">
      <c r="C560" s="4">
        <f t="shared" si="27"/>
        <v>-328.89499999999998</v>
      </c>
      <c r="J560" s="5">
        <f t="shared" si="26"/>
        <v>1.6462858465841526</v>
      </c>
    </row>
    <row r="561" spans="3:10">
      <c r="C561" s="4">
        <f t="shared" si="27"/>
        <v>-329.89499999999998</v>
      </c>
      <c r="J561" s="5">
        <f t="shared" si="26"/>
        <v>1.6327547693189659</v>
      </c>
    </row>
    <row r="562" spans="3:10">
      <c r="C562" s="4">
        <f t="shared" si="27"/>
        <v>-330.89499999999998</v>
      </c>
      <c r="J562" s="5">
        <f t="shared" si="26"/>
        <v>1.6191748729753817</v>
      </c>
    </row>
    <row r="563" spans="3:10">
      <c r="C563" s="4">
        <f t="shared" si="27"/>
        <v>-331.89499999999998</v>
      </c>
      <c r="J563" s="5">
        <f t="shared" si="26"/>
        <v>1.6055469716333979</v>
      </c>
    </row>
    <row r="564" spans="3:10">
      <c r="C564" s="4">
        <f t="shared" si="27"/>
        <v>-332.89499999999998</v>
      </c>
      <c r="J564" s="5">
        <f t="shared" si="26"/>
        <v>1.5918718793730127</v>
      </c>
    </row>
    <row r="565" spans="3:10">
      <c r="C565" s="4">
        <f t="shared" si="27"/>
        <v>-333.89499999999998</v>
      </c>
      <c r="J565" s="5">
        <f t="shared" si="26"/>
        <v>1.5781504102742294</v>
      </c>
    </row>
    <row r="566" spans="3:10">
      <c r="C566" s="4">
        <f t="shared" si="27"/>
        <v>-334.89499999999998</v>
      </c>
      <c r="J566" s="5">
        <f t="shared" si="26"/>
        <v>1.5643833784170427</v>
      </c>
    </row>
    <row r="567" spans="3:10">
      <c r="C567" s="4">
        <f t="shared" si="27"/>
        <v>-335.89499999999998</v>
      </c>
      <c r="J567" s="5">
        <f t="shared" si="26"/>
        <v>1.5505715978814594</v>
      </c>
    </row>
    <row r="568" spans="3:10">
      <c r="C568" s="4">
        <f t="shared" si="27"/>
        <v>-336.89499999999998</v>
      </c>
      <c r="J568" s="5">
        <f t="shared" si="26"/>
        <v>1.5367158827474794</v>
      </c>
    </row>
    <row r="569" spans="3:10">
      <c r="C569" s="4">
        <f t="shared" si="27"/>
        <v>-337.89499999999998</v>
      </c>
      <c r="J569" s="5">
        <f t="shared" si="26"/>
        <v>1.5228170470950955</v>
      </c>
    </row>
    <row r="570" spans="3:10">
      <c r="C570" s="4">
        <f t="shared" si="27"/>
        <v>-338.89499999999998</v>
      </c>
      <c r="J570" s="5">
        <f t="shared" si="26"/>
        <v>1.5088759050043092</v>
      </c>
    </row>
    <row r="571" spans="3:10">
      <c r="C571" s="4">
        <f t="shared" si="27"/>
        <v>-339.89499999999998</v>
      </c>
      <c r="J571" s="5">
        <f t="shared" si="26"/>
        <v>1.4948932705551259</v>
      </c>
    </row>
    <row r="572" spans="3:10">
      <c r="C572" s="4">
        <f t="shared" si="27"/>
        <v>-340.89499999999998</v>
      </c>
      <c r="J572" s="5">
        <f t="shared" si="26"/>
        <v>1.4808699578275417</v>
      </c>
    </row>
    <row r="573" spans="3:10">
      <c r="C573" s="4">
        <f t="shared" si="27"/>
        <v>-341.89499999999998</v>
      </c>
      <c r="J573" s="5">
        <f t="shared" si="26"/>
        <v>1.4668067809015584</v>
      </c>
    </row>
    <row r="574" spans="3:10">
      <c r="C574" s="4">
        <f t="shared" si="27"/>
        <v>-342.89499999999998</v>
      </c>
      <c r="J574" s="5">
        <f t="shared" si="26"/>
        <v>1.4527045538571757</v>
      </c>
    </row>
    <row r="575" spans="3:10">
      <c r="C575" s="4">
        <f t="shared" si="27"/>
        <v>-343.89499999999998</v>
      </c>
      <c r="J575" s="5">
        <f t="shared" si="26"/>
        <v>1.4385640907743882</v>
      </c>
    </row>
    <row r="576" spans="3:10">
      <c r="C576" s="4">
        <f t="shared" si="27"/>
        <v>-344.89499999999998</v>
      </c>
      <c r="J576" s="5">
        <f t="shared" si="26"/>
        <v>1.4243862057332046</v>
      </c>
    </row>
    <row r="577" spans="3:10">
      <c r="C577" s="4">
        <f t="shared" si="27"/>
        <v>-345.89499999999998</v>
      </c>
      <c r="J577" s="5">
        <f t="shared" si="26"/>
        <v>1.4101717128136231</v>
      </c>
    </row>
    <row r="578" spans="3:10">
      <c r="C578" s="4">
        <f t="shared" si="27"/>
        <v>-346.89499999999998</v>
      </c>
      <c r="J578" s="5">
        <f t="shared" si="26"/>
        <v>1.3959214260956381</v>
      </c>
    </row>
    <row r="579" spans="3:10">
      <c r="C579" s="4">
        <f t="shared" si="27"/>
        <v>-347.89499999999998</v>
      </c>
      <c r="J579" s="5">
        <f t="shared" si="26"/>
        <v>1.3816361596592566</v>
      </c>
    </row>
    <row r="580" spans="3:10">
      <c r="C580" s="4">
        <f t="shared" si="27"/>
        <v>-348.89499999999998</v>
      </c>
      <c r="J580" s="5">
        <f t="shared" si="26"/>
        <v>1.3673167275844695</v>
      </c>
    </row>
    <row r="581" spans="3:10">
      <c r="C581" s="4">
        <f t="shared" si="27"/>
        <v>-349.89499999999998</v>
      </c>
      <c r="J581" s="5">
        <f t="shared" si="26"/>
        <v>1.3529639439512857</v>
      </c>
    </row>
    <row r="582" spans="3:10">
      <c r="C582" s="4">
        <f t="shared" si="27"/>
        <v>-350.89499999999998</v>
      </c>
      <c r="J582" s="5">
        <f t="shared" si="26"/>
        <v>1.3385786228397014</v>
      </c>
    </row>
    <row r="583" spans="3:10">
      <c r="C583" s="4">
        <f t="shared" si="27"/>
        <v>-351.89499999999998</v>
      </c>
      <c r="J583" s="5">
        <f t="shared" si="26"/>
        <v>1.3241615783297183</v>
      </c>
    </row>
    <row r="584" spans="3:10">
      <c r="C584" s="4">
        <f t="shared" si="27"/>
        <v>-352.89499999999998</v>
      </c>
      <c r="J584" s="5">
        <f t="shared" si="26"/>
        <v>1.3097136245013361</v>
      </c>
    </row>
    <row r="585" spans="3:10">
      <c r="C585" s="4">
        <f t="shared" si="27"/>
        <v>-353.89499999999998</v>
      </c>
      <c r="J585" s="5">
        <f t="shared" si="26"/>
        <v>1.2952355754345495</v>
      </c>
    </row>
    <row r="586" spans="3:10">
      <c r="C586" s="4">
        <f t="shared" si="27"/>
        <v>-354.89499999999998</v>
      </c>
      <c r="J586" s="5">
        <f t="shared" si="26"/>
        <v>1.2807282452093653</v>
      </c>
    </row>
    <row r="587" spans="3:10">
      <c r="C587" s="4">
        <f t="shared" si="27"/>
        <v>-355.89499999999998</v>
      </c>
      <c r="J587" s="5">
        <f t="shared" si="26"/>
        <v>1.2661924479057818</v>
      </c>
    </row>
    <row r="588" spans="3:10">
      <c r="C588" s="4">
        <f t="shared" si="27"/>
        <v>-356.89499999999998</v>
      </c>
      <c r="J588" s="5">
        <f t="shared" si="26"/>
        <v>1.2516289976037969</v>
      </c>
    </row>
    <row r="589" spans="3:10">
      <c r="C589" s="4">
        <f t="shared" si="27"/>
        <v>-357.89499999999998</v>
      </c>
      <c r="J589" s="5">
        <f t="shared" si="26"/>
        <v>1.237038708383414</v>
      </c>
    </row>
    <row r="590" spans="3:10">
      <c r="C590" s="4">
        <f t="shared" si="27"/>
        <v>-358.89499999999998</v>
      </c>
      <c r="J590" s="5">
        <f t="shared" si="26"/>
        <v>1.2224223943246295</v>
      </c>
    </row>
    <row r="591" spans="3:10">
      <c r="C591" s="4">
        <f t="shared" si="27"/>
        <v>-359.89499999999998</v>
      </c>
      <c r="J591" s="5">
        <f t="shared" si="26"/>
        <v>1.207780869507445</v>
      </c>
    </row>
    <row r="592" spans="3:10">
      <c r="C592" s="4">
        <f t="shared" si="27"/>
        <v>-360.89499999999998</v>
      </c>
      <c r="J592" s="5">
        <f t="shared" si="26"/>
        <v>1.1931149480118604</v>
      </c>
    </row>
    <row r="593" spans="3:10">
      <c r="C593" s="4">
        <f t="shared" si="27"/>
        <v>-361.89499999999998</v>
      </c>
      <c r="J593" s="5">
        <f t="shared" si="26"/>
        <v>1.178425443917879</v>
      </c>
    </row>
    <row r="594" spans="3:10">
      <c r="C594" s="4">
        <f t="shared" si="27"/>
        <v>-362.89499999999998</v>
      </c>
      <c r="J594" s="5">
        <f t="shared" si="26"/>
        <v>1.1637131713054971</v>
      </c>
    </row>
    <row r="595" spans="3:10">
      <c r="C595" s="4">
        <f t="shared" si="27"/>
        <v>-363.89499999999998</v>
      </c>
      <c r="J595" s="5">
        <f t="shared" si="26"/>
        <v>1.1489789442547129</v>
      </c>
    </row>
    <row r="596" spans="3:10">
      <c r="C596" s="4">
        <f t="shared" si="27"/>
        <v>-364.89499999999998</v>
      </c>
      <c r="J596" s="5">
        <f t="shared" si="26"/>
        <v>1.134223576845528</v>
      </c>
    </row>
    <row r="597" spans="3:10">
      <c r="C597" s="4">
        <f t="shared" si="27"/>
        <v>-365.89499999999998</v>
      </c>
      <c r="J597" s="5">
        <f t="shared" si="26"/>
        <v>1.1194478831579404</v>
      </c>
    </row>
    <row r="598" spans="3:10">
      <c r="C598" s="4">
        <f t="shared" si="27"/>
        <v>-366.89499999999998</v>
      </c>
      <c r="J598" s="5">
        <f t="shared" si="26"/>
        <v>1.1046526772719589</v>
      </c>
    </row>
    <row r="599" spans="3:10">
      <c r="C599" s="4">
        <f t="shared" si="27"/>
        <v>-367.89499999999998</v>
      </c>
      <c r="J599" s="5">
        <f t="shared" si="26"/>
        <v>1.0898387732675745</v>
      </c>
    </row>
    <row r="600" spans="3:10">
      <c r="C600" s="4">
        <f t="shared" si="27"/>
        <v>-368.89499999999998</v>
      </c>
      <c r="J600" s="5">
        <f t="shared" si="26"/>
        <v>1.0750069852247905</v>
      </c>
    </row>
    <row r="601" spans="3:10">
      <c r="C601" s="4">
        <f t="shared" si="27"/>
        <v>-369.89499999999998</v>
      </c>
      <c r="J601" s="5">
        <f t="shared" si="26"/>
        <v>1.0601581272236069</v>
      </c>
    </row>
    <row r="602" spans="3:10">
      <c r="C602" s="4">
        <f t="shared" si="27"/>
        <v>-370.89499999999998</v>
      </c>
      <c r="J602" s="5">
        <f t="shared" si="26"/>
        <v>1.0452930133440235</v>
      </c>
    </row>
    <row r="603" spans="3:10">
      <c r="C603" s="4">
        <f t="shared" si="27"/>
        <v>-371.89499999999998</v>
      </c>
      <c r="J603" s="5">
        <f t="shared" si="26"/>
        <v>1.0304124576660383</v>
      </c>
    </row>
    <row r="604" spans="3:10">
      <c r="C604" s="4">
        <f t="shared" si="27"/>
        <v>-372.89499999999998</v>
      </c>
      <c r="J604" s="5">
        <f t="shared" si="26"/>
        <v>1.0155172742696512</v>
      </c>
    </row>
    <row r="605" spans="3:10">
      <c r="C605" s="4">
        <f t="shared" si="27"/>
        <v>-373.89499999999998</v>
      </c>
      <c r="J605" s="5">
        <f t="shared" si="26"/>
        <v>1.0006082772348728</v>
      </c>
    </row>
    <row r="606" spans="3:10">
      <c r="C606" s="4">
        <f t="shared" si="27"/>
        <v>-374.89499999999998</v>
      </c>
      <c r="J606" s="5">
        <f t="shared" si="26"/>
        <v>0.98568628064168862</v>
      </c>
    </row>
    <row r="607" spans="3:10">
      <c r="C607" s="4">
        <f t="shared" si="27"/>
        <v>-375.89499999999998</v>
      </c>
      <c r="J607" s="5">
        <f t="shared" si="26"/>
        <v>0.97075209857010036</v>
      </c>
    </row>
    <row r="608" spans="3:10">
      <c r="C608" s="4">
        <f t="shared" si="27"/>
        <v>-376.89499999999998</v>
      </c>
      <c r="J608" s="5">
        <f t="shared" si="26"/>
        <v>0.95580654510011853</v>
      </c>
    </row>
    <row r="609" spans="3:10">
      <c r="C609" s="4">
        <f t="shared" si="27"/>
        <v>-377.89499999999998</v>
      </c>
      <c r="J609" s="5">
        <f t="shared" si="26"/>
        <v>0.94085043431173232</v>
      </c>
    </row>
    <row r="610" spans="3:10">
      <c r="C610" s="4">
        <f t="shared" si="27"/>
        <v>-378.89499999999998</v>
      </c>
      <c r="J610" s="5">
        <f t="shared" si="26"/>
        <v>0.92588458028494869</v>
      </c>
    </row>
    <row r="611" spans="3:10">
      <c r="C611" s="4">
        <f t="shared" si="27"/>
        <v>-379.89499999999998</v>
      </c>
      <c r="J611" s="5">
        <f t="shared" si="26"/>
        <v>0.91090979709976572</v>
      </c>
    </row>
    <row r="612" spans="3:10">
      <c r="C612" s="4">
        <f t="shared" si="27"/>
        <v>-380.89499999999998</v>
      </c>
      <c r="J612" s="5">
        <f t="shared" si="26"/>
        <v>0.89592689883618681</v>
      </c>
    </row>
    <row r="613" spans="3:10">
      <c r="C613" s="4">
        <f t="shared" si="27"/>
        <v>-381.89499999999998</v>
      </c>
      <c r="J613" s="5">
        <f t="shared" si="26"/>
        <v>0.88093669957419585</v>
      </c>
    </row>
    <row r="614" spans="3:10">
      <c r="C614" s="4">
        <f t="shared" si="27"/>
        <v>-382.89499999999998</v>
      </c>
      <c r="J614" s="5">
        <f t="shared" si="26"/>
        <v>0.86594001339381399</v>
      </c>
    </row>
    <row r="615" spans="3:10">
      <c r="C615" s="4">
        <f t="shared" si="27"/>
        <v>-383.89499999999998</v>
      </c>
      <c r="J615" s="5">
        <f t="shared" si="26"/>
        <v>0.85093765437502866</v>
      </c>
    </row>
    <row r="616" spans="3:10">
      <c r="C616" s="4">
        <f t="shared" si="27"/>
        <v>-384.89499999999998</v>
      </c>
      <c r="J616" s="5">
        <f t="shared" si="26"/>
        <v>0.83593043659784683</v>
      </c>
    </row>
    <row r="617" spans="3:10">
      <c r="C617" s="4">
        <f t="shared" si="27"/>
        <v>-385.89499999999998</v>
      </c>
      <c r="J617" s="5">
        <f t="shared" si="26"/>
        <v>0.82091917414226301</v>
      </c>
    </row>
    <row r="618" spans="3:10">
      <c r="C618" s="4">
        <f t="shared" si="27"/>
        <v>-386.89499999999998</v>
      </c>
      <c r="J618" s="5">
        <f t="shared" si="26"/>
        <v>0.80590468108827706</v>
      </c>
    </row>
    <row r="619" spans="3:10">
      <c r="C619" s="4">
        <f t="shared" si="27"/>
        <v>-387.89499999999998</v>
      </c>
      <c r="J619" s="5">
        <f t="shared" si="26"/>
        <v>0.79088777151589418</v>
      </c>
    </row>
    <row r="620" spans="3:10">
      <c r="C620" s="4">
        <f t="shared" si="27"/>
        <v>-388.89499999999998</v>
      </c>
      <c r="J620" s="5">
        <f t="shared" ref="J620:J632" si="28">$Q$2*$C620^3+$P$2*$C620^2+$O$2*$C620+$N$2</f>
        <v>0.77586925950510888</v>
      </c>
    </row>
    <row r="621" spans="3:10">
      <c r="C621" s="4">
        <f t="shared" ref="C621:C632" si="29">C620-1</f>
        <v>-389.89499999999998</v>
      </c>
      <c r="J621" s="5">
        <f t="shared" si="28"/>
        <v>0.76084995913592279</v>
      </c>
    </row>
    <row r="622" spans="3:10">
      <c r="C622" s="4">
        <f t="shared" si="29"/>
        <v>-390.89499999999998</v>
      </c>
      <c r="J622" s="5">
        <f t="shared" si="28"/>
        <v>0.74583068448834111</v>
      </c>
    </row>
    <row r="623" spans="3:10">
      <c r="C623" s="4">
        <f t="shared" si="29"/>
        <v>-391.89499999999998</v>
      </c>
      <c r="J623" s="5">
        <f t="shared" si="28"/>
        <v>0.73081224964235658</v>
      </c>
    </row>
    <row r="624" spans="3:10">
      <c r="C624" s="4">
        <f t="shared" si="29"/>
        <v>-392.89499999999998</v>
      </c>
      <c r="J624" s="5">
        <f t="shared" si="28"/>
        <v>0.71579546867797261</v>
      </c>
    </row>
    <row r="625" spans="3:10">
      <c r="C625" s="4">
        <f t="shared" si="29"/>
        <v>-393.89499999999998</v>
      </c>
      <c r="J625" s="5">
        <f t="shared" si="28"/>
        <v>0.70078115567518906</v>
      </c>
    </row>
    <row r="626" spans="3:10">
      <c r="C626" s="4">
        <f t="shared" si="29"/>
        <v>-394.89499999999998</v>
      </c>
      <c r="J626" s="5">
        <f t="shared" si="28"/>
        <v>0.68577012471400933</v>
      </c>
    </row>
    <row r="627" spans="3:10">
      <c r="C627" s="4">
        <f t="shared" si="29"/>
        <v>-395.89499999999998</v>
      </c>
      <c r="J627" s="5">
        <f t="shared" si="28"/>
        <v>0.67076318987442263</v>
      </c>
    </row>
    <row r="628" spans="3:10">
      <c r="C628" s="4">
        <f t="shared" si="29"/>
        <v>-396.89499999999998</v>
      </c>
      <c r="J628" s="5">
        <f t="shared" si="28"/>
        <v>0.65576116523643946</v>
      </c>
    </row>
    <row r="629" spans="3:10">
      <c r="C629" s="4">
        <f t="shared" si="29"/>
        <v>-397.89499999999998</v>
      </c>
      <c r="J629" s="5">
        <f t="shared" si="28"/>
        <v>0.64076486488005258</v>
      </c>
    </row>
    <row r="630" spans="3:10">
      <c r="C630" s="4">
        <f t="shared" si="29"/>
        <v>-398.89499999999998</v>
      </c>
      <c r="J630" s="5">
        <f t="shared" si="28"/>
        <v>0.62577510288527249</v>
      </c>
    </row>
    <row r="631" spans="3:10">
      <c r="C631" s="4">
        <f t="shared" si="29"/>
        <v>-399.89499999999998</v>
      </c>
      <c r="J631" s="5">
        <f t="shared" si="28"/>
        <v>0.61079269333208486</v>
      </c>
    </row>
    <row r="632" spans="3:10">
      <c r="C632" s="4">
        <f t="shared" si="29"/>
        <v>-400.89499999999998</v>
      </c>
      <c r="J632" s="5">
        <f t="shared" si="28"/>
        <v>0.59581845030050373</v>
      </c>
    </row>
  </sheetData>
  <scenarios current="0">
    <scenario name="fit_result" count="6" user="okayasu" comment="作成者 : okayasu 日付 : 7/5/2021">
      <inputCells r="N2" val="19.2" numFmtId="11"/>
      <inputCells r="O2" val="-0.698" numFmtId="11"/>
      <inputCells r="P2" val="0.00594" numFmtId="11"/>
      <inputCells r="Q2" val="-0.0000226" numFmtId="11"/>
      <inputCells r="S2" val="-0.000000000046" numFmtId="11"/>
      <inputCells r="T2" val="-0.000000000000019" numFmtId="11"/>
    </scenario>
  </scenario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3FBC4-F370-42CE-96AF-D14F7A3918EA}">
  <sheetPr codeName="Sheet5"/>
  <dimension ref="A1:G833"/>
  <sheetViews>
    <sheetView topLeftCell="A786" workbookViewId="0">
      <selection activeCell="C603" sqref="C603"/>
    </sheetView>
  </sheetViews>
  <sheetFormatPr baseColWidth="10" defaultColWidth="8.7109375" defaultRowHeight="16"/>
  <cols>
    <col min="1" max="1" width="14" customWidth="1"/>
  </cols>
  <sheetData>
    <row r="1" spans="1:7">
      <c r="A1" t="s">
        <v>0</v>
      </c>
      <c r="B1" t="s">
        <v>481</v>
      </c>
      <c r="C1" t="s">
        <v>482</v>
      </c>
      <c r="D1" t="s">
        <v>485</v>
      </c>
      <c r="E1" t="s">
        <v>1855</v>
      </c>
      <c r="F1" t="s">
        <v>1856</v>
      </c>
      <c r="G1" t="s">
        <v>1857</v>
      </c>
    </row>
    <row r="2" spans="1:7">
      <c r="A2" t="s">
        <v>1836</v>
      </c>
      <c r="B2">
        <v>-15476.492669519999</v>
      </c>
      <c r="C2">
        <v>-14406.9200093</v>
      </c>
      <c r="D2">
        <v>-596.67608826000003</v>
      </c>
      <c r="E2">
        <v>0.19341636000000001</v>
      </c>
      <c r="F2">
        <v>2.1685050000000001E-2</v>
      </c>
      <c r="G2">
        <v>3.294449E-2</v>
      </c>
    </row>
    <row r="3" spans="1:7">
      <c r="A3" t="s">
        <v>1837</v>
      </c>
      <c r="B3">
        <v>-15476.334160259999</v>
      </c>
      <c r="C3">
        <v>-15445.31320305</v>
      </c>
      <c r="D3">
        <v>-596.24402170999997</v>
      </c>
      <c r="E3">
        <v>0.19620559000000001</v>
      </c>
      <c r="F3">
        <v>1.9284579999999999E-2</v>
      </c>
      <c r="G3">
        <v>3.1079989999999998E-2</v>
      </c>
    </row>
    <row r="4" spans="1:7">
      <c r="A4" t="s">
        <v>1838</v>
      </c>
      <c r="B4">
        <v>-15476.28551415</v>
      </c>
      <c r="C4">
        <v>-15969.99403285</v>
      </c>
      <c r="D4">
        <v>-596.40083970000001</v>
      </c>
      <c r="E4">
        <v>0.19560848</v>
      </c>
      <c r="F4">
        <v>1.7703980000000001E-2</v>
      </c>
      <c r="G4">
        <v>2.979327E-2</v>
      </c>
    </row>
    <row r="5" spans="1:7">
      <c r="A5" t="s">
        <v>1839</v>
      </c>
      <c r="B5">
        <v>-15476.188276880001</v>
      </c>
      <c r="C5">
        <v>-16507.222888010001</v>
      </c>
      <c r="D5">
        <v>-596.48095635000004</v>
      </c>
      <c r="E5">
        <v>0.1943626</v>
      </c>
      <c r="F5">
        <v>1.736329E-2</v>
      </c>
      <c r="G5">
        <v>2.9392049999999999E-2</v>
      </c>
    </row>
    <row r="6" spans="1:7">
      <c r="A6" t="s">
        <v>1840</v>
      </c>
      <c r="B6">
        <v>-15476.159809569999</v>
      </c>
      <c r="C6">
        <v>-17007.198480340001</v>
      </c>
      <c r="D6">
        <v>-596.50776493000001</v>
      </c>
      <c r="E6">
        <v>0.19538823</v>
      </c>
      <c r="F6">
        <v>1.6964650000000001E-2</v>
      </c>
      <c r="G6">
        <v>2.7975110000000001E-2</v>
      </c>
    </row>
    <row r="7" spans="1:7">
      <c r="A7" t="s">
        <v>1841</v>
      </c>
      <c r="B7">
        <v>-15476.051011400001</v>
      </c>
      <c r="C7">
        <v>-18044.941057169999</v>
      </c>
      <c r="D7">
        <v>-596.18783833999998</v>
      </c>
      <c r="E7">
        <v>0.19496094</v>
      </c>
      <c r="F7">
        <v>1.7133860000000001E-2</v>
      </c>
      <c r="G7">
        <v>2.8643169999999999E-2</v>
      </c>
    </row>
    <row r="8" spans="1:7">
      <c r="A8" t="s">
        <v>1842</v>
      </c>
      <c r="B8">
        <v>-15475.902504330001</v>
      </c>
      <c r="C8">
        <v>-18570.06104764</v>
      </c>
      <c r="D8">
        <v>-596.47656942000003</v>
      </c>
      <c r="E8">
        <v>0.19731868999999999</v>
      </c>
      <c r="F8">
        <v>1.833388E-2</v>
      </c>
      <c r="G8">
        <v>2.7983859999999999E-2</v>
      </c>
    </row>
    <row r="9" spans="1:7">
      <c r="A9" t="s">
        <v>1843</v>
      </c>
      <c r="B9">
        <v>-15475.893071439999</v>
      </c>
      <c r="C9">
        <v>-19107.334777439999</v>
      </c>
      <c r="D9">
        <v>-596.38322628000003</v>
      </c>
      <c r="E9">
        <v>0.19634192</v>
      </c>
      <c r="F9">
        <v>1.9286129999999999E-2</v>
      </c>
      <c r="G9">
        <v>2.8766400000000001E-2</v>
      </c>
    </row>
    <row r="10" spans="1:7">
      <c r="A10" t="s">
        <v>1844</v>
      </c>
      <c r="B10">
        <v>-15475.81020269</v>
      </c>
      <c r="C10">
        <v>-19606.908237889998</v>
      </c>
      <c r="D10">
        <v>-596.45465148000005</v>
      </c>
      <c r="E10">
        <v>0.19725374000000001</v>
      </c>
      <c r="F10">
        <v>2.012663E-2</v>
      </c>
      <c r="G10">
        <v>2.7939120000000001E-2</v>
      </c>
    </row>
    <row r="11" spans="1:7">
      <c r="A11" t="s">
        <v>1845</v>
      </c>
      <c r="B11">
        <v>-15475.69936766</v>
      </c>
      <c r="C11">
        <v>-20632.050579850002</v>
      </c>
      <c r="D11">
        <v>-596.28949258</v>
      </c>
      <c r="E11">
        <v>0.1971772</v>
      </c>
      <c r="F11">
        <v>2.3150259999999999E-2</v>
      </c>
      <c r="G11">
        <v>3.2531079999999997E-2</v>
      </c>
    </row>
    <row r="12" spans="1:7">
      <c r="A12" t="s">
        <v>1846</v>
      </c>
      <c r="B12">
        <v>-15475.673648370001</v>
      </c>
      <c r="C12">
        <v>-21182.55679558</v>
      </c>
      <c r="D12">
        <v>-596.53514055000005</v>
      </c>
      <c r="E12">
        <v>0.19716859</v>
      </c>
      <c r="F12">
        <v>2.2550790000000001E-2</v>
      </c>
      <c r="G12">
        <v>3.070053E-2</v>
      </c>
    </row>
    <row r="13" spans="1:7">
      <c r="A13" t="s">
        <v>1847</v>
      </c>
      <c r="B13">
        <v>-15475.5875363</v>
      </c>
      <c r="C13">
        <v>-21694.80816656</v>
      </c>
      <c r="D13">
        <v>-597.10423638999998</v>
      </c>
      <c r="E13">
        <v>0.19798699</v>
      </c>
      <c r="F13">
        <v>2.196232E-2</v>
      </c>
      <c r="G13">
        <v>3.2636119999999998E-2</v>
      </c>
    </row>
    <row r="14" spans="1:7">
      <c r="A14" t="s">
        <v>1848</v>
      </c>
      <c r="B14">
        <v>-15475.546713289999</v>
      </c>
      <c r="C14">
        <v>-22182.700297070001</v>
      </c>
      <c r="D14">
        <v>-596.91925881999998</v>
      </c>
      <c r="E14">
        <v>0.20204775999999999</v>
      </c>
      <c r="F14">
        <v>2.3902949999999999E-2</v>
      </c>
      <c r="G14">
        <v>3.59745E-2</v>
      </c>
    </row>
    <row r="15" spans="1:7">
      <c r="A15" t="s">
        <v>153</v>
      </c>
      <c r="B15">
        <v>-14995.10442498</v>
      </c>
      <c r="C15">
        <v>-25392.927685359999</v>
      </c>
      <c r="D15">
        <v>14.79675357</v>
      </c>
      <c r="E15">
        <v>0.20261905999999999</v>
      </c>
      <c r="F15">
        <v>2.5059680000000001E-2</v>
      </c>
      <c r="G15">
        <v>3.5584629999999999E-2</v>
      </c>
    </row>
    <row r="16" spans="1:7">
      <c r="A16" t="s">
        <v>152</v>
      </c>
      <c r="B16">
        <v>-14995.144126499999</v>
      </c>
      <c r="C16">
        <v>-25272.908479369999</v>
      </c>
      <c r="D16">
        <v>14.788359010000001</v>
      </c>
      <c r="E16">
        <v>0.20444967999999999</v>
      </c>
      <c r="F16">
        <v>2.441103E-2</v>
      </c>
      <c r="G16">
        <v>3.4999250000000003E-2</v>
      </c>
    </row>
    <row r="17" spans="1:7">
      <c r="A17" t="s">
        <v>155</v>
      </c>
      <c r="B17">
        <v>-14995.016473060001</v>
      </c>
      <c r="C17">
        <v>-25698.245094000002</v>
      </c>
      <c r="D17">
        <v>14.78668933</v>
      </c>
      <c r="E17">
        <v>0.20116154999999999</v>
      </c>
      <c r="F17">
        <v>2.7356559999999999E-2</v>
      </c>
      <c r="G17">
        <v>3.7191040000000002E-2</v>
      </c>
    </row>
    <row r="18" spans="1:7">
      <c r="A18" t="s">
        <v>154</v>
      </c>
      <c r="B18">
        <v>-14995.07717891</v>
      </c>
      <c r="C18">
        <v>-25578.217449970001</v>
      </c>
      <c r="D18">
        <v>14.79679449</v>
      </c>
      <c r="E18">
        <v>0.20435273000000001</v>
      </c>
      <c r="F18">
        <v>2.509115E-2</v>
      </c>
      <c r="G18">
        <v>3.7539959999999997E-2</v>
      </c>
    </row>
    <row r="19" spans="1:7">
      <c r="A19" t="s">
        <v>157</v>
      </c>
      <c r="B19">
        <v>-14995.047971280001</v>
      </c>
      <c r="C19">
        <v>-26198.40520035</v>
      </c>
      <c r="D19">
        <v>14.828916830000001</v>
      </c>
      <c r="E19">
        <v>0.20267357999999999</v>
      </c>
      <c r="F19">
        <v>2.5253029999999999E-2</v>
      </c>
      <c r="G19">
        <v>3.6457129999999997E-2</v>
      </c>
    </row>
    <row r="20" spans="1:7">
      <c r="A20" t="s">
        <v>156</v>
      </c>
      <c r="B20">
        <v>-14995.079786759999</v>
      </c>
      <c r="C20">
        <v>-26078.435050029999</v>
      </c>
      <c r="D20">
        <v>14.831271429999999</v>
      </c>
      <c r="E20">
        <v>0.202793</v>
      </c>
      <c r="F20">
        <v>2.5560329999999999E-2</v>
      </c>
      <c r="G20">
        <v>3.7889659999999999E-2</v>
      </c>
    </row>
    <row r="21" spans="1:7">
      <c r="A21" t="s">
        <v>159</v>
      </c>
      <c r="B21">
        <v>-14994.99435701</v>
      </c>
      <c r="C21">
        <v>-26503.25443415</v>
      </c>
      <c r="D21">
        <v>14.798408520000001</v>
      </c>
      <c r="E21">
        <v>0.20338498999999999</v>
      </c>
      <c r="F21">
        <v>2.4023510000000001E-2</v>
      </c>
      <c r="G21">
        <v>3.7109499999999997E-2</v>
      </c>
    </row>
    <row r="22" spans="1:7">
      <c r="A22" t="s">
        <v>158</v>
      </c>
      <c r="B22">
        <v>-14995.03475845</v>
      </c>
      <c r="C22">
        <v>-26383.26072694</v>
      </c>
      <c r="D22">
        <v>14.80013113</v>
      </c>
      <c r="E22">
        <v>0.20523785</v>
      </c>
      <c r="F22">
        <v>2.5183980000000002E-2</v>
      </c>
      <c r="G22">
        <v>3.794115E-2</v>
      </c>
    </row>
    <row r="23" spans="1:7">
      <c r="A23" t="s">
        <v>1849</v>
      </c>
      <c r="B23">
        <v>-15536.9685188</v>
      </c>
      <c r="C23">
        <v>-383632.66253355</v>
      </c>
      <c r="D23">
        <v>37.973301059999997</v>
      </c>
      <c r="E23">
        <v>0.46683491999999999</v>
      </c>
      <c r="F23">
        <v>6.6972820000000002E-2</v>
      </c>
      <c r="G23">
        <v>0.15100262</v>
      </c>
    </row>
    <row r="24" spans="1:7">
      <c r="A24" t="s">
        <v>1850</v>
      </c>
      <c r="B24">
        <v>-15381.789221659999</v>
      </c>
      <c r="C24">
        <v>-381979.69970042002</v>
      </c>
      <c r="D24">
        <v>37.843528620000001</v>
      </c>
      <c r="E24">
        <v>0.45624941000000002</v>
      </c>
      <c r="F24">
        <v>4.9370669999999998E-2</v>
      </c>
      <c r="G24">
        <v>0.12296594</v>
      </c>
    </row>
    <row r="25" spans="1:7">
      <c r="A25" t="s">
        <v>393</v>
      </c>
      <c r="B25">
        <v>-14923.227145569999</v>
      </c>
      <c r="C25">
        <v>-136462.38482693001</v>
      </c>
      <c r="D25">
        <v>111.63408913000001</v>
      </c>
      <c r="E25">
        <v>0.25593854999999999</v>
      </c>
      <c r="F25">
        <v>3.136336E-2</v>
      </c>
      <c r="G25">
        <v>4.050782E-2</v>
      </c>
    </row>
    <row r="26" spans="1:7">
      <c r="A26" t="s">
        <v>392</v>
      </c>
      <c r="B26">
        <v>-14923.34847769</v>
      </c>
      <c r="C26">
        <v>-135602.30859104</v>
      </c>
      <c r="D26">
        <v>111.55982112</v>
      </c>
      <c r="E26">
        <v>0.25690531</v>
      </c>
      <c r="F26">
        <v>3.5396780000000003E-2</v>
      </c>
      <c r="G26">
        <v>4.4709749999999999E-2</v>
      </c>
    </row>
    <row r="27" spans="1:7">
      <c r="A27" t="s">
        <v>395</v>
      </c>
      <c r="B27">
        <v>-15206.244604220001</v>
      </c>
      <c r="C27">
        <v>-138775.2960801</v>
      </c>
      <c r="D27">
        <v>126.83352157</v>
      </c>
      <c r="E27">
        <v>0.25159931000000002</v>
      </c>
      <c r="F27">
        <v>2.4372609999999999E-2</v>
      </c>
      <c r="G27">
        <v>2.904373E-2</v>
      </c>
    </row>
    <row r="28" spans="1:7">
      <c r="A28" t="s">
        <v>396</v>
      </c>
      <c r="B28">
        <v>-15142.28469782</v>
      </c>
      <c r="C28">
        <v>-138777.77251901</v>
      </c>
      <c r="D28">
        <v>126.8201435</v>
      </c>
      <c r="E28">
        <v>0.25503619</v>
      </c>
      <c r="F28">
        <v>2.302038E-2</v>
      </c>
      <c r="G28">
        <v>2.777396E-2</v>
      </c>
    </row>
    <row r="29" spans="1:7">
      <c r="A29" t="s">
        <v>397</v>
      </c>
      <c r="B29">
        <v>-15191.804363740001</v>
      </c>
      <c r="C29">
        <v>-139233.84966313001</v>
      </c>
      <c r="D29">
        <v>126.86200175</v>
      </c>
      <c r="E29">
        <v>0.25202665000000002</v>
      </c>
      <c r="F29">
        <v>2.2724210000000002E-2</v>
      </c>
      <c r="G29">
        <v>2.8647769999999999E-2</v>
      </c>
    </row>
    <row r="30" spans="1:7">
      <c r="A30" t="s">
        <v>394</v>
      </c>
      <c r="B30">
        <v>-15156.71096196</v>
      </c>
      <c r="C30">
        <v>-138319.21727416001</v>
      </c>
      <c r="D30">
        <v>126.85792567999999</v>
      </c>
      <c r="E30">
        <v>0.25374331</v>
      </c>
      <c r="F30">
        <v>2.373105E-2</v>
      </c>
      <c r="G30">
        <v>3.0799010000000002E-2</v>
      </c>
    </row>
    <row r="31" spans="1:7">
      <c r="A31" t="s">
        <v>400</v>
      </c>
      <c r="B31">
        <v>-15205.53157965</v>
      </c>
      <c r="C31">
        <v>-143842.19662301001</v>
      </c>
      <c r="D31">
        <v>126.99681529</v>
      </c>
      <c r="E31">
        <v>0.24862935</v>
      </c>
      <c r="F31">
        <v>1.9741249999999998E-2</v>
      </c>
      <c r="G31">
        <v>2.120733E-2</v>
      </c>
    </row>
    <row r="32" spans="1:7">
      <c r="A32" t="s">
        <v>399</v>
      </c>
      <c r="B32">
        <v>-15141.55634064</v>
      </c>
      <c r="C32">
        <v>-143839.71041992999</v>
      </c>
      <c r="D32">
        <v>126.99139183</v>
      </c>
      <c r="E32">
        <v>0.24890370000000001</v>
      </c>
      <c r="F32">
        <v>1.8754779999999999E-2</v>
      </c>
      <c r="G32">
        <v>2.0244410000000001E-2</v>
      </c>
    </row>
    <row r="33" spans="1:7">
      <c r="A33" t="s">
        <v>401</v>
      </c>
      <c r="B33">
        <v>-15155.91216453</v>
      </c>
      <c r="C33">
        <v>-144298.37080895001</v>
      </c>
      <c r="D33">
        <v>126.98850585</v>
      </c>
      <c r="E33">
        <v>0.24808421999999999</v>
      </c>
      <c r="F33">
        <v>1.9265460000000002E-2</v>
      </c>
      <c r="G33">
        <v>2.0151349999999998E-2</v>
      </c>
    </row>
    <row r="34" spans="1:7">
      <c r="A34" t="s">
        <v>398</v>
      </c>
      <c r="B34">
        <v>-15191.22995827</v>
      </c>
      <c r="C34">
        <v>-143383.62246765001</v>
      </c>
      <c r="D34">
        <v>127.01118568</v>
      </c>
      <c r="E34">
        <v>0.24919751000000001</v>
      </c>
      <c r="F34">
        <v>2.024391E-2</v>
      </c>
      <c r="G34">
        <v>2.1767089999999999E-2</v>
      </c>
    </row>
    <row r="35" spans="1:7">
      <c r="A35" t="s">
        <v>403</v>
      </c>
      <c r="B35">
        <v>-14921.92737109</v>
      </c>
      <c r="C35">
        <v>-147015.00423757001</v>
      </c>
      <c r="D35">
        <v>111.99988885</v>
      </c>
      <c r="E35">
        <v>0.24802203</v>
      </c>
      <c r="F35">
        <v>2.290621E-2</v>
      </c>
      <c r="G35">
        <v>2.4181069999999999E-2</v>
      </c>
    </row>
    <row r="36" spans="1:7">
      <c r="A36" t="s">
        <v>402</v>
      </c>
      <c r="B36">
        <v>-14922.02879962</v>
      </c>
      <c r="C36">
        <v>-146154.94133366999</v>
      </c>
      <c r="D36">
        <v>112.02841976000001</v>
      </c>
      <c r="E36">
        <v>0.24834877</v>
      </c>
      <c r="F36">
        <v>2.229389E-2</v>
      </c>
      <c r="G36">
        <v>2.3777940000000001E-2</v>
      </c>
    </row>
    <row r="37" spans="1:7">
      <c r="A37" t="s">
        <v>70</v>
      </c>
      <c r="B37">
        <v>-121.05357581</v>
      </c>
      <c r="C37">
        <v>118584.08192308</v>
      </c>
      <c r="D37">
        <v>118.87622143</v>
      </c>
      <c r="E37">
        <v>0.28213463</v>
      </c>
      <c r="F37">
        <v>5.4249350000000002E-2</v>
      </c>
      <c r="G37">
        <v>3.082391E-2</v>
      </c>
    </row>
    <row r="38" spans="1:7">
      <c r="A38" t="s">
        <v>69</v>
      </c>
      <c r="B38">
        <v>-0.39689545999999998</v>
      </c>
      <c r="C38">
        <v>117745.08751226</v>
      </c>
      <c r="D38">
        <v>118.96423947</v>
      </c>
      <c r="E38">
        <v>0.27782809000000003</v>
      </c>
      <c r="F38">
        <v>5.6669959999999998E-2</v>
      </c>
      <c r="G38">
        <v>2.8999359999999998E-2</v>
      </c>
    </row>
    <row r="39" spans="1:7">
      <c r="A39" t="s">
        <v>71</v>
      </c>
      <c r="B39">
        <v>-2009.6419730099999</v>
      </c>
      <c r="C39">
        <v>122098.73865319</v>
      </c>
      <c r="D39">
        <v>119.69806895000001</v>
      </c>
      <c r="E39">
        <v>0.29619027999999997</v>
      </c>
      <c r="F39">
        <v>5.037929E-2</v>
      </c>
      <c r="G39">
        <v>3.2366289999999999E-2</v>
      </c>
    </row>
    <row r="40" spans="1:7">
      <c r="A40" t="s">
        <v>72</v>
      </c>
      <c r="B40">
        <v>-2764.4369148400001</v>
      </c>
      <c r="C40">
        <v>122534.52153472</v>
      </c>
      <c r="D40">
        <v>119.67345091</v>
      </c>
      <c r="E40">
        <v>0.29814316000000002</v>
      </c>
      <c r="F40">
        <v>4.6092130000000002E-2</v>
      </c>
      <c r="G40">
        <v>2.7657919999999999E-2</v>
      </c>
    </row>
    <row r="41" spans="1:7">
      <c r="A41" t="s">
        <v>79</v>
      </c>
      <c r="B41">
        <v>-5490.9521403400004</v>
      </c>
      <c r="C41">
        <v>124108.67007578</v>
      </c>
      <c r="D41">
        <v>119.10886807</v>
      </c>
      <c r="E41">
        <v>0.30331208999999998</v>
      </c>
      <c r="F41">
        <v>3.7044010000000002E-2</v>
      </c>
      <c r="G41">
        <v>2.4958419999999999E-2</v>
      </c>
    </row>
    <row r="42" spans="1:7">
      <c r="A42" t="s">
        <v>80</v>
      </c>
      <c r="B42">
        <v>-6362.5504087099998</v>
      </c>
      <c r="C42">
        <v>124108.50175190999</v>
      </c>
      <c r="D42">
        <v>119.22422964</v>
      </c>
      <c r="E42">
        <v>0.30383631999999999</v>
      </c>
      <c r="F42">
        <v>3.6463580000000002E-2</v>
      </c>
      <c r="G42">
        <v>2.529926E-2</v>
      </c>
    </row>
    <row r="43" spans="1:7">
      <c r="A43" t="s">
        <v>78</v>
      </c>
      <c r="B43">
        <v>-4736.1257984699996</v>
      </c>
      <c r="C43">
        <v>123673.04930154</v>
      </c>
      <c r="D43">
        <v>119.25096093000001</v>
      </c>
      <c r="E43">
        <v>0.30189049000000001</v>
      </c>
      <c r="F43">
        <v>3.905103E-2</v>
      </c>
      <c r="G43">
        <v>2.5514789999999999E-2</v>
      </c>
    </row>
    <row r="44" spans="1:7">
      <c r="A44" t="s">
        <v>86</v>
      </c>
      <c r="B44">
        <v>-9522.5036036199999</v>
      </c>
      <c r="C44">
        <v>124108.41531081</v>
      </c>
      <c r="D44">
        <v>118.75412369</v>
      </c>
      <c r="E44">
        <v>0.30326191000000002</v>
      </c>
      <c r="F44">
        <v>3.0293199999999999E-2</v>
      </c>
      <c r="G44">
        <v>2.6270660000000001E-2</v>
      </c>
    </row>
    <row r="45" spans="1:7">
      <c r="A45" t="s">
        <v>87</v>
      </c>
      <c r="B45">
        <v>-10277.301510810001</v>
      </c>
      <c r="C45">
        <v>123672.55759762001</v>
      </c>
      <c r="D45">
        <v>118.93864086000001</v>
      </c>
      <c r="E45">
        <v>0.30272008</v>
      </c>
      <c r="F45">
        <v>2.7762680000000001E-2</v>
      </c>
      <c r="G45">
        <v>2.663248E-2</v>
      </c>
    </row>
    <row r="46" spans="1:7">
      <c r="A46" t="s">
        <v>85</v>
      </c>
      <c r="B46">
        <v>-8650.9516391100005</v>
      </c>
      <c r="C46">
        <v>124108.46442344</v>
      </c>
      <c r="D46">
        <v>118.81239467</v>
      </c>
      <c r="E46">
        <v>0.30284602999999999</v>
      </c>
      <c r="F46">
        <v>3.0585540000000001E-2</v>
      </c>
      <c r="G46">
        <v>2.5793920000000001E-2</v>
      </c>
    </row>
    <row r="47" spans="1:7">
      <c r="A47" t="s">
        <v>94</v>
      </c>
      <c r="B47">
        <v>-13003.52469247</v>
      </c>
      <c r="C47">
        <v>122098.00996804</v>
      </c>
      <c r="D47">
        <v>119.06697371</v>
      </c>
      <c r="E47">
        <v>0.29528246000000002</v>
      </c>
      <c r="F47">
        <v>2.8017219999999999E-2</v>
      </c>
      <c r="G47">
        <v>2.885339E-2</v>
      </c>
    </row>
    <row r="48" spans="1:7">
      <c r="A48" t="s">
        <v>95</v>
      </c>
      <c r="B48">
        <v>-13439.25127391</v>
      </c>
      <c r="C48">
        <v>121343.13247702</v>
      </c>
      <c r="D48">
        <v>119.1430958</v>
      </c>
      <c r="E48">
        <v>0.29280244</v>
      </c>
      <c r="F48">
        <v>2.8088539999999999E-2</v>
      </c>
      <c r="G48">
        <v>2.6398100000000001E-2</v>
      </c>
    </row>
    <row r="49" spans="1:7">
      <c r="A49" t="s">
        <v>93</v>
      </c>
      <c r="B49">
        <v>-12248.67895963</v>
      </c>
      <c r="C49">
        <v>122533.80660785999</v>
      </c>
      <c r="D49">
        <v>119.12251153</v>
      </c>
      <c r="E49">
        <v>0.29481236</v>
      </c>
      <c r="F49">
        <v>2.9027520000000001E-2</v>
      </c>
      <c r="G49">
        <v>2.5881009999999999E-2</v>
      </c>
    </row>
    <row r="50" spans="1:7">
      <c r="A50" t="s">
        <v>100</v>
      </c>
      <c r="B50">
        <v>-14891.396538520001</v>
      </c>
      <c r="C50">
        <v>118584.37400082</v>
      </c>
      <c r="D50">
        <v>119.05417507999999</v>
      </c>
      <c r="E50">
        <v>0.28210995</v>
      </c>
      <c r="F50">
        <v>2.968204E-2</v>
      </c>
      <c r="G50">
        <v>2.5300929999999999E-2</v>
      </c>
    </row>
    <row r="51" spans="1:7">
      <c r="A51" t="s">
        <v>101</v>
      </c>
      <c r="B51">
        <v>-15012.07314049</v>
      </c>
      <c r="C51">
        <v>117745.44036273001</v>
      </c>
      <c r="D51">
        <v>119.09210594</v>
      </c>
      <c r="E51">
        <v>0.27844952000000001</v>
      </c>
      <c r="F51">
        <v>2.9957439999999998E-2</v>
      </c>
      <c r="G51">
        <v>2.1364770000000002E-2</v>
      </c>
    </row>
    <row r="52" spans="1:7">
      <c r="A52" t="s">
        <v>99</v>
      </c>
      <c r="B52">
        <v>-14576.297403439999</v>
      </c>
      <c r="C52">
        <v>119371.26745109</v>
      </c>
      <c r="D52">
        <v>119.06638894</v>
      </c>
      <c r="E52">
        <v>0.28442804999999999</v>
      </c>
      <c r="F52">
        <v>3.0253760000000001E-2</v>
      </c>
      <c r="G52">
        <v>2.373714E-2</v>
      </c>
    </row>
    <row r="53" spans="1:7">
      <c r="A53" t="s">
        <v>807</v>
      </c>
      <c r="B53">
        <v>-13525.2362761</v>
      </c>
      <c r="C53">
        <v>22644.221970430001</v>
      </c>
      <c r="D53">
        <v>-16.918822670000001</v>
      </c>
      <c r="E53">
        <v>0.14249286999999999</v>
      </c>
      <c r="F53">
        <v>2.2354809999999999E-2</v>
      </c>
      <c r="G53">
        <v>3.211402E-2</v>
      </c>
    </row>
    <row r="54" spans="1:7">
      <c r="A54" t="s">
        <v>808</v>
      </c>
      <c r="B54">
        <v>-17480.092596710001</v>
      </c>
      <c r="C54">
        <v>16955.061241349998</v>
      </c>
      <c r="D54">
        <v>-15.518833709999999</v>
      </c>
      <c r="E54">
        <v>0.14750838999999999</v>
      </c>
      <c r="F54">
        <v>2.3064129999999999E-2</v>
      </c>
      <c r="G54">
        <v>4.225048E-2</v>
      </c>
    </row>
    <row r="55" spans="1:7">
      <c r="A55" t="s">
        <v>809</v>
      </c>
      <c r="B55">
        <v>-13536.192371700001</v>
      </c>
      <c r="C55">
        <v>16868.232207839999</v>
      </c>
      <c r="D55">
        <v>-16.88388483</v>
      </c>
      <c r="E55">
        <v>0.14791791000000001</v>
      </c>
      <c r="F55">
        <v>2.221296E-2</v>
      </c>
      <c r="G55">
        <v>3.5396959999999998E-2</v>
      </c>
    </row>
    <row r="56" spans="1:7">
      <c r="A56" t="s">
        <v>810</v>
      </c>
      <c r="B56">
        <v>-17477.299238619999</v>
      </c>
      <c r="C56">
        <v>16041.686085269999</v>
      </c>
      <c r="D56">
        <v>-15.91366977</v>
      </c>
      <c r="E56">
        <v>0.14793170999999999</v>
      </c>
      <c r="F56">
        <v>2.321341E-2</v>
      </c>
      <c r="G56">
        <v>4.1187460000000002E-2</v>
      </c>
    </row>
    <row r="57" spans="1:7">
      <c r="A57" t="s">
        <v>811</v>
      </c>
      <c r="B57">
        <v>-13525.83226019</v>
      </c>
      <c r="C57">
        <v>16278.722482630001</v>
      </c>
      <c r="D57">
        <v>-17.115171839999999</v>
      </c>
      <c r="E57">
        <v>0.14741575000000001</v>
      </c>
      <c r="F57">
        <v>2.4279040000000002E-2</v>
      </c>
      <c r="G57">
        <v>3.5711470000000002E-2</v>
      </c>
    </row>
    <row r="58" spans="1:7">
      <c r="A58" t="s">
        <v>812</v>
      </c>
      <c r="B58">
        <v>-17472.029641630001</v>
      </c>
      <c r="C58">
        <v>11945.9342985</v>
      </c>
      <c r="D58">
        <v>-13.522643670000001</v>
      </c>
      <c r="E58">
        <v>0.15104400000000001</v>
      </c>
      <c r="F58">
        <v>2.246196E-2</v>
      </c>
      <c r="G58">
        <v>4.3917449999999997E-2</v>
      </c>
    </row>
    <row r="59" spans="1:7">
      <c r="A59" t="s">
        <v>813</v>
      </c>
      <c r="B59">
        <v>-13516.103184809999</v>
      </c>
      <c r="C59">
        <v>11858.63017414</v>
      </c>
      <c r="D59">
        <v>-16.0441854</v>
      </c>
      <c r="E59">
        <v>0.15582673</v>
      </c>
      <c r="F59">
        <v>2.196321E-2</v>
      </c>
      <c r="G59">
        <v>3.7364189999999999E-2</v>
      </c>
    </row>
    <row r="60" spans="1:7">
      <c r="A60" t="s">
        <v>814</v>
      </c>
      <c r="B60">
        <v>-17470.126652980001</v>
      </c>
      <c r="C60">
        <v>2716.4929126500001</v>
      </c>
      <c r="D60">
        <v>-12.810653759999999</v>
      </c>
      <c r="E60">
        <v>0.17067319</v>
      </c>
      <c r="F60">
        <v>2.6879549999999999E-2</v>
      </c>
      <c r="G60">
        <v>5.9439980000000003E-2</v>
      </c>
    </row>
    <row r="61" spans="1:7">
      <c r="A61" t="s">
        <v>815</v>
      </c>
      <c r="B61">
        <v>-13513.219096500001</v>
      </c>
      <c r="C61">
        <v>3449.1161159100002</v>
      </c>
      <c r="D61">
        <v>-16.08878481</v>
      </c>
      <c r="E61">
        <v>0.16400345</v>
      </c>
      <c r="F61">
        <v>2.101958E-2</v>
      </c>
      <c r="G61">
        <v>4.1165269999999997E-2</v>
      </c>
    </row>
    <row r="62" spans="1:7">
      <c r="A62" t="s">
        <v>816</v>
      </c>
      <c r="B62">
        <v>-13521.226798899999</v>
      </c>
      <c r="C62">
        <v>-2221.37000115</v>
      </c>
      <c r="D62">
        <v>-15.352735129999999</v>
      </c>
      <c r="E62">
        <v>0.17418801</v>
      </c>
      <c r="F62">
        <v>2.093472E-2</v>
      </c>
      <c r="G62">
        <v>4.1755819999999999E-2</v>
      </c>
    </row>
    <row r="63" spans="1:7">
      <c r="A63" t="s">
        <v>817</v>
      </c>
      <c r="B63">
        <v>-17468.073540369998</v>
      </c>
      <c r="C63">
        <v>-5253.9089897200001</v>
      </c>
      <c r="D63">
        <v>-14.90399459</v>
      </c>
      <c r="E63">
        <v>0.17474706000000001</v>
      </c>
      <c r="F63">
        <v>2.0602280000000001E-2</v>
      </c>
      <c r="G63">
        <v>4.6370189999999999E-2</v>
      </c>
    </row>
    <row r="64" spans="1:7">
      <c r="A64" t="s">
        <v>818</v>
      </c>
      <c r="B64">
        <v>-12048.40081904</v>
      </c>
      <c r="C64">
        <v>-3653.26558282</v>
      </c>
      <c r="D64">
        <v>-15.90929019</v>
      </c>
      <c r="E64">
        <v>0.17132828999999999</v>
      </c>
      <c r="F64">
        <v>1.8420300000000001E-2</v>
      </c>
      <c r="G64">
        <v>3.6042659999999997E-2</v>
      </c>
    </row>
    <row r="65" spans="1:7">
      <c r="A65" t="s">
        <v>819</v>
      </c>
      <c r="B65">
        <v>-13526.348948049999</v>
      </c>
      <c r="C65">
        <v>-3530.5562146500001</v>
      </c>
      <c r="D65">
        <v>-20.275017500000001</v>
      </c>
      <c r="E65">
        <v>0.17423431</v>
      </c>
      <c r="F65">
        <v>2.582537E-2</v>
      </c>
      <c r="G65">
        <v>3.8729020000000003E-2</v>
      </c>
    </row>
    <row r="66" spans="1:7">
      <c r="A66" t="s">
        <v>820</v>
      </c>
      <c r="B66">
        <v>-13384.85332806</v>
      </c>
      <c r="C66">
        <v>-3652.76248278</v>
      </c>
      <c r="D66">
        <v>290.49690853999999</v>
      </c>
      <c r="E66">
        <v>0.17215991</v>
      </c>
      <c r="F66">
        <v>1.971999E-2</v>
      </c>
      <c r="G66">
        <v>3.617066E-2</v>
      </c>
    </row>
    <row r="67" spans="1:7">
      <c r="A67" t="s">
        <v>821</v>
      </c>
      <c r="B67">
        <v>-17467.899075099998</v>
      </c>
      <c r="C67">
        <v>-7605.6793826599996</v>
      </c>
      <c r="D67">
        <v>-16.837507299999999</v>
      </c>
      <c r="E67">
        <v>0.17773605000000001</v>
      </c>
      <c r="F67">
        <v>1.9753300000000001E-2</v>
      </c>
      <c r="G67">
        <v>4.4184580000000001E-2</v>
      </c>
    </row>
    <row r="68" spans="1:7">
      <c r="A68" t="s">
        <v>822</v>
      </c>
      <c r="B68">
        <v>-17467.653742819999</v>
      </c>
      <c r="C68">
        <v>-14581.690998980001</v>
      </c>
      <c r="D68">
        <v>-16.27985803</v>
      </c>
      <c r="E68">
        <v>0.19191701999999999</v>
      </c>
      <c r="F68">
        <v>2.1977420000000001E-2</v>
      </c>
      <c r="G68">
        <v>6.0716520000000003E-2</v>
      </c>
    </row>
    <row r="69" spans="1:7">
      <c r="A69" t="s">
        <v>823</v>
      </c>
      <c r="B69">
        <v>-17474.324999119999</v>
      </c>
      <c r="C69">
        <v>-21242.38743363</v>
      </c>
      <c r="D69">
        <v>-18.193575460000002</v>
      </c>
      <c r="E69">
        <v>0.19683835999999999</v>
      </c>
      <c r="F69">
        <v>2.4101319999999999E-2</v>
      </c>
      <c r="G69">
        <v>6.5265619999999996E-2</v>
      </c>
    </row>
    <row r="70" spans="1:7">
      <c r="A70" t="s">
        <v>824</v>
      </c>
      <c r="B70">
        <v>-17475.218439460001</v>
      </c>
      <c r="C70">
        <v>-30769.140347469998</v>
      </c>
      <c r="D70">
        <v>-20.84617909</v>
      </c>
      <c r="E70">
        <v>0.20704686999999999</v>
      </c>
      <c r="F70">
        <v>2.2242620000000001E-2</v>
      </c>
      <c r="G70">
        <v>6.9551699999999994E-2</v>
      </c>
    </row>
    <row r="71" spans="1:7">
      <c r="A71" t="s">
        <v>825</v>
      </c>
      <c r="B71">
        <v>-13515.16937793</v>
      </c>
      <c r="C71">
        <v>-16011.072193600001</v>
      </c>
      <c r="D71">
        <v>285.95358378999998</v>
      </c>
      <c r="E71">
        <v>0.19505427</v>
      </c>
      <c r="F71">
        <v>2.2673869999999999E-2</v>
      </c>
      <c r="G71">
        <v>5.3443289999999997E-2</v>
      </c>
    </row>
    <row r="72" spans="1:7">
      <c r="A72" t="s">
        <v>826</v>
      </c>
      <c r="B72">
        <v>-13520.393617289999</v>
      </c>
      <c r="C72">
        <v>-21748.647872919999</v>
      </c>
      <c r="D72">
        <v>280.13934090999999</v>
      </c>
      <c r="E72">
        <v>0.20131874999999999</v>
      </c>
      <c r="F72">
        <v>2.8094870000000001E-2</v>
      </c>
      <c r="G72">
        <v>5.3209439999999997E-2</v>
      </c>
    </row>
    <row r="73" spans="1:7">
      <c r="A73" t="s">
        <v>827</v>
      </c>
      <c r="B73">
        <v>-13535.28470256</v>
      </c>
      <c r="C73">
        <v>-29112.759968620001</v>
      </c>
      <c r="D73">
        <v>288.60350421999999</v>
      </c>
      <c r="E73">
        <v>0.20426763000000001</v>
      </c>
      <c r="F73">
        <v>2.429744E-2</v>
      </c>
      <c r="G73">
        <v>5.4092960000000002E-2</v>
      </c>
    </row>
    <row r="74" spans="1:7">
      <c r="A74" t="s">
        <v>828</v>
      </c>
      <c r="B74">
        <v>-13510.13128998</v>
      </c>
      <c r="C74">
        <v>-39257.211589250001</v>
      </c>
      <c r="D74">
        <v>291.76863100999998</v>
      </c>
      <c r="E74">
        <v>0.20703384999999999</v>
      </c>
      <c r="F74">
        <v>2.8049080000000001E-2</v>
      </c>
      <c r="G74">
        <v>5.10783E-2</v>
      </c>
    </row>
    <row r="75" spans="1:7">
      <c r="A75" t="s">
        <v>829</v>
      </c>
      <c r="B75">
        <v>-17478.83876844</v>
      </c>
      <c r="C75">
        <v>-40708.260922879999</v>
      </c>
      <c r="D75">
        <v>-22.894522569999999</v>
      </c>
      <c r="E75">
        <v>0.21023712</v>
      </c>
      <c r="F75">
        <v>2.177728E-2</v>
      </c>
      <c r="G75">
        <v>7.5499339999999998E-2</v>
      </c>
    </row>
    <row r="76" spans="1:7">
      <c r="A76" t="s">
        <v>830</v>
      </c>
      <c r="B76">
        <v>-13510.17750285</v>
      </c>
      <c r="C76">
        <v>-39257.220590819998</v>
      </c>
      <c r="D76">
        <v>291.74833529</v>
      </c>
      <c r="E76">
        <v>0.21029938000000001</v>
      </c>
      <c r="F76">
        <v>3.6227839999999997E-2</v>
      </c>
      <c r="G76">
        <v>6.3557660000000002E-2</v>
      </c>
    </row>
    <row r="77" spans="1:7">
      <c r="A77" t="s">
        <v>831</v>
      </c>
      <c r="B77">
        <v>-17479.823095650001</v>
      </c>
      <c r="C77">
        <v>-50200.837936290001</v>
      </c>
      <c r="D77">
        <v>-21.779318320000002</v>
      </c>
      <c r="E77">
        <v>0.21157756999999999</v>
      </c>
      <c r="F77">
        <v>1.9613510000000001E-2</v>
      </c>
      <c r="G77">
        <v>8.0380699999999999E-2</v>
      </c>
    </row>
    <row r="78" spans="1:7">
      <c r="A78" t="s">
        <v>832</v>
      </c>
      <c r="B78">
        <v>-17481.454438320001</v>
      </c>
      <c r="C78">
        <v>-53644.402592090002</v>
      </c>
      <c r="D78">
        <v>-21.267352679999998</v>
      </c>
      <c r="E78">
        <v>0.21472164999999999</v>
      </c>
      <c r="F78">
        <v>2.2938380000000001E-2</v>
      </c>
      <c r="G78">
        <v>8.1264580000000003E-2</v>
      </c>
    </row>
    <row r="79" spans="1:7">
      <c r="A79" t="s">
        <v>833</v>
      </c>
      <c r="B79">
        <v>-13519.72008513</v>
      </c>
      <c r="C79">
        <v>-51351.407837929997</v>
      </c>
      <c r="D79">
        <v>291.99625492000001</v>
      </c>
      <c r="E79">
        <v>0.21173523</v>
      </c>
      <c r="F79">
        <v>2.3406670000000001E-2</v>
      </c>
      <c r="G79">
        <v>5.1733830000000001E-2</v>
      </c>
    </row>
    <row r="80" spans="1:7">
      <c r="A80" t="s">
        <v>834</v>
      </c>
      <c r="B80">
        <v>-13521.370939369999</v>
      </c>
      <c r="C80">
        <v>-55083.71383216</v>
      </c>
      <c r="D80">
        <v>301.80520978999999</v>
      </c>
      <c r="E80">
        <v>0.21500921000000001</v>
      </c>
      <c r="F80">
        <v>3.6065989999999999E-2</v>
      </c>
      <c r="G80">
        <v>6.3590339999999995E-2</v>
      </c>
    </row>
    <row r="81" spans="1:7">
      <c r="A81" t="s">
        <v>835</v>
      </c>
      <c r="B81">
        <v>-17487.04862559</v>
      </c>
      <c r="C81">
        <v>-55389.039942249998</v>
      </c>
      <c r="D81">
        <v>-19.272158529999999</v>
      </c>
      <c r="E81">
        <v>0.21369246</v>
      </c>
      <c r="F81">
        <v>2.5360339999999999E-2</v>
      </c>
      <c r="G81">
        <v>8.8923150000000006E-2</v>
      </c>
    </row>
    <row r="82" spans="1:7">
      <c r="A82" t="s">
        <v>836</v>
      </c>
      <c r="B82">
        <v>-11024.70408148</v>
      </c>
      <c r="C82">
        <v>-57748.285845209997</v>
      </c>
      <c r="D82">
        <v>281.92864386000002</v>
      </c>
      <c r="E82">
        <v>0.21644594</v>
      </c>
      <c r="F82">
        <v>3.5251600000000001E-2</v>
      </c>
      <c r="G82">
        <v>0.13342908000000001</v>
      </c>
    </row>
    <row r="83" spans="1:7">
      <c r="A83" t="s">
        <v>837</v>
      </c>
      <c r="B83">
        <v>-11029.11099076</v>
      </c>
      <c r="C83">
        <v>-62854.815802969999</v>
      </c>
      <c r="D83">
        <v>286.54341727000002</v>
      </c>
      <c r="E83">
        <v>0.21746514</v>
      </c>
      <c r="F83">
        <v>3.3637510000000002E-2</v>
      </c>
      <c r="G83">
        <v>0.13777956</v>
      </c>
    </row>
    <row r="84" spans="1:7">
      <c r="A84" t="s">
        <v>838</v>
      </c>
      <c r="B84">
        <v>-17479.352134320001</v>
      </c>
      <c r="C84">
        <v>-65795.035136360006</v>
      </c>
      <c r="D84">
        <v>-21.225716429999999</v>
      </c>
      <c r="E84">
        <v>0.22030378</v>
      </c>
      <c r="F84">
        <v>2.1606159999999999E-2</v>
      </c>
      <c r="G84">
        <v>8.766765E-2</v>
      </c>
    </row>
    <row r="85" spans="1:7">
      <c r="A85" t="s">
        <v>839</v>
      </c>
      <c r="B85">
        <v>-12138.35288728</v>
      </c>
      <c r="C85">
        <v>-65745.024572559996</v>
      </c>
      <c r="D85">
        <v>289.65452613000002</v>
      </c>
      <c r="E85">
        <v>0.2214208</v>
      </c>
      <c r="F85">
        <v>2.812943E-2</v>
      </c>
      <c r="G85">
        <v>9.7705719999999996E-2</v>
      </c>
    </row>
    <row r="86" spans="1:7">
      <c r="A86" t="s">
        <v>840</v>
      </c>
      <c r="B86">
        <v>-13535.72726856</v>
      </c>
      <c r="C86">
        <v>-67080.606211980004</v>
      </c>
      <c r="D86">
        <v>290.73189058999998</v>
      </c>
      <c r="E86">
        <v>0.22226097</v>
      </c>
      <c r="F86">
        <v>2.3486469999999999E-2</v>
      </c>
      <c r="G86">
        <v>5.5491199999999997E-2</v>
      </c>
    </row>
    <row r="87" spans="1:7">
      <c r="A87" t="s">
        <v>841</v>
      </c>
      <c r="B87">
        <v>-17472.57056281</v>
      </c>
      <c r="C87">
        <v>-73266.911920760002</v>
      </c>
      <c r="D87">
        <v>-22.11396929</v>
      </c>
      <c r="E87">
        <v>0.22479466000000001</v>
      </c>
      <c r="F87">
        <v>2.664221E-2</v>
      </c>
      <c r="G87">
        <v>9.2764540000000006E-2</v>
      </c>
    </row>
    <row r="88" spans="1:7">
      <c r="A88" t="s">
        <v>842</v>
      </c>
      <c r="B88">
        <v>-13532.305427769999</v>
      </c>
      <c r="C88">
        <v>-70428.897936619993</v>
      </c>
      <c r="D88">
        <v>285.50939704000001</v>
      </c>
      <c r="E88">
        <v>0.22393864999999999</v>
      </c>
      <c r="F88">
        <v>2.3177619999999999E-2</v>
      </c>
      <c r="G88">
        <v>5.5373829999999999E-2</v>
      </c>
    </row>
    <row r="89" spans="1:7">
      <c r="A89" t="s">
        <v>843</v>
      </c>
      <c r="B89">
        <v>-17478.18846098</v>
      </c>
      <c r="C89">
        <v>-83405.678347320005</v>
      </c>
      <c r="D89">
        <v>-20.569371530000002</v>
      </c>
      <c r="E89">
        <v>0.22968753</v>
      </c>
      <c r="F89">
        <v>1.802161E-2</v>
      </c>
      <c r="G89">
        <v>8.9297370000000001E-2</v>
      </c>
    </row>
    <row r="90" spans="1:7">
      <c r="A90" t="s">
        <v>844</v>
      </c>
      <c r="B90">
        <v>-13536.74412275</v>
      </c>
      <c r="C90">
        <v>-82362.702069470004</v>
      </c>
      <c r="D90">
        <v>-23.11918257</v>
      </c>
      <c r="E90">
        <v>0.23745020999999999</v>
      </c>
      <c r="F90">
        <v>3.8881510000000001E-2</v>
      </c>
      <c r="G90">
        <v>7.1863140000000006E-2</v>
      </c>
    </row>
    <row r="91" spans="1:7">
      <c r="A91" t="s">
        <v>845</v>
      </c>
      <c r="B91">
        <v>-13540.107997700001</v>
      </c>
      <c r="C91">
        <v>-82166.734050280007</v>
      </c>
      <c r="D91">
        <v>291.98684295999999</v>
      </c>
      <c r="E91">
        <v>0.23008207</v>
      </c>
      <c r="F91">
        <v>2.0401590000000001E-2</v>
      </c>
      <c r="G91">
        <v>5.4154029999999999E-2</v>
      </c>
    </row>
    <row r="92" spans="1:7">
      <c r="A92" t="s">
        <v>846</v>
      </c>
      <c r="B92">
        <v>-13530.89053337</v>
      </c>
      <c r="C92">
        <v>-89652.554166799993</v>
      </c>
      <c r="D92">
        <v>288.81088963000002</v>
      </c>
      <c r="E92">
        <v>0.23352564000000001</v>
      </c>
      <c r="F92">
        <v>2.2903779999999999E-2</v>
      </c>
      <c r="G92">
        <v>5.8933600000000003E-2</v>
      </c>
    </row>
    <row r="93" spans="1:7">
      <c r="A93" t="s">
        <v>847</v>
      </c>
      <c r="B93">
        <v>-17472.06858141</v>
      </c>
      <c r="C93">
        <v>-95397.506166439998</v>
      </c>
      <c r="D93">
        <v>-27.604117609999999</v>
      </c>
      <c r="E93">
        <v>0.23596023999999999</v>
      </c>
      <c r="F93">
        <v>1.839636E-2</v>
      </c>
      <c r="G93">
        <v>9.587685E-2</v>
      </c>
    </row>
    <row r="94" spans="1:7">
      <c r="A94" t="s">
        <v>848</v>
      </c>
      <c r="B94">
        <v>-13519.030801520001</v>
      </c>
      <c r="C94">
        <v>-95585.092464650006</v>
      </c>
      <c r="D94">
        <v>-25.86184643</v>
      </c>
      <c r="E94">
        <v>0.23719477999999999</v>
      </c>
      <c r="F94">
        <v>2.257468E-2</v>
      </c>
      <c r="G94">
        <v>5.8608559999999997E-2</v>
      </c>
    </row>
    <row r="95" spans="1:7">
      <c r="A95" t="s">
        <v>849</v>
      </c>
      <c r="B95">
        <v>-17462.691337730001</v>
      </c>
      <c r="C95">
        <v>-102204.04192216</v>
      </c>
      <c r="D95">
        <v>-22.973816849999999</v>
      </c>
      <c r="E95">
        <v>0.24144515</v>
      </c>
      <c r="F95">
        <v>2.1005909999999999E-2</v>
      </c>
      <c r="G95">
        <v>9.4743549999999996E-2</v>
      </c>
    </row>
    <row r="96" spans="1:7">
      <c r="A96" t="s">
        <v>850</v>
      </c>
      <c r="B96">
        <v>-17469.482888639999</v>
      </c>
      <c r="C96">
        <v>-106672.68143008</v>
      </c>
      <c r="D96">
        <v>-30.384594360000001</v>
      </c>
      <c r="E96">
        <v>0.24158382</v>
      </c>
      <c r="F96">
        <v>1.7268260000000001E-2</v>
      </c>
      <c r="G96">
        <v>9.5009919999999998E-2</v>
      </c>
    </row>
    <row r="97" spans="1:7">
      <c r="A97" t="s">
        <v>851</v>
      </c>
      <c r="B97">
        <v>-13513.387539789999</v>
      </c>
      <c r="C97">
        <v>-107074.84077446999</v>
      </c>
      <c r="D97">
        <v>-29.187712990000001</v>
      </c>
      <c r="E97">
        <v>0.24311814000000001</v>
      </c>
      <c r="F97">
        <v>2.161486E-2</v>
      </c>
      <c r="G97">
        <v>6.0530130000000001E-2</v>
      </c>
    </row>
    <row r="98" spans="1:7">
      <c r="A98" t="s">
        <v>852</v>
      </c>
      <c r="B98">
        <v>-17461.98282904</v>
      </c>
      <c r="C98">
        <v>-112565.78951915</v>
      </c>
      <c r="D98">
        <v>-27.049259729999999</v>
      </c>
      <c r="E98">
        <v>0.24557396000000001</v>
      </c>
      <c r="F98">
        <v>2.1667809999999999E-2</v>
      </c>
      <c r="G98">
        <v>9.5786360000000001E-2</v>
      </c>
    </row>
    <row r="99" spans="1:7">
      <c r="A99" t="s">
        <v>853</v>
      </c>
      <c r="B99">
        <v>-17457.68023953</v>
      </c>
      <c r="C99">
        <v>-118439.15386516</v>
      </c>
      <c r="D99">
        <v>-24.977782529999999</v>
      </c>
      <c r="E99">
        <v>0.24743149</v>
      </c>
      <c r="F99">
        <v>1.8005409999999999E-2</v>
      </c>
      <c r="G99">
        <v>9.6098900000000001E-2</v>
      </c>
    </row>
    <row r="100" spans="1:7">
      <c r="A100" t="s">
        <v>854</v>
      </c>
      <c r="B100">
        <v>-13514.92851706</v>
      </c>
      <c r="C100">
        <v>-118042.22484445</v>
      </c>
      <c r="D100">
        <v>-26.131375380000001</v>
      </c>
      <c r="E100">
        <v>0.24698917000000001</v>
      </c>
      <c r="F100">
        <v>2.3122420000000001E-2</v>
      </c>
      <c r="G100">
        <v>6.1784859999999997E-2</v>
      </c>
    </row>
    <row r="101" spans="1:7">
      <c r="A101" t="s">
        <v>855</v>
      </c>
      <c r="B101">
        <v>-17456.672513540001</v>
      </c>
      <c r="C101">
        <v>-124294.9428505</v>
      </c>
      <c r="D101">
        <v>-24.98128247</v>
      </c>
      <c r="E101">
        <v>0.25073113000000002</v>
      </c>
      <c r="F101">
        <v>2.2102150000000001E-2</v>
      </c>
      <c r="G101">
        <v>9.7477629999999996E-2</v>
      </c>
    </row>
    <row r="102" spans="1:7">
      <c r="A102" t="s">
        <v>856</v>
      </c>
      <c r="B102">
        <v>-17461.863024810002</v>
      </c>
      <c r="C102">
        <v>-129492.05573388</v>
      </c>
      <c r="D102">
        <v>-27.73815836</v>
      </c>
      <c r="E102">
        <v>0.25908428</v>
      </c>
      <c r="F102">
        <v>2.9857169999999999E-2</v>
      </c>
      <c r="G102">
        <v>0.10702088</v>
      </c>
    </row>
    <row r="103" spans="1:7">
      <c r="A103" t="s">
        <v>857</v>
      </c>
      <c r="B103">
        <v>-13514.63174427</v>
      </c>
      <c r="C103">
        <v>-128578.43621802999</v>
      </c>
      <c r="D103">
        <v>-29.284444329999999</v>
      </c>
      <c r="E103">
        <v>0.25239172999999998</v>
      </c>
      <c r="F103">
        <v>2.3603539999999999E-2</v>
      </c>
      <c r="G103">
        <v>6.5090319999999993E-2</v>
      </c>
    </row>
    <row r="104" spans="1:7">
      <c r="A104" t="s">
        <v>858</v>
      </c>
      <c r="B104">
        <v>-13523.28692656</v>
      </c>
      <c r="C104">
        <v>-132435.25952009001</v>
      </c>
      <c r="D104">
        <v>-25.176532590000001</v>
      </c>
      <c r="E104">
        <v>0.25035149000000001</v>
      </c>
      <c r="F104">
        <v>2.742431E-2</v>
      </c>
      <c r="G104">
        <v>6.5031870000000006E-2</v>
      </c>
    </row>
    <row r="105" spans="1:7">
      <c r="A105" t="s">
        <v>859</v>
      </c>
      <c r="B105">
        <v>-18451.96460299</v>
      </c>
      <c r="C105">
        <v>-135916.44660523001</v>
      </c>
      <c r="D105">
        <v>-27.402110449999999</v>
      </c>
      <c r="E105">
        <v>0.25273563999999998</v>
      </c>
      <c r="F105">
        <v>3.3234029999999998E-2</v>
      </c>
      <c r="G105">
        <v>0.14241569000000001</v>
      </c>
    </row>
    <row r="106" spans="1:7">
      <c r="A106" t="s">
        <v>860</v>
      </c>
      <c r="B106">
        <v>-13514.487530369999</v>
      </c>
      <c r="C106">
        <v>-135963.31709288</v>
      </c>
      <c r="D106">
        <v>-25.85642502</v>
      </c>
      <c r="E106">
        <v>0.25553366</v>
      </c>
      <c r="F106">
        <v>3.2009030000000001E-2</v>
      </c>
      <c r="G106">
        <v>7.0394390000000001E-2</v>
      </c>
    </row>
    <row r="107" spans="1:7">
      <c r="A107" t="s">
        <v>861</v>
      </c>
      <c r="B107">
        <v>-18458.445299530002</v>
      </c>
      <c r="C107">
        <v>-136348.61252068999</v>
      </c>
      <c r="D107">
        <v>-26.267817310000002</v>
      </c>
      <c r="E107">
        <v>0.25892679000000002</v>
      </c>
      <c r="F107">
        <v>3.2833759999999997E-2</v>
      </c>
      <c r="G107">
        <v>0.13985965</v>
      </c>
    </row>
    <row r="108" spans="1:7">
      <c r="A108" t="s">
        <v>862</v>
      </c>
      <c r="B108">
        <v>-17466.341626760001</v>
      </c>
      <c r="C108">
        <v>-140024.78366372999</v>
      </c>
      <c r="D108">
        <v>258.45706595000001</v>
      </c>
      <c r="E108">
        <v>0.25194461000000001</v>
      </c>
      <c r="F108">
        <v>2.1850680000000001E-2</v>
      </c>
      <c r="G108">
        <v>0.10365665</v>
      </c>
    </row>
    <row r="109" spans="1:7">
      <c r="A109" t="s">
        <v>863</v>
      </c>
      <c r="B109">
        <v>-13516.48353403</v>
      </c>
      <c r="C109">
        <v>-136590.44881788999</v>
      </c>
      <c r="D109">
        <v>-26.710905010000001</v>
      </c>
      <c r="E109">
        <v>0.25510840000000001</v>
      </c>
      <c r="F109">
        <v>3.4998469999999997E-2</v>
      </c>
      <c r="G109">
        <v>7.443429E-2</v>
      </c>
    </row>
    <row r="110" spans="1:7">
      <c r="A110" t="s">
        <v>864</v>
      </c>
      <c r="B110">
        <v>-17461.449302640001</v>
      </c>
      <c r="C110">
        <v>-142600.45246296001</v>
      </c>
      <c r="D110">
        <v>-26.655706739999999</v>
      </c>
      <c r="E110">
        <v>0.24970883999999999</v>
      </c>
      <c r="F110">
        <v>1.9402869999999999E-2</v>
      </c>
      <c r="G110">
        <v>0.10333378999999999</v>
      </c>
    </row>
    <row r="111" spans="1:7">
      <c r="A111" t="s">
        <v>865</v>
      </c>
      <c r="B111">
        <v>-17460.0451306</v>
      </c>
      <c r="C111">
        <v>-144839.63897885001</v>
      </c>
      <c r="D111">
        <v>253.97771939</v>
      </c>
      <c r="E111">
        <v>0.24845824999999999</v>
      </c>
      <c r="F111">
        <v>1.852794E-2</v>
      </c>
      <c r="G111">
        <v>0.10288925</v>
      </c>
    </row>
    <row r="112" spans="1:7">
      <c r="A112" t="s">
        <v>866</v>
      </c>
      <c r="B112">
        <v>-13510.577964919999</v>
      </c>
      <c r="C112">
        <v>-152969.81658059999</v>
      </c>
      <c r="D112">
        <v>-28.444479619999999</v>
      </c>
      <c r="E112">
        <v>0.24409412999999999</v>
      </c>
      <c r="F112">
        <v>2.4366639999999998E-2</v>
      </c>
      <c r="G112">
        <v>7.1080630000000006E-2</v>
      </c>
    </row>
    <row r="113" spans="1:7">
      <c r="A113" t="s">
        <v>867</v>
      </c>
      <c r="B113">
        <v>-17463.814384860001</v>
      </c>
      <c r="C113">
        <v>-155987.70740283001</v>
      </c>
      <c r="D113">
        <v>-30.058025820000001</v>
      </c>
      <c r="E113">
        <v>0.23940410000000001</v>
      </c>
      <c r="F113">
        <v>1.9715730000000001E-2</v>
      </c>
      <c r="G113">
        <v>0.10664541</v>
      </c>
    </row>
    <row r="114" spans="1:7">
      <c r="A114" t="s">
        <v>868</v>
      </c>
      <c r="B114">
        <v>-13512.427073549999</v>
      </c>
      <c r="C114">
        <v>-157785.84888415001</v>
      </c>
      <c r="D114">
        <v>170.28483123999999</v>
      </c>
      <c r="E114">
        <v>0.23866155</v>
      </c>
      <c r="F114">
        <v>2.3989770000000001E-2</v>
      </c>
      <c r="G114">
        <v>6.9000099999999995E-2</v>
      </c>
    </row>
    <row r="115" spans="1:7">
      <c r="A115" t="s">
        <v>869</v>
      </c>
      <c r="B115">
        <v>-17455.606430970001</v>
      </c>
      <c r="C115">
        <v>-163621.28078266999</v>
      </c>
      <c r="D115">
        <v>-27.401873470000002</v>
      </c>
      <c r="E115">
        <v>0.2309252</v>
      </c>
      <c r="F115">
        <v>1.9602419999999999E-2</v>
      </c>
      <c r="G115">
        <v>0.10693195</v>
      </c>
    </row>
    <row r="116" spans="1:7">
      <c r="A116" t="s">
        <v>870</v>
      </c>
      <c r="B116">
        <v>-13512.693096430001</v>
      </c>
      <c r="C116">
        <v>-163202.64484734001</v>
      </c>
      <c r="D116">
        <v>-28.95170559</v>
      </c>
      <c r="E116">
        <v>0.23191197</v>
      </c>
      <c r="F116">
        <v>2.4367699999999999E-2</v>
      </c>
      <c r="G116">
        <v>6.9377010000000003E-2</v>
      </c>
    </row>
    <row r="117" spans="1:7">
      <c r="A117" t="s">
        <v>871</v>
      </c>
      <c r="B117">
        <v>-17457.25289711</v>
      </c>
      <c r="C117">
        <v>-173193.02719825</v>
      </c>
      <c r="D117">
        <v>-26.753144549999998</v>
      </c>
      <c r="E117">
        <v>0.21940564000000001</v>
      </c>
      <c r="F117">
        <v>1.991793E-2</v>
      </c>
      <c r="G117">
        <v>0.11011295</v>
      </c>
    </row>
    <row r="118" spans="1:7">
      <c r="A118" t="s">
        <v>872</v>
      </c>
      <c r="B118">
        <v>-13516.86940342</v>
      </c>
      <c r="C118">
        <v>-172408.09960963999</v>
      </c>
      <c r="D118">
        <v>-27.546167270000002</v>
      </c>
      <c r="E118">
        <v>0.22137925</v>
      </c>
      <c r="F118">
        <v>2.3846579999999999E-2</v>
      </c>
      <c r="G118">
        <v>6.8567950000000003E-2</v>
      </c>
    </row>
    <row r="119" spans="1:7">
      <c r="A119" t="s">
        <v>873</v>
      </c>
      <c r="B119">
        <v>-17460.111777909999</v>
      </c>
      <c r="C119">
        <v>-182649.82482462999</v>
      </c>
      <c r="D119">
        <v>-25.602609950000002</v>
      </c>
      <c r="E119">
        <v>0.20767313000000001</v>
      </c>
      <c r="F119">
        <v>2.0048460000000001E-2</v>
      </c>
      <c r="G119">
        <v>0.11097592000000001</v>
      </c>
    </row>
    <row r="120" spans="1:7">
      <c r="A120" t="s">
        <v>874</v>
      </c>
      <c r="B120">
        <v>-13514.86632836</v>
      </c>
      <c r="C120">
        <v>-182603.51257279</v>
      </c>
      <c r="D120">
        <v>-27.40269485</v>
      </c>
      <c r="E120">
        <v>0.20794304999999999</v>
      </c>
      <c r="F120">
        <v>2.587892E-2</v>
      </c>
      <c r="G120">
        <v>7.0135810000000007E-2</v>
      </c>
    </row>
    <row r="121" spans="1:7">
      <c r="A121" t="s">
        <v>875</v>
      </c>
      <c r="B121">
        <v>-17469.689745309999</v>
      </c>
      <c r="C121">
        <v>-192461.71814918</v>
      </c>
      <c r="D121">
        <v>-25.472578410000001</v>
      </c>
      <c r="E121">
        <v>0.19521026</v>
      </c>
      <c r="F121">
        <v>2.0904329999999999E-2</v>
      </c>
      <c r="G121">
        <v>0.11501921</v>
      </c>
    </row>
    <row r="122" spans="1:7">
      <c r="A122" t="s">
        <v>876</v>
      </c>
      <c r="B122">
        <v>-13521.97466838</v>
      </c>
      <c r="C122">
        <v>-191892.08532699</v>
      </c>
      <c r="D122">
        <v>-25.876422470000001</v>
      </c>
      <c r="E122">
        <v>0.1962449</v>
      </c>
      <c r="F122">
        <v>2.5751509999999998E-2</v>
      </c>
      <c r="G122">
        <v>6.9649340000000004E-2</v>
      </c>
    </row>
    <row r="123" spans="1:7">
      <c r="A123" t="s">
        <v>877</v>
      </c>
      <c r="B123">
        <v>-13521.739783069999</v>
      </c>
      <c r="C123">
        <v>-202050.40939521001</v>
      </c>
      <c r="D123">
        <v>-26.513968819999999</v>
      </c>
      <c r="E123">
        <v>0.18211542999999999</v>
      </c>
      <c r="F123">
        <v>2.453868E-2</v>
      </c>
      <c r="G123">
        <v>7.1569480000000005E-2</v>
      </c>
    </row>
    <row r="124" spans="1:7">
      <c r="A124" t="s">
        <v>878</v>
      </c>
      <c r="B124">
        <v>-17463.46291704</v>
      </c>
      <c r="C124">
        <v>-202941.79128298</v>
      </c>
      <c r="D124">
        <v>-24.579569710000001</v>
      </c>
      <c r="E124">
        <v>0.18092388000000001</v>
      </c>
      <c r="F124">
        <v>2.2380839999999999E-2</v>
      </c>
      <c r="G124">
        <v>0.1171715</v>
      </c>
    </row>
    <row r="125" spans="1:7">
      <c r="A125" t="s">
        <v>879</v>
      </c>
      <c r="B125">
        <v>-17460.918626539999</v>
      </c>
      <c r="C125">
        <v>-211468.37350481999</v>
      </c>
      <c r="D125">
        <v>-25.324792670000001</v>
      </c>
      <c r="E125">
        <v>0.16775654000000001</v>
      </c>
      <c r="F125">
        <v>2.2496479999999999E-2</v>
      </c>
      <c r="G125">
        <v>0.11851129000000001</v>
      </c>
    </row>
    <row r="126" spans="1:7">
      <c r="A126" t="s">
        <v>880</v>
      </c>
      <c r="B126">
        <v>-13509.10634167</v>
      </c>
      <c r="C126">
        <v>-211010.14270671</v>
      </c>
      <c r="D126">
        <v>-26.07616063</v>
      </c>
      <c r="E126">
        <v>0.16953049000000001</v>
      </c>
      <c r="F126">
        <v>2.5939630000000002E-2</v>
      </c>
      <c r="G126">
        <v>7.5406669999999995E-2</v>
      </c>
    </row>
    <row r="127" spans="1:7">
      <c r="A127" t="s">
        <v>881</v>
      </c>
      <c r="B127">
        <v>-17459.388557229999</v>
      </c>
      <c r="C127">
        <v>-216115.52909120999</v>
      </c>
      <c r="D127">
        <v>-24.034796889999999</v>
      </c>
      <c r="E127">
        <v>0.16173414999999999</v>
      </c>
      <c r="F127">
        <v>2.340366E-2</v>
      </c>
      <c r="G127">
        <v>0.11932115</v>
      </c>
    </row>
    <row r="128" spans="1:7">
      <c r="A128" t="s">
        <v>882</v>
      </c>
      <c r="B128">
        <v>-13503.413893139999</v>
      </c>
      <c r="C128">
        <v>-216132.00472033999</v>
      </c>
      <c r="D128">
        <v>-26.820196299999999</v>
      </c>
      <c r="E128">
        <v>0.17431268</v>
      </c>
      <c r="F128">
        <v>5.6647059999999999E-2</v>
      </c>
      <c r="G128">
        <v>0.11553988</v>
      </c>
    </row>
    <row r="129" spans="1:7">
      <c r="A129" t="s">
        <v>883</v>
      </c>
      <c r="B129">
        <v>-17457.088832540001</v>
      </c>
      <c r="C129">
        <v>-219584.29070154001</v>
      </c>
      <c r="D129">
        <v>-25.356812049999998</v>
      </c>
      <c r="E129">
        <v>0.15547465999999999</v>
      </c>
      <c r="F129">
        <v>2.5314320000000001E-2</v>
      </c>
      <c r="G129">
        <v>0.12189455</v>
      </c>
    </row>
    <row r="130" spans="1:7">
      <c r="A130" t="s">
        <v>884</v>
      </c>
      <c r="B130">
        <v>-13504.912881439999</v>
      </c>
      <c r="C130">
        <v>-219197.06560961</v>
      </c>
      <c r="D130">
        <v>-24.9655928</v>
      </c>
      <c r="E130">
        <v>0.15695311000000001</v>
      </c>
      <c r="F130">
        <v>3.7651499999999997E-2</v>
      </c>
      <c r="G130">
        <v>8.0734700000000006E-2</v>
      </c>
    </row>
    <row r="131" spans="1:7">
      <c r="A131" t="s">
        <v>885</v>
      </c>
      <c r="B131">
        <v>-17450.747827930001</v>
      </c>
      <c r="C131">
        <v>-224743.0544308</v>
      </c>
      <c r="D131">
        <v>-23.941222759999999</v>
      </c>
      <c r="E131">
        <v>0.15257486000000001</v>
      </c>
      <c r="F131">
        <v>2.6628389999999998E-2</v>
      </c>
      <c r="G131">
        <v>0.12246091000000001</v>
      </c>
    </row>
    <row r="132" spans="1:7">
      <c r="A132" t="s">
        <v>886</v>
      </c>
      <c r="B132">
        <v>-13505.33983764</v>
      </c>
      <c r="C132">
        <v>-222939.31079188001</v>
      </c>
      <c r="D132">
        <v>-26.199855960000001</v>
      </c>
      <c r="E132">
        <v>0.14868941999999999</v>
      </c>
      <c r="F132">
        <v>2.7994100000000001E-2</v>
      </c>
      <c r="G132">
        <v>7.5072920000000001E-2</v>
      </c>
    </row>
    <row r="133" spans="1:7">
      <c r="A133" t="s">
        <v>887</v>
      </c>
      <c r="B133">
        <v>-17456.073101369999</v>
      </c>
      <c r="C133">
        <v>-233185.86423218</v>
      </c>
      <c r="D133">
        <v>-24.497366320000001</v>
      </c>
      <c r="E133">
        <v>0.13172763000000001</v>
      </c>
      <c r="F133">
        <v>2.7842579999999999E-2</v>
      </c>
      <c r="G133">
        <v>0.12140732999999999</v>
      </c>
    </row>
    <row r="134" spans="1:7">
      <c r="A134" t="s">
        <v>888</v>
      </c>
      <c r="B134">
        <v>-13499.23822263</v>
      </c>
      <c r="C134">
        <v>-232365.61465308999</v>
      </c>
      <c r="D134">
        <v>-25.195096240000002</v>
      </c>
      <c r="E134">
        <v>0.13084011000000001</v>
      </c>
      <c r="F134">
        <v>2.6492669999999999E-2</v>
      </c>
      <c r="G134">
        <v>7.4064379999999999E-2</v>
      </c>
    </row>
    <row r="135" spans="1:7">
      <c r="A135" t="s">
        <v>889</v>
      </c>
      <c r="B135">
        <v>-17451.769694710001</v>
      </c>
      <c r="C135">
        <v>-242886.56510261001</v>
      </c>
      <c r="D135">
        <v>-25.003691159999999</v>
      </c>
      <c r="E135">
        <v>0.11263724</v>
      </c>
      <c r="F135">
        <v>2.2901290000000001E-2</v>
      </c>
      <c r="G135">
        <v>0.11932456</v>
      </c>
    </row>
    <row r="136" spans="1:7">
      <c r="A136" t="s">
        <v>890</v>
      </c>
      <c r="B136">
        <v>-13498.62645962</v>
      </c>
      <c r="C136">
        <v>-242906.30183103</v>
      </c>
      <c r="D136">
        <v>-25.868467750000001</v>
      </c>
      <c r="E136">
        <v>0.11274989000000001</v>
      </c>
      <c r="F136">
        <v>2.8123430000000001E-2</v>
      </c>
      <c r="G136">
        <v>7.6194739999999997E-2</v>
      </c>
    </row>
    <row r="137" spans="1:7">
      <c r="A137" t="s">
        <v>891</v>
      </c>
      <c r="B137">
        <v>-17451.696969029999</v>
      </c>
      <c r="C137">
        <v>-252340.75165334</v>
      </c>
      <c r="D137">
        <v>-24.568083720000001</v>
      </c>
      <c r="E137">
        <v>9.5480140000000005E-2</v>
      </c>
      <c r="F137">
        <v>2.437363E-2</v>
      </c>
      <c r="G137">
        <v>0.12080602999999999</v>
      </c>
    </row>
    <row r="138" spans="1:7">
      <c r="A138" t="s">
        <v>892</v>
      </c>
      <c r="B138">
        <v>-13502.03686962</v>
      </c>
      <c r="C138">
        <v>-251877.04037701001</v>
      </c>
      <c r="D138">
        <v>-25.369337439999999</v>
      </c>
      <c r="E138">
        <v>9.6446329999999997E-2</v>
      </c>
      <c r="F138">
        <v>2.9523669999999998E-2</v>
      </c>
      <c r="G138">
        <v>7.7268450000000002E-2</v>
      </c>
    </row>
    <row r="139" spans="1:7">
      <c r="A139" t="s">
        <v>893</v>
      </c>
      <c r="B139">
        <v>-17455.710598289999</v>
      </c>
      <c r="C139">
        <v>-262410.43917039997</v>
      </c>
      <c r="D139">
        <v>-23.863998680000002</v>
      </c>
      <c r="E139">
        <v>8.5210939999999999E-2</v>
      </c>
      <c r="F139">
        <v>2.3228140000000001E-2</v>
      </c>
      <c r="G139">
        <v>0.12388262</v>
      </c>
    </row>
    <row r="140" spans="1:7">
      <c r="A140" t="s">
        <v>894</v>
      </c>
      <c r="B140">
        <v>-13499.21040514</v>
      </c>
      <c r="C140">
        <v>-262140.88116346</v>
      </c>
      <c r="D140">
        <v>-25.394269569999999</v>
      </c>
      <c r="E140">
        <v>8.6584560000000005E-2</v>
      </c>
      <c r="F140">
        <v>3.0076769999999999E-2</v>
      </c>
      <c r="G140">
        <v>7.8341640000000004E-2</v>
      </c>
    </row>
    <row r="141" spans="1:7">
      <c r="A141" t="s">
        <v>895</v>
      </c>
      <c r="B141">
        <v>-17453.02027845</v>
      </c>
      <c r="C141">
        <v>-271811.31505372998</v>
      </c>
      <c r="D141">
        <v>-18.89729809</v>
      </c>
      <c r="E141">
        <v>8.41943E-2</v>
      </c>
      <c r="F141">
        <v>2.527795E-2</v>
      </c>
      <c r="G141">
        <v>0.1258138</v>
      </c>
    </row>
    <row r="142" spans="1:7">
      <c r="A142" t="s">
        <v>896</v>
      </c>
      <c r="B142">
        <v>-13504.255781309999</v>
      </c>
      <c r="C142">
        <v>-271401.02922591002</v>
      </c>
      <c r="D142">
        <v>-20.487819890000001</v>
      </c>
      <c r="E142">
        <v>8.4241250000000004E-2</v>
      </c>
      <c r="F142">
        <v>3.0206199999999999E-2</v>
      </c>
      <c r="G142">
        <v>8.0683069999999996E-2</v>
      </c>
    </row>
    <row r="143" spans="1:7">
      <c r="A143" t="s">
        <v>897</v>
      </c>
      <c r="B143">
        <v>-17452.214897530001</v>
      </c>
      <c r="C143">
        <v>-282048.69436179003</v>
      </c>
      <c r="D143">
        <v>-20.465681629999999</v>
      </c>
      <c r="E143">
        <v>9.5523339999999998E-2</v>
      </c>
      <c r="F143">
        <v>2.612078E-2</v>
      </c>
      <c r="G143">
        <v>0.12872464</v>
      </c>
    </row>
    <row r="144" spans="1:7">
      <c r="A144" t="s">
        <v>898</v>
      </c>
      <c r="B144">
        <v>-13507.84164165</v>
      </c>
      <c r="C144">
        <v>-281532.23865806998</v>
      </c>
      <c r="D144">
        <v>-19.5595523</v>
      </c>
      <c r="E144">
        <v>9.4506409999999999E-2</v>
      </c>
      <c r="F144">
        <v>3.1471539999999999E-2</v>
      </c>
      <c r="G144">
        <v>8.2288490000000006E-2</v>
      </c>
    </row>
    <row r="145" spans="1:7">
      <c r="A145" t="s">
        <v>899</v>
      </c>
      <c r="B145">
        <v>-17453.825313640002</v>
      </c>
      <c r="C145">
        <v>-290784.65594770003</v>
      </c>
      <c r="D145">
        <v>-20.652985019999999</v>
      </c>
      <c r="E145">
        <v>0.11130115</v>
      </c>
      <c r="F145">
        <v>2.6770519999999999E-2</v>
      </c>
      <c r="G145">
        <v>0.13073978</v>
      </c>
    </row>
    <row r="146" spans="1:7">
      <c r="A146" t="s">
        <v>900</v>
      </c>
      <c r="B146">
        <v>-13519.96273703</v>
      </c>
      <c r="C146">
        <v>-290512.47778337001</v>
      </c>
      <c r="D146">
        <v>-19.98329236</v>
      </c>
      <c r="E146">
        <v>0.11119219</v>
      </c>
      <c r="F146">
        <v>3.1808320000000001E-2</v>
      </c>
      <c r="G146">
        <v>8.3934880000000003E-2</v>
      </c>
    </row>
    <row r="147" spans="1:7">
      <c r="A147" t="s">
        <v>901</v>
      </c>
      <c r="B147">
        <v>-18468.009485300001</v>
      </c>
      <c r="C147">
        <v>-295910.64350497001</v>
      </c>
      <c r="D147">
        <v>-20.173012920000001</v>
      </c>
      <c r="E147">
        <v>0.12524460000000001</v>
      </c>
      <c r="F147">
        <v>3.039946E-2</v>
      </c>
      <c r="G147">
        <v>0.18528027</v>
      </c>
    </row>
    <row r="148" spans="1:7">
      <c r="A148" t="s">
        <v>902</v>
      </c>
      <c r="B148">
        <v>-13509.76546069</v>
      </c>
      <c r="C148">
        <v>-296151.67274418997</v>
      </c>
      <c r="D148">
        <v>-21.152609980000001</v>
      </c>
      <c r="E148">
        <v>0.12581339</v>
      </c>
      <c r="F148">
        <v>3.2681490000000001E-2</v>
      </c>
      <c r="G148">
        <v>8.3133520000000002E-2</v>
      </c>
    </row>
    <row r="149" spans="1:7">
      <c r="A149" t="s">
        <v>903</v>
      </c>
      <c r="B149">
        <v>-17448.466444329999</v>
      </c>
      <c r="C149">
        <v>-299922.26489007002</v>
      </c>
      <c r="D149">
        <v>-19.993054789999999</v>
      </c>
      <c r="E149">
        <v>0.13546538999999999</v>
      </c>
      <c r="F149">
        <v>2.5998830000000001E-2</v>
      </c>
      <c r="G149">
        <v>0.13403321000000001</v>
      </c>
    </row>
    <row r="150" spans="1:7">
      <c r="A150" t="s">
        <v>904</v>
      </c>
      <c r="B150">
        <v>-13515.90332915</v>
      </c>
      <c r="C150">
        <v>-299828.01670216001</v>
      </c>
      <c r="D150">
        <v>-20.400771450000001</v>
      </c>
      <c r="E150">
        <v>0.13651271000000001</v>
      </c>
      <c r="F150">
        <v>3.4734719999999997E-2</v>
      </c>
      <c r="G150">
        <v>8.5174719999999995E-2</v>
      </c>
    </row>
    <row r="151" spans="1:7">
      <c r="A151" t="s">
        <v>905</v>
      </c>
      <c r="B151">
        <v>-17438.566398070001</v>
      </c>
      <c r="C151">
        <v>-303434.80953154998</v>
      </c>
      <c r="D151">
        <v>-21.02067782</v>
      </c>
      <c r="E151">
        <v>0.14546608</v>
      </c>
      <c r="F151">
        <v>2.7436410000000001E-2</v>
      </c>
      <c r="G151">
        <v>0.13206087</v>
      </c>
    </row>
    <row r="152" spans="1:7">
      <c r="A152" t="s">
        <v>906</v>
      </c>
      <c r="B152">
        <v>-13518.81054208</v>
      </c>
      <c r="C152">
        <v>-302918.57807319</v>
      </c>
      <c r="D152">
        <v>-19.845423719999999</v>
      </c>
      <c r="E152">
        <v>0.14246945999999999</v>
      </c>
      <c r="F152">
        <v>3.2409220000000002E-2</v>
      </c>
      <c r="G152">
        <v>8.1178730000000004E-2</v>
      </c>
    </row>
    <row r="153" spans="1:7">
      <c r="A153" t="s">
        <v>907</v>
      </c>
      <c r="B153">
        <v>-17447.139176060002</v>
      </c>
      <c r="C153">
        <v>-313230.43343718001</v>
      </c>
      <c r="D153">
        <v>-19.409061579999999</v>
      </c>
      <c r="E153">
        <v>0.17694839000000001</v>
      </c>
      <c r="F153">
        <v>2.7535029999999999E-2</v>
      </c>
      <c r="G153">
        <v>0.13209570000000001</v>
      </c>
    </row>
    <row r="154" spans="1:7">
      <c r="A154" t="s">
        <v>908</v>
      </c>
      <c r="B154">
        <v>-13499.30984444</v>
      </c>
      <c r="C154">
        <v>-313027.35381950001</v>
      </c>
      <c r="D154">
        <v>-20.57018098</v>
      </c>
      <c r="E154">
        <v>0.17709855999999999</v>
      </c>
      <c r="F154">
        <v>3.4920199999999998E-2</v>
      </c>
      <c r="G154">
        <v>8.3839269999999994E-2</v>
      </c>
    </row>
    <row r="155" spans="1:7">
      <c r="A155" t="s">
        <v>909</v>
      </c>
      <c r="B155">
        <v>-17452.63802119</v>
      </c>
      <c r="C155">
        <v>-323729.75690272002</v>
      </c>
      <c r="D155">
        <v>-19.585879890000001</v>
      </c>
      <c r="E155">
        <v>0.21524761000000001</v>
      </c>
      <c r="F155">
        <v>3.079496E-2</v>
      </c>
      <c r="G155">
        <v>0.13264466999999999</v>
      </c>
    </row>
    <row r="156" spans="1:7">
      <c r="A156" t="s">
        <v>910</v>
      </c>
      <c r="B156">
        <v>-13477.6278637</v>
      </c>
      <c r="C156">
        <v>-323641.41140609997</v>
      </c>
      <c r="D156">
        <v>-20.689034459999998</v>
      </c>
      <c r="E156">
        <v>0.21576591000000001</v>
      </c>
      <c r="F156">
        <v>3.6125350000000001E-2</v>
      </c>
      <c r="G156">
        <v>8.6066749999999997E-2</v>
      </c>
    </row>
    <row r="157" spans="1:7">
      <c r="A157" t="s">
        <v>911</v>
      </c>
      <c r="B157">
        <v>-17453.294305359999</v>
      </c>
      <c r="C157">
        <v>-332436.82622659998</v>
      </c>
      <c r="D157">
        <v>-16.872411289999999</v>
      </c>
      <c r="E157">
        <v>0.24811780999999999</v>
      </c>
      <c r="F157">
        <v>2.993529E-2</v>
      </c>
      <c r="G157">
        <v>0.13388560999999999</v>
      </c>
    </row>
    <row r="158" spans="1:7">
      <c r="A158" t="s">
        <v>912</v>
      </c>
      <c r="B158">
        <v>-13494.422943670001</v>
      </c>
      <c r="C158">
        <v>-332705.59286737</v>
      </c>
      <c r="D158">
        <v>-18.228854179999999</v>
      </c>
      <c r="E158">
        <v>0.24958379</v>
      </c>
      <c r="F158">
        <v>3.6437740000000003E-2</v>
      </c>
      <c r="G158">
        <v>8.4165970000000007E-2</v>
      </c>
    </row>
    <row r="159" spans="1:7">
      <c r="A159" t="s">
        <v>913</v>
      </c>
      <c r="B159">
        <v>-17449.076927689999</v>
      </c>
      <c r="C159">
        <v>-341858.44108585001</v>
      </c>
      <c r="D159">
        <v>-18.09892185</v>
      </c>
      <c r="E159">
        <v>0.28448358000000001</v>
      </c>
      <c r="F159">
        <v>3.1337339999999998E-2</v>
      </c>
      <c r="G159">
        <v>0.13733669000000001</v>
      </c>
    </row>
    <row r="160" spans="1:7">
      <c r="A160" t="s">
        <v>914</v>
      </c>
      <c r="B160">
        <v>-13509.888826689999</v>
      </c>
      <c r="C160">
        <v>-341959.93633617001</v>
      </c>
      <c r="D160">
        <v>-19.098167879999998</v>
      </c>
      <c r="E160">
        <v>0.28596145000000001</v>
      </c>
      <c r="F160">
        <v>3.595052E-2</v>
      </c>
      <c r="G160">
        <v>8.2314689999999996E-2</v>
      </c>
    </row>
    <row r="161" spans="1:7">
      <c r="A161" t="s">
        <v>915</v>
      </c>
      <c r="B161">
        <v>-17444.532999160001</v>
      </c>
      <c r="C161">
        <v>-350947.37368503999</v>
      </c>
      <c r="D161">
        <v>-18.097853749999999</v>
      </c>
      <c r="E161">
        <v>0.32015313000000001</v>
      </c>
      <c r="F161">
        <v>3.157774E-2</v>
      </c>
      <c r="G161">
        <v>0.13939665000000001</v>
      </c>
    </row>
    <row r="162" spans="1:7">
      <c r="A162" t="s">
        <v>916</v>
      </c>
      <c r="B162">
        <v>-13496.11284156</v>
      </c>
      <c r="C162">
        <v>-350894.34034344001</v>
      </c>
      <c r="D162">
        <v>-18.98394772</v>
      </c>
      <c r="E162">
        <v>0.32140816</v>
      </c>
      <c r="F162">
        <v>3.5447989999999999E-2</v>
      </c>
      <c r="G162">
        <v>8.3698090000000003E-2</v>
      </c>
    </row>
    <row r="163" spans="1:7">
      <c r="A163" t="s">
        <v>917</v>
      </c>
      <c r="B163">
        <v>-17443.25970631</v>
      </c>
      <c r="C163">
        <v>-361193.68911828002</v>
      </c>
      <c r="D163">
        <v>-18.49761784</v>
      </c>
      <c r="E163">
        <v>0.36264742999999999</v>
      </c>
      <c r="F163">
        <v>3.2027710000000001E-2</v>
      </c>
      <c r="G163">
        <v>0.14818196</v>
      </c>
    </row>
    <row r="164" spans="1:7">
      <c r="A164" t="s">
        <v>918</v>
      </c>
      <c r="B164">
        <v>-13489.300815340001</v>
      </c>
      <c r="C164">
        <v>-360820.66037390998</v>
      </c>
      <c r="D164">
        <v>-17.899462379999999</v>
      </c>
      <c r="E164">
        <v>0.36314570000000002</v>
      </c>
      <c r="F164">
        <v>3.7131020000000001E-2</v>
      </c>
      <c r="G164">
        <v>9.5438120000000001E-2</v>
      </c>
    </row>
    <row r="165" spans="1:7">
      <c r="A165" t="s">
        <v>919</v>
      </c>
      <c r="B165">
        <v>-17442.414703539998</v>
      </c>
      <c r="C165">
        <v>-371051.17406331003</v>
      </c>
      <c r="D165">
        <v>-19.4225314</v>
      </c>
      <c r="E165">
        <v>0.40574445999999997</v>
      </c>
      <c r="F165">
        <v>4.0868469999999997E-2</v>
      </c>
      <c r="G165">
        <v>0.15931581</v>
      </c>
    </row>
    <row r="166" spans="1:7">
      <c r="A166" t="s">
        <v>920</v>
      </c>
      <c r="B166">
        <v>-13483.77217695</v>
      </c>
      <c r="C166">
        <v>-371383.18979542999</v>
      </c>
      <c r="D166">
        <v>-19.603097229999999</v>
      </c>
      <c r="E166">
        <v>0.40901742000000002</v>
      </c>
      <c r="F166">
        <v>3.8385780000000001E-2</v>
      </c>
      <c r="G166">
        <v>0.11851892</v>
      </c>
    </row>
    <row r="167" spans="1:7">
      <c r="A167" t="s">
        <v>921</v>
      </c>
      <c r="B167">
        <v>-17435.153758029999</v>
      </c>
      <c r="C167">
        <v>-373438.82332789002</v>
      </c>
      <c r="D167">
        <v>-19.512586209999998</v>
      </c>
      <c r="E167">
        <v>0.41608883000000002</v>
      </c>
      <c r="F167">
        <v>3.4983420000000001E-2</v>
      </c>
      <c r="G167">
        <v>0.16198369000000001</v>
      </c>
    </row>
    <row r="168" spans="1:7">
      <c r="A168" t="s">
        <v>922</v>
      </c>
      <c r="B168">
        <v>-17442.769724770002</v>
      </c>
      <c r="C168">
        <v>-375606.68092055997</v>
      </c>
      <c r="D168">
        <v>-19.498933539999999</v>
      </c>
      <c r="E168">
        <v>0.42662165000000002</v>
      </c>
      <c r="F168">
        <v>3.9247799999999999E-2</v>
      </c>
      <c r="G168">
        <v>0.16477815000000001</v>
      </c>
    </row>
    <row r="169" spans="1:7">
      <c r="A169" t="s">
        <v>923</v>
      </c>
      <c r="B169">
        <v>-13485.17741624</v>
      </c>
      <c r="C169">
        <v>-375192.70125839999</v>
      </c>
      <c r="D169">
        <v>-19.593431079999998</v>
      </c>
      <c r="E169">
        <v>0.42428909999999997</v>
      </c>
      <c r="F169">
        <v>4.4727530000000001E-2</v>
      </c>
      <c r="G169">
        <v>0.12840419</v>
      </c>
    </row>
    <row r="170" spans="1:7">
      <c r="A170" t="s">
        <v>926</v>
      </c>
      <c r="B170">
        <v>-10492.78883576</v>
      </c>
      <c r="C170">
        <v>-383593.50368844002</v>
      </c>
      <c r="D170">
        <v>197.90825176000001</v>
      </c>
      <c r="E170">
        <v>0.46319745000000001</v>
      </c>
      <c r="F170">
        <v>6.8586069999999999E-2</v>
      </c>
      <c r="G170">
        <v>0.28289205000000001</v>
      </c>
    </row>
    <row r="171" spans="1:7">
      <c r="A171" t="s">
        <v>489</v>
      </c>
      <c r="B171">
        <v>-3178.9640029100001</v>
      </c>
      <c r="C171">
        <v>-7349.8935626100001</v>
      </c>
      <c r="D171">
        <v>179.73859612999999</v>
      </c>
      <c r="E171">
        <v>0.19161447000000001</v>
      </c>
      <c r="F171">
        <v>4.1247600000000002E-2</v>
      </c>
      <c r="G171">
        <v>3.6173329999999997E-2</v>
      </c>
    </row>
    <row r="172" spans="1:7">
      <c r="A172" t="s">
        <v>500</v>
      </c>
      <c r="B172">
        <v>-3174.68836418</v>
      </c>
      <c r="C172">
        <v>-3702.01971331</v>
      </c>
      <c r="D172">
        <v>180.37723324000001</v>
      </c>
      <c r="E172">
        <v>0.17697439000000001</v>
      </c>
      <c r="F172">
        <v>3.9400999999999999E-2</v>
      </c>
      <c r="G172">
        <v>3.127332E-2</v>
      </c>
    </row>
    <row r="173" spans="1:7">
      <c r="A173" t="s">
        <v>495</v>
      </c>
      <c r="B173">
        <v>2265.83180386</v>
      </c>
      <c r="C173">
        <v>-4401.4276473299997</v>
      </c>
      <c r="D173">
        <v>180.61777132</v>
      </c>
      <c r="E173">
        <v>0.18780801999999999</v>
      </c>
      <c r="F173">
        <v>7.6594830000000003E-2</v>
      </c>
      <c r="G173">
        <v>6.2196429999999997E-2</v>
      </c>
    </row>
    <row r="174" spans="1:7">
      <c r="A174" t="s">
        <v>528</v>
      </c>
      <c r="B174">
        <v>-3172.28951379</v>
      </c>
      <c r="C174">
        <v>2016.2901427899999</v>
      </c>
      <c r="D174">
        <v>-19.532076320000002</v>
      </c>
      <c r="E174">
        <v>0.15788140000000001</v>
      </c>
      <c r="F174">
        <v>4.0738740000000002E-2</v>
      </c>
      <c r="G174">
        <v>2.7447619999999999E-2</v>
      </c>
    </row>
    <row r="175" spans="1:7">
      <c r="A175" t="s">
        <v>527</v>
      </c>
      <c r="B175">
        <v>1772.9579404999999</v>
      </c>
      <c r="C175">
        <v>1973.3814781599999</v>
      </c>
      <c r="D175">
        <v>-17.620048740000001</v>
      </c>
      <c r="E175">
        <v>0.15679578</v>
      </c>
      <c r="F175">
        <v>5.630429E-2</v>
      </c>
      <c r="G175">
        <v>3.1323030000000002E-2</v>
      </c>
    </row>
    <row r="176" spans="1:7">
      <c r="A176" t="s">
        <v>932</v>
      </c>
      <c r="B176">
        <v>-8752.1982941599999</v>
      </c>
      <c r="C176">
        <v>-4437.1702375799996</v>
      </c>
      <c r="D176">
        <v>183.12887053</v>
      </c>
      <c r="E176">
        <v>0.17155951999999999</v>
      </c>
      <c r="F176">
        <v>2.2819369999999999E-2</v>
      </c>
      <c r="G176">
        <v>5.3605100000000003E-2</v>
      </c>
    </row>
    <row r="177" spans="1:7">
      <c r="A177" t="s">
        <v>933</v>
      </c>
      <c r="B177">
        <v>-9945.0420233599998</v>
      </c>
      <c r="C177">
        <v>-6484.1055872999996</v>
      </c>
      <c r="D177">
        <v>183.98731316000001</v>
      </c>
      <c r="E177">
        <v>0.17807480000000001</v>
      </c>
      <c r="F177">
        <v>1.8709429999999999E-2</v>
      </c>
      <c r="G177">
        <v>5.8149760000000002E-2</v>
      </c>
    </row>
    <row r="178" spans="1:7">
      <c r="A178" t="s">
        <v>934</v>
      </c>
      <c r="B178">
        <v>-10383.563615360001</v>
      </c>
      <c r="C178">
        <v>-3387.8341284799999</v>
      </c>
      <c r="D178">
        <v>-15.3782573</v>
      </c>
      <c r="E178">
        <v>0.16990973000000001</v>
      </c>
      <c r="F178">
        <v>2.0860449999999999E-2</v>
      </c>
      <c r="G178">
        <v>3.9621749999999997E-2</v>
      </c>
    </row>
    <row r="179" spans="1:7">
      <c r="A179" t="s">
        <v>522</v>
      </c>
      <c r="B179">
        <v>-6609.3104461599996</v>
      </c>
      <c r="C179">
        <v>-714.96315790000006</v>
      </c>
      <c r="D179">
        <v>183.98822490000001</v>
      </c>
      <c r="E179">
        <v>0.16541699000000001</v>
      </c>
      <c r="F179">
        <v>3.2811680000000003E-2</v>
      </c>
      <c r="G179">
        <v>4.422483E-2</v>
      </c>
    </row>
    <row r="180" spans="1:7">
      <c r="A180" t="s">
        <v>935</v>
      </c>
      <c r="B180">
        <v>-8346.1238080599996</v>
      </c>
      <c r="C180">
        <v>179.65102365999999</v>
      </c>
      <c r="D180">
        <v>-14.97571591</v>
      </c>
      <c r="E180">
        <v>0.15947968000000001</v>
      </c>
      <c r="F180">
        <v>3.0894629999999999E-2</v>
      </c>
      <c r="G180">
        <v>4.3874719999999999E-2</v>
      </c>
    </row>
    <row r="181" spans="1:7">
      <c r="A181" t="s">
        <v>529</v>
      </c>
      <c r="B181">
        <v>-4724.3917321500003</v>
      </c>
      <c r="C181">
        <v>2569.3778827900001</v>
      </c>
      <c r="D181">
        <v>-13.32564683</v>
      </c>
      <c r="E181">
        <v>0.15433065000000001</v>
      </c>
      <c r="F181">
        <v>3.5548929999999999E-2</v>
      </c>
      <c r="G181">
        <v>3.0643199999999999E-2</v>
      </c>
    </row>
    <row r="182" spans="1:7">
      <c r="A182" t="s">
        <v>936</v>
      </c>
      <c r="B182">
        <v>-6350.8588098600003</v>
      </c>
      <c r="C182">
        <v>3639.7038928000002</v>
      </c>
      <c r="D182">
        <v>-19.049696300000001</v>
      </c>
      <c r="E182">
        <v>0.15119552</v>
      </c>
      <c r="F182">
        <v>3.3532220000000001E-2</v>
      </c>
      <c r="G182">
        <v>3.6478499999999997E-2</v>
      </c>
    </row>
    <row r="183" spans="1:7">
      <c r="A183" t="s">
        <v>530</v>
      </c>
      <c r="B183">
        <v>-3168.6149670099999</v>
      </c>
      <c r="C183">
        <v>2654.5041327700001</v>
      </c>
      <c r="D183">
        <v>-20.33706274</v>
      </c>
      <c r="E183">
        <v>0.15475352000000001</v>
      </c>
      <c r="F183">
        <v>4.016078E-2</v>
      </c>
      <c r="G183">
        <v>2.5362010000000001E-2</v>
      </c>
    </row>
    <row r="184" spans="1:7">
      <c r="A184" t="s">
        <v>937</v>
      </c>
      <c r="B184">
        <v>1785.48080476</v>
      </c>
      <c r="C184">
        <v>5228.9897680300001</v>
      </c>
      <c r="D184">
        <v>-19.79870494</v>
      </c>
      <c r="E184">
        <v>0.14518423</v>
      </c>
      <c r="F184">
        <v>5.82161E-2</v>
      </c>
      <c r="G184">
        <v>2.939135E-2</v>
      </c>
    </row>
    <row r="185" spans="1:7">
      <c r="A185" t="s">
        <v>938</v>
      </c>
      <c r="B185">
        <v>-3304.7774607599999</v>
      </c>
      <c r="C185">
        <v>8927.1000911800002</v>
      </c>
      <c r="D185">
        <v>-18.642240770000001</v>
      </c>
      <c r="E185">
        <v>0.13351673</v>
      </c>
      <c r="F185">
        <v>4.0483369999999998E-2</v>
      </c>
      <c r="G185">
        <v>2.524504E-2</v>
      </c>
    </row>
    <row r="186" spans="1:7">
      <c r="A186" t="s">
        <v>939</v>
      </c>
      <c r="B186">
        <v>1776.1736938900001</v>
      </c>
      <c r="C186">
        <v>14186.10786806</v>
      </c>
      <c r="D186">
        <v>-16.01298087</v>
      </c>
      <c r="E186">
        <v>0.12644669</v>
      </c>
      <c r="F186">
        <v>6.9193169999999998E-2</v>
      </c>
      <c r="G186">
        <v>5.335082E-2</v>
      </c>
    </row>
    <row r="187" spans="1:7">
      <c r="A187" t="s">
        <v>940</v>
      </c>
      <c r="B187">
        <v>1776.14204283</v>
      </c>
      <c r="C187">
        <v>17607.078109130001</v>
      </c>
      <c r="D187">
        <v>-19.405109759999998</v>
      </c>
      <c r="E187">
        <v>0.11175243999999999</v>
      </c>
      <c r="F187">
        <v>5.9151639999999998E-2</v>
      </c>
      <c r="G187">
        <v>3.042802E-2</v>
      </c>
    </row>
    <row r="188" spans="1:7">
      <c r="A188" t="s">
        <v>941</v>
      </c>
      <c r="B188">
        <v>-3163.9622065799999</v>
      </c>
      <c r="C188">
        <v>18829.747392419999</v>
      </c>
      <c r="D188">
        <v>-18.280145260000001</v>
      </c>
      <c r="E188">
        <v>0.10858711</v>
      </c>
      <c r="F188">
        <v>3.9918160000000001E-2</v>
      </c>
      <c r="G188">
        <v>3.9863719999999998E-2</v>
      </c>
    </row>
    <row r="189" spans="1:7">
      <c r="A189" t="s">
        <v>942</v>
      </c>
      <c r="B189">
        <v>1776.2951606900001</v>
      </c>
      <c r="C189">
        <v>27135.34422391</v>
      </c>
      <c r="D189">
        <v>-17.8047279</v>
      </c>
      <c r="E189">
        <v>9.2605409999999999E-2</v>
      </c>
      <c r="F189">
        <v>5.7813459999999997E-2</v>
      </c>
      <c r="G189">
        <v>3.9842559999999999E-2</v>
      </c>
    </row>
    <row r="190" spans="1:7">
      <c r="A190" t="s">
        <v>943</v>
      </c>
      <c r="B190">
        <v>-3164.1803427700002</v>
      </c>
      <c r="C190">
        <v>30263.744961010001</v>
      </c>
      <c r="D190">
        <v>-17.305055880000001</v>
      </c>
      <c r="E190">
        <v>9.2990310000000007E-2</v>
      </c>
      <c r="F190">
        <v>4.1508820000000002E-2</v>
      </c>
      <c r="G190">
        <v>5.5429359999999997E-2</v>
      </c>
    </row>
    <row r="191" spans="1:7">
      <c r="A191" t="s">
        <v>944</v>
      </c>
      <c r="B191">
        <v>-3166.3898449100002</v>
      </c>
      <c r="C191">
        <v>39649.238840880003</v>
      </c>
      <c r="D191">
        <v>-17.919035269999998</v>
      </c>
      <c r="E191">
        <v>8.7967409999999996E-2</v>
      </c>
      <c r="F191">
        <v>4.2171559999999997E-2</v>
      </c>
      <c r="G191">
        <v>7.2118970000000004E-2</v>
      </c>
    </row>
    <row r="192" spans="1:7">
      <c r="A192" t="s">
        <v>945</v>
      </c>
      <c r="B192">
        <v>1768.4771597500001</v>
      </c>
      <c r="C192">
        <v>39767.471548039997</v>
      </c>
      <c r="D192">
        <v>-22.946771930000001</v>
      </c>
      <c r="E192">
        <v>8.6275560000000001E-2</v>
      </c>
      <c r="F192">
        <v>5.8026460000000002E-2</v>
      </c>
      <c r="G192">
        <v>4.6625010000000001E-2</v>
      </c>
    </row>
    <row r="193" spans="1:7">
      <c r="A193" t="s">
        <v>946</v>
      </c>
      <c r="B193">
        <v>-3166.2144640299998</v>
      </c>
      <c r="C193">
        <v>50588.451636350001</v>
      </c>
      <c r="D193">
        <v>-17.444929649999999</v>
      </c>
      <c r="E193">
        <v>9.6324560000000004E-2</v>
      </c>
      <c r="F193">
        <v>4.4842890000000003E-2</v>
      </c>
      <c r="G193">
        <v>6.9762110000000002E-2</v>
      </c>
    </row>
    <row r="194" spans="1:7">
      <c r="A194" t="s">
        <v>947</v>
      </c>
      <c r="B194">
        <v>2273.3324739</v>
      </c>
      <c r="C194">
        <v>51197.540584380004</v>
      </c>
      <c r="D194">
        <v>-18.16637515</v>
      </c>
      <c r="E194">
        <v>0.10538377</v>
      </c>
      <c r="F194">
        <v>6.4871799999999993E-2</v>
      </c>
      <c r="G194">
        <v>6.5523999999999999E-2</v>
      </c>
    </row>
    <row r="195" spans="1:7">
      <c r="A195" t="s">
        <v>948</v>
      </c>
      <c r="B195">
        <v>-3175.6001376899999</v>
      </c>
      <c r="C195">
        <v>57964.474100530002</v>
      </c>
      <c r="D195">
        <v>-16.307873690000001</v>
      </c>
      <c r="E195">
        <v>0.10284061</v>
      </c>
      <c r="F195">
        <v>4.6524339999999997E-2</v>
      </c>
      <c r="G195">
        <v>6.4166219999999996E-2</v>
      </c>
    </row>
    <row r="196" spans="1:7">
      <c r="A196" t="s">
        <v>949</v>
      </c>
      <c r="B196">
        <v>2261.5209443499998</v>
      </c>
      <c r="C196">
        <v>61195.516498969999</v>
      </c>
      <c r="D196">
        <v>-17.41257049</v>
      </c>
      <c r="E196">
        <v>0.10899043999999999</v>
      </c>
      <c r="F196">
        <v>6.4599530000000002E-2</v>
      </c>
      <c r="G196">
        <v>5.7538359999999997E-2</v>
      </c>
    </row>
    <row r="197" spans="1:7">
      <c r="A197" t="s">
        <v>950</v>
      </c>
      <c r="B197">
        <v>2274.60431217</v>
      </c>
      <c r="C197">
        <v>70785.251093209998</v>
      </c>
      <c r="D197">
        <v>-17.588552249999999</v>
      </c>
      <c r="E197">
        <v>0.1264615</v>
      </c>
      <c r="F197">
        <v>6.1716239999999999E-2</v>
      </c>
      <c r="G197">
        <v>5.0064589999999999E-2</v>
      </c>
    </row>
    <row r="198" spans="1:7">
      <c r="A198" t="s">
        <v>951</v>
      </c>
      <c r="B198">
        <v>-3182.1620105900001</v>
      </c>
      <c r="C198">
        <v>71890.538880940003</v>
      </c>
      <c r="D198">
        <v>-17.135719699999999</v>
      </c>
      <c r="E198">
        <v>0.12709675000000001</v>
      </c>
      <c r="F198">
        <v>4.5184630000000003E-2</v>
      </c>
      <c r="G198">
        <v>5.6855929999999999E-2</v>
      </c>
    </row>
    <row r="199" spans="1:7">
      <c r="A199" t="s">
        <v>952</v>
      </c>
      <c r="B199">
        <v>-3171.2277033199998</v>
      </c>
      <c r="C199">
        <v>77767.686485760001</v>
      </c>
      <c r="D199">
        <v>-18.158810639999999</v>
      </c>
      <c r="E199">
        <v>0.14378514000000001</v>
      </c>
      <c r="F199">
        <v>4.6470869999999997E-2</v>
      </c>
      <c r="G199">
        <v>5.2214410000000003E-2</v>
      </c>
    </row>
    <row r="200" spans="1:7">
      <c r="A200" t="s">
        <v>953</v>
      </c>
      <c r="B200">
        <v>2264.5199856600002</v>
      </c>
      <c r="C200">
        <v>78275.351783189995</v>
      </c>
      <c r="D200">
        <v>-18.787579579999999</v>
      </c>
      <c r="E200">
        <v>0.14432265999999999</v>
      </c>
      <c r="F200">
        <v>6.2793169999999995E-2</v>
      </c>
      <c r="G200">
        <v>4.5921690000000001E-2</v>
      </c>
    </row>
    <row r="201" spans="1:7">
      <c r="A201" t="s">
        <v>954</v>
      </c>
      <c r="B201">
        <v>-3173.9490303100001</v>
      </c>
      <c r="C201">
        <v>80228.735047559996</v>
      </c>
      <c r="D201">
        <v>-16.524793880000001</v>
      </c>
      <c r="E201">
        <v>0.14887759</v>
      </c>
      <c r="F201">
        <v>4.431446E-2</v>
      </c>
      <c r="G201">
        <v>5.1934050000000002E-2</v>
      </c>
    </row>
    <row r="202" spans="1:7">
      <c r="A202" t="s">
        <v>955</v>
      </c>
      <c r="B202">
        <v>2267.8110887299999</v>
      </c>
      <c r="C202">
        <v>79925.0572942</v>
      </c>
      <c r="D202">
        <v>-17.443225380000001</v>
      </c>
      <c r="E202">
        <v>0.14917706</v>
      </c>
      <c r="F202">
        <v>6.1838650000000002E-2</v>
      </c>
      <c r="G202">
        <v>4.3525000000000001E-2</v>
      </c>
    </row>
    <row r="203" spans="1:7">
      <c r="A203" t="s">
        <v>956</v>
      </c>
      <c r="B203">
        <v>-3170.04331976</v>
      </c>
      <c r="C203">
        <v>82784.779416820005</v>
      </c>
      <c r="D203">
        <v>-17.494547619999999</v>
      </c>
      <c r="E203">
        <v>0.15574748999999999</v>
      </c>
      <c r="F203">
        <v>4.6239240000000001E-2</v>
      </c>
      <c r="G203">
        <v>5.2994520000000003E-2</v>
      </c>
    </row>
    <row r="204" spans="1:7">
      <c r="A204" t="s">
        <v>957</v>
      </c>
      <c r="B204">
        <v>-3171.6640355700001</v>
      </c>
      <c r="C204">
        <v>87844.289623139994</v>
      </c>
      <c r="D204">
        <v>-15.80444941</v>
      </c>
      <c r="E204">
        <v>0.16921694000000001</v>
      </c>
      <c r="F204">
        <v>4.539895E-2</v>
      </c>
      <c r="G204">
        <v>4.9405879999999999E-2</v>
      </c>
    </row>
    <row r="205" spans="1:7">
      <c r="A205" t="s">
        <v>958</v>
      </c>
      <c r="B205">
        <v>2269.3231572999998</v>
      </c>
      <c r="C205">
        <v>89363.242712260006</v>
      </c>
      <c r="D205">
        <v>-16.411547550000002</v>
      </c>
      <c r="E205">
        <v>0.17883803000000001</v>
      </c>
      <c r="F205">
        <v>6.2867229999999996E-2</v>
      </c>
      <c r="G205">
        <v>4.1732379999999999E-2</v>
      </c>
    </row>
    <row r="206" spans="1:7">
      <c r="A206" t="s">
        <v>959</v>
      </c>
      <c r="B206">
        <v>-3182.8034800599999</v>
      </c>
      <c r="C206">
        <v>98594.334951080004</v>
      </c>
      <c r="D206">
        <v>-15.4753033</v>
      </c>
      <c r="E206">
        <v>0.20557259</v>
      </c>
      <c r="F206">
        <v>4.4576690000000002E-2</v>
      </c>
      <c r="G206">
        <v>4.0253240000000003E-2</v>
      </c>
    </row>
    <row r="207" spans="1:7">
      <c r="A207" t="s">
        <v>960</v>
      </c>
      <c r="B207">
        <v>2252.6570454900002</v>
      </c>
      <c r="C207">
        <v>99556.402185690007</v>
      </c>
      <c r="D207">
        <v>-14.77745221</v>
      </c>
      <c r="E207">
        <v>0.21083165000000001</v>
      </c>
      <c r="F207">
        <v>6.3242590000000001E-2</v>
      </c>
      <c r="G207">
        <v>3.3090229999999998E-2</v>
      </c>
    </row>
    <row r="208" spans="1:7">
      <c r="A208" t="s">
        <v>961</v>
      </c>
      <c r="B208">
        <v>2256.1341000399998</v>
      </c>
      <c r="C208">
        <v>105948.47137152001</v>
      </c>
      <c r="D208">
        <v>-10.887701979999999</v>
      </c>
      <c r="E208">
        <v>0.23293336000000001</v>
      </c>
      <c r="F208">
        <v>6.3930120000000007E-2</v>
      </c>
      <c r="G208">
        <v>3.1141080000000002E-2</v>
      </c>
    </row>
    <row r="209" spans="1:7">
      <c r="A209" t="s">
        <v>962</v>
      </c>
      <c r="B209">
        <v>-3182.6780063599999</v>
      </c>
      <c r="C209">
        <v>109421.45804103</v>
      </c>
      <c r="D209">
        <v>188.0621567</v>
      </c>
      <c r="E209">
        <v>0.24571142000000001</v>
      </c>
      <c r="F209">
        <v>4.4848470000000001E-2</v>
      </c>
      <c r="G209">
        <v>3.0717290000000001E-2</v>
      </c>
    </row>
    <row r="210" spans="1:7">
      <c r="A210" t="s">
        <v>963</v>
      </c>
      <c r="B210">
        <v>-18983.829013840001</v>
      </c>
      <c r="C210">
        <v>103459.110742</v>
      </c>
      <c r="D210">
        <v>-15.704067589999999</v>
      </c>
      <c r="E210">
        <v>0.21889070999999999</v>
      </c>
      <c r="F210">
        <v>4.076917E-2</v>
      </c>
      <c r="G210">
        <v>4.8120160000000002E-2</v>
      </c>
    </row>
    <row r="211" spans="1:7">
      <c r="A211" t="s">
        <v>964</v>
      </c>
      <c r="B211">
        <v>-13547.755110640001</v>
      </c>
      <c r="C211">
        <v>103460.80219014001</v>
      </c>
      <c r="D211">
        <v>-14.97839381</v>
      </c>
      <c r="E211">
        <v>0.22000627</v>
      </c>
      <c r="F211">
        <v>3.0132099999999998E-2</v>
      </c>
      <c r="G211">
        <v>3.131229E-2</v>
      </c>
    </row>
    <row r="212" spans="1:7">
      <c r="A212" t="s">
        <v>965</v>
      </c>
      <c r="B212">
        <v>-18984.63782602</v>
      </c>
      <c r="C212">
        <v>93684.957525680002</v>
      </c>
      <c r="D212">
        <v>-16.87551534</v>
      </c>
      <c r="E212">
        <v>0.17767923999999999</v>
      </c>
      <c r="F212">
        <v>3.945448E-2</v>
      </c>
      <c r="G212">
        <v>5.4500470000000002E-2</v>
      </c>
    </row>
    <row r="213" spans="1:7">
      <c r="A213" t="s">
        <v>966</v>
      </c>
      <c r="B213">
        <v>-13546.781325260001</v>
      </c>
      <c r="C213">
        <v>93890.540888479998</v>
      </c>
      <c r="D213">
        <v>-16.184672590000002</v>
      </c>
      <c r="E213">
        <v>0.17788808</v>
      </c>
      <c r="F213">
        <v>2.465183E-2</v>
      </c>
      <c r="G213">
        <v>3.180881E-2</v>
      </c>
    </row>
    <row r="214" spans="1:7">
      <c r="A214" t="s">
        <v>967</v>
      </c>
      <c r="B214">
        <v>-13542.45196787</v>
      </c>
      <c r="C214">
        <v>84295.105275170004</v>
      </c>
      <c r="D214">
        <v>-17.931868860000002</v>
      </c>
      <c r="E214">
        <v>0.14176865999999999</v>
      </c>
      <c r="F214">
        <v>2.79697E-2</v>
      </c>
      <c r="G214">
        <v>3.193269E-2</v>
      </c>
    </row>
    <row r="215" spans="1:7">
      <c r="A215" t="s">
        <v>968</v>
      </c>
      <c r="B215">
        <v>-18984.775880109999</v>
      </c>
      <c r="C215">
        <v>83377.66290861</v>
      </c>
      <c r="D215">
        <v>-17.13734402</v>
      </c>
      <c r="E215">
        <v>0.13802871</v>
      </c>
      <c r="F215">
        <v>3.951901E-2</v>
      </c>
      <c r="G215">
        <v>5.7782890000000003E-2</v>
      </c>
    </row>
    <row r="216" spans="1:7">
      <c r="A216" t="s">
        <v>969</v>
      </c>
      <c r="B216">
        <v>-18985.362221949999</v>
      </c>
      <c r="C216">
        <v>79773.327873269998</v>
      </c>
      <c r="D216">
        <v>-16.267509669999999</v>
      </c>
      <c r="E216">
        <v>0.12514664</v>
      </c>
      <c r="F216">
        <v>4.0421100000000001E-2</v>
      </c>
      <c r="G216">
        <v>5.957059E-2</v>
      </c>
    </row>
    <row r="217" spans="1:7">
      <c r="A217" t="s">
        <v>970</v>
      </c>
      <c r="B217">
        <v>-13541.34296697</v>
      </c>
      <c r="C217">
        <v>79699.184461900004</v>
      </c>
      <c r="D217">
        <v>-16.921654799999999</v>
      </c>
      <c r="E217">
        <v>0.12513806999999999</v>
      </c>
      <c r="F217">
        <v>2.6902209999999999E-2</v>
      </c>
      <c r="G217">
        <v>3.5822659999999999E-2</v>
      </c>
    </row>
    <row r="218" spans="1:7">
      <c r="A218" t="s">
        <v>971</v>
      </c>
      <c r="B218">
        <v>-18985.437315809999</v>
      </c>
      <c r="C218">
        <v>79436.731941079997</v>
      </c>
      <c r="D218">
        <v>-16.98540195</v>
      </c>
      <c r="E218">
        <v>0.12422357000000001</v>
      </c>
      <c r="F218">
        <v>3.9312949999999999E-2</v>
      </c>
      <c r="G218">
        <v>5.7801430000000001E-2</v>
      </c>
    </row>
    <row r="219" spans="1:7">
      <c r="A219" t="s">
        <v>972</v>
      </c>
      <c r="B219">
        <v>-13542.099514289999</v>
      </c>
      <c r="C219">
        <v>79408.571488350004</v>
      </c>
      <c r="D219">
        <v>-16.928967969999999</v>
      </c>
      <c r="E219">
        <v>0.12427901</v>
      </c>
      <c r="F219">
        <v>2.893519E-2</v>
      </c>
      <c r="G219">
        <v>3.261559E-2</v>
      </c>
    </row>
    <row r="220" spans="1:7">
      <c r="A220" t="s">
        <v>973</v>
      </c>
      <c r="B220">
        <v>-13539.84295507</v>
      </c>
      <c r="C220">
        <v>74716.387212279995</v>
      </c>
      <c r="D220">
        <v>-18.000822249999999</v>
      </c>
      <c r="E220">
        <v>0.10785463000000001</v>
      </c>
      <c r="F220">
        <v>2.8149879999999999E-2</v>
      </c>
      <c r="G220">
        <v>3.3572310000000001E-2</v>
      </c>
    </row>
    <row r="221" spans="1:7">
      <c r="A221" t="s">
        <v>974</v>
      </c>
      <c r="B221">
        <v>-18979.852185750002</v>
      </c>
      <c r="C221">
        <v>74136.188064019996</v>
      </c>
      <c r="D221">
        <v>-17.810125119999999</v>
      </c>
      <c r="E221">
        <v>0.10613106</v>
      </c>
      <c r="F221">
        <v>3.8903960000000001E-2</v>
      </c>
      <c r="G221">
        <v>5.8455409999999999E-2</v>
      </c>
    </row>
    <row r="222" spans="1:7">
      <c r="A222" t="s">
        <v>975</v>
      </c>
      <c r="B222">
        <v>-18980.909353160001</v>
      </c>
      <c r="C222">
        <v>65076.147177879997</v>
      </c>
      <c r="D222">
        <v>-17.693104819999999</v>
      </c>
      <c r="E222">
        <v>8.6324520000000002E-2</v>
      </c>
      <c r="F222">
        <v>3.9424069999999999E-2</v>
      </c>
      <c r="G222">
        <v>6.0759590000000002E-2</v>
      </c>
    </row>
    <row r="223" spans="1:7">
      <c r="A223" t="s">
        <v>976</v>
      </c>
      <c r="B223">
        <v>-13540.997143050001</v>
      </c>
      <c r="C223">
        <v>65109.038581170003</v>
      </c>
      <c r="D223">
        <v>-15.977556290000001</v>
      </c>
      <c r="E223">
        <v>8.6410680000000004E-2</v>
      </c>
      <c r="F223">
        <v>2.612331E-2</v>
      </c>
      <c r="G223">
        <v>4.1457389999999997E-2</v>
      </c>
    </row>
    <row r="224" spans="1:7">
      <c r="A224" t="s">
        <v>977</v>
      </c>
      <c r="B224">
        <v>-18977.680185130001</v>
      </c>
      <c r="C224">
        <v>55315.913087590001</v>
      </c>
      <c r="D224">
        <v>-16.282399009999999</v>
      </c>
      <c r="E224">
        <v>8.6759500000000003E-2</v>
      </c>
      <c r="F224">
        <v>3.7296280000000001E-2</v>
      </c>
      <c r="G224">
        <v>6.3728839999999995E-2</v>
      </c>
    </row>
    <row r="225" spans="1:7">
      <c r="A225" t="s">
        <v>978</v>
      </c>
      <c r="B225">
        <v>-13538.58164077</v>
      </c>
      <c r="C225">
        <v>55445.854723199998</v>
      </c>
      <c r="D225">
        <v>-18.70799791</v>
      </c>
      <c r="E225">
        <v>8.6711819999999995E-2</v>
      </c>
      <c r="F225">
        <v>2.5871269999999998E-2</v>
      </c>
      <c r="G225">
        <v>4.4777749999999998E-2</v>
      </c>
    </row>
    <row r="226" spans="1:7">
      <c r="A226" t="s">
        <v>979</v>
      </c>
      <c r="B226">
        <v>-18969.86650837</v>
      </c>
      <c r="C226">
        <v>49107.04787188</v>
      </c>
      <c r="D226">
        <v>-6.1254141300000002</v>
      </c>
      <c r="E226">
        <v>0.10125088</v>
      </c>
      <c r="F226">
        <v>3.647094E-2</v>
      </c>
      <c r="G226">
        <v>6.5594310000000003E-2</v>
      </c>
    </row>
    <row r="227" spans="1:7">
      <c r="A227" t="s">
        <v>980</v>
      </c>
      <c r="B227">
        <v>-21470.53945068</v>
      </c>
      <c r="C227">
        <v>42666.149354729998</v>
      </c>
      <c r="D227">
        <v>-16.01227974</v>
      </c>
      <c r="E227">
        <v>0.14283860000000001</v>
      </c>
      <c r="F227">
        <v>4.6041810000000002E-2</v>
      </c>
      <c r="G227">
        <v>0.12145768999999999</v>
      </c>
    </row>
    <row r="228" spans="1:7">
      <c r="A228" t="s">
        <v>981</v>
      </c>
      <c r="B228">
        <v>-16506.07744307</v>
      </c>
      <c r="C228">
        <v>39653.86552757</v>
      </c>
      <c r="D228">
        <v>-15.47124996</v>
      </c>
      <c r="E228">
        <v>0.14351965</v>
      </c>
      <c r="F228">
        <v>3.74858E-2</v>
      </c>
      <c r="G228">
        <v>5.8608809999999997E-2</v>
      </c>
    </row>
    <row r="229" spans="1:7">
      <c r="A229" t="s">
        <v>982</v>
      </c>
      <c r="B229">
        <v>-19976.864766710001</v>
      </c>
      <c r="C229">
        <v>39095.234534379997</v>
      </c>
      <c r="D229">
        <v>-11.876868030000001</v>
      </c>
      <c r="E229">
        <v>0.13649554</v>
      </c>
      <c r="F229">
        <v>3.3988490000000003E-2</v>
      </c>
      <c r="G229">
        <v>8.2586640000000003E-2</v>
      </c>
    </row>
    <row r="230" spans="1:7">
      <c r="A230" t="s">
        <v>983</v>
      </c>
      <c r="B230">
        <v>-16581.569498420002</v>
      </c>
      <c r="C230">
        <v>38603.576445890001</v>
      </c>
      <c r="D230">
        <v>-5.5022172500000002</v>
      </c>
      <c r="E230">
        <v>0.13827394000000001</v>
      </c>
      <c r="F230">
        <v>2.6019629999999998E-2</v>
      </c>
      <c r="G230">
        <v>4.7203439999999999E-2</v>
      </c>
    </row>
    <row r="231" spans="1:7">
      <c r="A231" t="s">
        <v>984</v>
      </c>
      <c r="B231">
        <v>-14533.57799208</v>
      </c>
      <c r="C231">
        <v>39145.951134729999</v>
      </c>
      <c r="D231">
        <v>-16.64268148</v>
      </c>
      <c r="E231">
        <v>0.13953214</v>
      </c>
      <c r="F231">
        <v>2.423055E-2</v>
      </c>
      <c r="G231">
        <v>3.9412790000000003E-2</v>
      </c>
    </row>
    <row r="232" spans="1:7">
      <c r="A232" t="s">
        <v>985</v>
      </c>
      <c r="B232">
        <v>-21476.868670079999</v>
      </c>
      <c r="C232">
        <v>31921.154186989999</v>
      </c>
      <c r="D232">
        <v>-17.186986470000001</v>
      </c>
      <c r="E232">
        <v>0.13906773</v>
      </c>
      <c r="F232">
        <v>3.6990589999999997E-2</v>
      </c>
      <c r="G232">
        <v>0.10209964000000001</v>
      </c>
    </row>
    <row r="233" spans="1:7">
      <c r="A233" t="s">
        <v>986</v>
      </c>
      <c r="B233">
        <v>-13517.683601819999</v>
      </c>
      <c r="C233">
        <v>31804.364788639999</v>
      </c>
      <c r="D233">
        <v>-17.555698979999999</v>
      </c>
      <c r="E233">
        <v>0.14135401</v>
      </c>
      <c r="F233">
        <v>2.9284999999999999E-2</v>
      </c>
      <c r="G233">
        <v>4.0682469999999998E-2</v>
      </c>
    </row>
    <row r="234" spans="1:7">
      <c r="A234" t="s">
        <v>987</v>
      </c>
      <c r="B234">
        <v>-4248.8203351599996</v>
      </c>
      <c r="C234">
        <v>111656.39060815</v>
      </c>
      <c r="D234">
        <v>188.94188359</v>
      </c>
      <c r="E234">
        <v>0.25388482000000001</v>
      </c>
      <c r="F234">
        <v>3.9403500000000001E-2</v>
      </c>
      <c r="G234">
        <v>2.3579619999999999E-2</v>
      </c>
    </row>
    <row r="235" spans="1:7">
      <c r="A235" t="s">
        <v>988</v>
      </c>
      <c r="B235">
        <v>-2801.5504354499999</v>
      </c>
      <c r="C235">
        <v>126590.77512125</v>
      </c>
      <c r="D235">
        <v>189.30965936999999</v>
      </c>
      <c r="E235">
        <v>0.31189853000000001</v>
      </c>
      <c r="F235">
        <v>4.8519890000000003E-2</v>
      </c>
      <c r="G235">
        <v>3.9404889999999998E-2</v>
      </c>
    </row>
    <row r="236" spans="1:7">
      <c r="A236" t="s">
        <v>989</v>
      </c>
      <c r="B236">
        <v>-7456.8158022400003</v>
      </c>
      <c r="C236">
        <v>126592.67241309999</v>
      </c>
      <c r="D236">
        <v>185.46664035000001</v>
      </c>
      <c r="E236">
        <v>0.31436540000000002</v>
      </c>
      <c r="F236">
        <v>3.3668110000000001E-2</v>
      </c>
      <c r="G236">
        <v>3.1375930000000003E-2</v>
      </c>
    </row>
    <row r="237" spans="1:7">
      <c r="A237" t="s">
        <v>990</v>
      </c>
      <c r="B237">
        <v>-9212.3961480899998</v>
      </c>
      <c r="C237">
        <v>126590.64359072001</v>
      </c>
      <c r="D237">
        <v>186.86730793000001</v>
      </c>
      <c r="E237">
        <v>0.31278848999999997</v>
      </c>
      <c r="F237">
        <v>3.0356810000000001E-2</v>
      </c>
      <c r="G237">
        <v>3.3278299999999997E-2</v>
      </c>
    </row>
    <row r="238" spans="1:7">
      <c r="A238" t="s">
        <v>991</v>
      </c>
      <c r="B238">
        <v>-12665.201938169999</v>
      </c>
      <c r="C238">
        <v>111655.69068271</v>
      </c>
      <c r="D238">
        <v>189.93913773</v>
      </c>
      <c r="E238">
        <v>0.25600598000000002</v>
      </c>
      <c r="F238">
        <v>2.69275E-2</v>
      </c>
      <c r="G238">
        <v>2.356192E-2</v>
      </c>
    </row>
    <row r="239" spans="1:7">
      <c r="A239" t="s">
        <v>994</v>
      </c>
      <c r="B239">
        <v>-18990.204869879999</v>
      </c>
      <c r="C239">
        <v>111142.36927493</v>
      </c>
      <c r="D239">
        <v>188.72934909</v>
      </c>
      <c r="E239">
        <v>0.25333502000000002</v>
      </c>
      <c r="F239">
        <v>4.4138110000000001E-2</v>
      </c>
      <c r="G239">
        <v>3.2463869999999999E-2</v>
      </c>
    </row>
    <row r="240" spans="1:7">
      <c r="A240" t="s">
        <v>995</v>
      </c>
      <c r="B240">
        <v>-13550.91367272</v>
      </c>
      <c r="C240">
        <v>110666.83980772999</v>
      </c>
      <c r="D240">
        <v>187.76109185000001</v>
      </c>
      <c r="E240">
        <v>0.25287208999999999</v>
      </c>
      <c r="F240">
        <v>3.1628499999999997E-2</v>
      </c>
      <c r="G240">
        <v>3.2608739999999997E-2</v>
      </c>
    </row>
    <row r="241" spans="1:7">
      <c r="A241" t="s">
        <v>992</v>
      </c>
      <c r="B241">
        <v>-21487.130491349999</v>
      </c>
      <c r="C241">
        <v>115574.33672851</v>
      </c>
      <c r="D241">
        <v>188.69609273</v>
      </c>
      <c r="E241">
        <v>0.27042389999999999</v>
      </c>
      <c r="F241">
        <v>5.2368619999999998E-2</v>
      </c>
      <c r="G241">
        <v>3.6248429999999998E-2</v>
      </c>
    </row>
    <row r="242" spans="1:7">
      <c r="A242" t="s">
        <v>993</v>
      </c>
      <c r="B242">
        <v>-14493.68323638</v>
      </c>
      <c r="C242">
        <v>126601.03876963</v>
      </c>
      <c r="D242">
        <v>186.00416745000001</v>
      </c>
      <c r="E242">
        <v>0.31377379999999999</v>
      </c>
      <c r="F242">
        <v>3.3503169999999999E-2</v>
      </c>
      <c r="G242">
        <v>3.921409E-2</v>
      </c>
    </row>
    <row r="243" spans="1:7">
      <c r="A243" t="s">
        <v>996</v>
      </c>
      <c r="B243">
        <v>-21492.969319420001</v>
      </c>
      <c r="C243">
        <v>126157.08356114</v>
      </c>
      <c r="D243">
        <v>187.30340154000001</v>
      </c>
      <c r="E243">
        <v>0.31193177999999999</v>
      </c>
      <c r="F243">
        <v>5.6666809999999998E-2</v>
      </c>
      <c r="G243">
        <v>5.2047309999999999E-2</v>
      </c>
    </row>
    <row r="244" spans="1:7">
      <c r="A244" t="s">
        <v>997</v>
      </c>
      <c r="B244">
        <v>2262.8787526999999</v>
      </c>
      <c r="C244">
        <v>125076.13038572</v>
      </c>
      <c r="D244">
        <v>183.0897827</v>
      </c>
      <c r="E244">
        <v>0.31045866</v>
      </c>
      <c r="F244">
        <v>7.4209360000000002E-2</v>
      </c>
      <c r="G244">
        <v>5.3584130000000001E-2</v>
      </c>
    </row>
    <row r="245" spans="1:7">
      <c r="A245" t="s">
        <v>505</v>
      </c>
      <c r="B245">
        <v>-169.93393741</v>
      </c>
      <c r="C245">
        <v>-2629.5959852999999</v>
      </c>
      <c r="D245">
        <v>379.71876093999998</v>
      </c>
      <c r="E245">
        <v>0.17202530999999999</v>
      </c>
      <c r="F245">
        <v>4.9997409999999999E-2</v>
      </c>
      <c r="G245">
        <v>2.44131E-2</v>
      </c>
    </row>
    <row r="246" spans="1:7">
      <c r="A246" t="s">
        <v>504</v>
      </c>
      <c r="B246">
        <v>-169.92916613</v>
      </c>
      <c r="C246">
        <v>-2670.2508046500002</v>
      </c>
      <c r="D246">
        <v>388.37066396</v>
      </c>
      <c r="E246">
        <v>0.17404253</v>
      </c>
      <c r="F246">
        <v>5.1166799999999998E-2</v>
      </c>
      <c r="G246">
        <v>2.494385E-2</v>
      </c>
    </row>
    <row r="247" spans="1:7">
      <c r="A247" t="s">
        <v>509</v>
      </c>
      <c r="B247">
        <v>-170.01883189</v>
      </c>
      <c r="C247">
        <v>-2579.56829419</v>
      </c>
      <c r="D247">
        <v>479.77102819999999</v>
      </c>
      <c r="E247">
        <v>0.17297146999999999</v>
      </c>
      <c r="F247">
        <v>4.9862339999999998E-2</v>
      </c>
      <c r="G247">
        <v>2.5728770000000001E-2</v>
      </c>
    </row>
    <row r="248" spans="1:7">
      <c r="A248" t="s">
        <v>506</v>
      </c>
      <c r="B248">
        <v>-169.99425926000001</v>
      </c>
      <c r="C248">
        <v>-2629.57381657</v>
      </c>
      <c r="D248">
        <v>479.75666877999998</v>
      </c>
      <c r="E248">
        <v>0.17299980000000001</v>
      </c>
      <c r="F248">
        <v>5.0119990000000003E-2</v>
      </c>
      <c r="G248">
        <v>2.4922920000000001E-2</v>
      </c>
    </row>
    <row r="249" spans="1:7">
      <c r="A249" t="s">
        <v>503</v>
      </c>
      <c r="B249">
        <v>-169.99116232</v>
      </c>
      <c r="C249">
        <v>-2679.58137648</v>
      </c>
      <c r="D249">
        <v>479.74768174000002</v>
      </c>
      <c r="E249">
        <v>0.17315068</v>
      </c>
      <c r="F249">
        <v>5.0522770000000002E-2</v>
      </c>
      <c r="G249">
        <v>2.5956110000000001E-2</v>
      </c>
    </row>
    <row r="250" spans="1:7">
      <c r="A250" t="s">
        <v>508</v>
      </c>
      <c r="B250">
        <v>-170.02576715000001</v>
      </c>
      <c r="C250">
        <v>-2588.8946322900001</v>
      </c>
      <c r="D250">
        <v>571.12443168000004</v>
      </c>
      <c r="E250">
        <v>0.17184521</v>
      </c>
      <c r="F250">
        <v>5.1072619999999999E-2</v>
      </c>
      <c r="G250">
        <v>2.5910030000000001E-2</v>
      </c>
    </row>
    <row r="251" spans="1:7">
      <c r="A251" t="s">
        <v>507</v>
      </c>
      <c r="B251">
        <v>-170.03051065</v>
      </c>
      <c r="C251">
        <v>-2629.5688501599998</v>
      </c>
      <c r="D251">
        <v>579.77422106999995</v>
      </c>
      <c r="E251">
        <v>0.17375682000000001</v>
      </c>
      <c r="F251">
        <v>4.9690940000000003E-2</v>
      </c>
      <c r="G251">
        <v>2.5021060000000001E-2</v>
      </c>
    </row>
    <row r="252" spans="1:7">
      <c r="A252" t="s">
        <v>516</v>
      </c>
      <c r="B252">
        <v>-170.01522144</v>
      </c>
      <c r="C252">
        <v>-944.99406352999995</v>
      </c>
      <c r="D252">
        <v>-370.04099323000003</v>
      </c>
      <c r="E252">
        <v>0.16687915</v>
      </c>
      <c r="F252">
        <v>5.140695E-2</v>
      </c>
      <c r="G252">
        <v>2.5630770000000001E-2</v>
      </c>
    </row>
    <row r="253" spans="1:7">
      <c r="A253" t="s">
        <v>517</v>
      </c>
      <c r="B253">
        <v>-169.99232447</v>
      </c>
      <c r="C253">
        <v>-985.67010755000001</v>
      </c>
      <c r="D253">
        <v>-361.36529745000001</v>
      </c>
      <c r="E253">
        <v>0.16625208999999999</v>
      </c>
      <c r="F253">
        <v>5.048304E-2</v>
      </c>
      <c r="G253">
        <v>2.4452890000000001E-2</v>
      </c>
    </row>
    <row r="254" spans="1:7">
      <c r="A254" t="s">
        <v>518</v>
      </c>
      <c r="B254">
        <v>-170.03646319000001</v>
      </c>
      <c r="C254">
        <v>-894.99935558000004</v>
      </c>
      <c r="D254">
        <v>-270.01918884000003</v>
      </c>
      <c r="E254">
        <v>0.16721406999999999</v>
      </c>
      <c r="F254">
        <v>5.2550470000000002E-2</v>
      </c>
      <c r="G254">
        <v>2.5680729999999999E-2</v>
      </c>
    </row>
    <row r="255" spans="1:7">
      <c r="A255" t="s">
        <v>519</v>
      </c>
      <c r="B255">
        <v>-170.03326478</v>
      </c>
      <c r="C255">
        <v>-944.98912107000001</v>
      </c>
      <c r="D255">
        <v>-270.03265290000002</v>
      </c>
      <c r="E255">
        <v>0.16729752000000001</v>
      </c>
      <c r="F255">
        <v>5.0805290000000003E-2</v>
      </c>
      <c r="G255">
        <v>2.566235E-2</v>
      </c>
    </row>
    <row r="256" spans="1:7">
      <c r="A256" t="s">
        <v>520</v>
      </c>
      <c r="B256">
        <v>-170.00326808</v>
      </c>
      <c r="C256">
        <v>-994.98209049000002</v>
      </c>
      <c r="D256">
        <v>-270.02333268000001</v>
      </c>
      <c r="E256">
        <v>0.16798713000000001</v>
      </c>
      <c r="F256">
        <v>5.1835029999999997E-2</v>
      </c>
      <c r="G256">
        <v>2.58619E-2</v>
      </c>
    </row>
    <row r="257" spans="1:7">
      <c r="A257" t="s">
        <v>521</v>
      </c>
      <c r="B257">
        <v>-170.01016568</v>
      </c>
      <c r="C257">
        <v>-904.31562787999997</v>
      </c>
      <c r="D257">
        <v>-178.66465575000001</v>
      </c>
      <c r="E257">
        <v>0.16653491000000001</v>
      </c>
      <c r="F257">
        <v>4.9195170000000003E-2</v>
      </c>
      <c r="G257">
        <v>2.6731069999999999E-2</v>
      </c>
    </row>
    <row r="258" spans="1:7">
      <c r="A258" t="s">
        <v>998</v>
      </c>
      <c r="B258">
        <v>-15399.823885379999</v>
      </c>
      <c r="C258">
        <v>17529.824999190001</v>
      </c>
      <c r="D258">
        <v>-688.76997441000003</v>
      </c>
      <c r="E258">
        <v>0.14628846000000001</v>
      </c>
      <c r="F258">
        <v>2.201328E-2</v>
      </c>
      <c r="G258">
        <v>2.781254E-2</v>
      </c>
    </row>
    <row r="259" spans="1:7">
      <c r="A259" t="s">
        <v>999</v>
      </c>
      <c r="B259">
        <v>-15400.90200023</v>
      </c>
      <c r="C259">
        <v>26245.358336609999</v>
      </c>
      <c r="D259">
        <v>-688.05990049000002</v>
      </c>
      <c r="E259">
        <v>0.14087811</v>
      </c>
      <c r="F259">
        <v>2.3125260000000002E-2</v>
      </c>
      <c r="G259">
        <v>2.405032E-2</v>
      </c>
    </row>
    <row r="260" spans="1:7">
      <c r="A260" t="s">
        <v>1000</v>
      </c>
      <c r="B260">
        <v>-15398.626194709999</v>
      </c>
      <c r="C260">
        <v>7940.5835600800001</v>
      </c>
      <c r="D260">
        <v>-689.15582772000005</v>
      </c>
      <c r="E260">
        <v>0.15964827000000001</v>
      </c>
      <c r="F260">
        <v>2.1691849999999999E-2</v>
      </c>
      <c r="G260">
        <v>4.0059829999999998E-2</v>
      </c>
    </row>
    <row r="261" spans="1:7">
      <c r="A261" t="s">
        <v>1001</v>
      </c>
      <c r="B261">
        <v>-15399.855445859999</v>
      </c>
      <c r="C261">
        <v>16654.77318833</v>
      </c>
      <c r="D261">
        <v>-689.27367389000005</v>
      </c>
      <c r="E261">
        <v>0.14766557</v>
      </c>
      <c r="F261">
        <v>2.1608019999999999E-2</v>
      </c>
      <c r="G261">
        <v>2.8077359999999999E-2</v>
      </c>
    </row>
    <row r="262" spans="1:7">
      <c r="A262" t="s">
        <v>1002</v>
      </c>
      <c r="B262">
        <v>-15397.026057200001</v>
      </c>
      <c r="C262">
        <v>-6019.2101614200001</v>
      </c>
      <c r="D262">
        <v>-689.13760336999997</v>
      </c>
      <c r="E262">
        <v>0.17544726999999999</v>
      </c>
      <c r="F262">
        <v>1.7503609999999999E-2</v>
      </c>
      <c r="G262">
        <v>3.5961029999999998E-2</v>
      </c>
    </row>
    <row r="263" spans="1:7">
      <c r="A263" t="s">
        <v>1003</v>
      </c>
      <c r="B263">
        <v>-15397.69587476</v>
      </c>
      <c r="C263">
        <v>-1968.3294917400001</v>
      </c>
      <c r="D263">
        <v>-689.02879951</v>
      </c>
      <c r="E263">
        <v>0.17056694</v>
      </c>
      <c r="F263">
        <v>2.2078509999999999E-2</v>
      </c>
      <c r="G263">
        <v>4.0689950000000003E-2</v>
      </c>
    </row>
    <row r="264" spans="1:7">
      <c r="A264" t="s">
        <v>141</v>
      </c>
      <c r="B264">
        <v>-14997.53631071</v>
      </c>
      <c r="C264">
        <v>-2936.1876151000001</v>
      </c>
      <c r="D264">
        <v>-49.206551310000002</v>
      </c>
      <c r="E264">
        <v>0.17081178999999999</v>
      </c>
      <c r="F264">
        <v>2.0694239999999999E-2</v>
      </c>
      <c r="G264">
        <v>3.9171669999999999E-2</v>
      </c>
    </row>
    <row r="265" spans="1:7">
      <c r="A265" t="s">
        <v>140</v>
      </c>
      <c r="B265">
        <v>-14997.55637067</v>
      </c>
      <c r="C265">
        <v>-2786.1642001</v>
      </c>
      <c r="D265">
        <v>-49.078857890000002</v>
      </c>
      <c r="E265">
        <v>0.17040685999999999</v>
      </c>
      <c r="F265">
        <v>2.04458E-2</v>
      </c>
      <c r="G265">
        <v>3.9361750000000001E-2</v>
      </c>
    </row>
    <row r="266" spans="1:7">
      <c r="A266" t="s">
        <v>1004</v>
      </c>
      <c r="B266">
        <v>-15397.707340499999</v>
      </c>
      <c r="C266">
        <v>-1670.97066741</v>
      </c>
      <c r="D266">
        <v>-688.97473179999997</v>
      </c>
      <c r="E266">
        <v>0.17467398000000001</v>
      </c>
      <c r="F266">
        <v>2.3497379999999998E-2</v>
      </c>
      <c r="G266">
        <v>4.350188E-2</v>
      </c>
    </row>
    <row r="267" spans="1:7">
      <c r="A267" t="s">
        <v>1005</v>
      </c>
      <c r="B267">
        <v>-15398.7265763</v>
      </c>
      <c r="C267">
        <v>7043.7711151699996</v>
      </c>
      <c r="D267">
        <v>-688.85231714999998</v>
      </c>
      <c r="E267">
        <v>0.16073907000000001</v>
      </c>
      <c r="F267">
        <v>2.0993270000000001E-2</v>
      </c>
      <c r="G267">
        <v>3.7316210000000002E-2</v>
      </c>
    </row>
    <row r="268" spans="1:7">
      <c r="A268" t="s">
        <v>1006</v>
      </c>
      <c r="B268">
        <v>-15395.37776508</v>
      </c>
      <c r="C268">
        <v>-23136.939334030001</v>
      </c>
      <c r="D268">
        <v>-690.05300491000003</v>
      </c>
      <c r="E268">
        <v>0.20236346</v>
      </c>
      <c r="F268">
        <v>2.3914850000000001E-2</v>
      </c>
      <c r="G268">
        <v>3.3641079999999997E-2</v>
      </c>
    </row>
    <row r="269" spans="1:7">
      <c r="A269" t="s">
        <v>1007</v>
      </c>
      <c r="B269">
        <v>-15396.57761448</v>
      </c>
      <c r="C269">
        <v>-13477.7968243</v>
      </c>
      <c r="D269">
        <v>-689.61008435999997</v>
      </c>
      <c r="E269">
        <v>0.19533802</v>
      </c>
      <c r="F269">
        <v>2.427313E-2</v>
      </c>
      <c r="G269">
        <v>3.424609E-2</v>
      </c>
    </row>
    <row r="270" spans="1:7">
      <c r="A270" t="s">
        <v>1008</v>
      </c>
      <c r="B270">
        <v>-15394.912956919999</v>
      </c>
      <c r="C270">
        <v>-29837.445735469999</v>
      </c>
      <c r="D270">
        <v>-690.20430339999996</v>
      </c>
      <c r="E270">
        <v>0.20396549999999999</v>
      </c>
      <c r="F270">
        <v>2.305927E-2</v>
      </c>
      <c r="G270">
        <v>3.4852929999999997E-2</v>
      </c>
    </row>
    <row r="271" spans="1:7">
      <c r="A271" t="s">
        <v>1009</v>
      </c>
      <c r="B271">
        <v>-15395.233337490001</v>
      </c>
      <c r="C271">
        <v>-23460.692029419999</v>
      </c>
      <c r="D271">
        <v>-690.19555108999998</v>
      </c>
      <c r="E271">
        <v>0.20478303</v>
      </c>
      <c r="F271">
        <v>2.1498670000000001E-2</v>
      </c>
      <c r="G271">
        <v>3.5440880000000001E-2</v>
      </c>
    </row>
    <row r="272" spans="1:7">
      <c r="A272" t="s">
        <v>1010</v>
      </c>
      <c r="B272">
        <v>-15393.610325490001</v>
      </c>
      <c r="C272">
        <v>-40530.734924340002</v>
      </c>
      <c r="D272">
        <v>-690.58144086000004</v>
      </c>
      <c r="E272">
        <v>0.21173622</v>
      </c>
      <c r="F272">
        <v>3.0229209999999999E-2</v>
      </c>
      <c r="G272">
        <v>4.4266680000000003E-2</v>
      </c>
    </row>
    <row r="273" spans="1:7">
      <c r="A273" t="s">
        <v>1011</v>
      </c>
      <c r="B273">
        <v>-15394.47492164</v>
      </c>
      <c r="C273">
        <v>-30160.889954269998</v>
      </c>
      <c r="D273">
        <v>-690.12997100999996</v>
      </c>
      <c r="E273">
        <v>0.20600291000000001</v>
      </c>
      <c r="F273">
        <v>2.4019450000000001E-2</v>
      </c>
      <c r="G273">
        <v>3.2810690000000003E-2</v>
      </c>
    </row>
    <row r="274" spans="1:7">
      <c r="A274" t="s">
        <v>1012</v>
      </c>
      <c r="B274">
        <v>-15393.25871391</v>
      </c>
      <c r="C274">
        <v>-42420.700450110002</v>
      </c>
      <c r="D274">
        <v>-690.70471611000005</v>
      </c>
      <c r="E274">
        <v>0.21100315</v>
      </c>
      <c r="F274">
        <v>2.1796639999999999E-2</v>
      </c>
      <c r="G274">
        <v>3.101868E-2</v>
      </c>
    </row>
    <row r="275" spans="1:7">
      <c r="A275" t="s">
        <v>1013</v>
      </c>
      <c r="B275">
        <v>-15391.834718489999</v>
      </c>
      <c r="C275">
        <v>-53261.733821950002</v>
      </c>
      <c r="D275">
        <v>-691.91314179999995</v>
      </c>
      <c r="E275">
        <v>0.21554032000000001</v>
      </c>
      <c r="F275">
        <v>2.1528350000000002E-2</v>
      </c>
      <c r="G275">
        <v>2.9857330000000001E-2</v>
      </c>
    </row>
    <row r="276" spans="1:7">
      <c r="A276" t="s">
        <v>1014</v>
      </c>
      <c r="B276">
        <v>-15390.701326599999</v>
      </c>
      <c r="C276">
        <v>-68674.872915970001</v>
      </c>
      <c r="D276">
        <v>-691.54184080000005</v>
      </c>
      <c r="E276">
        <v>0.22166654999999999</v>
      </c>
      <c r="F276">
        <v>2.092975E-2</v>
      </c>
      <c r="G276">
        <v>3.0687909999999999E-2</v>
      </c>
    </row>
    <row r="277" spans="1:7">
      <c r="A277" t="s">
        <v>1015</v>
      </c>
      <c r="B277">
        <v>-15391.50198913</v>
      </c>
      <c r="C277">
        <v>-56145.06373029</v>
      </c>
      <c r="D277">
        <v>-691.89109122000002</v>
      </c>
      <c r="E277">
        <v>0.22038156</v>
      </c>
      <c r="F277">
        <v>3.5253270000000003E-2</v>
      </c>
      <c r="G277">
        <v>4.8906230000000002E-2</v>
      </c>
    </row>
    <row r="278" spans="1:7">
      <c r="A278" t="s">
        <v>1016</v>
      </c>
      <c r="B278">
        <v>-15389.053069469999</v>
      </c>
      <c r="C278">
        <v>-78487.98771093</v>
      </c>
      <c r="D278">
        <v>-691.45988456999999</v>
      </c>
      <c r="E278">
        <v>0.22879811</v>
      </c>
      <c r="F278">
        <v>2.136095E-2</v>
      </c>
      <c r="G278">
        <v>2.7239719999999999E-2</v>
      </c>
    </row>
    <row r="279" spans="1:7">
      <c r="A279" t="s">
        <v>1017</v>
      </c>
      <c r="B279">
        <v>-15390.311892870001</v>
      </c>
      <c r="C279">
        <v>-69000.833900390004</v>
      </c>
      <c r="D279">
        <v>-691.55549653000003</v>
      </c>
      <c r="E279">
        <v>0.22375407999999999</v>
      </c>
      <c r="F279">
        <v>2.1554460000000001E-2</v>
      </c>
      <c r="G279">
        <v>2.8458589999999999E-2</v>
      </c>
    </row>
    <row r="280" spans="1:7">
      <c r="A280" t="s">
        <v>1018</v>
      </c>
      <c r="B280">
        <v>-15387.833546809999</v>
      </c>
      <c r="C280">
        <v>-87949.886356989999</v>
      </c>
      <c r="D280">
        <v>-691.82097336000004</v>
      </c>
      <c r="E280">
        <v>0.2356897</v>
      </c>
      <c r="F280">
        <v>2.0495929999999999E-2</v>
      </c>
      <c r="G280">
        <v>2.776182E-2</v>
      </c>
    </row>
    <row r="281" spans="1:7">
      <c r="A281" t="s">
        <v>1019</v>
      </c>
      <c r="B281">
        <v>-15389.2529541</v>
      </c>
      <c r="C281">
        <v>-78867.579884029998</v>
      </c>
      <c r="D281">
        <v>-691.83946925999999</v>
      </c>
      <c r="E281">
        <v>0.22934573999999999</v>
      </c>
      <c r="F281">
        <v>1.946345E-2</v>
      </c>
      <c r="G281">
        <v>2.7143130000000001E-2</v>
      </c>
    </row>
    <row r="282" spans="1:7">
      <c r="A282" t="s">
        <v>1020</v>
      </c>
      <c r="B282">
        <v>-15386.045936570001</v>
      </c>
      <c r="C282">
        <v>-100322.44223927001</v>
      </c>
      <c r="D282">
        <v>-691.53446452000003</v>
      </c>
      <c r="E282">
        <v>0.24367067000000001</v>
      </c>
      <c r="F282">
        <v>2.053139E-2</v>
      </c>
      <c r="G282">
        <v>2.9518800000000001E-2</v>
      </c>
    </row>
    <row r="283" spans="1:7">
      <c r="A283" t="s">
        <v>1021</v>
      </c>
      <c r="B283">
        <v>-15387.491698899999</v>
      </c>
      <c r="C283">
        <v>-89235.331156560002</v>
      </c>
      <c r="D283">
        <v>-691.58387431999995</v>
      </c>
      <c r="E283">
        <v>0.23648838999999999</v>
      </c>
      <c r="F283">
        <v>1.9730459999999998E-2</v>
      </c>
      <c r="G283">
        <v>2.8394119999999998E-2</v>
      </c>
    </row>
    <row r="284" spans="1:7">
      <c r="A284" t="s">
        <v>1022</v>
      </c>
      <c r="B284">
        <v>-15384.328819300001</v>
      </c>
      <c r="C284">
        <v>-112566.10584596</v>
      </c>
      <c r="D284">
        <v>-692.00965565000001</v>
      </c>
      <c r="E284">
        <v>0.24630087000000001</v>
      </c>
      <c r="F284">
        <v>2.0225989999999999E-2</v>
      </c>
      <c r="G284">
        <v>2.83564E-2</v>
      </c>
    </row>
    <row r="285" spans="1:7">
      <c r="A285" t="s">
        <v>1023</v>
      </c>
      <c r="B285">
        <v>-15385.91818404</v>
      </c>
      <c r="C285">
        <v>-101479.94029378</v>
      </c>
      <c r="D285">
        <v>-691.98902710000004</v>
      </c>
      <c r="E285">
        <v>0.24241260000000001</v>
      </c>
      <c r="F285">
        <v>2.0968110000000002E-2</v>
      </c>
      <c r="G285">
        <v>2.8370670000000001E-2</v>
      </c>
    </row>
    <row r="286" spans="1:7">
      <c r="A286" t="s">
        <v>1024</v>
      </c>
      <c r="B286">
        <v>-15383.39209806</v>
      </c>
      <c r="C286">
        <v>-122862.01179607</v>
      </c>
      <c r="D286">
        <v>-692.63916515999995</v>
      </c>
      <c r="E286">
        <v>0.2509362</v>
      </c>
      <c r="F286">
        <v>2.2670570000000001E-2</v>
      </c>
      <c r="G286">
        <v>3.0811829999999998E-2</v>
      </c>
    </row>
    <row r="287" spans="1:7">
      <c r="A287" t="s">
        <v>1025</v>
      </c>
      <c r="B287">
        <v>-15384.12236397</v>
      </c>
      <c r="C287">
        <v>-114145.95742044</v>
      </c>
      <c r="D287">
        <v>-692.33286025999996</v>
      </c>
      <c r="E287">
        <v>0.24750833</v>
      </c>
      <c r="F287">
        <v>2.1085329999999999E-2</v>
      </c>
      <c r="G287">
        <v>2.5693870000000001E-2</v>
      </c>
    </row>
    <row r="288" spans="1:7">
      <c r="A288" t="s">
        <v>1026</v>
      </c>
      <c r="B288">
        <v>-15382.369743269999</v>
      </c>
      <c r="C288">
        <v>-133693.67495503</v>
      </c>
      <c r="D288">
        <v>-693.08051120000005</v>
      </c>
      <c r="E288">
        <v>0.25539081000000002</v>
      </c>
      <c r="F288">
        <v>2.3051499999999999E-2</v>
      </c>
      <c r="G288">
        <v>3.0668009999999999E-2</v>
      </c>
    </row>
    <row r="289" spans="1:7">
      <c r="A289" t="s">
        <v>1027</v>
      </c>
      <c r="B289">
        <v>-15383.124200169999</v>
      </c>
      <c r="C289">
        <v>-124977.42147143</v>
      </c>
      <c r="D289">
        <v>-692.65988441000002</v>
      </c>
      <c r="E289">
        <v>0.25088739999999998</v>
      </c>
      <c r="F289">
        <v>2.2200709999999999E-2</v>
      </c>
      <c r="G289">
        <v>2.8720820000000001E-2</v>
      </c>
    </row>
    <row r="290" spans="1:7">
      <c r="A290" t="s">
        <v>415</v>
      </c>
      <c r="B290">
        <v>-14978.43357417</v>
      </c>
      <c r="C290">
        <v>-159653.84668391</v>
      </c>
      <c r="D290">
        <v>-52.554798409999997</v>
      </c>
      <c r="E290">
        <v>0.23880423000000001</v>
      </c>
      <c r="F290">
        <v>2.83273E-2</v>
      </c>
      <c r="G290">
        <v>3.245754E-2</v>
      </c>
    </row>
    <row r="291" spans="1:7">
      <c r="A291" t="s">
        <v>414</v>
      </c>
      <c r="B291">
        <v>-14978.52602514</v>
      </c>
      <c r="C291">
        <v>-159503.83450823001</v>
      </c>
      <c r="D291">
        <v>-52.638050730000003</v>
      </c>
      <c r="E291">
        <v>0.23547895999999999</v>
      </c>
      <c r="F291">
        <v>2.296399E-2</v>
      </c>
      <c r="G291">
        <v>2.4485819999999998E-2</v>
      </c>
    </row>
    <row r="292" spans="1:7">
      <c r="A292" t="s">
        <v>1028</v>
      </c>
      <c r="B292">
        <v>-15378.9071334</v>
      </c>
      <c r="C292">
        <v>-158408.1844647</v>
      </c>
      <c r="D292">
        <v>-693.02709662999996</v>
      </c>
      <c r="E292">
        <v>0.24133218000000001</v>
      </c>
      <c r="F292">
        <v>2.2512500000000001E-2</v>
      </c>
      <c r="G292">
        <v>2.8453099999999999E-2</v>
      </c>
    </row>
    <row r="293" spans="1:7">
      <c r="A293" t="s">
        <v>1029</v>
      </c>
      <c r="B293">
        <v>-15379.935753219999</v>
      </c>
      <c r="C293">
        <v>-149688.72099423001</v>
      </c>
      <c r="D293">
        <v>-693.01796419000004</v>
      </c>
      <c r="E293">
        <v>0.24768825999999999</v>
      </c>
      <c r="F293">
        <v>2.212047E-2</v>
      </c>
      <c r="G293">
        <v>2.7480999999999998E-2</v>
      </c>
    </row>
    <row r="294" spans="1:7">
      <c r="A294" t="s">
        <v>1030</v>
      </c>
      <c r="B294">
        <v>-15377.515472970001</v>
      </c>
      <c r="C294">
        <v>-168605.39680051</v>
      </c>
      <c r="D294">
        <v>-692.62371879</v>
      </c>
      <c r="E294">
        <v>0.22822228999999999</v>
      </c>
      <c r="F294">
        <v>2.1511539999999999E-2</v>
      </c>
      <c r="G294">
        <v>2.8933230000000001E-2</v>
      </c>
    </row>
    <row r="295" spans="1:7">
      <c r="A295" t="s">
        <v>1031</v>
      </c>
      <c r="B295">
        <v>-15378.62214576</v>
      </c>
      <c r="C295">
        <v>-159889.87573514</v>
      </c>
      <c r="D295">
        <v>-692.82394877000002</v>
      </c>
      <c r="E295">
        <v>0.23991071999999999</v>
      </c>
      <c r="F295">
        <v>2.2157659999999999E-2</v>
      </c>
      <c r="G295">
        <v>2.8836939999999998E-2</v>
      </c>
    </row>
    <row r="296" spans="1:7">
      <c r="A296" t="s">
        <v>421</v>
      </c>
      <c r="B296">
        <v>-14975.873089639999</v>
      </c>
      <c r="C296">
        <v>-178855.07579305</v>
      </c>
      <c r="D296">
        <v>-53.024559689999997</v>
      </c>
      <c r="E296">
        <v>0.21746280000000001</v>
      </c>
      <c r="F296">
        <v>2.9891290000000001E-2</v>
      </c>
      <c r="G296">
        <v>3.9291960000000001E-2</v>
      </c>
    </row>
    <row r="297" spans="1:7">
      <c r="A297" t="s">
        <v>420</v>
      </c>
      <c r="B297">
        <v>-14975.958178569999</v>
      </c>
      <c r="C297">
        <v>-178705.06577148999</v>
      </c>
      <c r="D297">
        <v>-53.028493670000003</v>
      </c>
      <c r="E297">
        <v>0.21217795</v>
      </c>
      <c r="F297">
        <v>2.197197E-2</v>
      </c>
      <c r="G297">
        <v>2.629718E-2</v>
      </c>
    </row>
    <row r="298" spans="1:7">
      <c r="A298" t="s">
        <v>1032</v>
      </c>
      <c r="B298">
        <v>-15376.16286961</v>
      </c>
      <c r="C298">
        <v>-177606.05967957</v>
      </c>
      <c r="D298">
        <v>-692.99384354999995</v>
      </c>
      <c r="E298">
        <v>0.21686943</v>
      </c>
      <c r="F298">
        <v>2.216069E-2</v>
      </c>
      <c r="G298">
        <v>3.2455850000000001E-2</v>
      </c>
    </row>
    <row r="299" spans="1:7">
      <c r="A299" t="s">
        <v>1033</v>
      </c>
      <c r="B299">
        <v>-15377.33016442</v>
      </c>
      <c r="C299">
        <v>-168889.44289963</v>
      </c>
      <c r="D299">
        <v>-692.48033753000004</v>
      </c>
      <c r="E299">
        <v>0.22790674</v>
      </c>
      <c r="F299">
        <v>2.1868490000000001E-2</v>
      </c>
      <c r="G299">
        <v>2.7588049999999999E-2</v>
      </c>
    </row>
    <row r="300" spans="1:7">
      <c r="A300" t="s">
        <v>1034</v>
      </c>
      <c r="B300">
        <v>-15374.9295938</v>
      </c>
      <c r="C300">
        <v>-187811.69471000999</v>
      </c>
      <c r="D300">
        <v>-693.19319711000003</v>
      </c>
      <c r="E300">
        <v>0.20734445000000001</v>
      </c>
      <c r="F300">
        <v>2.285711E-2</v>
      </c>
      <c r="G300">
        <v>3.3439280000000002E-2</v>
      </c>
    </row>
    <row r="301" spans="1:7">
      <c r="A301" t="s">
        <v>1035</v>
      </c>
      <c r="B301">
        <v>-15376.18842572</v>
      </c>
      <c r="C301">
        <v>-179095.40847970999</v>
      </c>
      <c r="D301">
        <v>-693.04226081000002</v>
      </c>
      <c r="E301">
        <v>0.21677463</v>
      </c>
      <c r="F301">
        <v>2.103114E-2</v>
      </c>
      <c r="G301">
        <v>3.130235E-2</v>
      </c>
    </row>
    <row r="302" spans="1:7">
      <c r="A302" t="s">
        <v>427</v>
      </c>
      <c r="B302">
        <v>-14973.53343395</v>
      </c>
      <c r="C302">
        <v>-198056.15089428</v>
      </c>
      <c r="D302">
        <v>-52.762559269999997</v>
      </c>
      <c r="E302">
        <v>0.18843082</v>
      </c>
      <c r="F302">
        <v>2.3466069999999999E-2</v>
      </c>
      <c r="G302">
        <v>2.729504E-2</v>
      </c>
    </row>
    <row r="303" spans="1:7">
      <c r="A303" t="s">
        <v>426</v>
      </c>
      <c r="B303">
        <v>-14973.52356747</v>
      </c>
      <c r="C303">
        <v>-197906.12826239</v>
      </c>
      <c r="D303">
        <v>-52.818676789999998</v>
      </c>
      <c r="E303">
        <v>0.18931590000000001</v>
      </c>
      <c r="F303">
        <v>2.455077E-2</v>
      </c>
      <c r="G303">
        <v>2.707559E-2</v>
      </c>
    </row>
    <row r="304" spans="1:7">
      <c r="A304" t="s">
        <v>1036</v>
      </c>
      <c r="B304">
        <v>-15373.485038500001</v>
      </c>
      <c r="C304">
        <v>-196807.65349293</v>
      </c>
      <c r="D304">
        <v>-692.87382428000001</v>
      </c>
      <c r="E304">
        <v>0.19396223000000001</v>
      </c>
      <c r="F304">
        <v>2.356772E-2</v>
      </c>
      <c r="G304">
        <v>3.3534639999999998E-2</v>
      </c>
    </row>
    <row r="305" spans="1:7">
      <c r="A305" t="s">
        <v>1037</v>
      </c>
      <c r="B305">
        <v>-15374.821794859999</v>
      </c>
      <c r="C305">
        <v>-188091.12080385</v>
      </c>
      <c r="D305">
        <v>-693.23078715999998</v>
      </c>
      <c r="E305">
        <v>0.20535879000000001</v>
      </c>
      <c r="F305">
        <v>2.2064940000000002E-2</v>
      </c>
      <c r="G305">
        <v>3.3993969999999998E-2</v>
      </c>
    </row>
    <row r="306" spans="1:7">
      <c r="A306" t="s">
        <v>1038</v>
      </c>
      <c r="B306">
        <v>-15372.40665146</v>
      </c>
      <c r="C306">
        <v>-207011.22576457</v>
      </c>
      <c r="D306">
        <v>-692.86308844999996</v>
      </c>
      <c r="E306">
        <v>0.18054143</v>
      </c>
      <c r="F306">
        <v>2.1875519999999999E-2</v>
      </c>
      <c r="G306">
        <v>3.1740530000000003E-2</v>
      </c>
    </row>
    <row r="307" spans="1:7">
      <c r="A307" t="s">
        <v>1039</v>
      </c>
      <c r="B307">
        <v>-15373.71122676</v>
      </c>
      <c r="C307">
        <v>-198294.93224083001</v>
      </c>
      <c r="D307">
        <v>-692.74427419000006</v>
      </c>
      <c r="E307">
        <v>0.19275187999999999</v>
      </c>
      <c r="F307">
        <v>2.205795E-2</v>
      </c>
      <c r="G307">
        <v>3.2604899999999999E-2</v>
      </c>
    </row>
    <row r="308" spans="1:7">
      <c r="A308" t="s">
        <v>432</v>
      </c>
      <c r="B308">
        <v>-14970.635837559999</v>
      </c>
      <c r="C308">
        <v>-217254.88658932</v>
      </c>
      <c r="D308">
        <v>-53.000946880000001</v>
      </c>
      <c r="E308">
        <v>0.16179964999999999</v>
      </c>
      <c r="F308">
        <v>2.759385E-2</v>
      </c>
      <c r="G308">
        <v>3.2626049999999997E-2</v>
      </c>
    </row>
    <row r="309" spans="1:7">
      <c r="A309" t="s">
        <v>431</v>
      </c>
      <c r="B309">
        <v>-14970.630489749999</v>
      </c>
      <c r="C309">
        <v>-217104.87685361001</v>
      </c>
      <c r="D309">
        <v>-52.97979926</v>
      </c>
      <c r="E309">
        <v>0.16051012000000001</v>
      </c>
      <c r="F309">
        <v>2.7225820000000001E-2</v>
      </c>
      <c r="G309">
        <v>3.178429E-2</v>
      </c>
    </row>
    <row r="310" spans="1:7">
      <c r="A310" t="s">
        <v>1040</v>
      </c>
      <c r="B310">
        <v>-15370.99781809</v>
      </c>
      <c r="C310">
        <v>-216005.70044824001</v>
      </c>
      <c r="D310">
        <v>-693.09567795999999</v>
      </c>
      <c r="E310">
        <v>0.1669504</v>
      </c>
      <c r="F310">
        <v>2.4399919999999999E-2</v>
      </c>
      <c r="G310">
        <v>3.3762599999999997E-2</v>
      </c>
    </row>
    <row r="311" spans="1:7">
      <c r="A311" t="s">
        <v>1041</v>
      </c>
      <c r="B311">
        <v>-15372.356764239999</v>
      </c>
      <c r="C311">
        <v>-207289.62542251</v>
      </c>
      <c r="D311">
        <v>-692.92377595999994</v>
      </c>
      <c r="E311">
        <v>0.18037062000000001</v>
      </c>
      <c r="F311">
        <v>2.2473280000000002E-2</v>
      </c>
      <c r="G311">
        <v>3.3806959999999997E-2</v>
      </c>
    </row>
    <row r="312" spans="1:7">
      <c r="A312" t="s">
        <v>1042</v>
      </c>
      <c r="B312">
        <v>-15369.183698319999</v>
      </c>
      <c r="C312">
        <v>-228926.79553313</v>
      </c>
      <c r="D312">
        <v>-692.75357387999998</v>
      </c>
      <c r="E312">
        <v>0.14275194999999999</v>
      </c>
      <c r="F312">
        <v>2.495462E-2</v>
      </c>
      <c r="G312">
        <v>2.9602920000000001E-2</v>
      </c>
    </row>
    <row r="313" spans="1:7">
      <c r="A313" t="s">
        <v>1043</v>
      </c>
      <c r="B313">
        <v>-15370.410842110001</v>
      </c>
      <c r="C313">
        <v>-220211.13411873</v>
      </c>
      <c r="D313">
        <v>-692.87739092000004</v>
      </c>
      <c r="E313">
        <v>0.15999657</v>
      </c>
      <c r="F313">
        <v>2.59028E-2</v>
      </c>
      <c r="G313">
        <v>3.3229519999999999E-2</v>
      </c>
    </row>
    <row r="314" spans="1:7">
      <c r="A314" t="s">
        <v>438</v>
      </c>
      <c r="B314">
        <v>-14968.21330505</v>
      </c>
      <c r="C314">
        <v>-239169.38257479999</v>
      </c>
      <c r="D314">
        <v>-52.136070660000001</v>
      </c>
      <c r="E314">
        <v>0.12021964</v>
      </c>
      <c r="F314">
        <v>2.7593619999999999E-2</v>
      </c>
      <c r="G314">
        <v>2.738794E-2</v>
      </c>
    </row>
    <row r="315" spans="1:7">
      <c r="A315" t="s">
        <v>437</v>
      </c>
      <c r="B315">
        <v>-14968.19788319</v>
      </c>
      <c r="C315">
        <v>-239019.39296909</v>
      </c>
      <c r="D315">
        <v>-52.198233629999997</v>
      </c>
      <c r="E315">
        <v>0.12107155</v>
      </c>
      <c r="F315">
        <v>2.559993E-2</v>
      </c>
      <c r="G315">
        <v>2.9653039999999999E-2</v>
      </c>
    </row>
    <row r="316" spans="1:7">
      <c r="A316" t="s">
        <v>1044</v>
      </c>
      <c r="B316">
        <v>-15368.39450418</v>
      </c>
      <c r="C316">
        <v>-237917.46579581001</v>
      </c>
      <c r="D316">
        <v>-692.10082009999996</v>
      </c>
      <c r="E316">
        <v>0.12904454000000001</v>
      </c>
      <c r="F316">
        <v>2.3869370000000001E-2</v>
      </c>
      <c r="G316">
        <v>3.3387739999999999E-2</v>
      </c>
    </row>
    <row r="317" spans="1:7">
      <c r="A317" t="s">
        <v>1045</v>
      </c>
      <c r="B317">
        <v>-15369.31507511</v>
      </c>
      <c r="C317">
        <v>-229202.02320768</v>
      </c>
      <c r="D317">
        <v>-692.68721086000005</v>
      </c>
      <c r="E317">
        <v>0.14287833999999999</v>
      </c>
      <c r="F317">
        <v>2.5115660000000001E-2</v>
      </c>
      <c r="G317">
        <v>3.1298560000000003E-2</v>
      </c>
    </row>
    <row r="318" spans="1:7">
      <c r="A318" t="s">
        <v>1046</v>
      </c>
      <c r="B318">
        <v>-15367.38784773</v>
      </c>
      <c r="C318">
        <v>-248128.50379078</v>
      </c>
      <c r="D318">
        <v>-692.36710611000001</v>
      </c>
      <c r="E318">
        <v>0.10963601000000001</v>
      </c>
      <c r="F318">
        <v>2.4704279999999999E-2</v>
      </c>
      <c r="G318">
        <v>3.0009009999999999E-2</v>
      </c>
    </row>
    <row r="319" spans="1:7">
      <c r="A319" t="s">
        <v>1047</v>
      </c>
      <c r="B319">
        <v>-15368.257406119999</v>
      </c>
      <c r="C319">
        <v>-239412.40284626</v>
      </c>
      <c r="D319">
        <v>-692.15301390000002</v>
      </c>
      <c r="E319">
        <v>0.12597014000000001</v>
      </c>
      <c r="F319">
        <v>2.6121800000000001E-2</v>
      </c>
      <c r="G319">
        <v>3.3201630000000003E-2</v>
      </c>
    </row>
    <row r="320" spans="1:7">
      <c r="A320" t="s">
        <v>444</v>
      </c>
      <c r="B320">
        <v>-14965.576613679999</v>
      </c>
      <c r="C320">
        <v>-258369.83022760999</v>
      </c>
      <c r="D320">
        <v>-52.437525600000001</v>
      </c>
      <c r="E320">
        <v>9.1292670000000006E-2</v>
      </c>
      <c r="F320">
        <v>2.926815E-2</v>
      </c>
      <c r="G320">
        <v>2.8397740000000001E-2</v>
      </c>
    </row>
    <row r="321" spans="1:7">
      <c r="A321" t="s">
        <v>443</v>
      </c>
      <c r="B321">
        <v>-14965.617176899999</v>
      </c>
      <c r="C321">
        <v>-258219.85476633001</v>
      </c>
      <c r="D321">
        <v>-52.500709919999998</v>
      </c>
      <c r="E321">
        <v>9.1346029999999995E-2</v>
      </c>
      <c r="F321">
        <v>2.8090279999999999E-2</v>
      </c>
      <c r="G321">
        <v>2.7350800000000001E-2</v>
      </c>
    </row>
    <row r="322" spans="1:7">
      <c r="A322" t="s">
        <v>1048</v>
      </c>
      <c r="B322">
        <v>-15365.98528861</v>
      </c>
      <c r="C322">
        <v>-257119.19830863</v>
      </c>
      <c r="D322">
        <v>-692.49092974999996</v>
      </c>
      <c r="E322">
        <v>0.1015308</v>
      </c>
      <c r="F322">
        <v>2.78172E-2</v>
      </c>
      <c r="G322">
        <v>3.2324029999999997E-2</v>
      </c>
    </row>
    <row r="323" spans="1:7">
      <c r="A323" t="s">
        <v>1049</v>
      </c>
      <c r="B323">
        <v>-15367.10186372</v>
      </c>
      <c r="C323">
        <v>-248403.80771210001</v>
      </c>
      <c r="D323">
        <v>-692.43543891000002</v>
      </c>
      <c r="E323">
        <v>0.11068459</v>
      </c>
      <c r="F323">
        <v>2.5416390000000001E-2</v>
      </c>
      <c r="G323">
        <v>2.9818290000000001E-2</v>
      </c>
    </row>
    <row r="324" spans="1:7">
      <c r="A324" t="s">
        <v>1050</v>
      </c>
      <c r="B324">
        <v>-15363.912645869999</v>
      </c>
      <c r="C324">
        <v>-267326.10114803998</v>
      </c>
      <c r="D324">
        <v>-692.87851062000004</v>
      </c>
      <c r="E324">
        <v>9.1974990000000006E-2</v>
      </c>
      <c r="F324">
        <v>2.5636550000000001E-2</v>
      </c>
      <c r="G324">
        <v>3.2630970000000002E-2</v>
      </c>
    </row>
    <row r="325" spans="1:7">
      <c r="A325" t="s">
        <v>1051</v>
      </c>
      <c r="B325">
        <v>-15365.34152681</v>
      </c>
      <c r="C325">
        <v>-258610.47776685</v>
      </c>
      <c r="D325">
        <v>-692.34009633000005</v>
      </c>
      <c r="E325">
        <v>0.10184909</v>
      </c>
      <c r="F325">
        <v>2.6115599999999999E-2</v>
      </c>
      <c r="G325">
        <v>3.2130989999999998E-2</v>
      </c>
    </row>
    <row r="326" spans="1:7">
      <c r="A326" t="s">
        <v>450</v>
      </c>
      <c r="B326">
        <v>-14962.613973039999</v>
      </c>
      <c r="C326">
        <v>-277566.43814137002</v>
      </c>
      <c r="D326">
        <v>-52.036488220000003</v>
      </c>
      <c r="E326">
        <v>8.9550759999999993E-2</v>
      </c>
      <c r="F326">
        <v>2.7901059999999998E-2</v>
      </c>
      <c r="G326">
        <v>3.08247E-2</v>
      </c>
    </row>
    <row r="327" spans="1:7">
      <c r="A327" t="s">
        <v>449</v>
      </c>
      <c r="B327">
        <v>-14962.609106129999</v>
      </c>
      <c r="C327">
        <v>-277416.44731649</v>
      </c>
      <c r="D327">
        <v>-52.127970079999997</v>
      </c>
      <c r="E327">
        <v>8.976634E-2</v>
      </c>
      <c r="F327">
        <v>2.6423909999999998E-2</v>
      </c>
      <c r="G327">
        <v>3.1412639999999999E-2</v>
      </c>
    </row>
    <row r="328" spans="1:7">
      <c r="A328" t="s">
        <v>1052</v>
      </c>
      <c r="B328">
        <v>-15363.04276285</v>
      </c>
      <c r="C328">
        <v>-276315.80236988998</v>
      </c>
      <c r="D328">
        <v>-691.93424608999999</v>
      </c>
      <c r="E328">
        <v>9.9588800000000005E-2</v>
      </c>
      <c r="F328">
        <v>2.71927E-2</v>
      </c>
      <c r="G328">
        <v>3.9014149999999997E-2</v>
      </c>
    </row>
    <row r="329" spans="1:7">
      <c r="A329" t="s">
        <v>1053</v>
      </c>
      <c r="B329">
        <v>-15364.050685910001</v>
      </c>
      <c r="C329">
        <v>-267599.51964774</v>
      </c>
      <c r="D329">
        <v>-692.21208314</v>
      </c>
      <c r="E329">
        <v>9.2568890000000001E-2</v>
      </c>
      <c r="F329">
        <v>2.6223699999999999E-2</v>
      </c>
      <c r="G329">
        <v>3.2830230000000002E-2</v>
      </c>
    </row>
    <row r="330" spans="1:7">
      <c r="A330" t="s">
        <v>1054</v>
      </c>
      <c r="B330">
        <v>-15361.370885730001</v>
      </c>
      <c r="C330">
        <v>-286524.71277396003</v>
      </c>
      <c r="D330">
        <v>-692.16571060000001</v>
      </c>
      <c r="E330">
        <v>0.11168878</v>
      </c>
      <c r="F330">
        <v>2.883869E-2</v>
      </c>
      <c r="G330">
        <v>4.2456889999999997E-2</v>
      </c>
    </row>
    <row r="331" spans="1:7">
      <c r="A331" t="s">
        <v>1055</v>
      </c>
      <c r="B331">
        <v>-15362.67731959</v>
      </c>
      <c r="C331">
        <v>-277808.17616213002</v>
      </c>
      <c r="D331">
        <v>-692.14264557000001</v>
      </c>
      <c r="E331">
        <v>9.8776020000000006E-2</v>
      </c>
      <c r="F331">
        <v>2.6522049999999998E-2</v>
      </c>
      <c r="G331">
        <v>3.6692679999999998E-2</v>
      </c>
    </row>
    <row r="332" spans="1:7">
      <c r="A332" t="s">
        <v>456</v>
      </c>
      <c r="B332">
        <v>-14960.216798539999</v>
      </c>
      <c r="C332">
        <v>-296758.86133953999</v>
      </c>
      <c r="D332">
        <v>-52.143232879999999</v>
      </c>
      <c r="E332">
        <v>0.12788926</v>
      </c>
      <c r="F332">
        <v>3.1401909999999998E-2</v>
      </c>
      <c r="G332">
        <v>3.9821490000000001E-2</v>
      </c>
    </row>
    <row r="333" spans="1:7">
      <c r="A333" t="s">
        <v>455</v>
      </c>
      <c r="B333">
        <v>-14960.30901578</v>
      </c>
      <c r="C333">
        <v>-296608.86577685998</v>
      </c>
      <c r="D333">
        <v>-52.139515500000002</v>
      </c>
      <c r="E333">
        <v>0.12702041</v>
      </c>
      <c r="F333">
        <v>3.251014E-2</v>
      </c>
      <c r="G333">
        <v>4.36345E-2</v>
      </c>
    </row>
    <row r="334" spans="1:7">
      <c r="A334" t="s">
        <v>1056</v>
      </c>
      <c r="B334">
        <v>-15360.542941969999</v>
      </c>
      <c r="C334">
        <v>-295509.86386129999</v>
      </c>
      <c r="D334">
        <v>-692.17507069999999</v>
      </c>
      <c r="E334">
        <v>0.13088915000000001</v>
      </c>
      <c r="F334">
        <v>2.7926380000000001E-2</v>
      </c>
      <c r="G334">
        <v>4.0396599999999998E-2</v>
      </c>
    </row>
    <row r="335" spans="1:7">
      <c r="A335" t="s">
        <v>1057</v>
      </c>
      <c r="B335">
        <v>-15361.428535769999</v>
      </c>
      <c r="C335">
        <v>-286793.68459282001</v>
      </c>
      <c r="D335">
        <v>-692.23426042999995</v>
      </c>
      <c r="E335">
        <v>0.10938966</v>
      </c>
      <c r="F335">
        <v>2.823935E-2</v>
      </c>
      <c r="G335">
        <v>4.3839059999999999E-2</v>
      </c>
    </row>
    <row r="336" spans="1:7">
      <c r="A336" t="s">
        <v>1058</v>
      </c>
      <c r="B336">
        <v>-15358.443446859999</v>
      </c>
      <c r="C336">
        <v>-308448.17343596998</v>
      </c>
      <c r="D336">
        <v>-691.54664692999995</v>
      </c>
      <c r="E336">
        <v>0.16560628999999999</v>
      </c>
      <c r="F336">
        <v>2.937522E-2</v>
      </c>
      <c r="G336">
        <v>3.995257E-2</v>
      </c>
    </row>
    <row r="337" spans="1:7">
      <c r="A337" t="s">
        <v>1059</v>
      </c>
      <c r="B337">
        <v>-15359.993185630001</v>
      </c>
      <c r="C337">
        <v>-299730.88921324001</v>
      </c>
      <c r="D337">
        <v>-691.94101933000002</v>
      </c>
      <c r="E337">
        <v>0.14127920999999999</v>
      </c>
      <c r="F337">
        <v>2.798937E-2</v>
      </c>
      <c r="G337">
        <v>4.12171E-2</v>
      </c>
    </row>
    <row r="338" spans="1:7">
      <c r="A338" t="s">
        <v>462</v>
      </c>
      <c r="B338">
        <v>-14957.20934655</v>
      </c>
      <c r="C338">
        <v>-318681.25048570998</v>
      </c>
      <c r="D338">
        <v>-51.467189589999997</v>
      </c>
      <c r="E338">
        <v>0.19811848000000001</v>
      </c>
      <c r="F338">
        <v>3.0469059999999999E-2</v>
      </c>
      <c r="G338">
        <v>2.8988369999999999E-2</v>
      </c>
    </row>
    <row r="339" spans="1:7">
      <c r="A339" t="s">
        <v>461</v>
      </c>
      <c r="B339">
        <v>-14957.261007859999</v>
      </c>
      <c r="C339">
        <v>-318531.23372328002</v>
      </c>
      <c r="D339">
        <v>-51.504682760000001</v>
      </c>
      <c r="E339">
        <v>0.19730305000000001</v>
      </c>
      <c r="F339">
        <v>3.0136219999999998E-2</v>
      </c>
      <c r="G339">
        <v>2.8729000000000001E-2</v>
      </c>
    </row>
    <row r="340" spans="1:7">
      <c r="A340" t="s">
        <v>1060</v>
      </c>
      <c r="B340">
        <v>-15357.7333619</v>
      </c>
      <c r="C340">
        <v>-317432.93472565</v>
      </c>
      <c r="D340">
        <v>-691.67804660000002</v>
      </c>
      <c r="E340">
        <v>0.19747250999999999</v>
      </c>
      <c r="F340">
        <v>3.008568E-2</v>
      </c>
      <c r="G340">
        <v>3.5396770000000001E-2</v>
      </c>
    </row>
    <row r="341" spans="1:7">
      <c r="A341" t="s">
        <v>1061</v>
      </c>
      <c r="B341">
        <v>-15358.755499270001</v>
      </c>
      <c r="C341">
        <v>-308716.99904372997</v>
      </c>
      <c r="D341">
        <v>-691.84534460999998</v>
      </c>
      <c r="E341">
        <v>0.16710583000000001</v>
      </c>
      <c r="F341">
        <v>2.9617859999999999E-2</v>
      </c>
      <c r="G341">
        <v>4.0355429999999998E-2</v>
      </c>
    </row>
    <row r="342" spans="1:7">
      <c r="A342" t="s">
        <v>1062</v>
      </c>
      <c r="B342">
        <v>-15356.14861022</v>
      </c>
      <c r="C342">
        <v>-327641.45332625002</v>
      </c>
      <c r="D342">
        <v>-691.45706671999994</v>
      </c>
      <c r="E342">
        <v>0.23376118000000001</v>
      </c>
      <c r="F342">
        <v>3.2131310000000003E-2</v>
      </c>
      <c r="G342">
        <v>3.7130400000000001E-2</v>
      </c>
    </row>
    <row r="343" spans="1:7">
      <c r="A343" t="s">
        <v>1063</v>
      </c>
      <c r="B343">
        <v>-15357.09901586</v>
      </c>
      <c r="C343">
        <v>-318921.40800792997</v>
      </c>
      <c r="D343">
        <v>-691.48914961000003</v>
      </c>
      <c r="E343">
        <v>0.20331911</v>
      </c>
      <c r="F343">
        <v>2.9623420000000001E-2</v>
      </c>
      <c r="G343">
        <v>3.4832210000000002E-2</v>
      </c>
    </row>
    <row r="344" spans="1:7">
      <c r="A344" t="s">
        <v>468</v>
      </c>
      <c r="B344">
        <v>-14954.910252109999</v>
      </c>
      <c r="C344">
        <v>-337881.71853483998</v>
      </c>
      <c r="D344">
        <v>-51.540141779999999</v>
      </c>
      <c r="E344">
        <v>0.26870296999999999</v>
      </c>
      <c r="F344">
        <v>3.1061579999999998E-2</v>
      </c>
      <c r="G344">
        <v>1.92278E-2</v>
      </c>
    </row>
    <row r="345" spans="1:7">
      <c r="A345" t="s">
        <v>467</v>
      </c>
      <c r="B345">
        <v>-14954.92924698</v>
      </c>
      <c r="C345">
        <v>-337731.69898223999</v>
      </c>
      <c r="D345">
        <v>-51.5924251</v>
      </c>
      <c r="E345">
        <v>0.26924577</v>
      </c>
      <c r="F345">
        <v>3.1575190000000003E-2</v>
      </c>
      <c r="G345">
        <v>1.906451E-2</v>
      </c>
    </row>
    <row r="346" spans="1:7">
      <c r="A346" t="s">
        <v>1064</v>
      </c>
      <c r="B346">
        <v>-15355.159054010001</v>
      </c>
      <c r="C346">
        <v>-336632.40850833</v>
      </c>
      <c r="D346">
        <v>-691.57053507000001</v>
      </c>
      <c r="E346">
        <v>0.26888329999999999</v>
      </c>
      <c r="F346">
        <v>3.1360390000000002E-2</v>
      </c>
      <c r="G346">
        <v>2.712055E-2</v>
      </c>
    </row>
    <row r="347" spans="1:7">
      <c r="A347" t="s">
        <v>1065</v>
      </c>
      <c r="B347">
        <v>-15355.974522279999</v>
      </c>
      <c r="C347">
        <v>-327916.25520396</v>
      </c>
      <c r="D347">
        <v>-691.25838818</v>
      </c>
      <c r="E347">
        <v>0.23386913000000001</v>
      </c>
      <c r="F347">
        <v>3.153972E-2</v>
      </c>
      <c r="G347">
        <v>3.2623109999999997E-2</v>
      </c>
    </row>
    <row r="348" spans="1:7">
      <c r="A348" t="s">
        <v>1066</v>
      </c>
      <c r="B348">
        <v>-15353.478248470001</v>
      </c>
      <c r="C348">
        <v>-346840.48168143001</v>
      </c>
      <c r="D348">
        <v>-691.42014325000002</v>
      </c>
      <c r="E348">
        <v>0.30812260000000002</v>
      </c>
      <c r="F348">
        <v>3.0796939999999998E-2</v>
      </c>
      <c r="G348">
        <v>3.6663870000000001E-2</v>
      </c>
    </row>
    <row r="349" spans="1:7">
      <c r="A349" t="s">
        <v>1067</v>
      </c>
      <c r="B349">
        <v>-15354.780532119999</v>
      </c>
      <c r="C349">
        <v>-338122.53456763999</v>
      </c>
      <c r="D349">
        <v>-691.60327089999998</v>
      </c>
      <c r="E349">
        <v>0.27384433000000002</v>
      </c>
      <c r="F349">
        <v>3.0901540000000002E-2</v>
      </c>
      <c r="G349">
        <v>2.816335E-2</v>
      </c>
    </row>
    <row r="350" spans="1:7">
      <c r="A350" t="s">
        <v>474</v>
      </c>
      <c r="B350">
        <v>-14951.93235463</v>
      </c>
      <c r="C350">
        <v>-357084.31651873002</v>
      </c>
      <c r="D350">
        <v>-51.206951009999997</v>
      </c>
      <c r="E350">
        <v>0.34629851</v>
      </c>
      <c r="F350">
        <v>3.443835E-2</v>
      </c>
      <c r="G350">
        <v>4.7024860000000002E-2</v>
      </c>
    </row>
    <row r="351" spans="1:7">
      <c r="A351" t="s">
        <v>473</v>
      </c>
      <c r="B351">
        <v>-14951.97065949</v>
      </c>
      <c r="C351">
        <v>-356934.33013304998</v>
      </c>
      <c r="D351">
        <v>-51.26170544</v>
      </c>
      <c r="E351">
        <v>0.34493752999999999</v>
      </c>
      <c r="F351">
        <v>3.3816939999999997E-2</v>
      </c>
      <c r="G351">
        <v>4.7490690000000002E-2</v>
      </c>
    </row>
    <row r="352" spans="1:7">
      <c r="A352" t="s">
        <v>1068</v>
      </c>
      <c r="B352">
        <v>-15352.14977548</v>
      </c>
      <c r="C352">
        <v>-355832.55700709001</v>
      </c>
      <c r="D352">
        <v>-691.24821032</v>
      </c>
      <c r="E352">
        <v>0.34407302000000001</v>
      </c>
      <c r="F352">
        <v>3.232376E-2</v>
      </c>
      <c r="G352">
        <v>4.9607569999999997E-2</v>
      </c>
    </row>
    <row r="353" spans="1:7">
      <c r="A353" t="s">
        <v>1069</v>
      </c>
      <c r="B353">
        <v>-15353.53413036</v>
      </c>
      <c r="C353">
        <v>-347114.90588147001</v>
      </c>
      <c r="D353">
        <v>-691.27709482</v>
      </c>
      <c r="E353">
        <v>0.30810349999999997</v>
      </c>
      <c r="F353">
        <v>3.1939189999999999E-2</v>
      </c>
      <c r="G353">
        <v>3.617741E-2</v>
      </c>
    </row>
    <row r="354" spans="1:7">
      <c r="A354" t="s">
        <v>1070</v>
      </c>
      <c r="B354">
        <v>-15350.962624010001</v>
      </c>
      <c r="C354">
        <v>-366043.74203321</v>
      </c>
      <c r="D354">
        <v>-691.27316063000001</v>
      </c>
      <c r="E354">
        <v>0.38685398999999998</v>
      </c>
      <c r="F354">
        <v>3.4619219999999999E-2</v>
      </c>
      <c r="G354">
        <v>6.8958649999999996E-2</v>
      </c>
    </row>
    <row r="355" spans="1:7">
      <c r="A355" t="s">
        <v>1071</v>
      </c>
      <c r="B355">
        <v>-15352.14696421</v>
      </c>
      <c r="C355">
        <v>-357326.81264123</v>
      </c>
      <c r="D355">
        <v>-691.23713558999998</v>
      </c>
      <c r="E355">
        <v>0.34968284999999999</v>
      </c>
      <c r="F355">
        <v>3.141451E-2</v>
      </c>
      <c r="G355">
        <v>5.2036939999999997E-2</v>
      </c>
    </row>
    <row r="356" spans="1:7">
      <c r="A356" t="s">
        <v>1072</v>
      </c>
      <c r="B356">
        <v>-15349.396344459999</v>
      </c>
      <c r="C356">
        <v>-376409.08908955997</v>
      </c>
      <c r="D356">
        <v>-690.95375005999995</v>
      </c>
      <c r="E356">
        <v>0.43017388000000001</v>
      </c>
      <c r="F356">
        <v>3.7122250000000002E-2</v>
      </c>
      <c r="G356">
        <v>9.76775E-2</v>
      </c>
    </row>
    <row r="357" spans="1:7">
      <c r="A357" t="s">
        <v>480</v>
      </c>
      <c r="B357">
        <v>-14949.07511036</v>
      </c>
      <c r="C357">
        <v>-376186.09238266002</v>
      </c>
      <c r="D357">
        <v>-50.746436889999998</v>
      </c>
      <c r="E357">
        <v>0.42879028000000002</v>
      </c>
      <c r="F357">
        <v>3.7809309999999999E-2</v>
      </c>
      <c r="G357">
        <v>9.5130980000000004E-2</v>
      </c>
    </row>
    <row r="358" spans="1:7">
      <c r="A358" t="s">
        <v>479</v>
      </c>
      <c r="B358">
        <v>-14949.108386420001</v>
      </c>
      <c r="C358">
        <v>-376036.08548513998</v>
      </c>
      <c r="D358">
        <v>-50.802442200000002</v>
      </c>
      <c r="E358">
        <v>0.42797510999999999</v>
      </c>
      <c r="F358">
        <v>3.77071E-2</v>
      </c>
      <c r="G358">
        <v>9.4404689999999999E-2</v>
      </c>
    </row>
    <row r="359" spans="1:7">
      <c r="A359" t="s">
        <v>3</v>
      </c>
      <c r="B359">
        <v>-8.7644400000000001E-3</v>
      </c>
      <c r="C359">
        <v>-440.18987586999998</v>
      </c>
      <c r="D359">
        <v>-4.4755250000000003E-2</v>
      </c>
      <c r="E359">
        <v>0.16465231999999999</v>
      </c>
      <c r="F359">
        <v>5.0788159999999999E-2</v>
      </c>
      <c r="G359">
        <v>2.729444E-2</v>
      </c>
    </row>
    <row r="360" spans="1:7">
      <c r="A360" t="s">
        <v>2</v>
      </c>
      <c r="B360">
        <v>7.7865800000000004E-3</v>
      </c>
      <c r="C360">
        <v>-520.17764134000004</v>
      </c>
      <c r="D360">
        <v>-5.7962409999999999E-2</v>
      </c>
      <c r="E360">
        <v>0.16547814999999999</v>
      </c>
      <c r="F360">
        <v>5.0249639999999998E-2</v>
      </c>
      <c r="G360">
        <v>2.6426189999999999E-2</v>
      </c>
    </row>
    <row r="361" spans="1:7">
      <c r="A361" t="s">
        <v>525</v>
      </c>
      <c r="B361">
        <v>-399.98281386999997</v>
      </c>
      <c r="C361">
        <v>693.41314523000005</v>
      </c>
      <c r="D361">
        <v>-690.05141046000006</v>
      </c>
      <c r="E361">
        <v>0.16097500000000001</v>
      </c>
      <c r="F361">
        <v>4.9017539999999998E-2</v>
      </c>
      <c r="G361">
        <v>2.561269E-2</v>
      </c>
    </row>
    <row r="362" spans="1:7">
      <c r="A362" t="s">
        <v>9</v>
      </c>
      <c r="B362">
        <v>0.15727142</v>
      </c>
      <c r="C362">
        <v>3475.6693608400001</v>
      </c>
      <c r="D362">
        <v>0.37986697000000003</v>
      </c>
      <c r="E362">
        <v>0.15152167999999999</v>
      </c>
      <c r="F362">
        <v>5.1901129999999997E-2</v>
      </c>
      <c r="G362">
        <v>2.3606990000000001E-2</v>
      </c>
    </row>
    <row r="363" spans="1:7">
      <c r="A363" t="s">
        <v>8</v>
      </c>
      <c r="B363">
        <v>0.14436303</v>
      </c>
      <c r="C363">
        <v>3395.6282677300001</v>
      </c>
      <c r="D363">
        <v>0.33606852999999998</v>
      </c>
      <c r="E363">
        <v>0.15072701999999999</v>
      </c>
      <c r="F363">
        <v>5.1115359999999999E-2</v>
      </c>
      <c r="G363">
        <v>2.255675E-2</v>
      </c>
    </row>
    <row r="364" spans="1:7">
      <c r="A364" t="s">
        <v>1073</v>
      </c>
      <c r="B364">
        <v>-399.82639107</v>
      </c>
      <c r="C364">
        <v>11710.30901965</v>
      </c>
      <c r="D364">
        <v>-688.85315728</v>
      </c>
      <c r="E364">
        <v>0.12847349</v>
      </c>
      <c r="F364">
        <v>4.9965389999999998E-2</v>
      </c>
      <c r="G364">
        <v>2.5805370000000001E-2</v>
      </c>
    </row>
    <row r="365" spans="1:7">
      <c r="A365" t="s">
        <v>526</v>
      </c>
      <c r="B365">
        <v>-399.82604995000003</v>
      </c>
      <c r="C365">
        <v>1063.1861980799999</v>
      </c>
      <c r="D365">
        <v>-689.72256508999999</v>
      </c>
      <c r="E365">
        <v>0.15880100999999999</v>
      </c>
      <c r="F365">
        <v>5.1213340000000003E-2</v>
      </c>
      <c r="G365">
        <v>2.732101E-2</v>
      </c>
    </row>
    <row r="366" spans="1:7">
      <c r="A366" t="s">
        <v>1074</v>
      </c>
      <c r="B366">
        <v>-399.99549086000002</v>
      </c>
      <c r="C366">
        <v>22311.176522950002</v>
      </c>
      <c r="D366">
        <v>-688.33778928000004</v>
      </c>
      <c r="E366">
        <v>9.9868390000000001E-2</v>
      </c>
      <c r="F366">
        <v>4.9378310000000002E-2</v>
      </c>
      <c r="G366">
        <v>2.0583549999999999E-2</v>
      </c>
    </row>
    <row r="367" spans="1:7">
      <c r="A367" t="s">
        <v>1075</v>
      </c>
      <c r="B367">
        <v>-399.82446955</v>
      </c>
      <c r="C367">
        <v>12924.013982959999</v>
      </c>
      <c r="D367">
        <v>-689.07992297999999</v>
      </c>
      <c r="E367">
        <v>0.12478022</v>
      </c>
      <c r="F367">
        <v>4.951916E-2</v>
      </c>
      <c r="G367">
        <v>2.4608339999999999E-2</v>
      </c>
    </row>
    <row r="368" spans="1:7">
      <c r="A368" t="s">
        <v>1076</v>
      </c>
      <c r="B368">
        <v>-400.1051147</v>
      </c>
      <c r="C368">
        <v>32813.160767250003</v>
      </c>
      <c r="D368">
        <v>-687.76459179000005</v>
      </c>
      <c r="E368">
        <v>8.9571049999999999E-2</v>
      </c>
      <c r="F368">
        <v>4.852969E-2</v>
      </c>
      <c r="G368">
        <v>2.6788409999999999E-2</v>
      </c>
    </row>
    <row r="369" spans="1:7">
      <c r="A369" t="s">
        <v>1077</v>
      </c>
      <c r="B369">
        <v>-400.03648341000002</v>
      </c>
      <c r="C369">
        <v>23425.38590741</v>
      </c>
      <c r="D369">
        <v>-688.27883155999996</v>
      </c>
      <c r="E369">
        <v>0.10003371</v>
      </c>
      <c r="F369">
        <v>4.9602779999999999E-2</v>
      </c>
      <c r="G369">
        <v>2.1017109999999999E-2</v>
      </c>
    </row>
    <row r="370" spans="1:7">
      <c r="A370" t="s">
        <v>1078</v>
      </c>
      <c r="B370">
        <v>-3909.5671743600001</v>
      </c>
      <c r="C370">
        <v>44596.404486300002</v>
      </c>
      <c r="D370">
        <v>-686.73924050999995</v>
      </c>
      <c r="E370">
        <v>0</v>
      </c>
      <c r="F370">
        <v>0</v>
      </c>
      <c r="G370">
        <v>0</v>
      </c>
    </row>
    <row r="371" spans="1:7">
      <c r="A371" t="s">
        <v>1079</v>
      </c>
      <c r="B371">
        <v>-400.05560616999998</v>
      </c>
      <c r="C371">
        <v>36564.270152980003</v>
      </c>
      <c r="D371">
        <v>-687.64618657000005</v>
      </c>
      <c r="E371">
        <v>8.9424329999999996E-2</v>
      </c>
      <c r="F371">
        <v>5.0955229999999997E-2</v>
      </c>
      <c r="G371">
        <v>2.827358E-2</v>
      </c>
    </row>
    <row r="372" spans="1:7">
      <c r="A372" t="s">
        <v>1080</v>
      </c>
      <c r="B372">
        <v>-399.97580384999998</v>
      </c>
      <c r="C372">
        <v>54620.86038251</v>
      </c>
      <c r="D372">
        <v>-686.08656117999999</v>
      </c>
      <c r="E372">
        <v>0.10209311</v>
      </c>
      <c r="F372">
        <v>5.2703050000000001E-2</v>
      </c>
      <c r="G372">
        <v>3.2374180000000002E-2</v>
      </c>
    </row>
    <row r="373" spans="1:7">
      <c r="A373" t="s">
        <v>1081</v>
      </c>
      <c r="B373">
        <v>-400.13832363</v>
      </c>
      <c r="C373">
        <v>46072.34924743</v>
      </c>
      <c r="D373">
        <v>-686.88572950000002</v>
      </c>
      <c r="E373">
        <v>0.12507430999999999</v>
      </c>
      <c r="F373">
        <v>7.140908E-2</v>
      </c>
      <c r="G373">
        <v>7.94155E-2</v>
      </c>
    </row>
    <row r="374" spans="1:7">
      <c r="A374" t="s">
        <v>1082</v>
      </c>
      <c r="B374">
        <v>-399.62561871999998</v>
      </c>
      <c r="C374">
        <v>64308.842514770004</v>
      </c>
      <c r="D374">
        <v>-685.05886127999997</v>
      </c>
      <c r="E374">
        <v>0.11495648</v>
      </c>
      <c r="F374">
        <v>5.3598430000000002E-2</v>
      </c>
      <c r="G374">
        <v>2.3336050000000001E-2</v>
      </c>
    </row>
    <row r="375" spans="1:7">
      <c r="A375" t="s">
        <v>1083</v>
      </c>
      <c r="B375">
        <v>-400.1023702</v>
      </c>
      <c r="C375">
        <v>55760.873217230001</v>
      </c>
      <c r="D375">
        <v>-686.09477765999998</v>
      </c>
      <c r="E375">
        <v>0.10205015000000001</v>
      </c>
      <c r="F375">
        <v>5.248456E-2</v>
      </c>
      <c r="G375">
        <v>2.9203079999999999E-2</v>
      </c>
    </row>
    <row r="376" spans="1:7">
      <c r="A376" t="s">
        <v>1084</v>
      </c>
      <c r="B376">
        <v>-399.66786703999998</v>
      </c>
      <c r="C376">
        <v>73908.37076659</v>
      </c>
      <c r="D376">
        <v>-684.60166308999999</v>
      </c>
      <c r="E376">
        <v>0.13438067000000001</v>
      </c>
      <c r="F376">
        <v>5.3496929999999998E-2</v>
      </c>
      <c r="G376">
        <v>2.731745E-2</v>
      </c>
    </row>
    <row r="377" spans="1:7">
      <c r="A377" t="s">
        <v>1085</v>
      </c>
      <c r="B377">
        <v>-399.63868536000001</v>
      </c>
      <c r="C377">
        <v>65360.490091849999</v>
      </c>
      <c r="D377">
        <v>-684.95269235000001</v>
      </c>
      <c r="E377">
        <v>0.11616526000000001</v>
      </c>
      <c r="F377">
        <v>5.3458180000000001E-2</v>
      </c>
      <c r="G377">
        <v>2.4760480000000001E-2</v>
      </c>
    </row>
    <row r="378" spans="1:7">
      <c r="A378" t="s">
        <v>1086</v>
      </c>
      <c r="B378">
        <v>-399.82604673999998</v>
      </c>
      <c r="C378">
        <v>83511.392317909995</v>
      </c>
      <c r="D378">
        <v>-683.69683273999999</v>
      </c>
      <c r="E378">
        <v>0.15874736</v>
      </c>
      <c r="F378">
        <v>5.1937150000000001E-2</v>
      </c>
      <c r="G378">
        <v>3.054347E-2</v>
      </c>
    </row>
    <row r="379" spans="1:7">
      <c r="A379" t="s">
        <v>1087</v>
      </c>
      <c r="B379">
        <v>-399.78449472</v>
      </c>
      <c r="C379">
        <v>74963.221009760004</v>
      </c>
      <c r="D379">
        <v>-684.68679826000005</v>
      </c>
      <c r="E379">
        <v>0.1372022</v>
      </c>
      <c r="F379">
        <v>5.3016069999999998E-2</v>
      </c>
      <c r="G379">
        <v>3.076299E-2</v>
      </c>
    </row>
    <row r="380" spans="1:7">
      <c r="A380" t="s">
        <v>1088</v>
      </c>
      <c r="B380">
        <v>-399.90392701000002</v>
      </c>
      <c r="C380">
        <v>93108.185650419997</v>
      </c>
      <c r="D380">
        <v>-683.17548080999995</v>
      </c>
      <c r="E380">
        <v>0.18844644999999999</v>
      </c>
      <c r="F380">
        <v>5.2926380000000002E-2</v>
      </c>
      <c r="G380">
        <v>2.9917599999999999E-2</v>
      </c>
    </row>
    <row r="381" spans="1:7">
      <c r="A381" t="s">
        <v>1089</v>
      </c>
      <c r="B381">
        <v>-399.69036233999998</v>
      </c>
      <c r="C381">
        <v>84560.416836040007</v>
      </c>
      <c r="D381">
        <v>-683.74662124999998</v>
      </c>
      <c r="E381">
        <v>0.16068370000000001</v>
      </c>
      <c r="F381">
        <v>5.3191000000000002E-2</v>
      </c>
      <c r="G381">
        <v>3.1982379999999998E-2</v>
      </c>
    </row>
    <row r="382" spans="1:7">
      <c r="A382" t="s">
        <v>1090</v>
      </c>
      <c r="B382">
        <v>-399.91600424000001</v>
      </c>
      <c r="C382">
        <v>102706.70880846999</v>
      </c>
      <c r="D382">
        <v>-682.24916513000005</v>
      </c>
      <c r="E382">
        <v>0.22129472</v>
      </c>
      <c r="F382">
        <v>5.3703899999999999E-2</v>
      </c>
      <c r="G382">
        <v>2.3496679999999999E-2</v>
      </c>
    </row>
    <row r="383" spans="1:7">
      <c r="A383" t="s">
        <v>1091</v>
      </c>
      <c r="B383">
        <v>-400.00722048</v>
      </c>
      <c r="C383">
        <v>94158.369181560003</v>
      </c>
      <c r="D383">
        <v>-683.19821478999995</v>
      </c>
      <c r="E383">
        <v>0.19033768000000001</v>
      </c>
      <c r="F383">
        <v>5.2127769999999997E-2</v>
      </c>
      <c r="G383">
        <v>2.867571E-2</v>
      </c>
    </row>
    <row r="384" spans="1:7">
      <c r="A384" t="s">
        <v>1092</v>
      </c>
      <c r="B384">
        <v>-399.12320884000002</v>
      </c>
      <c r="C384">
        <v>112305.57370805</v>
      </c>
      <c r="D384">
        <v>-681.10671487000002</v>
      </c>
      <c r="E384">
        <v>0.25691461999999998</v>
      </c>
      <c r="F384">
        <v>5.491948E-2</v>
      </c>
      <c r="G384">
        <v>2.637836E-2</v>
      </c>
    </row>
    <row r="385" spans="1:7">
      <c r="A385" t="s">
        <v>1093</v>
      </c>
      <c r="B385">
        <v>-400.06265804999998</v>
      </c>
      <c r="C385">
        <v>103756.68379852999</v>
      </c>
      <c r="D385">
        <v>-682.16623578999997</v>
      </c>
      <c r="E385">
        <v>0.2250761</v>
      </c>
      <c r="F385">
        <v>5.4123049999999999E-2</v>
      </c>
      <c r="G385">
        <v>2.2762649999999999E-2</v>
      </c>
    </row>
    <row r="386" spans="1:7">
      <c r="A386" t="s">
        <v>1094</v>
      </c>
      <c r="B386">
        <v>-15411.23158448</v>
      </c>
      <c r="C386">
        <v>99100.726443809996</v>
      </c>
      <c r="D386">
        <v>-682.89454076000004</v>
      </c>
      <c r="E386">
        <v>0.20199515000000001</v>
      </c>
      <c r="F386">
        <v>3.033479E-2</v>
      </c>
      <c r="G386">
        <v>2.408159E-2</v>
      </c>
    </row>
    <row r="387" spans="1:7">
      <c r="A387" t="s">
        <v>1095</v>
      </c>
      <c r="B387">
        <v>-15412.19772188</v>
      </c>
      <c r="C387">
        <v>107815.79313671</v>
      </c>
      <c r="D387">
        <v>-682.07158565999998</v>
      </c>
      <c r="E387">
        <v>0.24161321999999999</v>
      </c>
      <c r="F387">
        <v>3.118402E-2</v>
      </c>
      <c r="G387">
        <v>2.7152269999999999E-2</v>
      </c>
    </row>
    <row r="388" spans="1:7">
      <c r="A388" t="s">
        <v>1096</v>
      </c>
      <c r="B388">
        <v>-15409.948285230001</v>
      </c>
      <c r="C388">
        <v>89502.261735060005</v>
      </c>
      <c r="D388">
        <v>-683.26612379999995</v>
      </c>
      <c r="E388">
        <v>0.16238219000000001</v>
      </c>
      <c r="F388">
        <v>2.8043140000000001E-2</v>
      </c>
      <c r="G388">
        <v>2.4436739999999998E-2</v>
      </c>
    </row>
    <row r="389" spans="1:7">
      <c r="A389" t="s">
        <v>1097</v>
      </c>
      <c r="B389">
        <v>-15410.53968097</v>
      </c>
      <c r="C389">
        <v>98218.959933420003</v>
      </c>
      <c r="D389">
        <v>-682.25150573999997</v>
      </c>
      <c r="E389">
        <v>0.19795837999999999</v>
      </c>
      <c r="F389">
        <v>2.8891429999999999E-2</v>
      </c>
      <c r="G389">
        <v>2.28095E-2</v>
      </c>
    </row>
    <row r="390" spans="1:7">
      <c r="A390" t="s">
        <v>1098</v>
      </c>
      <c r="B390">
        <v>-15408.6462231</v>
      </c>
      <c r="C390">
        <v>79904.077634860005</v>
      </c>
      <c r="D390">
        <v>-683.95818053999994</v>
      </c>
      <c r="E390">
        <v>0.12512717000000001</v>
      </c>
      <c r="F390">
        <v>2.877588E-2</v>
      </c>
      <c r="G390">
        <v>2.5745339999999999E-2</v>
      </c>
    </row>
    <row r="391" spans="1:7">
      <c r="A391" t="s">
        <v>1099</v>
      </c>
      <c r="B391">
        <v>-15409.665276199999</v>
      </c>
      <c r="C391">
        <v>88618.731960549994</v>
      </c>
      <c r="D391">
        <v>-683.35923859000002</v>
      </c>
      <c r="E391">
        <v>0.16035424000000001</v>
      </c>
      <c r="F391">
        <v>2.859598E-2</v>
      </c>
      <c r="G391">
        <v>2.485975E-2</v>
      </c>
    </row>
    <row r="392" spans="1:7">
      <c r="A392" t="s">
        <v>1100</v>
      </c>
      <c r="B392">
        <v>-15407.125200160001</v>
      </c>
      <c r="C392">
        <v>70306.21364894</v>
      </c>
      <c r="D392">
        <v>-685.10202079999999</v>
      </c>
      <c r="E392">
        <v>9.5048889999999997E-2</v>
      </c>
      <c r="F392">
        <v>2.7182209999999998E-2</v>
      </c>
      <c r="G392">
        <v>2.567883E-2</v>
      </c>
    </row>
    <row r="393" spans="1:7">
      <c r="A393" t="s">
        <v>1101</v>
      </c>
      <c r="B393">
        <v>-15408.23139323</v>
      </c>
      <c r="C393">
        <v>79022.111112540006</v>
      </c>
      <c r="D393">
        <v>-684.40940788</v>
      </c>
      <c r="E393">
        <v>0.12193203</v>
      </c>
      <c r="F393">
        <v>2.9749910000000001E-2</v>
      </c>
      <c r="G393">
        <v>2.454957E-2</v>
      </c>
    </row>
    <row r="394" spans="1:7">
      <c r="A394" t="s">
        <v>1102</v>
      </c>
      <c r="B394">
        <v>-15405.51716834</v>
      </c>
      <c r="C394">
        <v>60701.588236880001</v>
      </c>
      <c r="D394">
        <v>-685.50501460999999</v>
      </c>
      <c r="E394">
        <v>8.4848930000000003E-2</v>
      </c>
      <c r="F394">
        <v>2.605089E-2</v>
      </c>
      <c r="G394">
        <v>3.2036950000000002E-2</v>
      </c>
    </row>
    <row r="395" spans="1:7">
      <c r="A395" t="s">
        <v>1103</v>
      </c>
      <c r="B395">
        <v>-15406.93521779</v>
      </c>
      <c r="C395">
        <v>69417.902122019994</v>
      </c>
      <c r="D395">
        <v>-685.05114722999997</v>
      </c>
      <c r="E395">
        <v>9.4495339999999997E-2</v>
      </c>
      <c r="F395">
        <v>2.8093799999999999E-2</v>
      </c>
      <c r="G395">
        <v>2.740832E-2</v>
      </c>
    </row>
    <row r="396" spans="1:7">
      <c r="A396" t="s">
        <v>1104</v>
      </c>
      <c r="B396">
        <v>-15404.34391319</v>
      </c>
      <c r="C396">
        <v>51127.445036470002</v>
      </c>
      <c r="D396">
        <v>-686.73362925000004</v>
      </c>
      <c r="E396">
        <v>9.5715800000000004E-2</v>
      </c>
      <c r="F396">
        <v>2.433774E-2</v>
      </c>
      <c r="G396">
        <v>3.2553310000000002E-2</v>
      </c>
    </row>
    <row r="397" spans="1:7">
      <c r="A397" t="s">
        <v>1105</v>
      </c>
      <c r="B397">
        <v>-15405.670989529999</v>
      </c>
      <c r="C397">
        <v>59842.605103100002</v>
      </c>
      <c r="D397">
        <v>-685.63391937999995</v>
      </c>
      <c r="E397">
        <v>8.3194909999999997E-2</v>
      </c>
      <c r="F397">
        <v>2.5462329999999998E-2</v>
      </c>
      <c r="G397">
        <v>3.2864480000000001E-2</v>
      </c>
    </row>
    <row r="398" spans="1:7">
      <c r="A398" t="s">
        <v>1106</v>
      </c>
      <c r="B398">
        <v>-15403.13778386</v>
      </c>
      <c r="C398">
        <v>41445.856534589999</v>
      </c>
      <c r="D398">
        <v>-687.30057476000002</v>
      </c>
      <c r="E398">
        <v>0.13063245000000001</v>
      </c>
      <c r="F398">
        <v>3.2194319999999998E-2</v>
      </c>
      <c r="G398">
        <v>4.8532079999999998E-2</v>
      </c>
    </row>
    <row r="399" spans="1:7">
      <c r="A399" t="s">
        <v>1107</v>
      </c>
      <c r="B399">
        <v>-15404.24476155</v>
      </c>
      <c r="C399">
        <v>50161.761072540001</v>
      </c>
      <c r="D399">
        <v>-686.70266920999995</v>
      </c>
      <c r="E399">
        <v>9.8997199999999994E-2</v>
      </c>
      <c r="F399">
        <v>2.326744E-2</v>
      </c>
      <c r="G399">
        <v>3.1370309999999998E-2</v>
      </c>
    </row>
    <row r="400" spans="1:7">
      <c r="A400" t="s">
        <v>1108</v>
      </c>
      <c r="B400">
        <v>-15401.18650322</v>
      </c>
      <c r="C400">
        <v>27443.949719529999</v>
      </c>
      <c r="D400">
        <v>-688.15392471999996</v>
      </c>
      <c r="E400">
        <v>0.13884374999999999</v>
      </c>
      <c r="F400">
        <v>2.4263320000000001E-2</v>
      </c>
      <c r="G400">
        <v>2.7289790000000001E-2</v>
      </c>
    </row>
    <row r="401" spans="1:7">
      <c r="A401" t="s">
        <v>1109</v>
      </c>
      <c r="B401">
        <v>-15402.34266131</v>
      </c>
      <c r="C401">
        <v>36160.219480209998</v>
      </c>
      <c r="D401">
        <v>-687.94024861000003</v>
      </c>
      <c r="E401">
        <v>0.13906452999999999</v>
      </c>
      <c r="F401">
        <v>2.1174789999999999E-2</v>
      </c>
      <c r="G401">
        <v>3.3857089999999999E-2</v>
      </c>
    </row>
    <row r="402" spans="1:7">
      <c r="A402" t="s">
        <v>409</v>
      </c>
      <c r="B402">
        <v>-14979.584933190001</v>
      </c>
      <c r="C402">
        <v>-149453.50484790001</v>
      </c>
      <c r="D402">
        <v>-53.060120230000003</v>
      </c>
      <c r="E402">
        <v>0.24497799000000001</v>
      </c>
      <c r="F402">
        <v>2.226361E-2</v>
      </c>
      <c r="G402">
        <v>2.4522459999999999E-2</v>
      </c>
    </row>
    <row r="403" spans="1:7">
      <c r="A403" t="s">
        <v>408</v>
      </c>
      <c r="B403">
        <v>-14979.61302038</v>
      </c>
      <c r="C403">
        <v>-149303.49221105999</v>
      </c>
      <c r="D403">
        <v>-53.146975869999999</v>
      </c>
      <c r="E403">
        <v>0.24452336</v>
      </c>
      <c r="F403">
        <v>2.3558389999999998E-2</v>
      </c>
      <c r="G403">
        <v>2.4642500000000001E-2</v>
      </c>
    </row>
    <row r="404" spans="1:7">
      <c r="A404" t="s">
        <v>1110</v>
      </c>
      <c r="B404">
        <v>-15412.75309466</v>
      </c>
      <c r="C404">
        <v>110372.67982963999</v>
      </c>
      <c r="D404">
        <v>-681.57549086999995</v>
      </c>
      <c r="E404">
        <v>0.2522412</v>
      </c>
      <c r="F404">
        <v>3.3903700000000002E-2</v>
      </c>
      <c r="G404">
        <v>2.7678230000000002E-2</v>
      </c>
    </row>
    <row r="405" spans="1:7">
      <c r="A405" t="s">
        <v>1111</v>
      </c>
      <c r="B405">
        <v>-15132.80614121</v>
      </c>
      <c r="C405">
        <v>111882.88818897</v>
      </c>
      <c r="D405">
        <v>-681.46524856999997</v>
      </c>
      <c r="E405">
        <v>0.25640692999999998</v>
      </c>
      <c r="F405">
        <v>3.2772370000000002E-2</v>
      </c>
      <c r="G405">
        <v>2.770278E-2</v>
      </c>
    </row>
    <row r="406" spans="1:7">
      <c r="A406" t="s">
        <v>1112</v>
      </c>
      <c r="B406">
        <v>-118.73636242000001</v>
      </c>
      <c r="C406">
        <v>113924.66091565001</v>
      </c>
      <c r="D406">
        <v>-680.90899075000004</v>
      </c>
      <c r="E406">
        <v>0.26281734000000001</v>
      </c>
      <c r="F406">
        <v>5.6473059999999999E-2</v>
      </c>
      <c r="G406">
        <v>2.9808640000000001E-2</v>
      </c>
    </row>
    <row r="407" spans="1:7">
      <c r="A407" t="s">
        <v>1113</v>
      </c>
      <c r="B407">
        <v>-15381.3892206</v>
      </c>
      <c r="C407">
        <v>-142285.79539688001</v>
      </c>
      <c r="D407">
        <v>-692.71281842999997</v>
      </c>
      <c r="E407">
        <v>0.25187530000000002</v>
      </c>
      <c r="F407">
        <v>2.2391999999999999E-2</v>
      </c>
      <c r="G407">
        <v>2.775538E-2</v>
      </c>
    </row>
    <row r="408" spans="1:7">
      <c r="A408" t="s">
        <v>143</v>
      </c>
      <c r="B408">
        <v>-14997.33400329</v>
      </c>
      <c r="C408">
        <v>-4157.9589441600001</v>
      </c>
      <c r="D408">
        <v>-49.18354823</v>
      </c>
      <c r="E408">
        <v>0.17401469</v>
      </c>
      <c r="F408">
        <v>1.8633750000000001E-2</v>
      </c>
      <c r="G408">
        <v>3.7062329999999997E-2</v>
      </c>
    </row>
    <row r="409" spans="1:7">
      <c r="A409" t="s">
        <v>142</v>
      </c>
      <c r="B409">
        <v>-14997.39600832</v>
      </c>
      <c r="C409">
        <v>-4007.9967431499999</v>
      </c>
      <c r="D409">
        <v>-49.181179559999997</v>
      </c>
      <c r="E409">
        <v>0.17321455999999999</v>
      </c>
      <c r="F409">
        <v>1.907737E-2</v>
      </c>
      <c r="G409">
        <v>3.7581610000000001E-2</v>
      </c>
    </row>
    <row r="410" spans="1:7">
      <c r="A410" t="s">
        <v>411</v>
      </c>
      <c r="B410">
        <v>-14978.744900399999</v>
      </c>
      <c r="C410">
        <v>-158793.87828986999</v>
      </c>
      <c r="D410">
        <v>-52.741373690000003</v>
      </c>
      <c r="E410">
        <v>0.23733578</v>
      </c>
      <c r="F410">
        <v>2.4054369999999999E-2</v>
      </c>
      <c r="G410">
        <v>5.3844100000000001E-3</v>
      </c>
    </row>
    <row r="411" spans="1:7">
      <c r="A411" t="s">
        <v>410</v>
      </c>
      <c r="B411">
        <v>-14978.801131800001</v>
      </c>
      <c r="C411">
        <v>-158643.91131798</v>
      </c>
      <c r="D411">
        <v>-52.739545870000001</v>
      </c>
      <c r="E411">
        <v>0.23630915</v>
      </c>
      <c r="F411">
        <v>2.293069E-2</v>
      </c>
      <c r="G411">
        <v>2.4330399999999999E-2</v>
      </c>
    </row>
    <row r="412" spans="1:7">
      <c r="A412" t="s">
        <v>417</v>
      </c>
      <c r="B412">
        <v>-14976.05263099</v>
      </c>
      <c r="C412">
        <v>-177995.10437638001</v>
      </c>
      <c r="D412">
        <v>-53.015220149999998</v>
      </c>
      <c r="E412">
        <v>0.21317301</v>
      </c>
      <c r="F412">
        <v>2.2514840000000001E-2</v>
      </c>
      <c r="G412">
        <v>2.6604539999999999E-2</v>
      </c>
    </row>
    <row r="413" spans="1:7">
      <c r="A413" t="s">
        <v>416</v>
      </c>
      <c r="B413">
        <v>-14976.03935309</v>
      </c>
      <c r="C413">
        <v>-177845.10785860001</v>
      </c>
      <c r="D413">
        <v>-52.934942100000001</v>
      </c>
      <c r="E413">
        <v>0.21487574000000001</v>
      </c>
      <c r="F413">
        <v>2.2724569999999999E-2</v>
      </c>
      <c r="G413">
        <v>2.694121E-2</v>
      </c>
    </row>
    <row r="414" spans="1:7">
      <c r="A414" t="s">
        <v>423</v>
      </c>
      <c r="B414">
        <v>-14973.66052924</v>
      </c>
      <c r="C414">
        <v>-197196.20147078001</v>
      </c>
      <c r="D414">
        <v>-52.849869560000002</v>
      </c>
      <c r="E414">
        <v>0.19072621000000001</v>
      </c>
      <c r="F414">
        <v>2.2317440000000001E-2</v>
      </c>
      <c r="G414">
        <v>2.8589659999999999E-2</v>
      </c>
    </row>
    <row r="415" spans="1:7">
      <c r="A415" t="s">
        <v>422</v>
      </c>
      <c r="B415">
        <v>-14973.645785770001</v>
      </c>
      <c r="C415">
        <v>-197046.19785811001</v>
      </c>
      <c r="D415">
        <v>-52.79713641</v>
      </c>
      <c r="E415">
        <v>0.19175017999999999</v>
      </c>
      <c r="F415">
        <v>2.3529290000000001E-2</v>
      </c>
      <c r="G415">
        <v>2.8595160000000001E-2</v>
      </c>
    </row>
    <row r="416" spans="1:7">
      <c r="A416" t="s">
        <v>429</v>
      </c>
      <c r="B416">
        <v>-14970.78301535</v>
      </c>
      <c r="C416">
        <v>-216394.98411704</v>
      </c>
      <c r="D416">
        <v>-53.08872985</v>
      </c>
      <c r="E416">
        <v>0.1637122</v>
      </c>
      <c r="F416">
        <v>2.6555929999999998E-2</v>
      </c>
      <c r="G416">
        <v>4.7940099999999996E-3</v>
      </c>
    </row>
    <row r="417" spans="1:7">
      <c r="A417" t="s">
        <v>428</v>
      </c>
      <c r="B417">
        <v>-14970.767359199999</v>
      </c>
      <c r="C417">
        <v>-216244.99532849001</v>
      </c>
      <c r="D417">
        <v>-53.145543250000003</v>
      </c>
      <c r="E417">
        <v>0.16329833999999999</v>
      </c>
      <c r="F417">
        <v>2.4829130000000001E-2</v>
      </c>
      <c r="G417">
        <v>2.832411E-2</v>
      </c>
    </row>
    <row r="418" spans="1:7">
      <c r="A418" t="s">
        <v>434</v>
      </c>
      <c r="B418">
        <v>-14968.32441723</v>
      </c>
      <c r="C418">
        <v>-238309.34216427</v>
      </c>
      <c r="D418">
        <v>-52.233859250000002</v>
      </c>
      <c r="E418">
        <v>0.12110021</v>
      </c>
      <c r="F418">
        <v>2.7570529999999999E-2</v>
      </c>
      <c r="G418">
        <v>2.7318169999999999E-2</v>
      </c>
    </row>
    <row r="419" spans="1:7">
      <c r="A419" t="s">
        <v>433</v>
      </c>
      <c r="B419">
        <v>-14968.256675279999</v>
      </c>
      <c r="C419">
        <v>-238159.32799671</v>
      </c>
      <c r="D419">
        <v>-52.193010379999997</v>
      </c>
      <c r="E419">
        <v>0.12412053000000001</v>
      </c>
      <c r="F419">
        <v>2.642949E-2</v>
      </c>
      <c r="G419">
        <v>2.6393779999999999E-2</v>
      </c>
    </row>
    <row r="420" spans="1:7">
      <c r="A420" t="s">
        <v>440</v>
      </c>
      <c r="B420">
        <v>-14965.771355340001</v>
      </c>
      <c r="C420">
        <v>-257509.86213108999</v>
      </c>
      <c r="D420">
        <v>-52.510468269999997</v>
      </c>
      <c r="E420">
        <v>9.2961970000000005E-2</v>
      </c>
      <c r="F420">
        <v>2.8464900000000001E-2</v>
      </c>
      <c r="G420">
        <v>4.23705E-3</v>
      </c>
    </row>
    <row r="421" spans="1:7">
      <c r="A421" t="s">
        <v>439</v>
      </c>
      <c r="B421">
        <v>-14965.79472611</v>
      </c>
      <c r="C421">
        <v>-257359.85748424</v>
      </c>
      <c r="D421">
        <v>-52.435334269999998</v>
      </c>
      <c r="E421">
        <v>9.1683970000000004E-2</v>
      </c>
      <c r="F421">
        <v>2.780355E-2</v>
      </c>
      <c r="G421">
        <v>2.684079E-2</v>
      </c>
    </row>
    <row r="422" spans="1:7">
      <c r="A422" t="s">
        <v>446</v>
      </c>
      <c r="B422">
        <v>-14962.967983099999</v>
      </c>
      <c r="C422">
        <v>-276706.46963950002</v>
      </c>
      <c r="D422">
        <v>-52.000798779999997</v>
      </c>
      <c r="E422">
        <v>8.918152E-2</v>
      </c>
      <c r="F422">
        <v>2.728624E-2</v>
      </c>
      <c r="G422">
        <v>3.282214E-2</v>
      </c>
    </row>
    <row r="423" spans="1:7">
      <c r="A423" t="s">
        <v>445</v>
      </c>
      <c r="B423">
        <v>-14962.97266902</v>
      </c>
      <c r="C423">
        <v>-276556.49439950002</v>
      </c>
      <c r="D423">
        <v>-51.95964815</v>
      </c>
      <c r="E423">
        <v>8.8263439999999999E-2</v>
      </c>
      <c r="F423">
        <v>2.8167029999999999E-2</v>
      </c>
      <c r="G423">
        <v>3.1885450000000003E-2</v>
      </c>
    </row>
    <row r="424" spans="1:7">
      <c r="A424" t="s">
        <v>452</v>
      </c>
      <c r="B424">
        <v>-14960.40546263</v>
      </c>
      <c r="C424">
        <v>-295898.94021902001</v>
      </c>
      <c r="D424">
        <v>-52.129518599999997</v>
      </c>
      <c r="E424">
        <v>0.12531538</v>
      </c>
      <c r="F424">
        <v>2.8556649999999999E-2</v>
      </c>
      <c r="G424">
        <v>3.7380219999999999E-2</v>
      </c>
    </row>
    <row r="425" spans="1:7">
      <c r="A425" t="s">
        <v>451</v>
      </c>
      <c r="B425">
        <v>-14960.3880407</v>
      </c>
      <c r="C425">
        <v>-295748.94061364001</v>
      </c>
      <c r="D425">
        <v>-52.084266130000003</v>
      </c>
      <c r="E425">
        <v>0.12495054999999999</v>
      </c>
      <c r="F425">
        <v>2.936971E-2</v>
      </c>
      <c r="G425">
        <v>3.6060910000000002E-2</v>
      </c>
    </row>
    <row r="426" spans="1:7">
      <c r="A426" t="s">
        <v>458</v>
      </c>
      <c r="B426">
        <v>-14957.53954034</v>
      </c>
      <c r="C426">
        <v>-317821.23567415</v>
      </c>
      <c r="D426">
        <v>-51.587538819999999</v>
      </c>
      <c r="E426">
        <v>0.19429758</v>
      </c>
      <c r="F426">
        <v>3.0736719999999999E-2</v>
      </c>
      <c r="G426">
        <v>2.992819E-2</v>
      </c>
    </row>
    <row r="427" spans="1:7">
      <c r="A427" t="s">
        <v>457</v>
      </c>
      <c r="B427">
        <v>-14957.525363090001</v>
      </c>
      <c r="C427">
        <v>-317671.23206978</v>
      </c>
      <c r="D427">
        <v>-51.587744909999998</v>
      </c>
      <c r="E427">
        <v>0.19419306</v>
      </c>
      <c r="F427">
        <v>3.036223E-2</v>
      </c>
      <c r="G427">
        <v>2.9978370000000001E-2</v>
      </c>
    </row>
    <row r="428" spans="1:7">
      <c r="A428" t="s">
        <v>464</v>
      </c>
      <c r="B428">
        <v>-14955.077197250001</v>
      </c>
      <c r="C428">
        <v>-337021.78843348002</v>
      </c>
      <c r="D428">
        <v>-51.632187780000002</v>
      </c>
      <c r="E428">
        <v>0.26641756</v>
      </c>
      <c r="F428">
        <v>3.1219469999999999E-2</v>
      </c>
      <c r="G428">
        <v>1.4201299999999999E-3</v>
      </c>
    </row>
    <row r="429" spans="1:7">
      <c r="A429" t="s">
        <v>463</v>
      </c>
      <c r="B429">
        <v>-14955.043872099999</v>
      </c>
      <c r="C429">
        <v>-336871.76701395999</v>
      </c>
      <c r="D429">
        <v>-51.588176709999999</v>
      </c>
      <c r="E429">
        <v>0.26510211</v>
      </c>
      <c r="F429">
        <v>3.1496009999999998E-2</v>
      </c>
      <c r="G429">
        <v>1.8463589999999998E-2</v>
      </c>
    </row>
    <row r="430" spans="1:7">
      <c r="A430" t="s">
        <v>470</v>
      </c>
      <c r="B430">
        <v>-14952.09485243</v>
      </c>
      <c r="C430">
        <v>-356224.37463696999</v>
      </c>
      <c r="D430">
        <v>-51.250863000000003</v>
      </c>
      <c r="E430">
        <v>0.34376573999999999</v>
      </c>
      <c r="F430">
        <v>3.2872449999999998E-2</v>
      </c>
      <c r="G430">
        <v>4.4542190000000002E-2</v>
      </c>
    </row>
    <row r="431" spans="1:7">
      <c r="A431" t="s">
        <v>469</v>
      </c>
      <c r="B431">
        <v>-14952.14077652</v>
      </c>
      <c r="C431">
        <v>-356074.36106894002</v>
      </c>
      <c r="D431">
        <v>-51.212473879999997</v>
      </c>
      <c r="E431">
        <v>0.34197936000000001</v>
      </c>
      <c r="F431">
        <v>3.2817739999999998E-2</v>
      </c>
      <c r="G431">
        <v>4.4619970000000002E-2</v>
      </c>
    </row>
    <row r="432" spans="1:7">
      <c r="A432" t="s">
        <v>476</v>
      </c>
      <c r="B432">
        <v>-14949.16695499</v>
      </c>
      <c r="C432">
        <v>-375326.07417218998</v>
      </c>
      <c r="D432">
        <v>-50.783192390000004</v>
      </c>
      <c r="E432">
        <v>0.42302076</v>
      </c>
      <c r="F432">
        <v>3.9422459999999999E-2</v>
      </c>
      <c r="G432">
        <v>9.5138340000000002E-2</v>
      </c>
    </row>
    <row r="433" spans="1:7">
      <c r="A433" t="s">
        <v>475</v>
      </c>
      <c r="B433">
        <v>-14949.107620500001</v>
      </c>
      <c r="C433">
        <v>-375176.06729094998</v>
      </c>
      <c r="D433">
        <v>-50.681951900000001</v>
      </c>
      <c r="E433">
        <v>0.42449576999999999</v>
      </c>
      <c r="F433">
        <v>3.9961490000000002E-2</v>
      </c>
      <c r="G433">
        <v>9.545932E-2</v>
      </c>
    </row>
    <row r="434" spans="1:7">
      <c r="A434" t="s">
        <v>5</v>
      </c>
      <c r="B434">
        <v>3.1096100000000002E-2</v>
      </c>
      <c r="C434">
        <v>-199.97313130000001</v>
      </c>
      <c r="D434">
        <v>-1.102533E-2</v>
      </c>
      <c r="E434">
        <v>0.16454593000000001</v>
      </c>
      <c r="F434">
        <v>5.2326459999999998E-2</v>
      </c>
      <c r="G434">
        <v>4.0102499999999999E-3</v>
      </c>
    </row>
    <row r="435" spans="1:7">
      <c r="A435" t="s">
        <v>4</v>
      </c>
      <c r="B435">
        <v>0.10666307999999999</v>
      </c>
      <c r="C435">
        <v>-280.00931286000002</v>
      </c>
      <c r="D435">
        <v>-2.6681119999999999E-2</v>
      </c>
      <c r="E435">
        <v>0.16359599</v>
      </c>
      <c r="F435">
        <v>5.2621229999999998E-2</v>
      </c>
      <c r="G435">
        <v>2.7136460000000001E-2</v>
      </c>
    </row>
    <row r="436" spans="1:7">
      <c r="A436" t="s">
        <v>11</v>
      </c>
      <c r="B436">
        <v>0.21419442</v>
      </c>
      <c r="C436">
        <v>3715.6814707200001</v>
      </c>
      <c r="D436">
        <v>0.54047418999999997</v>
      </c>
      <c r="E436">
        <v>0.15014801999999999</v>
      </c>
      <c r="F436">
        <v>5.0993690000000001E-2</v>
      </c>
      <c r="G436">
        <v>2.3487810000000001E-2</v>
      </c>
    </row>
    <row r="437" spans="1:7">
      <c r="A437" t="s">
        <v>10</v>
      </c>
      <c r="B437">
        <v>0.24559385</v>
      </c>
      <c r="C437">
        <v>3635.6922283200001</v>
      </c>
      <c r="D437">
        <v>0.54667368999999999</v>
      </c>
      <c r="E437">
        <v>0.14998156000000001</v>
      </c>
      <c r="F437">
        <v>5.0567639999999997E-2</v>
      </c>
      <c r="G437">
        <v>2.2114749999999999E-2</v>
      </c>
    </row>
    <row r="438" spans="1:7">
      <c r="A438" t="s">
        <v>405</v>
      </c>
      <c r="B438">
        <v>-14979.577506989999</v>
      </c>
      <c r="C438">
        <v>-148593.45653043</v>
      </c>
      <c r="D438">
        <v>-53.176044259999998</v>
      </c>
      <c r="E438">
        <v>0.24718003</v>
      </c>
      <c r="F438">
        <v>2.2019690000000001E-2</v>
      </c>
      <c r="G438">
        <v>2.476751E-2</v>
      </c>
    </row>
    <row r="439" spans="1:7">
      <c r="A439" t="s">
        <v>404</v>
      </c>
      <c r="B439">
        <v>-14979.582769950001</v>
      </c>
      <c r="C439">
        <v>-148443.47881507999</v>
      </c>
      <c r="D439">
        <v>-53.117529390000001</v>
      </c>
      <c r="E439">
        <v>0.24665846999999999</v>
      </c>
      <c r="F439">
        <v>2.3308410000000002E-2</v>
      </c>
      <c r="G439">
        <v>2.3775879999999999E-2</v>
      </c>
    </row>
    <row r="440" spans="1:7">
      <c r="A440" t="s">
        <v>171</v>
      </c>
      <c r="B440">
        <v>-14994.909395320001</v>
      </c>
      <c r="C440">
        <v>-28775.05076839</v>
      </c>
      <c r="D440">
        <v>39.854257390000001</v>
      </c>
      <c r="E440">
        <v>0.20493775</v>
      </c>
      <c r="F440">
        <v>2.6686629999999999E-2</v>
      </c>
      <c r="G440">
        <v>3.307475E-2</v>
      </c>
    </row>
    <row r="441" spans="1:7">
      <c r="A441" t="s">
        <v>170</v>
      </c>
      <c r="B441">
        <v>-14994.952196009999</v>
      </c>
      <c r="C441">
        <v>-28675.038274490002</v>
      </c>
      <c r="D441">
        <v>39.85355792</v>
      </c>
      <c r="E441">
        <v>0.20550805999999999</v>
      </c>
      <c r="F441">
        <v>2.415498E-2</v>
      </c>
      <c r="G441">
        <v>3.174946E-2</v>
      </c>
    </row>
    <row r="442" spans="1:7">
      <c r="A442" t="s">
        <v>198</v>
      </c>
      <c r="B442">
        <v>-14994.01245075</v>
      </c>
      <c r="C442">
        <v>-35245.591731820001</v>
      </c>
      <c r="D442">
        <v>4.9963492199999999</v>
      </c>
      <c r="E442">
        <v>0.20677023999999999</v>
      </c>
      <c r="F442">
        <v>1.8437829999999999E-2</v>
      </c>
      <c r="G442">
        <v>2.1374279999999999E-2</v>
      </c>
    </row>
    <row r="443" spans="1:7">
      <c r="A443" t="s">
        <v>240</v>
      </c>
      <c r="B443">
        <v>-14992.515315000001</v>
      </c>
      <c r="C443">
        <v>-47680.236765840003</v>
      </c>
      <c r="D443">
        <v>3.6502507</v>
      </c>
      <c r="E443">
        <v>0.21056143999999999</v>
      </c>
      <c r="F443">
        <v>1.8325459999999998E-2</v>
      </c>
      <c r="G443">
        <v>1.8634189999999998E-2</v>
      </c>
    </row>
    <row r="444" spans="1:7">
      <c r="A444" t="s">
        <v>284</v>
      </c>
      <c r="B444">
        <v>-14991.11563475</v>
      </c>
      <c r="C444">
        <v>-61639.060341190001</v>
      </c>
      <c r="D444">
        <v>3.73989306</v>
      </c>
      <c r="E444">
        <v>0.21668324999999999</v>
      </c>
      <c r="F444">
        <v>1.7977569999999998E-2</v>
      </c>
      <c r="G444">
        <v>1.8979889999999999E-2</v>
      </c>
    </row>
    <row r="445" spans="1:7">
      <c r="A445" t="s">
        <v>330</v>
      </c>
      <c r="B445">
        <v>-14989.05069769</v>
      </c>
      <c r="C445">
        <v>-78038.308020700002</v>
      </c>
      <c r="D445">
        <v>3.5756326299999999</v>
      </c>
      <c r="E445">
        <v>0.22873952</v>
      </c>
      <c r="F445">
        <v>2.2020680000000001E-2</v>
      </c>
      <c r="G445">
        <v>2.4627550000000002E-2</v>
      </c>
    </row>
    <row r="446" spans="1:7">
      <c r="A446" t="s">
        <v>358</v>
      </c>
      <c r="B446">
        <v>-14987.625578769999</v>
      </c>
      <c r="C446">
        <v>-88639.371575519996</v>
      </c>
      <c r="D446">
        <v>-71.623049820000006</v>
      </c>
      <c r="E446">
        <v>0.23311069000000001</v>
      </c>
      <c r="F446">
        <v>2.1665799999999999E-2</v>
      </c>
      <c r="G446">
        <v>2.623837E-2</v>
      </c>
    </row>
    <row r="447" spans="1:7">
      <c r="A447" t="s">
        <v>357</v>
      </c>
      <c r="B447">
        <v>-14987.662176579999</v>
      </c>
      <c r="C447">
        <v>-88559.35284747</v>
      </c>
      <c r="D447">
        <v>-71.70819487</v>
      </c>
      <c r="E447">
        <v>0.23370356</v>
      </c>
      <c r="F447">
        <v>2.1318899999999998E-2</v>
      </c>
      <c r="G447">
        <v>2.5560449999999998E-2</v>
      </c>
    </row>
    <row r="448" spans="1:7">
      <c r="A448" t="s">
        <v>372</v>
      </c>
      <c r="B448">
        <v>-14985.569898100001</v>
      </c>
      <c r="C448">
        <v>-104028.31777813</v>
      </c>
      <c r="D448">
        <v>-72.325151160000004</v>
      </c>
      <c r="E448">
        <v>0.24051143999999999</v>
      </c>
      <c r="F448">
        <v>2.058134E-2</v>
      </c>
      <c r="G448">
        <v>2.2979510000000002E-2</v>
      </c>
    </row>
    <row r="449" spans="1:7">
      <c r="A449" t="s">
        <v>371</v>
      </c>
      <c r="B449">
        <v>-14985.574907910001</v>
      </c>
      <c r="C449">
        <v>-103948.28354639</v>
      </c>
      <c r="D449">
        <v>-72.310098300000007</v>
      </c>
      <c r="E449">
        <v>0.24140088000000001</v>
      </c>
      <c r="F449">
        <v>2.4250529999999999E-2</v>
      </c>
      <c r="G449">
        <v>2.2777789999999999E-2</v>
      </c>
    </row>
    <row r="450" spans="1:7">
      <c r="A450" t="s">
        <v>383</v>
      </c>
      <c r="B450">
        <v>-14983.69198944</v>
      </c>
      <c r="C450">
        <v>-118521.29150262001</v>
      </c>
      <c r="D450">
        <v>-71.697115949999997</v>
      </c>
      <c r="E450">
        <v>0.24781589000000001</v>
      </c>
      <c r="F450">
        <v>1.9314020000000001E-2</v>
      </c>
      <c r="G450">
        <v>2.0901940000000001E-2</v>
      </c>
    </row>
    <row r="451" spans="1:7">
      <c r="A451" t="s">
        <v>382</v>
      </c>
      <c r="B451">
        <v>-14983.78454251</v>
      </c>
      <c r="C451">
        <v>-118441.22016174</v>
      </c>
      <c r="D451">
        <v>-71.813710700000001</v>
      </c>
      <c r="E451">
        <v>0.24746227000000001</v>
      </c>
      <c r="F451">
        <v>1.9461849999999999E-2</v>
      </c>
      <c r="G451">
        <v>1.9407230000000001E-2</v>
      </c>
    </row>
    <row r="452" spans="1:7">
      <c r="A452" t="s">
        <v>412</v>
      </c>
      <c r="B452">
        <v>-14978.65759436</v>
      </c>
      <c r="C452">
        <v>-159048.89270965999</v>
      </c>
      <c r="D452">
        <v>-92.778703530000001</v>
      </c>
      <c r="E452">
        <v>0.23692595999999999</v>
      </c>
      <c r="F452">
        <v>2.3060589999999999E-2</v>
      </c>
      <c r="G452">
        <v>2.3715380000000001E-2</v>
      </c>
    </row>
    <row r="453" spans="1:7">
      <c r="A453" t="s">
        <v>418</v>
      </c>
      <c r="B453">
        <v>-14976.056267190001</v>
      </c>
      <c r="C453">
        <v>-178250.03830961999</v>
      </c>
      <c r="D453">
        <v>-93.028792039999999</v>
      </c>
      <c r="E453">
        <v>0.21428463</v>
      </c>
      <c r="F453">
        <v>2.5463059999999999E-2</v>
      </c>
      <c r="G453">
        <v>2.671656E-2</v>
      </c>
    </row>
    <row r="454" spans="1:7">
      <c r="A454" t="s">
        <v>424</v>
      </c>
      <c r="B454">
        <v>-14973.62992517</v>
      </c>
      <c r="C454">
        <v>-197451.23142304999</v>
      </c>
      <c r="D454">
        <v>-92.770339930000006</v>
      </c>
      <c r="E454">
        <v>0.19219111999999999</v>
      </c>
      <c r="F454">
        <v>2.70548E-2</v>
      </c>
      <c r="G454">
        <v>2.6771699999999999E-2</v>
      </c>
    </row>
    <row r="455" spans="1:7">
      <c r="A455" t="s">
        <v>430</v>
      </c>
      <c r="B455">
        <v>-14970.71692092</v>
      </c>
      <c r="C455">
        <v>-216649.98803440001</v>
      </c>
      <c r="D455">
        <v>-93.14217936</v>
      </c>
      <c r="E455">
        <v>0.16866828</v>
      </c>
      <c r="F455">
        <v>3.9280870000000002E-2</v>
      </c>
      <c r="G455">
        <v>4.7847540000000001E-2</v>
      </c>
    </row>
    <row r="456" spans="1:7">
      <c r="A456" t="s">
        <v>435</v>
      </c>
      <c r="B456">
        <v>-14968.249560939999</v>
      </c>
      <c r="C456">
        <v>-238564.35592286001</v>
      </c>
      <c r="D456">
        <v>-92.2168147</v>
      </c>
      <c r="E456">
        <v>0.12324104</v>
      </c>
      <c r="F456">
        <v>3.1844190000000001E-2</v>
      </c>
      <c r="G456">
        <v>3.6364979999999998E-2</v>
      </c>
    </row>
    <row r="457" spans="1:7">
      <c r="A457" t="s">
        <v>441</v>
      </c>
      <c r="B457">
        <v>-14965.719441810001</v>
      </c>
      <c r="C457">
        <v>-257764.81897466999</v>
      </c>
      <c r="D457">
        <v>-92.514082669999993</v>
      </c>
      <c r="E457">
        <v>9.595455E-2</v>
      </c>
      <c r="F457">
        <v>3.4424179999999999E-2</v>
      </c>
      <c r="G457">
        <v>3.3692630000000001E-2</v>
      </c>
    </row>
    <row r="458" spans="1:7">
      <c r="A458" t="s">
        <v>447</v>
      </c>
      <c r="B458">
        <v>-14962.80128618</v>
      </c>
      <c r="C458">
        <v>-276961.50386805</v>
      </c>
      <c r="D458">
        <v>-92.075121539999998</v>
      </c>
      <c r="E458">
        <v>8.8609869999999993E-2</v>
      </c>
      <c r="F458">
        <v>2.977111E-2</v>
      </c>
      <c r="G458">
        <v>3.4083849999999999E-2</v>
      </c>
    </row>
    <row r="459" spans="1:7">
      <c r="A459" t="s">
        <v>453</v>
      </c>
      <c r="B459">
        <v>-14960.33345604</v>
      </c>
      <c r="C459">
        <v>-296153.92548189999</v>
      </c>
      <c r="D459">
        <v>-92.18145131</v>
      </c>
      <c r="E459">
        <v>0.12599325</v>
      </c>
      <c r="F459">
        <v>3.0410300000000001E-2</v>
      </c>
      <c r="G459">
        <v>3.6860249999999997E-2</v>
      </c>
    </row>
    <row r="460" spans="1:7">
      <c r="A460" t="s">
        <v>459</v>
      </c>
      <c r="B460">
        <v>-14957.369817950001</v>
      </c>
      <c r="C460">
        <v>-318076.17413236998</v>
      </c>
      <c r="D460">
        <v>-91.537748620000002</v>
      </c>
      <c r="E460">
        <v>0.19737614000000001</v>
      </c>
      <c r="F460">
        <v>3.2293280000000001E-2</v>
      </c>
      <c r="G460">
        <v>3.0179899999999999E-2</v>
      </c>
    </row>
    <row r="461" spans="1:7">
      <c r="A461" t="s">
        <v>465</v>
      </c>
      <c r="B461">
        <v>-14955.06542617</v>
      </c>
      <c r="C461">
        <v>-337276.74685544998</v>
      </c>
      <c r="D461">
        <v>-91.618527549999996</v>
      </c>
      <c r="E461">
        <v>0.26723034000000001</v>
      </c>
      <c r="F461">
        <v>3.2419959999999998E-2</v>
      </c>
      <c r="G461">
        <v>1.9085830000000002E-2</v>
      </c>
    </row>
    <row r="462" spans="1:7">
      <c r="A462" t="s">
        <v>471</v>
      </c>
      <c r="B462">
        <v>-14952.0655993</v>
      </c>
      <c r="C462">
        <v>-356479.35215971002</v>
      </c>
      <c r="D462">
        <v>-91.341479039999996</v>
      </c>
      <c r="E462">
        <v>0.34308684</v>
      </c>
      <c r="F462">
        <v>3.4044230000000002E-2</v>
      </c>
      <c r="G462">
        <v>4.7255270000000002E-2</v>
      </c>
    </row>
    <row r="463" spans="1:7">
      <c r="A463" t="s">
        <v>477</v>
      </c>
      <c r="B463">
        <v>-14949.09644616</v>
      </c>
      <c r="C463">
        <v>-375581.03001305001</v>
      </c>
      <c r="D463">
        <v>-90.793868450000005</v>
      </c>
      <c r="E463">
        <v>0.42553015</v>
      </c>
      <c r="F463">
        <v>3.9864629999999998E-2</v>
      </c>
      <c r="G463">
        <v>9.3434059999999999E-2</v>
      </c>
    </row>
    <row r="464" spans="1:7">
      <c r="A464" t="s">
        <v>6</v>
      </c>
      <c r="B464">
        <v>0</v>
      </c>
      <c r="C464">
        <v>0</v>
      </c>
      <c r="D464">
        <v>-69.99441917</v>
      </c>
      <c r="E464">
        <v>0.16385528999999999</v>
      </c>
      <c r="F464">
        <v>5.1225090000000001E-2</v>
      </c>
      <c r="G464">
        <v>2.7082120000000001E-2</v>
      </c>
    </row>
    <row r="465" spans="1:7">
      <c r="A465" t="s">
        <v>31</v>
      </c>
      <c r="B465">
        <v>-8.6666259999999995E-2</v>
      </c>
      <c r="C465">
        <v>34132.131303380003</v>
      </c>
      <c r="D465">
        <v>-67.381052679999996</v>
      </c>
      <c r="E465">
        <v>9.2653449999999998E-2</v>
      </c>
      <c r="F465">
        <v>5.3049529999999998E-2</v>
      </c>
      <c r="G465">
        <v>2.7478720000000002E-2</v>
      </c>
    </row>
    <row r="466" spans="1:7">
      <c r="A466" t="s">
        <v>30</v>
      </c>
      <c r="B466">
        <v>-0.12850853000000001</v>
      </c>
      <c r="C466">
        <v>34052.111475279999</v>
      </c>
      <c r="D466">
        <v>-67.39298479</v>
      </c>
      <c r="E466">
        <v>9.2690590000000003E-2</v>
      </c>
      <c r="F466">
        <v>5.3660409999999999E-2</v>
      </c>
      <c r="G466">
        <v>3.0176640000000001E-2</v>
      </c>
    </row>
    <row r="467" spans="1:7">
      <c r="A467" t="s">
        <v>501</v>
      </c>
      <c r="B467">
        <v>6.9938089999999994E-2</v>
      </c>
      <c r="C467">
        <v>-3327.6711708799999</v>
      </c>
      <c r="D467">
        <v>679.83337836999999</v>
      </c>
      <c r="E467">
        <v>0.17616298</v>
      </c>
      <c r="F467">
        <v>5.0444790000000003E-2</v>
      </c>
      <c r="G467">
        <v>2.5425819999999998E-2</v>
      </c>
    </row>
    <row r="468" spans="1:7">
      <c r="A468" t="s">
        <v>131</v>
      </c>
      <c r="B468">
        <v>-15002.42554192</v>
      </c>
      <c r="C468">
        <v>37849.244368480002</v>
      </c>
      <c r="D468">
        <v>-67.677455129999998</v>
      </c>
      <c r="E468">
        <v>0.13757411999999999</v>
      </c>
      <c r="F468">
        <v>2.402089E-2</v>
      </c>
      <c r="G468">
        <v>3.8653239999999998E-2</v>
      </c>
    </row>
    <row r="469" spans="1:7">
      <c r="A469" t="s">
        <v>130</v>
      </c>
      <c r="B469">
        <v>-15002.415031820001</v>
      </c>
      <c r="C469">
        <v>37929.260615500003</v>
      </c>
      <c r="D469">
        <v>-67.720171530000002</v>
      </c>
      <c r="E469">
        <v>0.13808123</v>
      </c>
      <c r="F469">
        <v>2.2837199999999998E-2</v>
      </c>
      <c r="G469">
        <v>3.8716E-2</v>
      </c>
    </row>
    <row r="470" spans="1:7">
      <c r="A470" t="s">
        <v>406</v>
      </c>
      <c r="B470">
        <v>-14979.57632756</v>
      </c>
      <c r="C470">
        <v>-148848.47195119</v>
      </c>
      <c r="D470">
        <v>-93.193557170000005</v>
      </c>
      <c r="E470">
        <v>0.24889506</v>
      </c>
      <c r="F470">
        <v>2.4773860000000002E-2</v>
      </c>
      <c r="G470">
        <v>2.5964750000000002E-2</v>
      </c>
    </row>
    <row r="471" spans="1:7">
      <c r="A471" t="s">
        <v>56</v>
      </c>
      <c r="B471">
        <v>0.89283866000000001</v>
      </c>
      <c r="C471">
        <v>112719.71525618</v>
      </c>
      <c r="D471">
        <v>-61.184821530000001</v>
      </c>
      <c r="E471">
        <v>0.25836851</v>
      </c>
      <c r="F471">
        <v>5.6073100000000001E-2</v>
      </c>
      <c r="G471">
        <v>2.7715489999999999E-2</v>
      </c>
    </row>
    <row r="472" spans="1:7">
      <c r="A472" t="s">
        <v>55</v>
      </c>
      <c r="B472">
        <v>0.90790888999999997</v>
      </c>
      <c r="C472">
        <v>112639.66266672</v>
      </c>
      <c r="D472">
        <v>-61.189668990000001</v>
      </c>
      <c r="E472">
        <v>0.25834325000000002</v>
      </c>
      <c r="F472">
        <v>5.4220810000000001E-2</v>
      </c>
      <c r="G472">
        <v>2.8800780000000002E-2</v>
      </c>
    </row>
    <row r="473" spans="1:7">
      <c r="A473" t="s">
        <v>62</v>
      </c>
      <c r="B473">
        <v>0.83431602999999999</v>
      </c>
      <c r="C473">
        <v>115640.67194395</v>
      </c>
      <c r="D473">
        <v>-61.033288169999999</v>
      </c>
      <c r="E473">
        <v>0.27059856999999998</v>
      </c>
      <c r="F473">
        <v>5.5909899999999998E-2</v>
      </c>
      <c r="G473">
        <v>2.93228E-2</v>
      </c>
    </row>
    <row r="474" spans="1:7">
      <c r="A474" t="s">
        <v>61</v>
      </c>
      <c r="B474">
        <v>0.82884625999999995</v>
      </c>
      <c r="C474">
        <v>115560.65619701</v>
      </c>
      <c r="D474">
        <v>-61.022274930000002</v>
      </c>
      <c r="E474">
        <v>0.26989389000000003</v>
      </c>
      <c r="F474">
        <v>5.4690170000000003E-2</v>
      </c>
      <c r="G474">
        <v>2.7577190000000001E-2</v>
      </c>
    </row>
    <row r="475" spans="1:7">
      <c r="A475" t="s">
        <v>103</v>
      </c>
      <c r="B475">
        <v>-15013.1432324</v>
      </c>
      <c r="C475">
        <v>116676.11959575</v>
      </c>
      <c r="D475">
        <v>-61.01519614</v>
      </c>
      <c r="E475">
        <v>0.27439375999999999</v>
      </c>
      <c r="F475">
        <v>2.9067860000000001E-2</v>
      </c>
      <c r="G475">
        <v>2.160072E-2</v>
      </c>
    </row>
    <row r="476" spans="1:7">
      <c r="A476" t="s">
        <v>102</v>
      </c>
      <c r="B476">
        <v>-15013.18886351</v>
      </c>
      <c r="C476">
        <v>116756.14561471999</v>
      </c>
      <c r="D476">
        <v>-60.958460350000003</v>
      </c>
      <c r="E476">
        <v>0.27441146999999999</v>
      </c>
      <c r="F476">
        <v>3.0002049999999999E-2</v>
      </c>
      <c r="G476">
        <v>2.1275260000000001E-2</v>
      </c>
    </row>
    <row r="477" spans="1:7">
      <c r="A477" t="s">
        <v>113</v>
      </c>
      <c r="B477">
        <v>-15012.4840095</v>
      </c>
      <c r="C477">
        <v>110942.55504760001</v>
      </c>
      <c r="D477">
        <v>-61.516010420000001</v>
      </c>
      <c r="E477">
        <v>0.25393355000000001</v>
      </c>
      <c r="F477">
        <v>3.6266409999999999E-2</v>
      </c>
      <c r="G477">
        <v>4.336168E-2</v>
      </c>
    </row>
    <row r="478" spans="1:7">
      <c r="A478" t="s">
        <v>112</v>
      </c>
      <c r="B478">
        <v>-15012.48033206</v>
      </c>
      <c r="C478">
        <v>111022.56649365</v>
      </c>
      <c r="D478">
        <v>-61.510966060000001</v>
      </c>
      <c r="E478">
        <v>0.25369039999999998</v>
      </c>
      <c r="F478">
        <v>4.1257639999999998E-2</v>
      </c>
      <c r="G478">
        <v>4.1498899999999998E-2</v>
      </c>
    </row>
    <row r="479" spans="1:7">
      <c r="A479" t="s">
        <v>175</v>
      </c>
      <c r="B479">
        <v>-14994.847057569999</v>
      </c>
      <c r="C479">
        <v>-29442.956080569998</v>
      </c>
      <c r="D479">
        <v>69.837086850000006</v>
      </c>
      <c r="E479">
        <v>0.20522116000000001</v>
      </c>
      <c r="F479">
        <v>2.4399509999999999E-2</v>
      </c>
      <c r="G479">
        <v>3.1363710000000003E-2</v>
      </c>
    </row>
    <row r="480" spans="1:7">
      <c r="A480" t="s">
        <v>174</v>
      </c>
      <c r="B480">
        <v>-14994.85452511</v>
      </c>
      <c r="C480">
        <v>-29342.959517449999</v>
      </c>
      <c r="D480">
        <v>69.843758339999994</v>
      </c>
      <c r="E480">
        <v>0.20605323</v>
      </c>
      <c r="F480">
        <v>2.40135E-2</v>
      </c>
      <c r="G480">
        <v>3.351233E-2</v>
      </c>
    </row>
    <row r="481" spans="1:7">
      <c r="A481" t="s">
        <v>199</v>
      </c>
      <c r="B481">
        <v>-14994.02501922</v>
      </c>
      <c r="C481">
        <v>-35432.441587009998</v>
      </c>
      <c r="D481">
        <v>4.9790191500000001</v>
      </c>
      <c r="E481">
        <v>0.20640412</v>
      </c>
      <c r="F481">
        <v>1.7350919999999999E-2</v>
      </c>
      <c r="G481">
        <v>2.017503E-2</v>
      </c>
    </row>
    <row r="482" spans="1:7">
      <c r="A482" t="s">
        <v>241</v>
      </c>
      <c r="B482">
        <v>-14992.3972689</v>
      </c>
      <c r="C482">
        <v>-47899.426235669998</v>
      </c>
      <c r="D482">
        <v>3.5616020900000001</v>
      </c>
      <c r="E482">
        <v>0.21114683000000001</v>
      </c>
      <c r="F482">
        <v>1.7263359999999998E-2</v>
      </c>
      <c r="G482">
        <v>1.8466730000000001E-2</v>
      </c>
    </row>
    <row r="483" spans="1:7">
      <c r="A483" t="s">
        <v>285</v>
      </c>
      <c r="B483">
        <v>-14991.169457690001</v>
      </c>
      <c r="C483">
        <v>-61824.699624280001</v>
      </c>
      <c r="D483">
        <v>3.6889419800000001</v>
      </c>
      <c r="E483">
        <v>0.21703901</v>
      </c>
      <c r="F483">
        <v>1.7942699999999999E-2</v>
      </c>
      <c r="G483">
        <v>1.859916E-2</v>
      </c>
    </row>
    <row r="484" spans="1:7">
      <c r="A484" t="s">
        <v>333</v>
      </c>
      <c r="B484">
        <v>-14988.99231206</v>
      </c>
      <c r="C484">
        <v>-78554.219969650003</v>
      </c>
      <c r="D484">
        <v>3.5384424499999998</v>
      </c>
      <c r="E484">
        <v>0.22819544999999999</v>
      </c>
      <c r="F484">
        <v>2.5156080000000001E-2</v>
      </c>
      <c r="G484">
        <v>3.2607129999999998E-2</v>
      </c>
    </row>
    <row r="485" spans="1:7">
      <c r="A485" t="s">
        <v>362</v>
      </c>
      <c r="B485">
        <v>-14987.09865835</v>
      </c>
      <c r="C485">
        <v>-91787.124819610006</v>
      </c>
      <c r="D485">
        <v>-71.622815220000007</v>
      </c>
      <c r="E485">
        <v>0.23249172000000001</v>
      </c>
      <c r="F485">
        <v>2.0773730000000001E-2</v>
      </c>
      <c r="G485">
        <v>2.063955E-2</v>
      </c>
    </row>
    <row r="486" spans="1:7">
      <c r="A486" t="s">
        <v>361</v>
      </c>
      <c r="B486">
        <v>-14987.14011959</v>
      </c>
      <c r="C486">
        <v>-91707.122952909995</v>
      </c>
      <c r="D486">
        <v>-71.646040659999997</v>
      </c>
      <c r="E486">
        <v>0.23566286</v>
      </c>
      <c r="F486">
        <v>2.192469E-2</v>
      </c>
      <c r="G486">
        <v>2.1668369999999999E-2</v>
      </c>
    </row>
    <row r="487" spans="1:7">
      <c r="A487" t="s">
        <v>380</v>
      </c>
      <c r="B487">
        <v>-14983.83129432</v>
      </c>
      <c r="C487">
        <v>-113242.18173291</v>
      </c>
      <c r="D487">
        <v>-72.306378879999997</v>
      </c>
      <c r="E487">
        <v>0.24637672999999999</v>
      </c>
      <c r="F487">
        <v>2.1408030000000002E-2</v>
      </c>
      <c r="G487">
        <v>2.239296E-2</v>
      </c>
    </row>
    <row r="488" spans="1:7">
      <c r="A488" t="s">
        <v>379</v>
      </c>
      <c r="B488">
        <v>-14983.76989763</v>
      </c>
      <c r="C488">
        <v>-113162.19961108</v>
      </c>
      <c r="D488">
        <v>-72.319493280000003</v>
      </c>
      <c r="E488">
        <v>0.24564270999999999</v>
      </c>
      <c r="F488">
        <v>2.271155E-2</v>
      </c>
      <c r="G488">
        <v>2.3389799999999999E-2</v>
      </c>
    </row>
    <row r="489" spans="1:7">
      <c r="A489" t="s">
        <v>388</v>
      </c>
      <c r="B489">
        <v>-14982.70633347</v>
      </c>
      <c r="C489">
        <v>-129354.79632785999</v>
      </c>
      <c r="D489">
        <v>-72.303444409999997</v>
      </c>
      <c r="E489">
        <v>0.25060563000000002</v>
      </c>
      <c r="F489">
        <v>1.9102899999999999E-2</v>
      </c>
      <c r="G489">
        <v>1.9463279999999999E-2</v>
      </c>
    </row>
    <row r="490" spans="1:7">
      <c r="A490" t="s">
        <v>387</v>
      </c>
      <c r="B490">
        <v>-14982.706308979999</v>
      </c>
      <c r="C490">
        <v>-129274.77441044</v>
      </c>
      <c r="D490">
        <v>-72.404170210000004</v>
      </c>
      <c r="E490">
        <v>0.25217174999999997</v>
      </c>
      <c r="F490">
        <v>1.9258029999999999E-2</v>
      </c>
      <c r="G490">
        <v>1.98634E-2</v>
      </c>
    </row>
    <row r="491" spans="1:7">
      <c r="A491" t="s">
        <v>413</v>
      </c>
      <c r="B491">
        <v>-14978.54270962</v>
      </c>
      <c r="C491">
        <v>-159248.8745679</v>
      </c>
      <c r="D491">
        <v>-92.77208718</v>
      </c>
      <c r="E491">
        <v>0.23729839999999999</v>
      </c>
      <c r="F491">
        <v>2.800505E-2</v>
      </c>
      <c r="G491">
        <v>3.3179010000000002E-2</v>
      </c>
    </row>
    <row r="492" spans="1:7">
      <c r="A492" t="s">
        <v>419</v>
      </c>
      <c r="B492">
        <v>-14975.98231922</v>
      </c>
      <c r="C492">
        <v>-178450.07286267</v>
      </c>
      <c r="D492">
        <v>-93.066602660000001</v>
      </c>
      <c r="E492">
        <v>0.21429254</v>
      </c>
      <c r="F492">
        <v>2.491881E-2</v>
      </c>
      <c r="G492">
        <v>2.7886540000000001E-2</v>
      </c>
    </row>
    <row r="493" spans="1:7">
      <c r="A493" t="s">
        <v>425</v>
      </c>
      <c r="B493">
        <v>-14973.54435638</v>
      </c>
      <c r="C493">
        <v>-197651.24729545999</v>
      </c>
      <c r="D493">
        <v>-92.812404270000002</v>
      </c>
      <c r="E493">
        <v>0.18875691</v>
      </c>
      <c r="F493">
        <v>2.4649839999999999E-2</v>
      </c>
      <c r="G493">
        <v>2.8798049999999999E-2</v>
      </c>
    </row>
    <row r="494" spans="1:7">
      <c r="A494" t="s">
        <v>436</v>
      </c>
      <c r="B494">
        <v>-14968.17477503</v>
      </c>
      <c r="C494">
        <v>-238764.37370860999</v>
      </c>
      <c r="D494">
        <v>-92.255935930000007</v>
      </c>
      <c r="E494">
        <v>0.12343345999999999</v>
      </c>
      <c r="F494">
        <v>3.387246E-2</v>
      </c>
      <c r="G494">
        <v>3.6844160000000001E-2</v>
      </c>
    </row>
    <row r="495" spans="1:7">
      <c r="A495" t="s">
        <v>442</v>
      </c>
      <c r="B495">
        <v>-14965.62393016</v>
      </c>
      <c r="C495">
        <v>-257964.87945055001</v>
      </c>
      <c r="D495">
        <v>-92.520889150000002</v>
      </c>
      <c r="E495">
        <v>9.6669350000000001E-2</v>
      </c>
      <c r="F495">
        <v>3.6718290000000001E-2</v>
      </c>
      <c r="G495">
        <v>4.0966879999999997E-2</v>
      </c>
    </row>
    <row r="496" spans="1:7">
      <c r="A496" t="s">
        <v>448</v>
      </c>
      <c r="B496">
        <v>-14962.679013229999</v>
      </c>
      <c r="C496">
        <v>-277161.43484454998</v>
      </c>
      <c r="D496">
        <v>-92.096995750000005</v>
      </c>
      <c r="E496">
        <v>9.0906559999999997E-2</v>
      </c>
      <c r="F496">
        <v>2.7478019999999999E-2</v>
      </c>
      <c r="G496">
        <v>3.3773009999999999E-2</v>
      </c>
    </row>
    <row r="497" spans="1:7">
      <c r="A497" t="s">
        <v>454</v>
      </c>
      <c r="B497">
        <v>-14960.275140059999</v>
      </c>
      <c r="C497">
        <v>-296353.91258104</v>
      </c>
      <c r="D497">
        <v>-92.216380049999998</v>
      </c>
      <c r="E497">
        <v>0.12561532</v>
      </c>
      <c r="F497">
        <v>2.9422730000000001E-2</v>
      </c>
      <c r="G497">
        <v>3.8324530000000002E-2</v>
      </c>
    </row>
    <row r="498" spans="1:7">
      <c r="A498" t="s">
        <v>460</v>
      </c>
      <c r="B498">
        <v>-14957.2980747</v>
      </c>
      <c r="C498">
        <v>-318276.28047698003</v>
      </c>
      <c r="D498">
        <v>-91.597922499999996</v>
      </c>
      <c r="E498">
        <v>0.19515565000000001</v>
      </c>
      <c r="F498">
        <v>3.174884E-2</v>
      </c>
      <c r="G498">
        <v>2.7892400000000001E-2</v>
      </c>
    </row>
    <row r="499" spans="1:7">
      <c r="A499" t="s">
        <v>466</v>
      </c>
      <c r="B499">
        <v>-14954.94895219</v>
      </c>
      <c r="C499">
        <v>-337476.74613918999</v>
      </c>
      <c r="D499">
        <v>-91.662934620000001</v>
      </c>
      <c r="E499">
        <v>0.26725866999999998</v>
      </c>
      <c r="F499">
        <v>3.4224570000000003E-2</v>
      </c>
      <c r="G499">
        <v>2.1690170000000002E-2</v>
      </c>
    </row>
    <row r="500" spans="1:7">
      <c r="A500" t="s">
        <v>472</v>
      </c>
      <c r="B500">
        <v>-14952.023610980001</v>
      </c>
      <c r="C500">
        <v>-356679.33214185998</v>
      </c>
      <c r="D500">
        <v>-91.340301819999993</v>
      </c>
      <c r="E500">
        <v>0.34397306999999999</v>
      </c>
      <c r="F500">
        <v>3.4269689999999998E-2</v>
      </c>
      <c r="G500">
        <v>4.6328000000000001E-2</v>
      </c>
    </row>
    <row r="501" spans="1:7">
      <c r="A501" t="s">
        <v>478</v>
      </c>
      <c r="B501">
        <v>-14949.12483724</v>
      </c>
      <c r="C501">
        <v>-375781.09584095998</v>
      </c>
      <c r="D501">
        <v>-90.877403939999994</v>
      </c>
      <c r="E501">
        <v>0.42695009</v>
      </c>
      <c r="F501">
        <v>4.04594E-2</v>
      </c>
      <c r="G501">
        <v>9.5057589999999997E-2</v>
      </c>
    </row>
    <row r="502" spans="1:7">
      <c r="A502" t="s">
        <v>7</v>
      </c>
      <c r="B502">
        <v>-2.5418619999999999E-2</v>
      </c>
      <c r="C502">
        <v>139.98885827000001</v>
      </c>
      <c r="D502">
        <v>-69.978301040000005</v>
      </c>
      <c r="E502">
        <v>0.16177195999999999</v>
      </c>
      <c r="F502">
        <v>5.0626490000000003E-2</v>
      </c>
      <c r="G502">
        <v>2.734986E-2</v>
      </c>
    </row>
    <row r="503" spans="1:7">
      <c r="A503" t="s">
        <v>33</v>
      </c>
      <c r="B503">
        <v>-0.11507845</v>
      </c>
      <c r="C503">
        <v>34397.222605759998</v>
      </c>
      <c r="D503">
        <v>-67.114602959999999</v>
      </c>
      <c r="E503">
        <v>9.2717560000000004E-2</v>
      </c>
      <c r="F503">
        <v>5.2137469999999998E-2</v>
      </c>
      <c r="G503">
        <v>2.8006619999999999E-2</v>
      </c>
    </row>
    <row r="504" spans="1:7">
      <c r="A504" t="s">
        <v>32</v>
      </c>
      <c r="B504">
        <v>-0.11339636</v>
      </c>
      <c r="C504">
        <v>34317.211323590003</v>
      </c>
      <c r="D504">
        <v>-67.224360079999997</v>
      </c>
      <c r="E504">
        <v>8.9959540000000005E-2</v>
      </c>
      <c r="F504">
        <v>5.1685540000000002E-2</v>
      </c>
      <c r="G504">
        <v>2.9799920000000001E-2</v>
      </c>
    </row>
    <row r="505" spans="1:7">
      <c r="A505" t="s">
        <v>502</v>
      </c>
      <c r="B505">
        <v>0.30633096999999998</v>
      </c>
      <c r="C505">
        <v>-3188.08319656</v>
      </c>
      <c r="D505">
        <v>679.78925936999997</v>
      </c>
      <c r="E505">
        <v>0.18357018999999999</v>
      </c>
      <c r="F505">
        <v>5.8530150000000003E-2</v>
      </c>
      <c r="G505">
        <v>4.683913E-2</v>
      </c>
    </row>
    <row r="506" spans="1:7">
      <c r="A506" t="s">
        <v>133</v>
      </c>
      <c r="B506">
        <v>-15002.40596568</v>
      </c>
      <c r="C506">
        <v>37590.156349639998</v>
      </c>
      <c r="D506">
        <v>-67.671737960000002</v>
      </c>
      <c r="E506">
        <v>0.13874289000000001</v>
      </c>
      <c r="F506">
        <v>2.2949799999999999E-2</v>
      </c>
      <c r="G506">
        <v>3.7224739999999999E-2</v>
      </c>
    </row>
    <row r="507" spans="1:7">
      <c r="A507" t="s">
        <v>132</v>
      </c>
      <c r="B507">
        <v>-15002.42182869</v>
      </c>
      <c r="C507">
        <v>37670.171170829999</v>
      </c>
      <c r="D507">
        <v>-67.671068070000004</v>
      </c>
      <c r="E507">
        <v>0.13853989</v>
      </c>
      <c r="F507">
        <v>2.2063320000000001E-2</v>
      </c>
      <c r="G507">
        <v>3.850307E-2</v>
      </c>
    </row>
    <row r="508" spans="1:7">
      <c r="A508" t="s">
        <v>407</v>
      </c>
      <c r="B508">
        <v>-14979.59815625</v>
      </c>
      <c r="C508">
        <v>-149048.47244042001</v>
      </c>
      <c r="D508">
        <v>-93.216004679999998</v>
      </c>
      <c r="E508">
        <v>0.24711733</v>
      </c>
      <c r="F508">
        <v>2.3207220000000001E-2</v>
      </c>
      <c r="G508">
        <v>2.4632569999999999E-2</v>
      </c>
    </row>
    <row r="509" spans="1:7">
      <c r="A509" t="s">
        <v>58</v>
      </c>
      <c r="B509">
        <v>0.94006794000000005</v>
      </c>
      <c r="C509">
        <v>112969.64209949999</v>
      </c>
      <c r="D509">
        <v>-61.14286053</v>
      </c>
      <c r="E509">
        <v>0.25984501999999998</v>
      </c>
      <c r="F509">
        <v>5.5484829999999999E-2</v>
      </c>
      <c r="G509">
        <v>2.8960449999999999E-2</v>
      </c>
    </row>
    <row r="510" spans="1:7">
      <c r="A510" t="s">
        <v>57</v>
      </c>
      <c r="B510">
        <v>0.90485267000000003</v>
      </c>
      <c r="C510">
        <v>112889.61943408</v>
      </c>
      <c r="D510">
        <v>-61.190658409999998</v>
      </c>
      <c r="E510">
        <v>0.25902475000000003</v>
      </c>
      <c r="F510">
        <v>5.481196E-2</v>
      </c>
      <c r="G510">
        <v>2.8730189999999999E-2</v>
      </c>
    </row>
    <row r="511" spans="1:7">
      <c r="A511" t="s">
        <v>64</v>
      </c>
      <c r="B511">
        <v>0.79747139</v>
      </c>
      <c r="C511">
        <v>115890.70717425999</v>
      </c>
      <c r="D511">
        <v>-61.007486399999998</v>
      </c>
      <c r="E511">
        <v>0.27129997</v>
      </c>
      <c r="F511">
        <v>5.4417460000000001E-2</v>
      </c>
      <c r="G511">
        <v>2.8808279999999999E-2</v>
      </c>
    </row>
    <row r="512" spans="1:7">
      <c r="A512" t="s">
        <v>63</v>
      </c>
      <c r="B512">
        <v>0.82484478000000006</v>
      </c>
      <c r="C512">
        <v>115810.6735455</v>
      </c>
      <c r="D512">
        <v>-60.980158350000004</v>
      </c>
      <c r="E512">
        <v>0.27266298</v>
      </c>
      <c r="F512">
        <v>5.5463209999999999E-2</v>
      </c>
      <c r="G512">
        <v>2.8897780000000001E-2</v>
      </c>
    </row>
    <row r="513" spans="1:7">
      <c r="A513" t="s">
        <v>105</v>
      </c>
      <c r="B513">
        <v>-15013.14519727</v>
      </c>
      <c r="C513">
        <v>116426.05052285</v>
      </c>
      <c r="D513">
        <v>-60.937464130000002</v>
      </c>
      <c r="E513">
        <v>0.27321771</v>
      </c>
      <c r="F513">
        <v>2.9064710000000001E-2</v>
      </c>
      <c r="G513">
        <v>2.143393E-2</v>
      </c>
    </row>
    <row r="514" spans="1:7">
      <c r="A514" t="s">
        <v>104</v>
      </c>
      <c r="B514">
        <v>-15013.167975570001</v>
      </c>
      <c r="C514">
        <v>116506.04417459</v>
      </c>
      <c r="D514">
        <v>-61.036706500000001</v>
      </c>
      <c r="E514">
        <v>0.27310139999999999</v>
      </c>
      <c r="F514">
        <v>2.8770159999999999E-2</v>
      </c>
      <c r="G514">
        <v>2.1542269999999999E-2</v>
      </c>
    </row>
    <row r="515" spans="1:7">
      <c r="A515" t="s">
        <v>115</v>
      </c>
      <c r="B515">
        <v>-15012.460138390001</v>
      </c>
      <c r="C515">
        <v>110692.58472386</v>
      </c>
      <c r="D515">
        <v>-61.577247</v>
      </c>
      <c r="E515">
        <v>0.2517781</v>
      </c>
      <c r="F515">
        <v>3.1038929999999999E-2</v>
      </c>
      <c r="G515">
        <v>2.652154E-2</v>
      </c>
    </row>
    <row r="516" spans="1:7">
      <c r="A516" t="s">
        <v>114</v>
      </c>
      <c r="B516">
        <v>-15012.470554330001</v>
      </c>
      <c r="C516">
        <v>110772.59778167</v>
      </c>
      <c r="D516">
        <v>-61.580932099999998</v>
      </c>
      <c r="E516">
        <v>0.25235440999999997</v>
      </c>
      <c r="F516">
        <v>3.0044990000000001E-2</v>
      </c>
      <c r="G516">
        <v>2.741969E-2</v>
      </c>
    </row>
    <row r="517" spans="1:7">
      <c r="A517" t="s">
        <v>136</v>
      </c>
      <c r="B517">
        <v>-14999.741153229999</v>
      </c>
      <c r="C517">
        <v>17296.29714354</v>
      </c>
      <c r="D517">
        <v>-18.85196534</v>
      </c>
      <c r="E517">
        <v>0.14578874999999999</v>
      </c>
      <c r="F517">
        <v>2.1433890000000001E-2</v>
      </c>
      <c r="G517">
        <v>2.783412E-2</v>
      </c>
    </row>
    <row r="518" spans="1:7">
      <c r="A518" t="s">
        <v>138</v>
      </c>
      <c r="B518">
        <v>-14998.542822429999</v>
      </c>
      <c r="C518">
        <v>7708.2459804700002</v>
      </c>
      <c r="D518">
        <v>-19.062563430000001</v>
      </c>
      <c r="E518">
        <v>0.15860497000000001</v>
      </c>
      <c r="F518">
        <v>2.4468400000000001E-2</v>
      </c>
      <c r="G518">
        <v>3.8928959999999999E-2</v>
      </c>
    </row>
    <row r="519" spans="1:7">
      <c r="A519" t="s">
        <v>147</v>
      </c>
      <c r="B519">
        <v>-14995.190736160001</v>
      </c>
      <c r="C519">
        <v>-24332.763910739999</v>
      </c>
      <c r="D519">
        <v>14.750493349999999</v>
      </c>
      <c r="E519">
        <v>0.20273619000000001</v>
      </c>
      <c r="F519">
        <v>2.446651E-2</v>
      </c>
      <c r="G519">
        <v>3.7738319999999999E-2</v>
      </c>
    </row>
    <row r="520" spans="1:7">
      <c r="A520" t="s">
        <v>146</v>
      </c>
      <c r="B520">
        <v>-14995.25387353</v>
      </c>
      <c r="C520">
        <v>-24192.801986809998</v>
      </c>
      <c r="D520">
        <v>14.751330100000001</v>
      </c>
      <c r="E520">
        <v>0.20152253000000001</v>
      </c>
      <c r="F520">
        <v>2.4781640000000001E-2</v>
      </c>
      <c r="G520">
        <v>3.4295539999999999E-2</v>
      </c>
    </row>
    <row r="521" spans="1:7">
      <c r="A521" t="s">
        <v>151</v>
      </c>
      <c r="B521">
        <v>-14995.169840750001</v>
      </c>
      <c r="C521">
        <v>-25013.257633099998</v>
      </c>
      <c r="D521">
        <v>14.80706784</v>
      </c>
      <c r="E521">
        <v>0.20613024999999999</v>
      </c>
      <c r="F521">
        <v>2.438044E-2</v>
      </c>
      <c r="G521">
        <v>3.6777570000000002E-2</v>
      </c>
    </row>
    <row r="522" spans="1:7">
      <c r="A522" t="s">
        <v>150</v>
      </c>
      <c r="B522">
        <v>-14995.153256039999</v>
      </c>
      <c r="C522">
        <v>-24873.279872539999</v>
      </c>
      <c r="D522">
        <v>14.76750476</v>
      </c>
      <c r="E522">
        <v>0.20283283999999999</v>
      </c>
      <c r="F522">
        <v>2.495789E-2</v>
      </c>
      <c r="G522">
        <v>3.8805180000000002E-2</v>
      </c>
    </row>
    <row r="523" spans="1:7">
      <c r="A523" t="s">
        <v>161</v>
      </c>
      <c r="B523">
        <v>-14995.05111961</v>
      </c>
      <c r="C523">
        <v>-26904.37675191</v>
      </c>
      <c r="D523">
        <v>14.889668759999999</v>
      </c>
      <c r="E523">
        <v>0.20419877</v>
      </c>
      <c r="F523">
        <v>2.3189620000000001E-2</v>
      </c>
      <c r="G523">
        <v>3.6038899999999999E-2</v>
      </c>
    </row>
    <row r="524" spans="1:7">
      <c r="A524" t="s">
        <v>160</v>
      </c>
      <c r="B524">
        <v>-14995.02177438</v>
      </c>
      <c r="C524">
        <v>-26764.392479490001</v>
      </c>
      <c r="D524">
        <v>14.84244614</v>
      </c>
      <c r="E524">
        <v>0.20494941</v>
      </c>
      <c r="F524">
        <v>2.425273E-2</v>
      </c>
      <c r="G524">
        <v>3.7090430000000001E-2</v>
      </c>
    </row>
    <row r="525" spans="1:7">
      <c r="A525" t="s">
        <v>165</v>
      </c>
      <c r="B525">
        <v>-14994.954875699999</v>
      </c>
      <c r="C525">
        <v>-27582.100406310001</v>
      </c>
      <c r="D525">
        <v>14.810785920000001</v>
      </c>
      <c r="E525">
        <v>0.20484288</v>
      </c>
      <c r="F525">
        <v>2.387479E-2</v>
      </c>
      <c r="G525">
        <v>3.6471469999999999E-2</v>
      </c>
    </row>
    <row r="526" spans="1:7">
      <c r="A526" t="s">
        <v>164</v>
      </c>
      <c r="B526">
        <v>-14994.93877388</v>
      </c>
      <c r="C526">
        <v>-27442.125218050001</v>
      </c>
      <c r="D526">
        <v>14.785776459999999</v>
      </c>
      <c r="E526">
        <v>0.20152236000000001</v>
      </c>
      <c r="F526">
        <v>2.4132509999999999E-2</v>
      </c>
      <c r="G526">
        <v>3.7696929999999997E-2</v>
      </c>
    </row>
    <row r="527" spans="1:7">
      <c r="A527" t="s">
        <v>169</v>
      </c>
      <c r="B527">
        <v>-14994.8785001</v>
      </c>
      <c r="C527">
        <v>-28462.939577820001</v>
      </c>
      <c r="D527">
        <v>14.828783019999999</v>
      </c>
      <c r="E527">
        <v>0.20533699999999999</v>
      </c>
      <c r="F527">
        <v>2.5530750000000001E-2</v>
      </c>
      <c r="G527">
        <v>3.4472660000000002E-2</v>
      </c>
    </row>
    <row r="528" spans="1:7">
      <c r="A528" t="s">
        <v>168</v>
      </c>
      <c r="B528">
        <v>-14994.896970399999</v>
      </c>
      <c r="C528">
        <v>-28322.948026049999</v>
      </c>
      <c r="D528">
        <v>14.81872074</v>
      </c>
      <c r="E528">
        <v>0.20243270999999999</v>
      </c>
      <c r="F528">
        <v>2.289236E-2</v>
      </c>
      <c r="G528">
        <v>3.3276310000000003E-2</v>
      </c>
    </row>
    <row r="529" spans="1:7">
      <c r="A529" t="s">
        <v>177</v>
      </c>
      <c r="B529">
        <v>-14994.8138948</v>
      </c>
      <c r="C529">
        <v>-29798.259287069999</v>
      </c>
      <c r="D529">
        <v>14.88303782</v>
      </c>
      <c r="E529">
        <v>0.20102676999999999</v>
      </c>
      <c r="F529">
        <v>2.32943E-2</v>
      </c>
      <c r="G529">
        <v>3.2448459999999998E-2</v>
      </c>
    </row>
    <row r="530" spans="1:7">
      <c r="A530" t="s">
        <v>176</v>
      </c>
      <c r="B530">
        <v>-14994.78777451</v>
      </c>
      <c r="C530">
        <v>-29658.264196</v>
      </c>
      <c r="D530">
        <v>14.8371049</v>
      </c>
      <c r="E530">
        <v>0.20401712999999999</v>
      </c>
      <c r="F530">
        <v>2.5444129999999999E-2</v>
      </c>
      <c r="G530">
        <v>3.3454829999999998E-2</v>
      </c>
    </row>
    <row r="531" spans="1:7">
      <c r="A531" t="s">
        <v>182</v>
      </c>
      <c r="B531">
        <v>-14994.35270971</v>
      </c>
      <c r="C531">
        <v>-31229.885528980001</v>
      </c>
      <c r="D531">
        <v>75.025032749999994</v>
      </c>
      <c r="E531">
        <v>0.20464667</v>
      </c>
      <c r="F531">
        <v>2.167635E-2</v>
      </c>
      <c r="G531">
        <v>2.8265950000000001E-2</v>
      </c>
    </row>
    <row r="532" spans="1:7">
      <c r="A532" t="s">
        <v>181</v>
      </c>
      <c r="B532">
        <v>-14994.297118959999</v>
      </c>
      <c r="C532">
        <v>-30959.901446659998</v>
      </c>
      <c r="D532">
        <v>75.000336270000005</v>
      </c>
      <c r="E532">
        <v>0.20285142</v>
      </c>
      <c r="F532">
        <v>2.2918569999999999E-2</v>
      </c>
      <c r="G532">
        <v>2.792099E-2</v>
      </c>
    </row>
    <row r="533" spans="1:7">
      <c r="A533" t="s">
        <v>187</v>
      </c>
      <c r="B533">
        <v>-14994.21854964</v>
      </c>
      <c r="C533">
        <v>-32463.945799659999</v>
      </c>
      <c r="D533">
        <v>90.028475869999994</v>
      </c>
      <c r="E533">
        <v>0.20389349000000001</v>
      </c>
      <c r="F533">
        <v>2.0427830000000001E-2</v>
      </c>
      <c r="G533">
        <v>2.3613220000000001E-2</v>
      </c>
    </row>
    <row r="534" spans="1:7">
      <c r="A534" t="s">
        <v>186</v>
      </c>
      <c r="B534">
        <v>-14994.166971520001</v>
      </c>
      <c r="C534">
        <v>-32323.988139910001</v>
      </c>
      <c r="D534">
        <v>89.976733460000005</v>
      </c>
      <c r="E534">
        <v>0.20441289000000001</v>
      </c>
      <c r="F534">
        <v>1.9564910000000001E-2</v>
      </c>
      <c r="G534">
        <v>2.4800900000000001E-2</v>
      </c>
    </row>
    <row r="535" spans="1:7">
      <c r="A535" t="s">
        <v>192</v>
      </c>
      <c r="B535">
        <v>-14994.10007305</v>
      </c>
      <c r="C535">
        <v>-33828.054690079996</v>
      </c>
      <c r="D535">
        <v>75.207407340000003</v>
      </c>
      <c r="E535">
        <v>0.20431065000000001</v>
      </c>
      <c r="F535">
        <v>1.8349589999999999E-2</v>
      </c>
      <c r="G535">
        <v>2.2355630000000001E-2</v>
      </c>
    </row>
    <row r="536" spans="1:7">
      <c r="A536" t="s">
        <v>191</v>
      </c>
      <c r="B536">
        <v>-14994.07660393</v>
      </c>
      <c r="C536">
        <v>-33558.063708499998</v>
      </c>
      <c r="D536">
        <v>75.141460319999993</v>
      </c>
      <c r="E536">
        <v>0.20596048</v>
      </c>
      <c r="F536">
        <v>1.9251319999999999E-2</v>
      </c>
      <c r="G536">
        <v>2.2356890000000001E-2</v>
      </c>
    </row>
    <row r="537" spans="1:7">
      <c r="A537" t="s">
        <v>197</v>
      </c>
      <c r="B537">
        <v>-14993.84231946</v>
      </c>
      <c r="C537">
        <v>-35032.926530689998</v>
      </c>
      <c r="D537">
        <v>90.019232979999998</v>
      </c>
      <c r="E537">
        <v>0.20538890000000001</v>
      </c>
      <c r="F537">
        <v>1.706355E-2</v>
      </c>
      <c r="G537">
        <v>2.1351849999999999E-2</v>
      </c>
    </row>
    <row r="538" spans="1:7">
      <c r="A538" t="s">
        <v>196</v>
      </c>
      <c r="B538">
        <v>-14993.90333565</v>
      </c>
      <c r="C538">
        <v>-34892.976495540002</v>
      </c>
      <c r="D538">
        <v>90.067246069999996</v>
      </c>
      <c r="E538">
        <v>0.20558972</v>
      </c>
      <c r="F538">
        <v>1.63121E-2</v>
      </c>
      <c r="G538">
        <v>2.027398E-2</v>
      </c>
    </row>
    <row r="539" spans="1:7">
      <c r="A539" t="s">
        <v>204</v>
      </c>
      <c r="B539">
        <v>-14993.81281472</v>
      </c>
      <c r="C539">
        <v>-36484.580202019999</v>
      </c>
      <c r="D539">
        <v>74.898981039999995</v>
      </c>
      <c r="E539">
        <v>0.20678494</v>
      </c>
      <c r="F539">
        <v>1.928293E-2</v>
      </c>
      <c r="G539">
        <v>2.2283420000000002E-2</v>
      </c>
    </row>
    <row r="540" spans="1:7">
      <c r="A540" t="s">
        <v>203</v>
      </c>
      <c r="B540">
        <v>-14993.857356459999</v>
      </c>
      <c r="C540">
        <v>-36214.586154500001</v>
      </c>
      <c r="D540">
        <v>74.897718949999998</v>
      </c>
      <c r="E540">
        <v>0.20681094999999999</v>
      </c>
      <c r="F540">
        <v>1.8894279999999999E-2</v>
      </c>
      <c r="G540">
        <v>2.212853E-2</v>
      </c>
    </row>
    <row r="541" spans="1:7">
      <c r="A541" t="s">
        <v>208</v>
      </c>
      <c r="B541">
        <v>-14993.764514320001</v>
      </c>
      <c r="C541">
        <v>-37784.55549436</v>
      </c>
      <c r="D541">
        <v>74.847668679999998</v>
      </c>
      <c r="E541">
        <v>0.20607302</v>
      </c>
      <c r="F541">
        <v>2.0611250000000001E-2</v>
      </c>
      <c r="G541">
        <v>2.6046940000000001E-2</v>
      </c>
    </row>
    <row r="542" spans="1:7">
      <c r="A542" t="s">
        <v>207</v>
      </c>
      <c r="B542">
        <v>-14993.726554610001</v>
      </c>
      <c r="C542">
        <v>-37514.5749679</v>
      </c>
      <c r="D542">
        <v>74.816822239999993</v>
      </c>
      <c r="E542">
        <v>0.20601179999999999</v>
      </c>
      <c r="F542">
        <v>2.0832119999999999E-2</v>
      </c>
      <c r="G542">
        <v>2.3516680000000002E-2</v>
      </c>
    </row>
    <row r="543" spans="1:7">
      <c r="A543" t="s">
        <v>213</v>
      </c>
      <c r="B543">
        <v>-14993.67368197</v>
      </c>
      <c r="C543">
        <v>-39082.483840300003</v>
      </c>
      <c r="D543">
        <v>74.789979290000005</v>
      </c>
      <c r="E543">
        <v>0.20712900000000001</v>
      </c>
      <c r="F543">
        <v>2.1610339999999999E-2</v>
      </c>
      <c r="G543">
        <v>2.583452E-2</v>
      </c>
    </row>
    <row r="544" spans="1:7">
      <c r="A544" t="s">
        <v>212</v>
      </c>
      <c r="B544">
        <v>-14993.75227433</v>
      </c>
      <c r="C544">
        <v>-38812.509149719997</v>
      </c>
      <c r="D544">
        <v>74.745059049999995</v>
      </c>
      <c r="E544">
        <v>0.20738059</v>
      </c>
      <c r="F544">
        <v>2.0646109999999999E-2</v>
      </c>
      <c r="G544">
        <v>2.6317529999999999E-2</v>
      </c>
    </row>
    <row r="545" spans="1:7">
      <c r="A545" t="s">
        <v>217</v>
      </c>
      <c r="B545">
        <v>-14993.590608140001</v>
      </c>
      <c r="C545">
        <v>-40382.786449289997</v>
      </c>
      <c r="D545">
        <v>74.653185219999997</v>
      </c>
      <c r="E545">
        <v>0.20949392999999999</v>
      </c>
      <c r="F545">
        <v>2.1598630000000001E-2</v>
      </c>
      <c r="G545">
        <v>2.9144409999999999E-2</v>
      </c>
    </row>
    <row r="546" spans="1:7">
      <c r="A546" t="s">
        <v>216</v>
      </c>
      <c r="B546">
        <v>-14993.512090390001</v>
      </c>
      <c r="C546">
        <v>-40112.806807989997</v>
      </c>
      <c r="D546">
        <v>74.643272039999999</v>
      </c>
      <c r="E546">
        <v>0.20921414999999999</v>
      </c>
      <c r="F546">
        <v>2.273387E-2</v>
      </c>
      <c r="G546">
        <v>2.836731E-2</v>
      </c>
    </row>
    <row r="547" spans="1:7">
      <c r="A547" t="s">
        <v>221</v>
      </c>
      <c r="B547">
        <v>-14993.28301936</v>
      </c>
      <c r="C547">
        <v>-41698.925274339999</v>
      </c>
      <c r="D547">
        <v>89.254319150000001</v>
      </c>
      <c r="E547">
        <v>0.21058642999999999</v>
      </c>
      <c r="F547">
        <v>2.195917E-2</v>
      </c>
      <c r="G547">
        <v>2.7697200000000002E-2</v>
      </c>
    </row>
    <row r="548" spans="1:7">
      <c r="A548" t="s">
        <v>220</v>
      </c>
      <c r="B548">
        <v>-14993.312384270001</v>
      </c>
      <c r="C548">
        <v>-41558.99275148</v>
      </c>
      <c r="D548">
        <v>89.237726609999996</v>
      </c>
      <c r="E548">
        <v>0.20928113000000001</v>
      </c>
      <c r="F548">
        <v>2.259042E-2</v>
      </c>
      <c r="G548">
        <v>3.0281249999999999E-2</v>
      </c>
    </row>
    <row r="549" spans="1:7">
      <c r="A549" t="s">
        <v>225</v>
      </c>
      <c r="B549">
        <v>-14993.13309308</v>
      </c>
      <c r="C549">
        <v>-43077.502822779999</v>
      </c>
      <c r="D549">
        <v>74.076163410000007</v>
      </c>
      <c r="E549">
        <v>0.21019235</v>
      </c>
      <c r="F549">
        <v>2.1988440000000001E-2</v>
      </c>
      <c r="G549">
        <v>2.7883669999999999E-2</v>
      </c>
    </row>
    <row r="550" spans="1:7">
      <c r="A550" t="s">
        <v>224</v>
      </c>
      <c r="B550">
        <v>-14993.13462825</v>
      </c>
      <c r="C550">
        <v>-42807.504322280001</v>
      </c>
      <c r="D550">
        <v>74.121453680000002</v>
      </c>
      <c r="E550">
        <v>0.20827166999999999</v>
      </c>
      <c r="F550">
        <v>2.276711E-2</v>
      </c>
      <c r="G550">
        <v>2.8641130000000001E-2</v>
      </c>
    </row>
    <row r="551" spans="1:7">
      <c r="A551" t="s">
        <v>229</v>
      </c>
      <c r="B551">
        <v>-14993.035079179999</v>
      </c>
      <c r="C551">
        <v>-44278.01896971</v>
      </c>
      <c r="D551">
        <v>74.026331690000006</v>
      </c>
      <c r="E551">
        <v>0.20986785999999999</v>
      </c>
      <c r="F551">
        <v>2.144857E-2</v>
      </c>
      <c r="G551">
        <v>2.378767E-2</v>
      </c>
    </row>
    <row r="552" spans="1:7">
      <c r="A552" t="s">
        <v>228</v>
      </c>
      <c r="B552">
        <v>-14993.04643351</v>
      </c>
      <c r="C552">
        <v>-44008.055271910001</v>
      </c>
      <c r="D552">
        <v>73.975816109999997</v>
      </c>
      <c r="E552">
        <v>0.20991197</v>
      </c>
      <c r="F552">
        <v>2.1214340000000002E-2</v>
      </c>
      <c r="G552">
        <v>2.5389289999999998E-2</v>
      </c>
    </row>
    <row r="553" spans="1:7">
      <c r="A553" t="s">
        <v>233</v>
      </c>
      <c r="B553">
        <v>-14992.78415951</v>
      </c>
      <c r="C553">
        <v>-45670.334372509999</v>
      </c>
      <c r="D553">
        <v>74.006110750000005</v>
      </c>
      <c r="E553">
        <v>0.20952271</v>
      </c>
      <c r="F553">
        <v>1.9755769999999999E-2</v>
      </c>
      <c r="G553">
        <v>2.040198E-2</v>
      </c>
    </row>
    <row r="554" spans="1:7">
      <c r="A554" t="s">
        <v>232</v>
      </c>
      <c r="B554">
        <v>-14992.825598199999</v>
      </c>
      <c r="C554">
        <v>-45400.329014909999</v>
      </c>
      <c r="D554">
        <v>74.032287650000001</v>
      </c>
      <c r="E554">
        <v>0.20942013000000001</v>
      </c>
      <c r="F554">
        <v>2.167181E-2</v>
      </c>
      <c r="G554">
        <v>2.3075809999999999E-2</v>
      </c>
    </row>
    <row r="555" spans="1:7">
      <c r="A555" t="s">
        <v>237</v>
      </c>
      <c r="B555">
        <v>-14992.62063102</v>
      </c>
      <c r="C555">
        <v>-46870.357570250002</v>
      </c>
      <c r="D555">
        <v>73.780143409999994</v>
      </c>
      <c r="E555">
        <v>0.21021956</v>
      </c>
      <c r="F555">
        <v>1.7560719999999998E-2</v>
      </c>
      <c r="G555">
        <v>1.8913340000000001E-2</v>
      </c>
    </row>
    <row r="556" spans="1:7">
      <c r="A556" t="s">
        <v>236</v>
      </c>
      <c r="B556">
        <v>-14992.60809498</v>
      </c>
      <c r="C556">
        <v>-46600.369294650001</v>
      </c>
      <c r="D556">
        <v>73.75434826</v>
      </c>
      <c r="E556">
        <v>0.20937059999999999</v>
      </c>
      <c r="F556">
        <v>1.8803150000000001E-2</v>
      </c>
      <c r="G556">
        <v>1.9085250000000002E-2</v>
      </c>
    </row>
    <row r="557" spans="1:7">
      <c r="A557" t="s">
        <v>243</v>
      </c>
      <c r="B557">
        <v>-14992.57066413</v>
      </c>
      <c r="C557">
        <v>-48237.20397676</v>
      </c>
      <c r="D557">
        <v>88.51783168</v>
      </c>
      <c r="E557">
        <v>0.21122194</v>
      </c>
      <c r="F557">
        <v>1.7810070000000001E-2</v>
      </c>
      <c r="G557">
        <v>1.9115070000000001E-2</v>
      </c>
    </row>
    <row r="558" spans="1:7">
      <c r="A558" t="s">
        <v>242</v>
      </c>
      <c r="B558">
        <v>-14992.43453635</v>
      </c>
      <c r="C558">
        <v>-48097.356356880002</v>
      </c>
      <c r="D558">
        <v>88.498287899999994</v>
      </c>
      <c r="E558">
        <v>0.21158930000000001</v>
      </c>
      <c r="F558">
        <v>1.7355909999999999E-2</v>
      </c>
      <c r="G558">
        <v>1.782423E-2</v>
      </c>
    </row>
    <row r="559" spans="1:7">
      <c r="A559" t="s">
        <v>247</v>
      </c>
      <c r="B559">
        <v>-14992.38347678</v>
      </c>
      <c r="C559">
        <v>-49581.566855149998</v>
      </c>
      <c r="D559">
        <v>73.372519729999993</v>
      </c>
      <c r="E559">
        <v>0.21164742</v>
      </c>
      <c r="F559">
        <v>2.0375250000000001E-2</v>
      </c>
      <c r="G559">
        <v>2.043855E-2</v>
      </c>
    </row>
    <row r="560" spans="1:7">
      <c r="A560" t="s">
        <v>246</v>
      </c>
      <c r="B560">
        <v>-14992.35287875</v>
      </c>
      <c r="C560">
        <v>-49311.599581579998</v>
      </c>
      <c r="D560">
        <v>73.372572719999994</v>
      </c>
      <c r="E560">
        <v>0.21190212999999999</v>
      </c>
      <c r="F560">
        <v>1.8857169999999999E-2</v>
      </c>
      <c r="G560">
        <v>1.9629420000000002E-2</v>
      </c>
    </row>
    <row r="561" spans="1:7">
      <c r="A561" t="s">
        <v>251</v>
      </c>
      <c r="B561">
        <v>-14992.180029319999</v>
      </c>
      <c r="C561">
        <v>-50812.715694029997</v>
      </c>
      <c r="D561">
        <v>88.393560899999997</v>
      </c>
      <c r="E561">
        <v>0.21301853000000001</v>
      </c>
      <c r="F561">
        <v>2.1451089999999999E-2</v>
      </c>
      <c r="G561">
        <v>2.2722840000000001E-2</v>
      </c>
    </row>
    <row r="562" spans="1:7">
      <c r="A562" t="s">
        <v>250</v>
      </c>
      <c r="B562">
        <v>-14992.153085149999</v>
      </c>
      <c r="C562">
        <v>-50672.734764109999</v>
      </c>
      <c r="D562">
        <v>88.366929260000006</v>
      </c>
      <c r="E562">
        <v>0.2132087</v>
      </c>
      <c r="F562">
        <v>2.0572340000000001E-2</v>
      </c>
      <c r="G562">
        <v>2.3387479999999999E-2</v>
      </c>
    </row>
    <row r="563" spans="1:7">
      <c r="A563" t="s">
        <v>255</v>
      </c>
      <c r="B563">
        <v>-14991.896555740001</v>
      </c>
      <c r="C563">
        <v>-52174.095833669999</v>
      </c>
      <c r="D563">
        <v>73.332262920000005</v>
      </c>
      <c r="E563">
        <v>0.21393029999999999</v>
      </c>
      <c r="F563">
        <v>2.2627910000000001E-2</v>
      </c>
      <c r="G563">
        <v>2.8057390000000001E-2</v>
      </c>
    </row>
    <row r="564" spans="1:7">
      <c r="A564" t="s">
        <v>254</v>
      </c>
      <c r="B564">
        <v>-14992.00633208</v>
      </c>
      <c r="C564">
        <v>-51904.099647770003</v>
      </c>
      <c r="D564">
        <v>73.350002169999996</v>
      </c>
      <c r="E564">
        <v>0.21303811</v>
      </c>
      <c r="F564">
        <v>2.2629079999999999E-2</v>
      </c>
      <c r="G564">
        <v>2.4806749999999999E-2</v>
      </c>
    </row>
    <row r="565" spans="1:7">
      <c r="A565" t="s">
        <v>259</v>
      </c>
      <c r="B565">
        <v>-14991.56550939</v>
      </c>
      <c r="C565">
        <v>-53508.351475240001</v>
      </c>
      <c r="D565">
        <v>87.982830829999997</v>
      </c>
      <c r="E565">
        <v>0.21550004</v>
      </c>
      <c r="F565">
        <v>2.793524E-2</v>
      </c>
      <c r="G565">
        <v>3.1127100000000001E-2</v>
      </c>
    </row>
    <row r="566" spans="1:7">
      <c r="A566" t="s">
        <v>258</v>
      </c>
      <c r="B566">
        <v>-14991.58439276</v>
      </c>
      <c r="C566">
        <v>-53368.37234804</v>
      </c>
      <c r="D566">
        <v>88.048208459999998</v>
      </c>
      <c r="E566">
        <v>0.21356122</v>
      </c>
      <c r="F566">
        <v>2.7458150000000001E-2</v>
      </c>
      <c r="G566">
        <v>3.0459650000000001E-2</v>
      </c>
    </row>
    <row r="567" spans="1:7">
      <c r="A567" t="s">
        <v>263</v>
      </c>
      <c r="B567">
        <v>-14991.3206295</v>
      </c>
      <c r="C567">
        <v>-54708.164309330001</v>
      </c>
      <c r="D567">
        <v>87.785466170000007</v>
      </c>
      <c r="E567">
        <v>0.21449567</v>
      </c>
      <c r="F567">
        <v>3.128185E-2</v>
      </c>
      <c r="G567">
        <v>3.88253E-2</v>
      </c>
    </row>
    <row r="568" spans="1:7">
      <c r="A568" t="s">
        <v>262</v>
      </c>
      <c r="B568">
        <v>-14991.325350470001</v>
      </c>
      <c r="C568">
        <v>-54568.218293010003</v>
      </c>
      <c r="D568">
        <v>87.767774419999995</v>
      </c>
      <c r="E568">
        <v>0.21713584999999999</v>
      </c>
      <c r="F568">
        <v>3.1198610000000002E-2</v>
      </c>
      <c r="G568">
        <v>3.6885139999999997E-2</v>
      </c>
    </row>
    <row r="569" spans="1:7">
      <c r="A569" t="s">
        <v>267</v>
      </c>
      <c r="B569">
        <v>-14991.2498498</v>
      </c>
      <c r="C569">
        <v>-55908.116735600001</v>
      </c>
      <c r="D569">
        <v>88.009358230000004</v>
      </c>
      <c r="E569">
        <v>0.22127345000000001</v>
      </c>
      <c r="F569">
        <v>3.3977399999999998E-2</v>
      </c>
      <c r="G569">
        <v>4.3525050000000003E-2</v>
      </c>
    </row>
    <row r="570" spans="1:7">
      <c r="A570" t="s">
        <v>266</v>
      </c>
      <c r="B570">
        <v>-14991.24481912</v>
      </c>
      <c r="C570">
        <v>-55768.134886899999</v>
      </c>
      <c r="D570">
        <v>87.938633699999997</v>
      </c>
      <c r="E570">
        <v>0.21925486999999999</v>
      </c>
      <c r="F570">
        <v>3.0943089999999999E-2</v>
      </c>
      <c r="G570">
        <v>4.3758310000000002E-2</v>
      </c>
    </row>
    <row r="571" spans="1:7">
      <c r="A571" t="s">
        <v>269</v>
      </c>
      <c r="B571">
        <v>-14991.326564180001</v>
      </c>
      <c r="C571">
        <v>-57278.525715579999</v>
      </c>
      <c r="D571">
        <v>73.415476769999998</v>
      </c>
      <c r="E571">
        <v>0.21397719000000001</v>
      </c>
      <c r="F571">
        <v>2.3004739999999999E-2</v>
      </c>
      <c r="G571">
        <v>6.0606699999999998E-3</v>
      </c>
    </row>
    <row r="572" spans="1:7">
      <c r="A572" t="s">
        <v>268</v>
      </c>
      <c r="B572">
        <v>-14991.36003801</v>
      </c>
      <c r="C572">
        <v>-57008.550845780002</v>
      </c>
      <c r="D572">
        <v>73.362534330000003</v>
      </c>
      <c r="E572">
        <v>0.21926328</v>
      </c>
      <c r="F572">
        <v>3.4576519999999999E-2</v>
      </c>
      <c r="G572">
        <v>4.803313E-2</v>
      </c>
    </row>
    <row r="573" spans="1:7">
      <c r="A573" t="s">
        <v>273</v>
      </c>
      <c r="B573">
        <v>-14991.510223159999</v>
      </c>
      <c r="C573">
        <v>-58469.32674258</v>
      </c>
      <c r="D573">
        <v>73.648061040000002</v>
      </c>
      <c r="E573">
        <v>0.21671708000000001</v>
      </c>
      <c r="F573">
        <v>2.228376E-2</v>
      </c>
      <c r="G573">
        <v>2.4551130000000001E-2</v>
      </c>
    </row>
    <row r="574" spans="1:7">
      <c r="A574" t="s">
        <v>272</v>
      </c>
      <c r="B574">
        <v>-14991.405187140001</v>
      </c>
      <c r="C574">
        <v>-58199.331324699997</v>
      </c>
      <c r="D574">
        <v>73.633226320000006</v>
      </c>
      <c r="E574">
        <v>0.21666933999999999</v>
      </c>
      <c r="F574">
        <v>2.175883E-2</v>
      </c>
      <c r="G574">
        <v>2.321411E-2</v>
      </c>
    </row>
    <row r="575" spans="1:7">
      <c r="A575" t="s">
        <v>277</v>
      </c>
      <c r="B575">
        <v>-14991.442984380001</v>
      </c>
      <c r="C575">
        <v>-59666.933934560002</v>
      </c>
      <c r="D575">
        <v>73.704871949999998</v>
      </c>
      <c r="E575">
        <v>0.21510019</v>
      </c>
      <c r="F575">
        <v>1.9443999999999999E-2</v>
      </c>
      <c r="G575">
        <v>2.150904E-2</v>
      </c>
    </row>
    <row r="576" spans="1:7">
      <c r="A576" t="s">
        <v>276</v>
      </c>
      <c r="B576">
        <v>-14991.43497253</v>
      </c>
      <c r="C576">
        <v>-59396.956871800001</v>
      </c>
      <c r="D576">
        <v>73.684294519999995</v>
      </c>
      <c r="E576">
        <v>0.21612000000000001</v>
      </c>
      <c r="F576">
        <v>1.992116E-2</v>
      </c>
      <c r="G576">
        <v>2.0335619999999999E-2</v>
      </c>
    </row>
    <row r="577" spans="1:7">
      <c r="A577" t="s">
        <v>281</v>
      </c>
      <c r="B577">
        <v>-14991.50392214</v>
      </c>
      <c r="C577">
        <v>-60865.651837379999</v>
      </c>
      <c r="D577">
        <v>73.734663549999993</v>
      </c>
      <c r="E577">
        <v>0.21745471999999999</v>
      </c>
      <c r="F577">
        <v>1.776411E-2</v>
      </c>
      <c r="G577">
        <v>1.9670380000000001E-2</v>
      </c>
    </row>
    <row r="578" spans="1:7">
      <c r="A578" t="s">
        <v>280</v>
      </c>
      <c r="B578">
        <v>-14991.46600197</v>
      </c>
      <c r="C578">
        <v>-60595.714993820002</v>
      </c>
      <c r="D578">
        <v>73.663389589999994</v>
      </c>
      <c r="E578">
        <v>0.21719100999999999</v>
      </c>
      <c r="F578">
        <v>1.8812929999999999E-2</v>
      </c>
      <c r="G578">
        <v>1.8515879999999998E-2</v>
      </c>
    </row>
    <row r="579" spans="1:7">
      <c r="A579" t="s">
        <v>287</v>
      </c>
      <c r="B579">
        <v>-14991.420025990001</v>
      </c>
      <c r="C579">
        <v>-62202.343617129998</v>
      </c>
      <c r="D579">
        <v>88.749146800000005</v>
      </c>
      <c r="E579">
        <v>0.21760957</v>
      </c>
      <c r="F579">
        <v>1.7256959999999998E-2</v>
      </c>
      <c r="G579">
        <v>1.8594719999999999E-2</v>
      </c>
    </row>
    <row r="580" spans="1:7">
      <c r="A580" t="s">
        <v>286</v>
      </c>
      <c r="B580">
        <v>-14991.31781979</v>
      </c>
      <c r="C580">
        <v>-62062.371701069998</v>
      </c>
      <c r="D580">
        <v>88.722156209999994</v>
      </c>
      <c r="E580">
        <v>0.21775936000000001</v>
      </c>
      <c r="F580">
        <v>1.801587E-2</v>
      </c>
      <c r="G580">
        <v>1.8426430000000001E-2</v>
      </c>
    </row>
    <row r="581" spans="1:7">
      <c r="A581" t="s">
        <v>291</v>
      </c>
      <c r="B581">
        <v>-14991.408254690001</v>
      </c>
      <c r="C581">
        <v>-63480.003836429998</v>
      </c>
      <c r="D581">
        <v>73.770697639999995</v>
      </c>
      <c r="E581">
        <v>0.21756475</v>
      </c>
      <c r="F581">
        <v>1.910916E-2</v>
      </c>
      <c r="G581">
        <v>2.107906E-2</v>
      </c>
    </row>
    <row r="582" spans="1:7">
      <c r="A582" t="s">
        <v>290</v>
      </c>
      <c r="B582">
        <v>-14991.40487269</v>
      </c>
      <c r="C582">
        <v>-63210.021332099997</v>
      </c>
      <c r="D582">
        <v>73.940097129999998</v>
      </c>
      <c r="E582">
        <v>0.21851623000000001</v>
      </c>
      <c r="F582">
        <v>1.9468800000000001E-2</v>
      </c>
      <c r="G582">
        <v>2.0350730000000001E-2</v>
      </c>
    </row>
    <row r="583" spans="1:7">
      <c r="A583" t="s">
        <v>295</v>
      </c>
      <c r="B583">
        <v>-14991.314339410001</v>
      </c>
      <c r="C583">
        <v>-64592.365026289997</v>
      </c>
      <c r="D583">
        <v>88.837543190000005</v>
      </c>
      <c r="E583">
        <v>0.21788047999999999</v>
      </c>
      <c r="F583">
        <v>2.010837E-2</v>
      </c>
      <c r="G583">
        <v>2.3273060000000002E-2</v>
      </c>
    </row>
    <row r="584" spans="1:7">
      <c r="A584" t="s">
        <v>294</v>
      </c>
      <c r="B584">
        <v>-14991.304084699999</v>
      </c>
      <c r="C584">
        <v>-64452.375454610003</v>
      </c>
      <c r="D584">
        <v>88.839034510000005</v>
      </c>
      <c r="E584">
        <v>0.22045303999999999</v>
      </c>
      <c r="F584">
        <v>2.0534179999999999E-2</v>
      </c>
      <c r="G584">
        <v>2.349383E-2</v>
      </c>
    </row>
    <row r="585" spans="1:7">
      <c r="A585" t="s">
        <v>299</v>
      </c>
      <c r="B585">
        <v>-14991.33184565</v>
      </c>
      <c r="C585">
        <v>-65864.863462399997</v>
      </c>
      <c r="D585">
        <v>73.790373450000004</v>
      </c>
      <c r="E585">
        <v>0.22154766000000001</v>
      </c>
      <c r="F585">
        <v>2.077565E-2</v>
      </c>
      <c r="G585">
        <v>2.6013479999999999E-2</v>
      </c>
    </row>
    <row r="586" spans="1:7">
      <c r="A586" t="s">
        <v>298</v>
      </c>
      <c r="B586">
        <v>-14991.30694275</v>
      </c>
      <c r="C586">
        <v>-65594.846449649995</v>
      </c>
      <c r="D586">
        <v>73.817308800000006</v>
      </c>
      <c r="E586">
        <v>0.21990681000000001</v>
      </c>
      <c r="F586">
        <v>2.1376099999999999E-2</v>
      </c>
      <c r="G586">
        <v>2.479255E-2</v>
      </c>
    </row>
    <row r="587" spans="1:7">
      <c r="A587" t="s">
        <v>303</v>
      </c>
      <c r="B587">
        <v>-14991.264803829999</v>
      </c>
      <c r="C587">
        <v>-67066.350712810003</v>
      </c>
      <c r="D587">
        <v>88.702956110000002</v>
      </c>
      <c r="E587">
        <v>0.22486112</v>
      </c>
      <c r="F587">
        <v>2.6549059999999999E-2</v>
      </c>
      <c r="G587">
        <v>3.430039E-2</v>
      </c>
    </row>
    <row r="588" spans="1:7">
      <c r="A588" t="s">
        <v>302</v>
      </c>
      <c r="B588">
        <v>-14991.125578540001</v>
      </c>
      <c r="C588">
        <v>-66926.323971329999</v>
      </c>
      <c r="D588">
        <v>88.678044200000002</v>
      </c>
      <c r="E588">
        <v>0.22134286</v>
      </c>
      <c r="F588">
        <v>2.2348650000000001E-2</v>
      </c>
      <c r="G588">
        <v>2.70104E-2</v>
      </c>
    </row>
    <row r="589" spans="1:7">
      <c r="A589" t="s">
        <v>307</v>
      </c>
      <c r="B589">
        <v>-14990.555328140001</v>
      </c>
      <c r="C589">
        <v>-68365.593274519997</v>
      </c>
      <c r="D589">
        <v>88.856243500000005</v>
      </c>
      <c r="E589">
        <v>0.22109265</v>
      </c>
      <c r="F589">
        <v>2.1595280000000001E-2</v>
      </c>
      <c r="G589">
        <v>2.5409259999999999E-2</v>
      </c>
    </row>
    <row r="590" spans="1:7">
      <c r="A590" t="s">
        <v>306</v>
      </c>
      <c r="B590">
        <v>-14990.567664439999</v>
      </c>
      <c r="C590">
        <v>-68225.630913219997</v>
      </c>
      <c r="D590">
        <v>88.655954530000002</v>
      </c>
      <c r="E590">
        <v>0.22377245000000001</v>
      </c>
      <c r="F590">
        <v>2.1372200000000001E-2</v>
      </c>
      <c r="G590">
        <v>2.592494E-2</v>
      </c>
    </row>
    <row r="591" spans="1:7">
      <c r="A591" t="s">
        <v>311</v>
      </c>
      <c r="B591">
        <v>-14990.083013990001</v>
      </c>
      <c r="C591">
        <v>-70095.72602555</v>
      </c>
      <c r="D591">
        <v>73.66147479</v>
      </c>
      <c r="E591">
        <v>0.22270508</v>
      </c>
      <c r="F591">
        <v>2.2366960000000002E-2</v>
      </c>
      <c r="G591">
        <v>2.550382E-2</v>
      </c>
    </row>
    <row r="592" spans="1:7">
      <c r="A592" t="s">
        <v>310</v>
      </c>
      <c r="B592">
        <v>-14990.125742439999</v>
      </c>
      <c r="C592">
        <v>-69825.712607950001</v>
      </c>
      <c r="D592">
        <v>73.654674740000004</v>
      </c>
      <c r="E592">
        <v>0.22374617999999999</v>
      </c>
      <c r="F592">
        <v>2.037427E-2</v>
      </c>
      <c r="G592">
        <v>2.4317410000000001E-2</v>
      </c>
    </row>
    <row r="593" spans="1:7">
      <c r="A593" t="s">
        <v>315</v>
      </c>
      <c r="B593">
        <v>-14989.846331029999</v>
      </c>
      <c r="C593">
        <v>-71714.464554549995</v>
      </c>
      <c r="D593">
        <v>73.694957509999995</v>
      </c>
      <c r="E593">
        <v>0.22418083</v>
      </c>
      <c r="F593">
        <v>1.8821999999999998E-2</v>
      </c>
      <c r="G593">
        <v>2.1513919999999999E-2</v>
      </c>
    </row>
    <row r="594" spans="1:7">
      <c r="A594" t="s">
        <v>314</v>
      </c>
      <c r="B594">
        <v>-14989.90365574</v>
      </c>
      <c r="C594">
        <v>-71444.463657209999</v>
      </c>
      <c r="D594">
        <v>73.706688850000006</v>
      </c>
      <c r="E594">
        <v>0.22339756999999999</v>
      </c>
      <c r="F594">
        <v>1.940455E-2</v>
      </c>
      <c r="G594">
        <v>2.1254800000000001E-2</v>
      </c>
    </row>
    <row r="595" spans="1:7">
      <c r="A595" t="s">
        <v>319</v>
      </c>
      <c r="B595">
        <v>-14989.62021024</v>
      </c>
      <c r="C595">
        <v>-73250.691081259996</v>
      </c>
      <c r="D595">
        <v>88.603016569999994</v>
      </c>
      <c r="E595">
        <v>0.22345551</v>
      </c>
      <c r="F595">
        <v>1.7321929999999999E-2</v>
      </c>
      <c r="G595">
        <v>1.940677E-2</v>
      </c>
    </row>
    <row r="596" spans="1:7">
      <c r="A596" t="s">
        <v>318</v>
      </c>
      <c r="B596">
        <v>-14989.58167213</v>
      </c>
      <c r="C596">
        <v>-73110.725311999995</v>
      </c>
      <c r="D596">
        <v>88.567671320000002</v>
      </c>
      <c r="E596">
        <v>0.22389781</v>
      </c>
      <c r="F596">
        <v>1.7251229999999999E-2</v>
      </c>
      <c r="G596">
        <v>1.9836349999999999E-2</v>
      </c>
    </row>
    <row r="597" spans="1:7">
      <c r="A597" t="s">
        <v>323</v>
      </c>
      <c r="B597">
        <v>-14989.41451235</v>
      </c>
      <c r="C597">
        <v>-74962.432526119999</v>
      </c>
      <c r="D597">
        <v>73.628476550000002</v>
      </c>
      <c r="E597">
        <v>0.22566442</v>
      </c>
      <c r="F597">
        <v>1.8794760000000001E-2</v>
      </c>
      <c r="G597">
        <v>2.039053E-2</v>
      </c>
    </row>
    <row r="598" spans="1:7">
      <c r="A598" t="s">
        <v>322</v>
      </c>
      <c r="B598">
        <v>-14989.45952642</v>
      </c>
      <c r="C598">
        <v>-74692.443446920006</v>
      </c>
      <c r="D598">
        <v>73.609575120000002</v>
      </c>
      <c r="E598">
        <v>0.22439091999999999</v>
      </c>
      <c r="F598">
        <v>1.8820750000000001E-2</v>
      </c>
      <c r="G598">
        <v>1.930026E-2</v>
      </c>
    </row>
    <row r="599" spans="1:7">
      <c r="A599" t="s">
        <v>327</v>
      </c>
      <c r="B599">
        <v>-14989.29153024</v>
      </c>
      <c r="C599">
        <v>-76583.717461730004</v>
      </c>
      <c r="D599">
        <v>73.880005310000001</v>
      </c>
      <c r="E599">
        <v>0.22765094</v>
      </c>
      <c r="F599">
        <v>2.788007E-2</v>
      </c>
      <c r="G599">
        <v>3.540956E-2</v>
      </c>
    </row>
    <row r="600" spans="1:7">
      <c r="A600" t="s">
        <v>326</v>
      </c>
      <c r="B600">
        <v>-14989.22410508</v>
      </c>
      <c r="C600">
        <v>-76313.616838360002</v>
      </c>
      <c r="D600">
        <v>73.832405039999998</v>
      </c>
      <c r="E600">
        <v>0.23315404000000001</v>
      </c>
      <c r="F600">
        <v>3.9377549999999997E-2</v>
      </c>
      <c r="G600">
        <v>6.7871719999999996E-2</v>
      </c>
    </row>
    <row r="601" spans="1:7">
      <c r="A601" t="s">
        <v>332</v>
      </c>
      <c r="B601">
        <v>-14989.034238620001</v>
      </c>
      <c r="C601">
        <v>-78380.180209960003</v>
      </c>
      <c r="D601">
        <v>88.590362060000004</v>
      </c>
      <c r="E601">
        <v>0.22933891000000001</v>
      </c>
      <c r="F601">
        <v>2.357016E-2</v>
      </c>
      <c r="G601">
        <v>2.6615070000000001E-2</v>
      </c>
    </row>
    <row r="602" spans="1:7">
      <c r="A602" t="s">
        <v>331</v>
      </c>
      <c r="B602">
        <v>-14989.020690519999</v>
      </c>
      <c r="C602">
        <v>-78240.212902090003</v>
      </c>
      <c r="D602">
        <v>88.593286309999996</v>
      </c>
      <c r="E602">
        <v>0.22694890000000001</v>
      </c>
      <c r="F602">
        <v>2.477598E-2</v>
      </c>
      <c r="G602">
        <v>2.796649E-2</v>
      </c>
    </row>
    <row r="603" spans="1:7">
      <c r="A603" t="s">
        <v>356</v>
      </c>
      <c r="B603">
        <v>-14987.44608195</v>
      </c>
      <c r="C603">
        <v>-88279.85296068</v>
      </c>
      <c r="D603">
        <v>-61.978190509999997</v>
      </c>
      <c r="E603">
        <v>0.23363170999999999</v>
      </c>
      <c r="F603">
        <v>2.3571020000000002E-2</v>
      </c>
      <c r="G603">
        <v>2.5109260000000001E-2</v>
      </c>
    </row>
    <row r="604" spans="1:7">
      <c r="A604" t="s">
        <v>337</v>
      </c>
      <c r="B604">
        <v>-14988.982608849999</v>
      </c>
      <c r="C604">
        <v>-80323.530384760001</v>
      </c>
      <c r="D604">
        <v>73.476444279999996</v>
      </c>
      <c r="E604">
        <v>0.22778518</v>
      </c>
      <c r="F604">
        <v>1.973306E-2</v>
      </c>
      <c r="G604">
        <v>2.0469589999999999E-2</v>
      </c>
    </row>
    <row r="605" spans="1:7">
      <c r="A605" t="s">
        <v>336</v>
      </c>
      <c r="B605">
        <v>-14989.04140018</v>
      </c>
      <c r="C605">
        <v>-80053.558102469993</v>
      </c>
      <c r="D605">
        <v>73.548375379999996</v>
      </c>
      <c r="E605">
        <v>0.22782627</v>
      </c>
      <c r="F605">
        <v>1.9706419999999999E-2</v>
      </c>
      <c r="G605">
        <v>2.1671369999999999E-2</v>
      </c>
    </row>
    <row r="606" spans="1:7">
      <c r="A606" t="s">
        <v>341</v>
      </c>
      <c r="B606">
        <v>-14988.61442476</v>
      </c>
      <c r="C606">
        <v>-81901.661415060007</v>
      </c>
      <c r="D606">
        <v>73.401459119999998</v>
      </c>
      <c r="E606">
        <v>0.22925638000000001</v>
      </c>
      <c r="F606">
        <v>1.7295169999999999E-2</v>
      </c>
      <c r="G606">
        <v>1.7971259999999999E-2</v>
      </c>
    </row>
    <row r="607" spans="1:7">
      <c r="A607" t="s">
        <v>340</v>
      </c>
      <c r="B607">
        <v>-14988.656785339999</v>
      </c>
      <c r="C607">
        <v>-81631.667574189996</v>
      </c>
      <c r="D607">
        <v>73.433386380000002</v>
      </c>
      <c r="E607">
        <v>0.22827045000000001</v>
      </c>
      <c r="F607">
        <v>1.836952E-2</v>
      </c>
      <c r="G607">
        <v>1.9207249999999999E-2</v>
      </c>
    </row>
    <row r="608" spans="1:7">
      <c r="A608" t="s">
        <v>345</v>
      </c>
      <c r="B608">
        <v>-14988.391755619999</v>
      </c>
      <c r="C608">
        <v>-83456.324855960003</v>
      </c>
      <c r="D608">
        <v>88.309880550000003</v>
      </c>
      <c r="E608">
        <v>0.23155352000000001</v>
      </c>
      <c r="F608">
        <v>1.7760209999999998E-2</v>
      </c>
      <c r="G608">
        <v>1.9116520000000001E-2</v>
      </c>
    </row>
    <row r="609" spans="1:7">
      <c r="A609" t="s">
        <v>344</v>
      </c>
      <c r="B609">
        <v>-14988.364592829999</v>
      </c>
      <c r="C609">
        <v>-83316.327694730004</v>
      </c>
      <c r="D609">
        <v>88.199786590000002</v>
      </c>
      <c r="E609">
        <v>0.23038003000000001</v>
      </c>
      <c r="F609">
        <v>1.8294350000000001E-2</v>
      </c>
      <c r="G609">
        <v>1.8318620000000001E-2</v>
      </c>
    </row>
    <row r="610" spans="1:7">
      <c r="A610" t="s">
        <v>349</v>
      </c>
      <c r="B610">
        <v>-14988.062704149999</v>
      </c>
      <c r="C610">
        <v>-85178.555627580005</v>
      </c>
      <c r="D610">
        <v>73.237436549999998</v>
      </c>
      <c r="E610">
        <v>0.23058998999999999</v>
      </c>
      <c r="F610">
        <v>1.9205739999999999E-2</v>
      </c>
      <c r="G610">
        <v>2.205329E-2</v>
      </c>
    </row>
    <row r="611" spans="1:7">
      <c r="A611" t="s">
        <v>348</v>
      </c>
      <c r="B611">
        <v>-14988.11121483</v>
      </c>
      <c r="C611">
        <v>-84908.515789040001</v>
      </c>
      <c r="D611">
        <v>73.324547109999997</v>
      </c>
      <c r="E611">
        <v>0.23213993999999999</v>
      </c>
      <c r="F611">
        <v>1.9847779999999999E-2</v>
      </c>
      <c r="G611">
        <v>2.0988590000000001E-2</v>
      </c>
    </row>
    <row r="612" spans="1:7">
      <c r="A612" t="s">
        <v>353</v>
      </c>
      <c r="B612">
        <v>-14987.81439093</v>
      </c>
      <c r="C612">
        <v>-86756.558707560005</v>
      </c>
      <c r="D612">
        <v>73.219689959999997</v>
      </c>
      <c r="E612">
        <v>0.23073451</v>
      </c>
      <c r="F612">
        <v>2.1215979999999999E-2</v>
      </c>
      <c r="G612">
        <v>2.307934E-2</v>
      </c>
    </row>
    <row r="613" spans="1:7">
      <c r="A613" t="s">
        <v>352</v>
      </c>
      <c r="B613">
        <v>-14987.881072550001</v>
      </c>
      <c r="C613">
        <v>-86486.571892670006</v>
      </c>
      <c r="D613">
        <v>73.214894299999997</v>
      </c>
      <c r="E613">
        <v>0.23167832999999999</v>
      </c>
      <c r="F613">
        <v>2.1450810000000001E-2</v>
      </c>
      <c r="G613">
        <v>2.457672E-2</v>
      </c>
    </row>
    <row r="614" spans="1:7">
      <c r="A614" t="s">
        <v>360</v>
      </c>
      <c r="B614">
        <v>-14986.94623333</v>
      </c>
      <c r="C614">
        <v>-91469.77755888</v>
      </c>
      <c r="D614">
        <v>-21.491525589999998</v>
      </c>
      <c r="E614">
        <v>0.23522359000000001</v>
      </c>
      <c r="F614">
        <v>2.1282880000000001E-2</v>
      </c>
      <c r="G614">
        <v>2.084418E-2</v>
      </c>
    </row>
    <row r="615" spans="1:7">
      <c r="A615" t="s">
        <v>364</v>
      </c>
      <c r="B615">
        <v>-14986.799121960001</v>
      </c>
      <c r="C615">
        <v>-94488.190642970003</v>
      </c>
      <c r="D615">
        <v>-21.559091670000001</v>
      </c>
      <c r="E615">
        <v>0.23517516999999999</v>
      </c>
      <c r="F615">
        <v>1.7964239999999999E-2</v>
      </c>
      <c r="G615">
        <v>1.7120400000000001E-2</v>
      </c>
    </row>
    <row r="616" spans="1:7">
      <c r="A616" t="s">
        <v>366</v>
      </c>
      <c r="B616">
        <v>-14986.472327359999</v>
      </c>
      <c r="C616">
        <v>-97586.988655740002</v>
      </c>
      <c r="D616">
        <v>-21.308569890000001</v>
      </c>
      <c r="E616">
        <v>0.23939912999999999</v>
      </c>
      <c r="F616">
        <v>2.1210969999999999E-2</v>
      </c>
      <c r="G616">
        <v>2.1225549999999999E-2</v>
      </c>
    </row>
    <row r="617" spans="1:7">
      <c r="A617" t="s">
        <v>368</v>
      </c>
      <c r="B617">
        <v>-14985.968113090001</v>
      </c>
      <c r="C617">
        <v>-100594.05279310999</v>
      </c>
      <c r="D617">
        <v>-21.290308570000001</v>
      </c>
      <c r="E617">
        <v>0.24104494000000001</v>
      </c>
      <c r="F617">
        <v>2.158728E-2</v>
      </c>
      <c r="G617">
        <v>2.698391E-2</v>
      </c>
    </row>
    <row r="618" spans="1:7">
      <c r="A618" t="s">
        <v>370</v>
      </c>
      <c r="B618">
        <v>-14985.62582164</v>
      </c>
      <c r="C618">
        <v>-103715.89711691999</v>
      </c>
      <c r="D618">
        <v>-21.701169</v>
      </c>
      <c r="E618">
        <v>0.24158408000000001</v>
      </c>
      <c r="F618">
        <v>2.1443790000000001E-2</v>
      </c>
      <c r="G618">
        <v>2.1690210000000001E-2</v>
      </c>
    </row>
    <row r="619" spans="1:7">
      <c r="A619" t="s">
        <v>374</v>
      </c>
      <c r="B619">
        <v>-14984.76536524</v>
      </c>
      <c r="C619">
        <v>-106730.21693079</v>
      </c>
      <c r="D619">
        <v>-21.79166343</v>
      </c>
      <c r="E619">
        <v>0.24196330999999999</v>
      </c>
      <c r="F619">
        <v>1.8613749999999998E-2</v>
      </c>
      <c r="G619">
        <v>1.8480509999999999E-2</v>
      </c>
    </row>
    <row r="620" spans="1:7">
      <c r="A620" t="s">
        <v>376</v>
      </c>
      <c r="B620">
        <v>-14984.750599520001</v>
      </c>
      <c r="C620">
        <v>-109822.90604009001</v>
      </c>
      <c r="D620">
        <v>-21.815586</v>
      </c>
      <c r="E620">
        <v>0.24414406999999999</v>
      </c>
      <c r="F620">
        <v>2.0929570000000002E-2</v>
      </c>
      <c r="G620">
        <v>2.0803539999999999E-2</v>
      </c>
    </row>
    <row r="621" spans="1:7">
      <c r="A621" t="s">
        <v>378</v>
      </c>
      <c r="B621">
        <v>-14983.920402649999</v>
      </c>
      <c r="C621">
        <v>-112927.39188804</v>
      </c>
      <c r="D621">
        <v>-22.106117179999998</v>
      </c>
      <c r="E621">
        <v>0.24659998</v>
      </c>
      <c r="F621">
        <v>2.2237670000000001E-2</v>
      </c>
      <c r="G621">
        <v>2.2675359999999999E-2</v>
      </c>
    </row>
    <row r="622" spans="1:7">
      <c r="A622" t="s">
        <v>385</v>
      </c>
      <c r="B622">
        <v>-14983.47131268</v>
      </c>
      <c r="C622">
        <v>-123436.04044821</v>
      </c>
      <c r="D622">
        <v>-62.811843379999999</v>
      </c>
      <c r="E622">
        <v>0.24867784000000001</v>
      </c>
      <c r="F622">
        <v>2.2494170000000001E-2</v>
      </c>
      <c r="G622">
        <v>2.6219679999999999E-2</v>
      </c>
    </row>
    <row r="623" spans="1:7">
      <c r="A623" t="s">
        <v>386</v>
      </c>
      <c r="B623">
        <v>-14982.685176950001</v>
      </c>
      <c r="C623">
        <v>-128994.88918835</v>
      </c>
      <c r="D623">
        <v>-63.010237580000002</v>
      </c>
      <c r="E623">
        <v>0.25053114999999998</v>
      </c>
      <c r="F623">
        <v>1.9214410000000001E-2</v>
      </c>
      <c r="G623">
        <v>1.9327489999999999E-2</v>
      </c>
    </row>
    <row r="624" spans="1:7">
      <c r="A624" t="s">
        <v>390</v>
      </c>
      <c r="B624">
        <v>-14981.885726140001</v>
      </c>
      <c r="C624">
        <v>-134349.48830701999</v>
      </c>
      <c r="D624">
        <v>-63.42195109</v>
      </c>
      <c r="E624">
        <v>0.25475548999999997</v>
      </c>
      <c r="F624">
        <v>2.9024899999999999E-2</v>
      </c>
      <c r="G624">
        <v>3.430718E-2</v>
      </c>
    </row>
    <row r="625" spans="1:7">
      <c r="A625" t="s">
        <v>14</v>
      </c>
      <c r="B625">
        <v>0.23246254999999999</v>
      </c>
      <c r="C625">
        <v>9406.5217851199995</v>
      </c>
      <c r="D625">
        <v>-68.911475699999997</v>
      </c>
      <c r="E625">
        <v>0.13260068</v>
      </c>
      <c r="F625">
        <v>5.1214469999999998E-2</v>
      </c>
      <c r="G625">
        <v>2.3373580000000001E-2</v>
      </c>
    </row>
    <row r="626" spans="1:7">
      <c r="A626" t="s">
        <v>12</v>
      </c>
      <c r="B626">
        <v>0.19708763000000001</v>
      </c>
      <c r="C626">
        <v>9025.9357746299993</v>
      </c>
      <c r="D626">
        <v>-68.903687039999994</v>
      </c>
      <c r="E626">
        <v>0.13411607</v>
      </c>
      <c r="F626">
        <v>5.2368110000000002E-2</v>
      </c>
      <c r="G626">
        <v>2.449987E-2</v>
      </c>
    </row>
    <row r="627" spans="1:7">
      <c r="A627" t="s">
        <v>17</v>
      </c>
      <c r="B627">
        <v>0.20680643000000001</v>
      </c>
      <c r="C627">
        <v>12415.384242390001</v>
      </c>
      <c r="D627">
        <v>-69.099158610000003</v>
      </c>
      <c r="E627">
        <v>0.12452273</v>
      </c>
      <c r="F627">
        <v>5.2692950000000002E-2</v>
      </c>
      <c r="G627">
        <v>2.5305979999999999E-2</v>
      </c>
    </row>
    <row r="628" spans="1:7">
      <c r="A628" t="s">
        <v>15</v>
      </c>
      <c r="B628">
        <v>0.19383022999999999</v>
      </c>
      <c r="C628">
        <v>11834.692159620001</v>
      </c>
      <c r="D628">
        <v>-68.939170469999993</v>
      </c>
      <c r="E628">
        <v>0.12630127999999999</v>
      </c>
      <c r="F628">
        <v>5.1570820000000003E-2</v>
      </c>
      <c r="G628">
        <v>2.570391E-2</v>
      </c>
    </row>
    <row r="629" spans="1:7">
      <c r="A629" t="s">
        <v>20</v>
      </c>
      <c r="B629">
        <v>9.4807169999999996E-2</v>
      </c>
      <c r="C629">
        <v>17847.39626636</v>
      </c>
      <c r="D629">
        <v>-68.579216009999996</v>
      </c>
      <c r="E629">
        <v>0.11126042</v>
      </c>
      <c r="F629">
        <v>5.1363470000000001E-2</v>
      </c>
      <c r="G629">
        <v>1.543394E-2</v>
      </c>
    </row>
    <row r="630" spans="1:7">
      <c r="A630" t="s">
        <v>18</v>
      </c>
      <c r="B630">
        <v>0.15065459</v>
      </c>
      <c r="C630">
        <v>17266.967037539998</v>
      </c>
      <c r="D630">
        <v>-68.622545410000001</v>
      </c>
      <c r="E630">
        <v>0.11229578</v>
      </c>
      <c r="F630">
        <v>4.9958089999999997E-2</v>
      </c>
      <c r="G630">
        <v>1.502802E-2</v>
      </c>
    </row>
    <row r="631" spans="1:7">
      <c r="A631" t="s">
        <v>23</v>
      </c>
      <c r="B631">
        <v>7.4973869999999998E-2</v>
      </c>
      <c r="C631">
        <v>23015.17553017</v>
      </c>
      <c r="D631">
        <v>-68.311358920000004</v>
      </c>
      <c r="E631">
        <v>0.10214627</v>
      </c>
      <c r="F631">
        <v>5.1041910000000003E-2</v>
      </c>
      <c r="G631">
        <v>2.1702490000000001E-2</v>
      </c>
    </row>
    <row r="632" spans="1:7">
      <c r="A632" t="s">
        <v>21</v>
      </c>
      <c r="B632">
        <v>2.4318579999999999E-2</v>
      </c>
      <c r="C632">
        <v>22434.80640646</v>
      </c>
      <c r="D632">
        <v>-68.315038459999997</v>
      </c>
      <c r="E632">
        <v>0.10215599</v>
      </c>
      <c r="F632">
        <v>5.2209690000000003E-2</v>
      </c>
      <c r="G632">
        <v>2.1358599999999998E-2</v>
      </c>
    </row>
    <row r="633" spans="1:7">
      <c r="A633" t="s">
        <v>26</v>
      </c>
      <c r="B633">
        <v>4.59867E-3</v>
      </c>
      <c r="C633">
        <v>28347.555139060001</v>
      </c>
      <c r="D633">
        <v>-67.994992909999993</v>
      </c>
      <c r="E633">
        <v>9.2120450000000006E-2</v>
      </c>
      <c r="F633">
        <v>5.0684199999999999E-2</v>
      </c>
      <c r="G633">
        <v>1.727952E-2</v>
      </c>
    </row>
    <row r="634" spans="1:7">
      <c r="A634" t="s">
        <v>24</v>
      </c>
      <c r="B634">
        <v>0.2283462</v>
      </c>
      <c r="C634">
        <v>27767.164701000002</v>
      </c>
      <c r="D634">
        <v>-67.964009239999996</v>
      </c>
      <c r="E634">
        <v>9.4654970000000005E-2</v>
      </c>
      <c r="F634">
        <v>4.9841730000000001E-2</v>
      </c>
      <c r="G634">
        <v>1.7092220000000002E-2</v>
      </c>
    </row>
    <row r="635" spans="1:7">
      <c r="A635" t="s">
        <v>29</v>
      </c>
      <c r="B635">
        <v>-0.11211541999999999</v>
      </c>
      <c r="C635">
        <v>33747.157703650002</v>
      </c>
      <c r="D635">
        <v>-67.699157799999995</v>
      </c>
      <c r="E635">
        <v>9.0554529999999994E-2</v>
      </c>
      <c r="F635">
        <v>5.3283799999999999E-2</v>
      </c>
      <c r="G635">
        <v>2.6771389999999999E-2</v>
      </c>
    </row>
    <row r="636" spans="1:7">
      <c r="A636" t="s">
        <v>27</v>
      </c>
      <c r="B636">
        <v>0.15078837</v>
      </c>
      <c r="C636">
        <v>33166.429717949999</v>
      </c>
      <c r="D636">
        <v>-67.670726650000006</v>
      </c>
      <c r="E636">
        <v>9.1246099999999997E-2</v>
      </c>
      <c r="F636">
        <v>5.1737289999999998E-2</v>
      </c>
      <c r="G636">
        <v>2.5392729999999999E-2</v>
      </c>
    </row>
    <row r="637" spans="1:7">
      <c r="A637" t="s">
        <v>1851</v>
      </c>
      <c r="B637">
        <v>-3730.28431787</v>
      </c>
      <c r="C637">
        <v>-10283.505496260001</v>
      </c>
      <c r="D637">
        <v>639.19813651000004</v>
      </c>
      <c r="E637">
        <v>0</v>
      </c>
      <c r="F637">
        <v>0</v>
      </c>
      <c r="G637">
        <v>0</v>
      </c>
    </row>
    <row r="638" spans="1:7">
      <c r="A638" t="s">
        <v>488</v>
      </c>
      <c r="B638">
        <v>0.13157398000000001</v>
      </c>
      <c r="C638">
        <v>-9446.1113258400001</v>
      </c>
      <c r="D638">
        <v>639.28427147000002</v>
      </c>
      <c r="E638">
        <v>0.20167705</v>
      </c>
      <c r="F638">
        <v>5.5315999999999997E-2</v>
      </c>
      <c r="G638">
        <v>4.1438299999999997E-2</v>
      </c>
    </row>
    <row r="639" spans="1:7">
      <c r="A639" t="s">
        <v>490</v>
      </c>
      <c r="B639">
        <v>7.1030860000000001E-2</v>
      </c>
      <c r="C639">
        <v>-6954.47977111</v>
      </c>
      <c r="D639">
        <v>639.63318986000002</v>
      </c>
      <c r="E639">
        <v>0.18884829</v>
      </c>
      <c r="F639">
        <v>5.1292560000000001E-2</v>
      </c>
      <c r="G639">
        <v>3.2999769999999998E-2</v>
      </c>
    </row>
    <row r="640" spans="1:7">
      <c r="A640" t="s">
        <v>492</v>
      </c>
      <c r="B640">
        <v>0.17619547999999999</v>
      </c>
      <c r="C640">
        <v>-6594.7748824500004</v>
      </c>
      <c r="D640">
        <v>639.72272198999997</v>
      </c>
      <c r="E640">
        <v>0.18837254</v>
      </c>
      <c r="F640">
        <v>5.2657099999999998E-2</v>
      </c>
      <c r="G640">
        <v>3.0788739999999998E-2</v>
      </c>
    </row>
    <row r="641" spans="1:7">
      <c r="A641" t="s">
        <v>497</v>
      </c>
      <c r="B641">
        <v>1.09628E-3</v>
      </c>
      <c r="C641">
        <v>-4151.2545370799999</v>
      </c>
      <c r="D641">
        <v>679.78825875999996</v>
      </c>
      <c r="E641">
        <v>0.17749116000000001</v>
      </c>
      <c r="F641">
        <v>5.134615E-2</v>
      </c>
      <c r="G641">
        <v>2.6750300000000001E-2</v>
      </c>
    </row>
    <row r="642" spans="1:7">
      <c r="A642" t="s">
        <v>499</v>
      </c>
      <c r="B642">
        <v>5.7968859999999997E-2</v>
      </c>
      <c r="C642">
        <v>-3791.1189039999999</v>
      </c>
      <c r="D642">
        <v>679.79582382000001</v>
      </c>
      <c r="E642">
        <v>0.17622098999999999</v>
      </c>
      <c r="F642">
        <v>5.1863659999999999E-2</v>
      </c>
      <c r="G642">
        <v>2.627993E-2</v>
      </c>
    </row>
    <row r="643" spans="1:7">
      <c r="A643" t="s">
        <v>511</v>
      </c>
      <c r="B643">
        <v>50.029783899999998</v>
      </c>
      <c r="C643">
        <v>-2075.4134511100001</v>
      </c>
      <c r="D643">
        <v>441.06853453000002</v>
      </c>
      <c r="E643">
        <v>0.17287735000000001</v>
      </c>
      <c r="F643">
        <v>5.89224E-2</v>
      </c>
      <c r="G643">
        <v>4.714467E-2</v>
      </c>
    </row>
    <row r="644" spans="1:7">
      <c r="A644" t="s">
        <v>510</v>
      </c>
      <c r="B644">
        <v>-49.96099246</v>
      </c>
      <c r="C644">
        <v>-2166.76470427</v>
      </c>
      <c r="D644">
        <v>481.75849977000001</v>
      </c>
      <c r="E644">
        <v>0.17159944999999999</v>
      </c>
      <c r="F644">
        <v>5.0346099999999998E-2</v>
      </c>
      <c r="G644">
        <v>2.410112E-2</v>
      </c>
    </row>
    <row r="645" spans="1:7">
      <c r="A645" t="s">
        <v>515</v>
      </c>
      <c r="B645">
        <v>50.017331300000002</v>
      </c>
      <c r="C645">
        <v>-1253.24008972</v>
      </c>
      <c r="D645">
        <v>75.104908190000003</v>
      </c>
      <c r="E645">
        <v>0.17145724000000001</v>
      </c>
      <c r="F645">
        <v>5.5701779999999999E-2</v>
      </c>
      <c r="G645">
        <v>4.4544649999999998E-2</v>
      </c>
    </row>
    <row r="646" spans="1:7">
      <c r="A646" t="s">
        <v>514</v>
      </c>
      <c r="B646">
        <v>-49.978875909999999</v>
      </c>
      <c r="C646">
        <v>-1344.6442602699999</v>
      </c>
      <c r="D646">
        <v>115.78451368</v>
      </c>
      <c r="E646">
        <v>0.16838818999999999</v>
      </c>
      <c r="F646">
        <v>5.0967060000000002E-2</v>
      </c>
      <c r="G646">
        <v>2.6388160000000001E-2</v>
      </c>
    </row>
    <row r="647" spans="1:7">
      <c r="A647" t="s">
        <v>36</v>
      </c>
      <c r="B647">
        <v>-0.23345147999999999</v>
      </c>
      <c r="C647">
        <v>45935.791765759997</v>
      </c>
      <c r="D647">
        <v>-56.710713730000002</v>
      </c>
      <c r="E647">
        <v>9.5973279999999994E-2</v>
      </c>
      <c r="F647">
        <v>5.3566280000000001E-2</v>
      </c>
      <c r="G647">
        <v>4.0465180000000003E-2</v>
      </c>
    </row>
    <row r="648" spans="1:7">
      <c r="A648" t="s">
        <v>34</v>
      </c>
      <c r="B648">
        <v>-4.5835399999999997E-3</v>
      </c>
      <c r="C648">
        <v>45295.207628620003</v>
      </c>
      <c r="D648">
        <v>-56.757644890000002</v>
      </c>
      <c r="E648">
        <v>9.5046389999999994E-2</v>
      </c>
      <c r="F648">
        <v>5.3486400000000003E-2</v>
      </c>
      <c r="G648">
        <v>3.736101E-2</v>
      </c>
    </row>
    <row r="649" spans="1:7">
      <c r="A649" t="s">
        <v>39</v>
      </c>
      <c r="B649">
        <v>-4.8483489999999997E-2</v>
      </c>
      <c r="C649">
        <v>55443.198354239998</v>
      </c>
      <c r="D649">
        <v>-56.074643700000003</v>
      </c>
      <c r="E649">
        <v>0.1025667</v>
      </c>
      <c r="F649">
        <v>5.2603759999999999E-2</v>
      </c>
      <c r="G649">
        <v>3.4390919999999998E-2</v>
      </c>
    </row>
    <row r="650" spans="1:7">
      <c r="A650" t="s">
        <v>37</v>
      </c>
      <c r="B650">
        <v>-9.1149600000000001E-3</v>
      </c>
      <c r="C650">
        <v>54802.73389625</v>
      </c>
      <c r="D650">
        <v>-56.058859079999998</v>
      </c>
      <c r="E650">
        <v>0.10143972</v>
      </c>
      <c r="F650">
        <v>5.2551199999999999E-2</v>
      </c>
      <c r="G650">
        <v>3.2031820000000003E-2</v>
      </c>
    </row>
    <row r="651" spans="1:7">
      <c r="A651" t="s">
        <v>42</v>
      </c>
      <c r="B651">
        <v>0.37872167000000001</v>
      </c>
      <c r="C651">
        <v>65132.734476589998</v>
      </c>
      <c r="D651">
        <v>-54.854548260000001</v>
      </c>
      <c r="E651">
        <v>0.11715348</v>
      </c>
      <c r="F651">
        <v>5.2169599999999997E-2</v>
      </c>
      <c r="G651">
        <v>2.455506E-2</v>
      </c>
    </row>
    <row r="652" spans="1:7">
      <c r="A652" t="s">
        <v>40</v>
      </c>
      <c r="B652">
        <v>0.33503298999999997</v>
      </c>
      <c r="C652">
        <v>64492.274249790004</v>
      </c>
      <c r="D652">
        <v>-54.951702589999996</v>
      </c>
      <c r="E652">
        <v>0.11286177999999999</v>
      </c>
      <c r="F652">
        <v>5.3774530000000001E-2</v>
      </c>
      <c r="G652">
        <v>2.4234559999999999E-2</v>
      </c>
    </row>
    <row r="653" spans="1:7">
      <c r="A653" t="s">
        <v>45</v>
      </c>
      <c r="B653">
        <v>0.29205998999999999</v>
      </c>
      <c r="C653">
        <v>74729.81547704</v>
      </c>
      <c r="D653">
        <v>-54.407243100000002</v>
      </c>
      <c r="E653">
        <v>0.1356021</v>
      </c>
      <c r="F653">
        <v>5.4356120000000001E-2</v>
      </c>
      <c r="G653">
        <v>2.9093770000000001E-2</v>
      </c>
    </row>
    <row r="654" spans="1:7">
      <c r="A654" t="s">
        <v>43</v>
      </c>
      <c r="B654">
        <v>0.35247796999999997</v>
      </c>
      <c r="C654">
        <v>74089.288446699997</v>
      </c>
      <c r="D654">
        <v>-54.514472949999998</v>
      </c>
      <c r="E654">
        <v>0.13465028000000001</v>
      </c>
      <c r="F654">
        <v>5.4444939999999997E-2</v>
      </c>
      <c r="G654">
        <v>2.840496E-2</v>
      </c>
    </row>
    <row r="655" spans="1:7">
      <c r="A655" t="s">
        <v>48</v>
      </c>
      <c r="B655">
        <v>0.29477355</v>
      </c>
      <c r="C655">
        <v>84330.249507760003</v>
      </c>
      <c r="D655">
        <v>-53.604382129999998</v>
      </c>
      <c r="E655">
        <v>0.15962945000000001</v>
      </c>
      <c r="F655">
        <v>5.4119790000000001E-2</v>
      </c>
      <c r="G655">
        <v>3.1235410000000002E-2</v>
      </c>
    </row>
    <row r="656" spans="1:7">
      <c r="A656" t="s">
        <v>46</v>
      </c>
      <c r="B656">
        <v>0.18415382999999999</v>
      </c>
      <c r="C656">
        <v>83691.172942270001</v>
      </c>
      <c r="D656">
        <v>-53.53372083</v>
      </c>
      <c r="E656">
        <v>0.15832914000000001</v>
      </c>
      <c r="F656">
        <v>5.2348220000000001E-2</v>
      </c>
      <c r="G656">
        <v>3.124161E-2</v>
      </c>
    </row>
    <row r="657" spans="1:7">
      <c r="A657" t="s">
        <v>51</v>
      </c>
      <c r="B657">
        <v>-4.9138469999999997E-2</v>
      </c>
      <c r="C657">
        <v>93923.962216419997</v>
      </c>
      <c r="D657">
        <v>-53.224777639999999</v>
      </c>
      <c r="E657">
        <v>0.19032852</v>
      </c>
      <c r="F657">
        <v>5.5612460000000002E-2</v>
      </c>
      <c r="G657">
        <v>2.8622640000000001E-2</v>
      </c>
    </row>
    <row r="658" spans="1:7">
      <c r="A658" t="s">
        <v>49</v>
      </c>
      <c r="B658">
        <v>-5.512338E-2</v>
      </c>
      <c r="C658">
        <v>93284.145296600007</v>
      </c>
      <c r="D658">
        <v>-52.90161148</v>
      </c>
      <c r="E658">
        <v>0.18724474999999999</v>
      </c>
      <c r="F658">
        <v>5.3720509999999999E-2</v>
      </c>
      <c r="G658">
        <v>2.7556089999999998E-2</v>
      </c>
    </row>
    <row r="659" spans="1:7">
      <c r="A659" t="s">
        <v>54</v>
      </c>
      <c r="B659">
        <v>0</v>
      </c>
      <c r="C659">
        <v>103527.5338894</v>
      </c>
      <c r="D659">
        <v>-52.156565479999998</v>
      </c>
      <c r="E659">
        <v>0.22374163999999999</v>
      </c>
      <c r="F659">
        <v>5.54534E-2</v>
      </c>
      <c r="G659">
        <v>2.256085E-2</v>
      </c>
    </row>
    <row r="660" spans="1:7">
      <c r="A660" t="s">
        <v>52</v>
      </c>
      <c r="B660">
        <v>5.0715360000000001E-2</v>
      </c>
      <c r="C660">
        <v>102887.07651815</v>
      </c>
      <c r="D660">
        <v>-52.078541059999999</v>
      </c>
      <c r="E660">
        <v>0.220688</v>
      </c>
      <c r="F660">
        <v>5.5626979999999999E-2</v>
      </c>
      <c r="G660">
        <v>2.4204239999999998E-2</v>
      </c>
    </row>
    <row r="661" spans="1:7">
      <c r="A661" t="s">
        <v>116</v>
      </c>
      <c r="B661">
        <v>-15011.27235933</v>
      </c>
      <c r="C661">
        <v>98820.775070909993</v>
      </c>
      <c r="D661">
        <v>-12.70033572</v>
      </c>
      <c r="E661">
        <v>0.20105658000000001</v>
      </c>
      <c r="F661">
        <v>2.870967E-2</v>
      </c>
      <c r="G661">
        <v>2.5461540000000001E-2</v>
      </c>
    </row>
    <row r="662" spans="1:7">
      <c r="A662" t="s">
        <v>118</v>
      </c>
      <c r="B662">
        <v>-15010.04361305</v>
      </c>
      <c r="C662">
        <v>89307.440522300007</v>
      </c>
      <c r="D662">
        <v>-13.219225120000001</v>
      </c>
      <c r="E662">
        <v>0.16022906000000001</v>
      </c>
      <c r="F662">
        <v>2.946994E-2</v>
      </c>
      <c r="G662">
        <v>2.4124590000000001E-2</v>
      </c>
    </row>
    <row r="663" spans="1:7">
      <c r="A663" t="s">
        <v>120</v>
      </c>
      <c r="B663">
        <v>-15008.66407207</v>
      </c>
      <c r="C663">
        <v>79711.443236720006</v>
      </c>
      <c r="D663">
        <v>-13.937280449999999</v>
      </c>
      <c r="E663">
        <v>0.12518850000000001</v>
      </c>
      <c r="F663">
        <v>2.773919E-2</v>
      </c>
      <c r="G663">
        <v>2.4729399999999999E-2</v>
      </c>
    </row>
    <row r="664" spans="1:7">
      <c r="A664" t="s">
        <v>122</v>
      </c>
      <c r="B664">
        <v>-15007.17422526</v>
      </c>
      <c r="C664">
        <v>70111.078866740005</v>
      </c>
      <c r="D664">
        <v>-15.01068536</v>
      </c>
      <c r="E664">
        <v>9.6327800000000005E-2</v>
      </c>
      <c r="F664">
        <v>2.6209179999999999E-2</v>
      </c>
      <c r="G664">
        <v>2.6991939999999999E-2</v>
      </c>
    </row>
    <row r="665" spans="1:7">
      <c r="A665" t="s">
        <v>124</v>
      </c>
      <c r="B665">
        <v>-15005.52159841</v>
      </c>
      <c r="C665">
        <v>60504.77471007</v>
      </c>
      <c r="D665">
        <v>-15.522428489999999</v>
      </c>
      <c r="E665">
        <v>8.1867280000000001E-2</v>
      </c>
      <c r="F665">
        <v>2.4379060000000001E-2</v>
      </c>
      <c r="G665">
        <v>3.319925E-2</v>
      </c>
    </row>
    <row r="666" spans="1:7">
      <c r="A666" t="s">
        <v>126</v>
      </c>
      <c r="B666">
        <v>-15004.340985360001</v>
      </c>
      <c r="C666">
        <v>50824.799787069998</v>
      </c>
      <c r="D666">
        <v>-16.738717000000001</v>
      </c>
      <c r="E666">
        <v>9.7952659999999997E-2</v>
      </c>
      <c r="F666">
        <v>2.391706E-2</v>
      </c>
      <c r="G666">
        <v>3.3005779999999998E-2</v>
      </c>
    </row>
    <row r="667" spans="1:7">
      <c r="A667" t="s">
        <v>128</v>
      </c>
      <c r="B667">
        <v>-15002.95738046</v>
      </c>
      <c r="C667">
        <v>41216.381479559997</v>
      </c>
      <c r="D667">
        <v>-17.35111865</v>
      </c>
      <c r="E667">
        <v>0.13469633</v>
      </c>
      <c r="F667">
        <v>3.3920690000000003E-2</v>
      </c>
      <c r="G667">
        <v>5.5111880000000002E-2</v>
      </c>
    </row>
    <row r="668" spans="1:7">
      <c r="A668" t="s">
        <v>134</v>
      </c>
      <c r="B668">
        <v>-15001.118016349999</v>
      </c>
      <c r="C668">
        <v>27215.002524809999</v>
      </c>
      <c r="D668">
        <v>-18.116397989999999</v>
      </c>
      <c r="E668">
        <v>0.14088640999999999</v>
      </c>
      <c r="F668">
        <v>2.325868E-2</v>
      </c>
      <c r="G668">
        <v>2.5967870000000001E-2</v>
      </c>
    </row>
    <row r="669" spans="1:7">
      <c r="A669" t="s">
        <v>60</v>
      </c>
      <c r="B669">
        <v>0.92409834999999996</v>
      </c>
      <c r="C669">
        <v>113426.71869511</v>
      </c>
      <c r="D669">
        <v>44.034338949999999</v>
      </c>
      <c r="E669">
        <v>0.26047023000000002</v>
      </c>
      <c r="F669">
        <v>5.5255690000000003E-2</v>
      </c>
      <c r="G669">
        <v>2.7100349999999999E-2</v>
      </c>
    </row>
    <row r="670" spans="1:7">
      <c r="A670" t="s">
        <v>59</v>
      </c>
      <c r="B670">
        <v>0.87124137999999995</v>
      </c>
      <c r="C670">
        <v>113276.72522959999</v>
      </c>
      <c r="D670">
        <v>43.975382240000002</v>
      </c>
      <c r="E670">
        <v>0.26057388999999997</v>
      </c>
      <c r="F670">
        <v>5.5190059999999999E-2</v>
      </c>
      <c r="G670">
        <v>2.810342E-2</v>
      </c>
    </row>
    <row r="671" spans="1:7">
      <c r="A671" t="s">
        <v>68</v>
      </c>
      <c r="B671">
        <v>0.67919012999999995</v>
      </c>
      <c r="C671">
        <v>117085.42921061</v>
      </c>
      <c r="D671">
        <v>43.914670409999999</v>
      </c>
      <c r="E671">
        <v>0.27683858</v>
      </c>
      <c r="F671">
        <v>5.3769890000000001E-2</v>
      </c>
      <c r="G671">
        <v>2.9592360000000002E-2</v>
      </c>
    </row>
    <row r="672" spans="1:7">
      <c r="A672" t="s">
        <v>67</v>
      </c>
      <c r="B672">
        <v>0.62865618999999995</v>
      </c>
      <c r="C672">
        <v>116935.42556858</v>
      </c>
      <c r="D672">
        <v>43.94214539</v>
      </c>
      <c r="E672">
        <v>0.27447978000000001</v>
      </c>
      <c r="F672">
        <v>5.6471439999999998E-2</v>
      </c>
      <c r="G672">
        <v>2.8405610000000001E-2</v>
      </c>
    </row>
    <row r="673" spans="1:7">
      <c r="A673" t="s">
        <v>75</v>
      </c>
      <c r="B673">
        <v>-3642.1162585000002</v>
      </c>
      <c r="C673">
        <v>123041.1955126</v>
      </c>
      <c r="D673">
        <v>44.169203520000003</v>
      </c>
      <c r="E673">
        <v>0.30050436000000003</v>
      </c>
      <c r="F673">
        <v>4.3122239999999999E-2</v>
      </c>
      <c r="G673">
        <v>2.6522839999999999E-2</v>
      </c>
    </row>
    <row r="674" spans="1:7">
      <c r="A674" t="s">
        <v>74</v>
      </c>
      <c r="B674">
        <v>-3512.2258043400002</v>
      </c>
      <c r="C674">
        <v>122966.17995529</v>
      </c>
      <c r="D674">
        <v>44.206006950000003</v>
      </c>
      <c r="E674">
        <v>0.30012348999999999</v>
      </c>
      <c r="F674">
        <v>4.3994310000000002E-2</v>
      </c>
      <c r="G674">
        <v>2.5840780000000001E-2</v>
      </c>
    </row>
    <row r="675" spans="1:7">
      <c r="A675" t="s">
        <v>91</v>
      </c>
      <c r="B675">
        <v>-11500.46972693</v>
      </c>
      <c r="C675">
        <v>122965.78334367</v>
      </c>
      <c r="D675">
        <v>44.156463330000001</v>
      </c>
      <c r="E675">
        <v>0.29856739999999998</v>
      </c>
      <c r="F675">
        <v>2.9925779999999999E-2</v>
      </c>
      <c r="G675">
        <v>2.663403E-2</v>
      </c>
    </row>
    <row r="676" spans="1:7">
      <c r="A676" t="s">
        <v>90</v>
      </c>
      <c r="B676">
        <v>-11370.578237670001</v>
      </c>
      <c r="C676">
        <v>123040.80226425</v>
      </c>
      <c r="D676">
        <v>44.172845240000001</v>
      </c>
      <c r="E676">
        <v>0.29688110000000001</v>
      </c>
      <c r="F676">
        <v>2.7724430000000001E-2</v>
      </c>
      <c r="G676">
        <v>2.5896329999999999E-2</v>
      </c>
    </row>
    <row r="677" spans="1:7">
      <c r="A677" t="s">
        <v>107</v>
      </c>
      <c r="B677">
        <v>-15012.88500461</v>
      </c>
      <c r="C677">
        <v>115998.2147599</v>
      </c>
      <c r="D677">
        <v>44.091930650000002</v>
      </c>
      <c r="E677">
        <v>0.27301811999999998</v>
      </c>
      <c r="F677">
        <v>2.7978090000000001E-2</v>
      </c>
      <c r="G677">
        <v>1.9916710000000001E-2</v>
      </c>
    </row>
    <row r="678" spans="1:7">
      <c r="A678" t="s">
        <v>106</v>
      </c>
      <c r="B678">
        <v>-15013.078972060001</v>
      </c>
      <c r="C678">
        <v>116148.21970454</v>
      </c>
      <c r="D678">
        <v>44.089320780000001</v>
      </c>
      <c r="E678">
        <v>0.27176213999999999</v>
      </c>
      <c r="F678">
        <v>2.933032E-2</v>
      </c>
      <c r="G678">
        <v>2.0992500000000001E-2</v>
      </c>
    </row>
    <row r="679" spans="1:7">
      <c r="A679" t="s">
        <v>111</v>
      </c>
      <c r="B679">
        <v>-15012.4626699</v>
      </c>
      <c r="C679">
        <v>111281.85024055</v>
      </c>
      <c r="D679">
        <v>43.521930099999999</v>
      </c>
      <c r="E679">
        <v>0.25348026000000001</v>
      </c>
      <c r="F679">
        <v>3.2341759999999997E-2</v>
      </c>
      <c r="G679">
        <v>4.4617099999999998E-3</v>
      </c>
    </row>
    <row r="680" spans="1:7">
      <c r="A680" t="s">
        <v>110</v>
      </c>
      <c r="B680">
        <v>-15012.49687089</v>
      </c>
      <c r="C680">
        <v>111431.83529199001</v>
      </c>
      <c r="D680">
        <v>43.546731450000003</v>
      </c>
      <c r="E680">
        <v>0.25473572999999999</v>
      </c>
      <c r="F680">
        <v>2.9409859999999999E-2</v>
      </c>
      <c r="G680">
        <v>2.403783E-2</v>
      </c>
    </row>
    <row r="681" spans="1:7">
      <c r="A681" t="s">
        <v>137</v>
      </c>
      <c r="B681">
        <v>-14999.73136811</v>
      </c>
      <c r="C681">
        <v>16850.281773530001</v>
      </c>
      <c r="D681">
        <v>-19.091956020000001</v>
      </c>
      <c r="E681">
        <v>0.14834499000000001</v>
      </c>
      <c r="F681">
        <v>2.024018E-2</v>
      </c>
      <c r="G681">
        <v>2.7034849999999999E-2</v>
      </c>
    </row>
    <row r="682" spans="1:7">
      <c r="A682" t="s">
        <v>139</v>
      </c>
      <c r="B682">
        <v>-14998.77276702</v>
      </c>
      <c r="C682">
        <v>7262.9501851000005</v>
      </c>
      <c r="D682">
        <v>-18.962468789999999</v>
      </c>
      <c r="E682">
        <v>0.15904911999999999</v>
      </c>
      <c r="F682">
        <v>2.290971E-2</v>
      </c>
      <c r="G682">
        <v>3.807427E-2</v>
      </c>
    </row>
    <row r="683" spans="1:7">
      <c r="A683" t="s">
        <v>145</v>
      </c>
      <c r="B683">
        <v>-14995.24566239</v>
      </c>
      <c r="C683">
        <v>-23993.86476108</v>
      </c>
      <c r="D683">
        <v>14.82101613</v>
      </c>
      <c r="E683">
        <v>0.19829089</v>
      </c>
      <c r="F683">
        <v>2.5311050000000002E-2</v>
      </c>
      <c r="G683">
        <v>4.3537000000000003E-3</v>
      </c>
    </row>
    <row r="684" spans="1:7">
      <c r="A684" t="s">
        <v>144</v>
      </c>
      <c r="B684">
        <v>-14995.218464539999</v>
      </c>
      <c r="C684">
        <v>-23853.901847180001</v>
      </c>
      <c r="D684">
        <v>14.84489016</v>
      </c>
      <c r="E684">
        <v>0.20801662000000001</v>
      </c>
      <c r="F684">
        <v>3.6636149999999999E-2</v>
      </c>
      <c r="G684">
        <v>5.4403609999999998E-2</v>
      </c>
    </row>
    <row r="685" spans="1:7">
      <c r="A685" t="s">
        <v>149</v>
      </c>
      <c r="B685">
        <v>-14995.224970789999</v>
      </c>
      <c r="C685">
        <v>-24673.230989650001</v>
      </c>
      <c r="D685">
        <v>14.79244246</v>
      </c>
      <c r="E685">
        <v>0.20146691</v>
      </c>
      <c r="F685">
        <v>2.5103049999999998E-2</v>
      </c>
      <c r="G685">
        <v>3.712969E-2</v>
      </c>
    </row>
    <row r="686" spans="1:7">
      <c r="A686" t="s">
        <v>148</v>
      </c>
      <c r="B686">
        <v>-14995.208892950001</v>
      </c>
      <c r="C686">
        <v>-24533.261625399999</v>
      </c>
      <c r="D686">
        <v>14.80181397</v>
      </c>
      <c r="E686">
        <v>0.20137848</v>
      </c>
      <c r="F686">
        <v>2.324963E-2</v>
      </c>
      <c r="G686">
        <v>3.4619709999999998E-2</v>
      </c>
    </row>
    <row r="687" spans="1:7">
      <c r="A687" t="s">
        <v>163</v>
      </c>
      <c r="B687">
        <v>-14994.98357599</v>
      </c>
      <c r="C687">
        <v>-27242.527896240001</v>
      </c>
      <c r="D687">
        <v>14.831538650000001</v>
      </c>
      <c r="E687">
        <v>0.2042823</v>
      </c>
      <c r="F687">
        <v>2.2776910000000001E-2</v>
      </c>
      <c r="G687">
        <v>3.5022089999999999E-2</v>
      </c>
    </row>
    <row r="688" spans="1:7">
      <c r="A688" t="s">
        <v>162</v>
      </c>
      <c r="B688">
        <v>-14994.96884197</v>
      </c>
      <c r="C688">
        <v>-27102.542032230001</v>
      </c>
      <c r="D688">
        <v>14.800955220000001</v>
      </c>
      <c r="E688">
        <v>0.20257117999999999</v>
      </c>
      <c r="F688">
        <v>2.5022579999999999E-2</v>
      </c>
      <c r="G688">
        <v>3.4349980000000002E-2</v>
      </c>
    </row>
    <row r="689" spans="1:7">
      <c r="A689" t="s">
        <v>167</v>
      </c>
      <c r="B689">
        <v>-14994.90975176</v>
      </c>
      <c r="C689">
        <v>-27922.576241589999</v>
      </c>
      <c r="D689">
        <v>14.846395599999999</v>
      </c>
      <c r="E689">
        <v>0.20211480000000001</v>
      </c>
      <c r="F689">
        <v>2.5081659999999999E-2</v>
      </c>
      <c r="G689">
        <v>3.640637E-2</v>
      </c>
    </row>
    <row r="690" spans="1:7">
      <c r="A690" t="s">
        <v>166</v>
      </c>
      <c r="B690">
        <v>-14994.896744199999</v>
      </c>
      <c r="C690">
        <v>-27782.601319130001</v>
      </c>
      <c r="D690">
        <v>14.82231659</v>
      </c>
      <c r="E690">
        <v>0.20557316</v>
      </c>
      <c r="F690">
        <v>2.3776120000000001E-2</v>
      </c>
      <c r="G690">
        <v>3.6101519999999998E-2</v>
      </c>
    </row>
    <row r="691" spans="1:7">
      <c r="A691" t="s">
        <v>173</v>
      </c>
      <c r="B691">
        <v>-14994.864910230001</v>
      </c>
      <c r="C691">
        <v>-29128.34273122</v>
      </c>
      <c r="D691">
        <v>14.84231188</v>
      </c>
      <c r="E691">
        <v>0.20575092</v>
      </c>
      <c r="F691">
        <v>2.502565E-2</v>
      </c>
      <c r="G691">
        <v>3.428821E-2</v>
      </c>
    </row>
    <row r="692" spans="1:7">
      <c r="A692" t="s">
        <v>172</v>
      </c>
      <c r="B692">
        <v>-14994.876363580001</v>
      </c>
      <c r="C692">
        <v>-28988.34876682</v>
      </c>
      <c r="D692">
        <v>14.7730827</v>
      </c>
      <c r="E692">
        <v>0.20509938999999999</v>
      </c>
      <c r="F692">
        <v>2.3750830000000001E-2</v>
      </c>
      <c r="G692">
        <v>3.5480900000000003E-2</v>
      </c>
    </row>
    <row r="693" spans="1:7">
      <c r="A693" t="s">
        <v>180</v>
      </c>
      <c r="B693">
        <v>-14994.429883860001</v>
      </c>
      <c r="C693">
        <v>-30579.940731070001</v>
      </c>
      <c r="D693">
        <v>75.024692819999999</v>
      </c>
      <c r="E693">
        <v>0.20379405</v>
      </c>
      <c r="F693">
        <v>2.343114E-2</v>
      </c>
      <c r="G693">
        <v>2.8871669999999999E-2</v>
      </c>
    </row>
    <row r="694" spans="1:7">
      <c r="A694" t="s">
        <v>179</v>
      </c>
      <c r="B694">
        <v>-14994.45348233</v>
      </c>
      <c r="C694">
        <v>-30309.944208149998</v>
      </c>
      <c r="D694">
        <v>74.939813709999996</v>
      </c>
      <c r="E694">
        <v>0.20413711000000001</v>
      </c>
      <c r="F694">
        <v>2.331039E-2</v>
      </c>
      <c r="G694">
        <v>2.8560080000000002E-2</v>
      </c>
    </row>
    <row r="695" spans="1:7">
      <c r="A695" t="s">
        <v>184</v>
      </c>
      <c r="B695">
        <v>-14994.29209228</v>
      </c>
      <c r="C695">
        <v>-31879.875575260001</v>
      </c>
      <c r="D695">
        <v>75.104129810000003</v>
      </c>
      <c r="E695">
        <v>0.20600958</v>
      </c>
      <c r="F695">
        <v>2.0657439999999999E-2</v>
      </c>
      <c r="G695">
        <v>2.4074760000000001E-2</v>
      </c>
    </row>
    <row r="696" spans="1:7">
      <c r="A696" t="s">
        <v>183</v>
      </c>
      <c r="B696">
        <v>-14994.199180670001</v>
      </c>
      <c r="C696">
        <v>-31609.92443472</v>
      </c>
      <c r="D696">
        <v>74.999098779999997</v>
      </c>
      <c r="E696">
        <v>0.20612185999999999</v>
      </c>
      <c r="F696">
        <v>2.08963E-2</v>
      </c>
      <c r="G696">
        <v>2.5836060000000001E-2</v>
      </c>
    </row>
    <row r="697" spans="1:7">
      <c r="A697" t="s">
        <v>190</v>
      </c>
      <c r="B697">
        <v>-14994.0357518</v>
      </c>
      <c r="C697">
        <v>-33177.877449569998</v>
      </c>
      <c r="D697">
        <v>75.122088790000006</v>
      </c>
      <c r="E697">
        <v>0.20580804</v>
      </c>
      <c r="F697">
        <v>1.9803089999999999E-2</v>
      </c>
      <c r="G697">
        <v>2.2713440000000001E-2</v>
      </c>
    </row>
    <row r="698" spans="1:7">
      <c r="A698" t="s">
        <v>189</v>
      </c>
      <c r="B698">
        <v>-14994.0411258</v>
      </c>
      <c r="C698">
        <v>-32907.903088999999</v>
      </c>
      <c r="D698">
        <v>75.07403214</v>
      </c>
      <c r="E698">
        <v>0.20513809</v>
      </c>
      <c r="F698">
        <v>2.0747850000000002E-2</v>
      </c>
      <c r="G698">
        <v>2.3342499999999999E-2</v>
      </c>
    </row>
    <row r="699" spans="1:7">
      <c r="A699" t="s">
        <v>194</v>
      </c>
      <c r="B699">
        <v>-14993.9373939</v>
      </c>
      <c r="C699">
        <v>-34477.961755329998</v>
      </c>
      <c r="D699">
        <v>75.088772809999995</v>
      </c>
      <c r="E699">
        <v>0.20595077000000001</v>
      </c>
      <c r="F699">
        <v>1.7902080000000001E-2</v>
      </c>
      <c r="G699">
        <v>2.0889149999999999E-2</v>
      </c>
    </row>
    <row r="700" spans="1:7">
      <c r="A700" t="s">
        <v>193</v>
      </c>
      <c r="B700">
        <v>-14994.00906801</v>
      </c>
      <c r="C700">
        <v>-34207.991673030003</v>
      </c>
      <c r="D700">
        <v>75.142602460000006</v>
      </c>
      <c r="E700">
        <v>0.20502777999999999</v>
      </c>
      <c r="F700">
        <v>1.7724489999999999E-2</v>
      </c>
      <c r="G700">
        <v>2.0821530000000001E-2</v>
      </c>
    </row>
    <row r="701" spans="1:7">
      <c r="A701" t="s">
        <v>201</v>
      </c>
      <c r="B701">
        <v>-14993.950845859999</v>
      </c>
      <c r="C701">
        <v>-35798.893092420003</v>
      </c>
      <c r="D701">
        <v>89.880372780000002</v>
      </c>
      <c r="E701">
        <v>0.20618829999999999</v>
      </c>
      <c r="F701">
        <v>1.8140420000000001E-2</v>
      </c>
      <c r="G701">
        <v>2.154184E-2</v>
      </c>
    </row>
    <row r="702" spans="1:7">
      <c r="A702" t="s">
        <v>200</v>
      </c>
      <c r="B702">
        <v>-14993.95398224</v>
      </c>
      <c r="C702">
        <v>-35658.952293980001</v>
      </c>
      <c r="D702">
        <v>89.85631352</v>
      </c>
      <c r="E702">
        <v>0.20565574</v>
      </c>
      <c r="F702">
        <v>1.8436580000000001E-2</v>
      </c>
      <c r="G702">
        <v>2.1945539999999999E-2</v>
      </c>
    </row>
    <row r="703" spans="1:7">
      <c r="A703" t="s">
        <v>206</v>
      </c>
      <c r="B703">
        <v>-14993.8221252</v>
      </c>
      <c r="C703">
        <v>-37134.49807999</v>
      </c>
      <c r="D703">
        <v>74.901830079999996</v>
      </c>
      <c r="E703">
        <v>0.20561102000000001</v>
      </c>
      <c r="F703">
        <v>1.950352E-2</v>
      </c>
      <c r="G703">
        <v>2.171381E-2</v>
      </c>
    </row>
    <row r="704" spans="1:7">
      <c r="A704" t="s">
        <v>205</v>
      </c>
      <c r="B704">
        <v>-14993.73137044</v>
      </c>
      <c r="C704">
        <v>-36864.502729400003</v>
      </c>
      <c r="D704">
        <v>74.864086950000001</v>
      </c>
      <c r="E704">
        <v>0.20604436000000001</v>
      </c>
      <c r="F704">
        <v>1.8983110000000001E-2</v>
      </c>
      <c r="G704">
        <v>2.2588250000000001E-2</v>
      </c>
    </row>
    <row r="705" spans="1:7">
      <c r="A705" t="s">
        <v>210</v>
      </c>
      <c r="B705">
        <v>-14993.699852170001</v>
      </c>
      <c r="C705">
        <v>-38368.568422730001</v>
      </c>
      <c r="D705">
        <v>89.721350659999999</v>
      </c>
      <c r="E705">
        <v>0.20833881000000001</v>
      </c>
      <c r="F705">
        <v>2.1077160000000001E-2</v>
      </c>
      <c r="G705">
        <v>2.4347750000000001E-2</v>
      </c>
    </row>
    <row r="706" spans="1:7">
      <c r="A706" t="s">
        <v>209</v>
      </c>
      <c r="B706">
        <v>-14993.702445090001</v>
      </c>
      <c r="C706">
        <v>-38228.606145930004</v>
      </c>
      <c r="D706">
        <v>89.771474889999993</v>
      </c>
      <c r="E706">
        <v>0.20744667999999999</v>
      </c>
      <c r="F706">
        <v>2.1744309999999999E-2</v>
      </c>
      <c r="G706">
        <v>2.4485880000000002E-2</v>
      </c>
    </row>
    <row r="707" spans="1:7">
      <c r="A707" t="s">
        <v>215</v>
      </c>
      <c r="B707">
        <v>-14993.52847682</v>
      </c>
      <c r="C707">
        <v>-39732.555014019999</v>
      </c>
      <c r="D707">
        <v>74.69313683</v>
      </c>
      <c r="E707">
        <v>0.20803751000000001</v>
      </c>
      <c r="F707">
        <v>2.298886E-2</v>
      </c>
      <c r="G707">
        <v>2.5903969999999998E-2</v>
      </c>
    </row>
    <row r="708" spans="1:7">
      <c r="A708" t="s">
        <v>214</v>
      </c>
      <c r="B708">
        <v>-14993.567963809999</v>
      </c>
      <c r="C708">
        <v>-39462.542580790003</v>
      </c>
      <c r="D708">
        <v>74.69402418</v>
      </c>
      <c r="E708">
        <v>0.20827782</v>
      </c>
      <c r="F708">
        <v>2.2654879999999999E-2</v>
      </c>
      <c r="G708">
        <v>2.7749889999999999E-2</v>
      </c>
    </row>
    <row r="709" spans="1:7">
      <c r="A709" t="s">
        <v>219</v>
      </c>
      <c r="B709">
        <v>-14993.48956527</v>
      </c>
      <c r="C709">
        <v>-41098.941951009998</v>
      </c>
      <c r="D709">
        <v>89.440256300000001</v>
      </c>
      <c r="E709">
        <v>0.20841148000000001</v>
      </c>
      <c r="F709">
        <v>2.264495E-2</v>
      </c>
      <c r="G709">
        <v>2.7334609999999999E-2</v>
      </c>
    </row>
    <row r="710" spans="1:7">
      <c r="A710" t="s">
        <v>218</v>
      </c>
      <c r="B710">
        <v>-14993.475433330001</v>
      </c>
      <c r="C710">
        <v>-40958.976055749998</v>
      </c>
      <c r="D710">
        <v>89.423969510000006</v>
      </c>
      <c r="E710">
        <v>0.21053279999999999</v>
      </c>
      <c r="F710">
        <v>2.238656E-2</v>
      </c>
      <c r="G710">
        <v>2.8268270000000002E-2</v>
      </c>
    </row>
    <row r="711" spans="1:7">
      <c r="A711" t="s">
        <v>223</v>
      </c>
      <c r="B711">
        <v>-14993.089466449999</v>
      </c>
      <c r="C711">
        <v>-42298.919541089999</v>
      </c>
      <c r="D711">
        <v>89.273130120000005</v>
      </c>
      <c r="E711">
        <v>0.20933908000000001</v>
      </c>
      <c r="F711">
        <v>2.4848080000000002E-2</v>
      </c>
      <c r="G711">
        <v>3.0692049999999998E-2</v>
      </c>
    </row>
    <row r="712" spans="1:7">
      <c r="A712" t="s">
        <v>222</v>
      </c>
      <c r="B712">
        <v>-14993.219478589999</v>
      </c>
      <c r="C712">
        <v>-42158.973807950002</v>
      </c>
      <c r="D712">
        <v>89.238981749999994</v>
      </c>
      <c r="E712">
        <v>0.21028688000000001</v>
      </c>
      <c r="F712">
        <v>2.2559409999999998E-2</v>
      </c>
      <c r="G712">
        <v>2.8984699999999999E-2</v>
      </c>
    </row>
    <row r="713" spans="1:7">
      <c r="A713" t="s">
        <v>227</v>
      </c>
      <c r="B713">
        <v>-14993.096416570001</v>
      </c>
      <c r="C713">
        <v>-43677.329232600001</v>
      </c>
      <c r="D713">
        <v>74.034430090000001</v>
      </c>
      <c r="E713">
        <v>0.20947094999999999</v>
      </c>
      <c r="F713">
        <v>2.226877E-2</v>
      </c>
      <c r="G713">
        <v>2.4530590000000001E-2</v>
      </c>
    </row>
    <row r="714" spans="1:7">
      <c r="A714" t="s">
        <v>226</v>
      </c>
      <c r="B714">
        <v>-14993.13115591</v>
      </c>
      <c r="C714">
        <v>-43407.343434269998</v>
      </c>
      <c r="D714">
        <v>74.004156269999996</v>
      </c>
      <c r="E714">
        <v>0.20885229</v>
      </c>
      <c r="F714">
        <v>2.106947E-2</v>
      </c>
      <c r="G714">
        <v>2.6515339999999998E-2</v>
      </c>
    </row>
    <row r="715" spans="1:7">
      <c r="A715" t="s">
        <v>231</v>
      </c>
      <c r="B715">
        <v>-14992.897064209999</v>
      </c>
      <c r="C715">
        <v>-44908.242392289998</v>
      </c>
      <c r="D715">
        <v>89.100214059999999</v>
      </c>
      <c r="E715">
        <v>0.21158378999999999</v>
      </c>
      <c r="F715">
        <v>2.1920909999999998E-2</v>
      </c>
      <c r="G715">
        <v>2.3911580000000002E-2</v>
      </c>
    </row>
    <row r="716" spans="1:7">
      <c r="A716" t="s">
        <v>230</v>
      </c>
      <c r="B716">
        <v>-14992.95769021</v>
      </c>
      <c r="C716">
        <v>-44768.27784871</v>
      </c>
      <c r="D716">
        <v>89.080071279999999</v>
      </c>
      <c r="E716">
        <v>0.20965226000000001</v>
      </c>
      <c r="F716">
        <v>2.0612060000000001E-2</v>
      </c>
      <c r="G716">
        <v>2.387732E-2</v>
      </c>
    </row>
    <row r="717" spans="1:7">
      <c r="A717" t="s">
        <v>235</v>
      </c>
      <c r="B717">
        <v>-14992.7112117</v>
      </c>
      <c r="C717">
        <v>-46270.3730345</v>
      </c>
      <c r="D717">
        <v>73.811937349999994</v>
      </c>
      <c r="E717">
        <v>0.20950150000000001</v>
      </c>
      <c r="F717">
        <v>1.8851920000000001E-2</v>
      </c>
      <c r="G717">
        <v>2.0030989999999999E-2</v>
      </c>
    </row>
    <row r="718" spans="1:7">
      <c r="A718" t="s">
        <v>234</v>
      </c>
      <c r="B718">
        <v>-14992.718519489999</v>
      </c>
      <c r="C718">
        <v>-46000.374302550001</v>
      </c>
      <c r="D718">
        <v>73.851552650000002</v>
      </c>
      <c r="E718">
        <v>0.20837347000000001</v>
      </c>
      <c r="F718">
        <v>1.9106850000000002E-2</v>
      </c>
      <c r="G718">
        <v>2.0728750000000001E-2</v>
      </c>
    </row>
    <row r="719" spans="1:7">
      <c r="A719" t="s">
        <v>239</v>
      </c>
      <c r="B719">
        <v>-14992.48596385</v>
      </c>
      <c r="C719">
        <v>-47485.372004659999</v>
      </c>
      <c r="D719">
        <v>88.645522679999999</v>
      </c>
      <c r="E719">
        <v>0.21091385000000001</v>
      </c>
      <c r="F719">
        <v>1.6895609999999998E-2</v>
      </c>
      <c r="G719">
        <v>1.8389450000000002E-2</v>
      </c>
    </row>
    <row r="720" spans="1:7">
      <c r="A720" t="s">
        <v>238</v>
      </c>
      <c r="B720">
        <v>-14992.434784229999</v>
      </c>
      <c r="C720">
        <v>-47345.403449420002</v>
      </c>
      <c r="D720">
        <v>88.677761840000002</v>
      </c>
      <c r="E720">
        <v>0.21026666999999999</v>
      </c>
      <c r="F720">
        <v>1.7759420000000001E-2</v>
      </c>
      <c r="G720">
        <v>1.8663510000000001E-2</v>
      </c>
    </row>
    <row r="721" spans="1:7">
      <c r="A721" t="s">
        <v>245</v>
      </c>
      <c r="B721">
        <v>-14992.46332529</v>
      </c>
      <c r="C721">
        <v>-48981.493240299998</v>
      </c>
      <c r="D721">
        <v>73.436137729999999</v>
      </c>
      <c r="E721">
        <v>0.21105910999999999</v>
      </c>
      <c r="F721">
        <v>1.8842769999999998E-2</v>
      </c>
      <c r="G721">
        <v>1.940006E-2</v>
      </c>
    </row>
    <row r="722" spans="1:7">
      <c r="A722" t="s">
        <v>244</v>
      </c>
      <c r="B722">
        <v>-14992.460304190001</v>
      </c>
      <c r="C722">
        <v>-48711.480662100003</v>
      </c>
      <c r="D722">
        <v>73.575330190000003</v>
      </c>
      <c r="E722">
        <v>0.21051711000000001</v>
      </c>
      <c r="F722">
        <v>1.8415290000000001E-2</v>
      </c>
      <c r="G722">
        <v>1.8971040000000002E-2</v>
      </c>
    </row>
    <row r="723" spans="1:7">
      <c r="A723" t="s">
        <v>249</v>
      </c>
      <c r="B723">
        <v>-14992.20159474</v>
      </c>
      <c r="C723">
        <v>-50181.661411449997</v>
      </c>
      <c r="D723">
        <v>73.423388250000002</v>
      </c>
      <c r="E723">
        <v>0.21171523</v>
      </c>
      <c r="F723">
        <v>2.1025410000000001E-2</v>
      </c>
      <c r="G723">
        <v>2.2571810000000001E-2</v>
      </c>
    </row>
    <row r="724" spans="1:7">
      <c r="A724" t="s">
        <v>248</v>
      </c>
      <c r="B724">
        <v>-14992.24092152</v>
      </c>
      <c r="C724">
        <v>-49911.668318010001</v>
      </c>
      <c r="D724">
        <v>73.453052979999995</v>
      </c>
      <c r="E724">
        <v>0.21166375000000001</v>
      </c>
      <c r="F724">
        <v>2.0232529999999999E-2</v>
      </c>
      <c r="G724">
        <v>2.114007E-2</v>
      </c>
    </row>
    <row r="725" spans="1:7">
      <c r="A725" t="s">
        <v>253</v>
      </c>
      <c r="B725">
        <v>-14992.0462229</v>
      </c>
      <c r="C725">
        <v>-51574.068883610002</v>
      </c>
      <c r="D725">
        <v>73.469108899999995</v>
      </c>
      <c r="E725">
        <v>0.21375511999999999</v>
      </c>
      <c r="F725">
        <v>2.185687E-2</v>
      </c>
      <c r="G725">
        <v>2.5916600000000001E-2</v>
      </c>
    </row>
    <row r="726" spans="1:7">
      <c r="A726" t="s">
        <v>252</v>
      </c>
      <c r="B726">
        <v>-14992.02697922</v>
      </c>
      <c r="C726">
        <v>-51304.082542960001</v>
      </c>
      <c r="D726">
        <v>73.581832779999999</v>
      </c>
      <c r="E726">
        <v>0.21051591</v>
      </c>
      <c r="F726">
        <v>2.0755119999999998E-2</v>
      </c>
      <c r="G726">
        <v>2.34843E-2</v>
      </c>
    </row>
    <row r="727" spans="1:7">
      <c r="A727" t="s">
        <v>257</v>
      </c>
      <c r="B727">
        <v>-14991.81162246</v>
      </c>
      <c r="C727">
        <v>-52773.916273100003</v>
      </c>
      <c r="D727">
        <v>73.264248910000006</v>
      </c>
      <c r="E727">
        <v>0.21319297000000001</v>
      </c>
      <c r="F727">
        <v>2.2066599999999999E-2</v>
      </c>
      <c r="G727">
        <v>2.685361E-2</v>
      </c>
    </row>
    <row r="728" spans="1:7">
      <c r="A728" t="s">
        <v>256</v>
      </c>
      <c r="B728">
        <v>-14991.78181079</v>
      </c>
      <c r="C728">
        <v>-52503.948397890003</v>
      </c>
      <c r="D728">
        <v>73.171878669999998</v>
      </c>
      <c r="E728">
        <v>0.21433869999999999</v>
      </c>
      <c r="F728">
        <v>2.1963690000000001E-2</v>
      </c>
      <c r="G728">
        <v>2.567523E-2</v>
      </c>
    </row>
    <row r="729" spans="1:7">
      <c r="A729" t="s">
        <v>261</v>
      </c>
      <c r="B729">
        <v>-14991.47141154</v>
      </c>
      <c r="C729">
        <v>-54108.201138470002</v>
      </c>
      <c r="D729">
        <v>87.736629050000005</v>
      </c>
      <c r="E729">
        <v>0.21403382000000001</v>
      </c>
      <c r="F729">
        <v>2.924183E-2</v>
      </c>
      <c r="G729">
        <v>4.2194170000000003E-2</v>
      </c>
    </row>
    <row r="730" spans="1:7">
      <c r="A730" t="s">
        <v>260</v>
      </c>
      <c r="B730">
        <v>-14991.46185003</v>
      </c>
      <c r="C730">
        <v>-53968.21272738</v>
      </c>
      <c r="D730">
        <v>87.745704279999998</v>
      </c>
      <c r="E730">
        <v>0.21532698</v>
      </c>
      <c r="F730">
        <v>3.115776E-2</v>
      </c>
      <c r="G730">
        <v>4.2856089999999999E-2</v>
      </c>
    </row>
    <row r="731" spans="1:7">
      <c r="A731" t="s">
        <v>265</v>
      </c>
      <c r="B731">
        <v>-14991.19299924</v>
      </c>
      <c r="C731">
        <v>-55308.11646094</v>
      </c>
      <c r="D731">
        <v>87.869808449999994</v>
      </c>
      <c r="E731">
        <v>0.21870429999999999</v>
      </c>
      <c r="F731">
        <v>2.921853E-2</v>
      </c>
      <c r="G731">
        <v>3.5935580000000002E-2</v>
      </c>
    </row>
    <row r="732" spans="1:7">
      <c r="A732" t="s">
        <v>264</v>
      </c>
      <c r="B732">
        <v>-14991.19415386</v>
      </c>
      <c r="C732">
        <v>-55168.191493389997</v>
      </c>
      <c r="D732">
        <v>87.845572720000007</v>
      </c>
      <c r="E732">
        <v>0.21576085</v>
      </c>
      <c r="F732">
        <v>2.9593000000000001E-2</v>
      </c>
      <c r="G732">
        <v>3.7545820000000001E-2</v>
      </c>
    </row>
    <row r="733" spans="1:7">
      <c r="A733" t="s">
        <v>271</v>
      </c>
      <c r="B733">
        <v>-14991.548937129999</v>
      </c>
      <c r="C733">
        <v>-57884.214654050003</v>
      </c>
      <c r="D733">
        <v>73.54708282</v>
      </c>
      <c r="E733">
        <v>0.21602763</v>
      </c>
      <c r="F733">
        <v>2.381293E-2</v>
      </c>
      <c r="G733">
        <v>2.4448790000000001E-2</v>
      </c>
    </row>
    <row r="734" spans="1:7">
      <c r="A734" t="s">
        <v>270</v>
      </c>
      <c r="B734">
        <v>-14991.507196570001</v>
      </c>
      <c r="C734">
        <v>-57614.23409926</v>
      </c>
      <c r="D734">
        <v>73.572429690000007</v>
      </c>
      <c r="E734">
        <v>0.22379402000000001</v>
      </c>
      <c r="F734">
        <v>3.4643060000000003E-2</v>
      </c>
      <c r="G734">
        <v>5.1608790000000002E-2</v>
      </c>
    </row>
    <row r="735" spans="1:7">
      <c r="A735" t="s">
        <v>275</v>
      </c>
      <c r="B735">
        <v>-14991.54803964</v>
      </c>
      <c r="C735">
        <v>-58996.453588949997</v>
      </c>
      <c r="D735">
        <v>88.596445369999998</v>
      </c>
      <c r="E735">
        <v>0.21543524</v>
      </c>
      <c r="F735">
        <v>2.0672490000000002E-2</v>
      </c>
      <c r="G735">
        <v>2.2377830000000001E-2</v>
      </c>
    </row>
    <row r="736" spans="1:7">
      <c r="A736" t="s">
        <v>274</v>
      </c>
      <c r="B736">
        <v>-14991.41263106</v>
      </c>
      <c r="C736">
        <v>-58856.351236299997</v>
      </c>
      <c r="D736">
        <v>88.554929819999998</v>
      </c>
      <c r="E736">
        <v>0.22276464000000001</v>
      </c>
      <c r="F736">
        <v>4.1652559999999998E-2</v>
      </c>
      <c r="G736">
        <v>6.3647200000000001E-2</v>
      </c>
    </row>
    <row r="737" spans="1:7">
      <c r="A737" t="s">
        <v>279</v>
      </c>
      <c r="B737">
        <v>-14991.30557305</v>
      </c>
      <c r="C737">
        <v>-60269.4073727</v>
      </c>
      <c r="D737">
        <v>73.691523320000002</v>
      </c>
      <c r="E737">
        <v>0.21647266000000001</v>
      </c>
      <c r="F737">
        <v>1.9378920000000001E-2</v>
      </c>
      <c r="G737">
        <v>1.9525629999999999E-2</v>
      </c>
    </row>
    <row r="738" spans="1:7">
      <c r="A738" t="s">
        <v>278</v>
      </c>
      <c r="B738">
        <v>-14991.38175878</v>
      </c>
      <c r="C738">
        <v>-59999.402633079997</v>
      </c>
      <c r="D738">
        <v>73.649032480000002</v>
      </c>
      <c r="E738">
        <v>0.21480631</v>
      </c>
      <c r="F738">
        <v>1.8930280000000001E-2</v>
      </c>
      <c r="G738">
        <v>1.9716839999999999E-2</v>
      </c>
    </row>
    <row r="739" spans="1:7">
      <c r="A739" t="s">
        <v>283</v>
      </c>
      <c r="B739">
        <v>-14991.37650851</v>
      </c>
      <c r="C739">
        <v>-61402.684883020003</v>
      </c>
      <c r="D739">
        <v>88.64798175</v>
      </c>
      <c r="E739">
        <v>0.21633440000000001</v>
      </c>
      <c r="F739">
        <v>1.8037879999999999E-2</v>
      </c>
      <c r="G739">
        <v>1.86763E-2</v>
      </c>
    </row>
    <row r="740" spans="1:7">
      <c r="A740" t="s">
        <v>282</v>
      </c>
      <c r="B740">
        <v>-14991.3447406</v>
      </c>
      <c r="C740">
        <v>-61262.717863129998</v>
      </c>
      <c r="D740">
        <v>88.657109579999997</v>
      </c>
      <c r="E740">
        <v>0.21539672000000001</v>
      </c>
      <c r="F740">
        <v>1.8360669999999999E-2</v>
      </c>
      <c r="G740">
        <v>1.8848799999999999E-2</v>
      </c>
    </row>
    <row r="741" spans="1:7">
      <c r="A741" t="s">
        <v>289</v>
      </c>
      <c r="B741">
        <v>-14991.429574440001</v>
      </c>
      <c r="C741">
        <v>-62873.517115089999</v>
      </c>
      <c r="D741">
        <v>73.771591000000001</v>
      </c>
      <c r="E741">
        <v>0.21828937000000001</v>
      </c>
      <c r="F741">
        <v>1.9546729999999998E-2</v>
      </c>
      <c r="G741">
        <v>1.913291E-2</v>
      </c>
    </row>
    <row r="742" spans="1:7">
      <c r="A742" t="s">
        <v>288</v>
      </c>
      <c r="B742">
        <v>-14991.47903568</v>
      </c>
      <c r="C742">
        <v>-62603.561445669999</v>
      </c>
      <c r="D742">
        <v>73.971660650000004</v>
      </c>
      <c r="E742">
        <v>0.21682414999999999</v>
      </c>
      <c r="F742">
        <v>1.8099230000000001E-2</v>
      </c>
      <c r="G742">
        <v>1.8459090000000001E-2</v>
      </c>
    </row>
    <row r="743" spans="1:7">
      <c r="A743" t="s">
        <v>293</v>
      </c>
      <c r="B743">
        <v>-14991.58010352</v>
      </c>
      <c r="C743">
        <v>-64055.6937358</v>
      </c>
      <c r="D743">
        <v>73.912954970000001</v>
      </c>
      <c r="E743">
        <v>0.21901255</v>
      </c>
      <c r="F743">
        <v>1.946202E-2</v>
      </c>
      <c r="G743">
        <v>2.135345E-2</v>
      </c>
    </row>
    <row r="744" spans="1:7">
      <c r="A744" t="s">
        <v>292</v>
      </c>
      <c r="B744">
        <v>-14991.494329409999</v>
      </c>
      <c r="C744">
        <v>-63785.694334740001</v>
      </c>
      <c r="D744">
        <v>73.85130212</v>
      </c>
      <c r="E744">
        <v>0.21735375000000001</v>
      </c>
      <c r="F744">
        <v>1.9677610000000002E-2</v>
      </c>
      <c r="G744">
        <v>2.1203360000000001E-2</v>
      </c>
    </row>
    <row r="745" spans="1:7">
      <c r="A745" t="s">
        <v>297</v>
      </c>
      <c r="B745">
        <v>-14991.118574210001</v>
      </c>
      <c r="C745">
        <v>-65266.522370710001</v>
      </c>
      <c r="D745">
        <v>73.886425829999993</v>
      </c>
      <c r="E745">
        <v>0.22072024000000001</v>
      </c>
      <c r="F745">
        <v>1.9854989999999999E-2</v>
      </c>
      <c r="G745">
        <v>2.458991E-2</v>
      </c>
    </row>
    <row r="746" spans="1:7">
      <c r="A746" t="s">
        <v>296</v>
      </c>
      <c r="B746">
        <v>-14991.0595376</v>
      </c>
      <c r="C746">
        <v>-64996.55726388</v>
      </c>
      <c r="D746">
        <v>73.868069809999994</v>
      </c>
      <c r="E746">
        <v>0.21991495999999999</v>
      </c>
      <c r="F746">
        <v>2.0621259999999999E-2</v>
      </c>
      <c r="G746">
        <v>2.2799630000000001E-2</v>
      </c>
    </row>
    <row r="747" spans="1:7">
      <c r="A747" t="s">
        <v>301</v>
      </c>
      <c r="B747">
        <v>-14991.215171919999</v>
      </c>
      <c r="C747">
        <v>-66450.183345290003</v>
      </c>
      <c r="D747">
        <v>73.806716100000003</v>
      </c>
      <c r="E747">
        <v>0.21875710000000001</v>
      </c>
      <c r="F747">
        <v>2.1513859999999999E-2</v>
      </c>
      <c r="G747">
        <v>2.5521829999999999E-2</v>
      </c>
    </row>
    <row r="748" spans="1:7">
      <c r="A748" t="s">
        <v>300</v>
      </c>
      <c r="B748">
        <v>-14991.270241599999</v>
      </c>
      <c r="C748">
        <v>-66180.178462609998</v>
      </c>
      <c r="D748">
        <v>73.81967985</v>
      </c>
      <c r="E748">
        <v>0.22020078000000001</v>
      </c>
      <c r="F748">
        <v>2.0960940000000001E-2</v>
      </c>
      <c r="G748">
        <v>2.3600510000000002E-2</v>
      </c>
    </row>
    <row r="749" spans="1:7">
      <c r="A749" t="s">
        <v>305</v>
      </c>
      <c r="B749">
        <v>-14990.838220789999</v>
      </c>
      <c r="C749">
        <v>-67715.010899739995</v>
      </c>
      <c r="D749">
        <v>88.628238019999998</v>
      </c>
      <c r="E749">
        <v>0.22479540000000001</v>
      </c>
      <c r="F749">
        <v>2.440268E-2</v>
      </c>
      <c r="G749">
        <v>3.200948E-2</v>
      </c>
    </row>
    <row r="750" spans="1:7">
      <c r="A750" t="s">
        <v>304</v>
      </c>
      <c r="B750">
        <v>-14990.74275831</v>
      </c>
      <c r="C750">
        <v>-67575.114775480004</v>
      </c>
      <c r="D750">
        <v>88.69407124</v>
      </c>
      <c r="E750">
        <v>0.23472488999999999</v>
      </c>
      <c r="F750">
        <v>3.8927009999999998E-2</v>
      </c>
      <c r="G750">
        <v>6.1626439999999998E-2</v>
      </c>
    </row>
    <row r="751" spans="1:7">
      <c r="A751" t="s">
        <v>309</v>
      </c>
      <c r="B751">
        <v>-14990.24406012</v>
      </c>
      <c r="C751">
        <v>-69283.721440830006</v>
      </c>
      <c r="D751">
        <v>73.613501360000001</v>
      </c>
      <c r="E751">
        <v>0.22267497999999999</v>
      </c>
      <c r="F751">
        <v>2.2148060000000001E-2</v>
      </c>
      <c r="G751">
        <v>2.4911019999999999E-2</v>
      </c>
    </row>
    <row r="752" spans="1:7">
      <c r="A752" t="s">
        <v>308</v>
      </c>
      <c r="B752">
        <v>-14990.27093165</v>
      </c>
      <c r="C752">
        <v>-69013.742846719993</v>
      </c>
      <c r="D752">
        <v>73.644353719999998</v>
      </c>
      <c r="E752">
        <v>0.22239431000000001</v>
      </c>
      <c r="F752">
        <v>2.1192450000000002E-2</v>
      </c>
      <c r="G752">
        <v>2.2736039999999999E-2</v>
      </c>
    </row>
    <row r="753" spans="1:7">
      <c r="A753" t="s">
        <v>313</v>
      </c>
      <c r="B753">
        <v>-14989.97010771</v>
      </c>
      <c r="C753">
        <v>-70843.711040890004</v>
      </c>
      <c r="D753">
        <v>88.626518930000003</v>
      </c>
      <c r="E753">
        <v>0.22295413</v>
      </c>
      <c r="F753">
        <v>1.9891059999999999E-2</v>
      </c>
      <c r="G753">
        <v>2.1700790000000001E-2</v>
      </c>
    </row>
    <row r="754" spans="1:7">
      <c r="A754" t="s">
        <v>312</v>
      </c>
      <c r="B754">
        <v>-14989.98219035</v>
      </c>
      <c r="C754">
        <v>-70703.739332950005</v>
      </c>
      <c r="D754">
        <v>88.554168250000004</v>
      </c>
      <c r="E754">
        <v>0.22282281000000001</v>
      </c>
      <c r="F754">
        <v>1.9549790000000001E-2</v>
      </c>
      <c r="G754">
        <v>2.2735660000000001E-2</v>
      </c>
    </row>
    <row r="755" spans="1:7">
      <c r="A755" t="s">
        <v>317</v>
      </c>
      <c r="B755">
        <v>-14989.68705104</v>
      </c>
      <c r="C755">
        <v>-72525.170183880007</v>
      </c>
      <c r="D755">
        <v>73.669332199999999</v>
      </c>
      <c r="E755">
        <v>0.22370240999999999</v>
      </c>
      <c r="F755">
        <v>1.9015979999999998E-2</v>
      </c>
      <c r="G755">
        <v>2.005885E-2</v>
      </c>
    </row>
    <row r="756" spans="1:7">
      <c r="A756" t="s">
        <v>316</v>
      </c>
      <c r="B756">
        <v>-14989.74993804</v>
      </c>
      <c r="C756">
        <v>-72255.179426029994</v>
      </c>
      <c r="D756">
        <v>73.626813040000002</v>
      </c>
      <c r="E756">
        <v>0.22289078000000001</v>
      </c>
      <c r="F756">
        <v>1.814495E-2</v>
      </c>
      <c r="G756">
        <v>2.0743729999999998E-2</v>
      </c>
    </row>
    <row r="757" spans="1:7">
      <c r="A757" t="s">
        <v>321</v>
      </c>
      <c r="B757">
        <v>-14989.53679482</v>
      </c>
      <c r="C757">
        <v>-74152.40826317</v>
      </c>
      <c r="D757">
        <v>73.698602070000007</v>
      </c>
      <c r="E757">
        <v>0.22460524000000001</v>
      </c>
      <c r="F757">
        <v>1.7782010000000001E-2</v>
      </c>
      <c r="G757">
        <v>2.060613E-2</v>
      </c>
    </row>
    <row r="758" spans="1:7">
      <c r="A758" t="s">
        <v>320</v>
      </c>
      <c r="B758">
        <v>-14989.56889266</v>
      </c>
      <c r="C758">
        <v>-73882.408654960003</v>
      </c>
      <c r="D758">
        <v>73.616179759999994</v>
      </c>
      <c r="E758">
        <v>0.22542878999999999</v>
      </c>
      <c r="F758">
        <v>1.7788749999999999E-2</v>
      </c>
      <c r="G758">
        <v>1.9484080000000001E-2</v>
      </c>
    </row>
    <row r="759" spans="1:7">
      <c r="A759" t="s">
        <v>325</v>
      </c>
      <c r="B759">
        <v>-14989.290669100001</v>
      </c>
      <c r="C759">
        <v>-75708.088858179995</v>
      </c>
      <c r="D759">
        <v>88.62060649</v>
      </c>
      <c r="E759">
        <v>0.22537270000000001</v>
      </c>
      <c r="F759">
        <v>2.00339E-2</v>
      </c>
      <c r="G759">
        <v>2.2979969999999999E-2</v>
      </c>
    </row>
    <row r="760" spans="1:7">
      <c r="A760" t="s">
        <v>324</v>
      </c>
      <c r="B760">
        <v>-14989.35017525</v>
      </c>
      <c r="C760">
        <v>-75568.091753910005</v>
      </c>
      <c r="D760">
        <v>88.589729989999995</v>
      </c>
      <c r="E760">
        <v>0.22521183</v>
      </c>
      <c r="F760">
        <v>2.0543079999999998E-2</v>
      </c>
      <c r="G760">
        <v>2.0734450000000001E-2</v>
      </c>
    </row>
    <row r="761" spans="1:7">
      <c r="A761" t="s">
        <v>329</v>
      </c>
      <c r="B761">
        <v>-14989.122358570001</v>
      </c>
      <c r="C761">
        <v>-77393.204522500004</v>
      </c>
      <c r="D761">
        <v>73.955236029999995</v>
      </c>
      <c r="E761">
        <v>0.22856000000000001</v>
      </c>
      <c r="F761">
        <v>2.349907E-2</v>
      </c>
      <c r="G761">
        <v>3.3687889999999998E-2</v>
      </c>
    </row>
    <row r="762" spans="1:7">
      <c r="A762" t="s">
        <v>328</v>
      </c>
      <c r="B762">
        <v>-14989.18608716</v>
      </c>
      <c r="C762">
        <v>-77123.210211359998</v>
      </c>
      <c r="D762">
        <v>73.928081309999996</v>
      </c>
      <c r="E762">
        <v>0.22350370999999999</v>
      </c>
      <c r="F762">
        <v>2.564497E-2</v>
      </c>
      <c r="G762">
        <v>3.1317419999999999E-2</v>
      </c>
    </row>
    <row r="763" spans="1:7">
      <c r="A763" t="s">
        <v>359</v>
      </c>
      <c r="B763">
        <v>-14987.58695013</v>
      </c>
      <c r="C763">
        <v>-88919.179999140004</v>
      </c>
      <c r="D763">
        <v>-61.812128059999999</v>
      </c>
      <c r="E763">
        <v>0.23534851000000001</v>
      </c>
      <c r="F763">
        <v>2.2921360000000002E-2</v>
      </c>
      <c r="G763">
        <v>2.5568009999999999E-2</v>
      </c>
    </row>
    <row r="764" spans="1:7">
      <c r="A764" t="s">
        <v>335</v>
      </c>
      <c r="B764">
        <v>-14989.173392049999</v>
      </c>
      <c r="C764">
        <v>-79513.588524570005</v>
      </c>
      <c r="D764">
        <v>73.658837939999998</v>
      </c>
      <c r="E764">
        <v>0.22813205</v>
      </c>
      <c r="F764">
        <v>2.115713E-2</v>
      </c>
      <c r="G764">
        <v>2.4886660000000001E-2</v>
      </c>
    </row>
    <row r="765" spans="1:7">
      <c r="A765" t="s">
        <v>334</v>
      </c>
      <c r="B765">
        <v>-14989.283550939999</v>
      </c>
      <c r="C765">
        <v>-79243.58859395</v>
      </c>
      <c r="D765">
        <v>73.665297820000006</v>
      </c>
      <c r="E765">
        <v>0.22818478</v>
      </c>
      <c r="F765">
        <v>1.9525069999999999E-2</v>
      </c>
      <c r="G765">
        <v>2.288397E-2</v>
      </c>
    </row>
    <row r="766" spans="1:7">
      <c r="A766" t="s">
        <v>339</v>
      </c>
      <c r="B766">
        <v>-14988.858404959999</v>
      </c>
      <c r="C766">
        <v>-81047.673907370001</v>
      </c>
      <c r="D766">
        <v>88.186054130000002</v>
      </c>
      <c r="E766">
        <v>0.22912853999999999</v>
      </c>
      <c r="F766">
        <v>1.9985960000000001E-2</v>
      </c>
      <c r="G766">
        <v>1.9803600000000001E-2</v>
      </c>
    </row>
    <row r="767" spans="1:7">
      <c r="A767" t="s">
        <v>338</v>
      </c>
      <c r="B767">
        <v>-14988.825107189999</v>
      </c>
      <c r="C767">
        <v>-80907.668758069995</v>
      </c>
      <c r="D767">
        <v>88.148229130000004</v>
      </c>
      <c r="E767">
        <v>0.22838067000000001</v>
      </c>
      <c r="F767">
        <v>1.8367890000000001E-2</v>
      </c>
      <c r="G767">
        <v>2.046982E-2</v>
      </c>
    </row>
    <row r="768" spans="1:7">
      <c r="A768" t="s">
        <v>343</v>
      </c>
      <c r="B768">
        <v>-14988.432947519999</v>
      </c>
      <c r="C768">
        <v>-82711.668299659999</v>
      </c>
      <c r="D768">
        <v>73.269134320000006</v>
      </c>
      <c r="E768">
        <v>0.23037071000000001</v>
      </c>
      <c r="F768">
        <v>1.7908730000000001E-2</v>
      </c>
      <c r="G768">
        <v>1.8996949999999999E-2</v>
      </c>
    </row>
    <row r="769" spans="1:7">
      <c r="A769" t="s">
        <v>342</v>
      </c>
      <c r="B769">
        <v>-14988.549340650001</v>
      </c>
      <c r="C769">
        <v>-82441.706932700006</v>
      </c>
      <c r="D769">
        <v>73.235839200000001</v>
      </c>
      <c r="E769">
        <v>0.23007231</v>
      </c>
      <c r="F769">
        <v>1.781897E-2</v>
      </c>
      <c r="G769">
        <v>1.8405120000000001E-2</v>
      </c>
    </row>
    <row r="770" spans="1:7">
      <c r="A770" t="s">
        <v>347</v>
      </c>
      <c r="B770">
        <v>-14988.130185800001</v>
      </c>
      <c r="C770">
        <v>-84389.283898669994</v>
      </c>
      <c r="D770">
        <v>73.179098280000005</v>
      </c>
      <c r="E770">
        <v>0.23089691000000001</v>
      </c>
      <c r="F770">
        <v>1.9032190000000001E-2</v>
      </c>
      <c r="G770">
        <v>2.0087049999999999E-2</v>
      </c>
    </row>
    <row r="771" spans="1:7">
      <c r="A771" t="s">
        <v>346</v>
      </c>
      <c r="B771">
        <v>-14988.21088816</v>
      </c>
      <c r="C771">
        <v>-84119.269173160006</v>
      </c>
      <c r="D771">
        <v>73.261939490000003</v>
      </c>
      <c r="E771">
        <v>0.22961057000000001</v>
      </c>
      <c r="F771">
        <v>1.9340840000000002E-2</v>
      </c>
      <c r="G771">
        <v>1.8401520000000001E-2</v>
      </c>
    </row>
    <row r="772" spans="1:7">
      <c r="A772" t="s">
        <v>351</v>
      </c>
      <c r="B772">
        <v>-14987.91216396</v>
      </c>
      <c r="C772">
        <v>-85902.487989750007</v>
      </c>
      <c r="D772">
        <v>87.977752609999996</v>
      </c>
      <c r="E772">
        <v>0.23157975</v>
      </c>
      <c r="F772">
        <v>1.9538989999999999E-2</v>
      </c>
      <c r="G772">
        <v>2.4703320000000001E-2</v>
      </c>
    </row>
    <row r="773" spans="1:7">
      <c r="A773" t="s">
        <v>350</v>
      </c>
      <c r="B773">
        <v>-14988.01614786</v>
      </c>
      <c r="C773">
        <v>-85762.511005020002</v>
      </c>
      <c r="D773">
        <v>88.001477890000004</v>
      </c>
      <c r="E773">
        <v>0.23215483000000001</v>
      </c>
      <c r="F773">
        <v>2.2089890000000001E-2</v>
      </c>
      <c r="G773">
        <v>2.3915459999999999E-2</v>
      </c>
    </row>
    <row r="774" spans="1:7">
      <c r="A774" t="s">
        <v>355</v>
      </c>
      <c r="B774">
        <v>-14987.75141646</v>
      </c>
      <c r="C774">
        <v>-87566.523160090001</v>
      </c>
      <c r="D774">
        <v>73.349500570000004</v>
      </c>
      <c r="E774">
        <v>0.23232135000000001</v>
      </c>
      <c r="F774">
        <v>2.1061259999999998E-2</v>
      </c>
      <c r="G774">
        <v>2.3970140000000001E-2</v>
      </c>
    </row>
    <row r="775" spans="1:7">
      <c r="A775" t="s">
        <v>354</v>
      </c>
      <c r="B775">
        <v>-14987.81410387</v>
      </c>
      <c r="C775">
        <v>-87296.52936986</v>
      </c>
      <c r="D775">
        <v>73.312481259999998</v>
      </c>
      <c r="E775">
        <v>0.23349866999999999</v>
      </c>
      <c r="F775">
        <v>2.2008949999999999E-2</v>
      </c>
      <c r="G775">
        <v>2.3214240000000001E-2</v>
      </c>
    </row>
    <row r="776" spans="1:7">
      <c r="A776" t="s">
        <v>363</v>
      </c>
      <c r="B776">
        <v>-14987.052409129999</v>
      </c>
      <c r="C776">
        <v>-92018.389486579996</v>
      </c>
      <c r="D776">
        <v>-21.38483772</v>
      </c>
      <c r="E776">
        <v>0.23439656</v>
      </c>
      <c r="F776">
        <v>1.9119379999999998E-2</v>
      </c>
      <c r="G776">
        <v>1.9723640000000001E-2</v>
      </c>
    </row>
    <row r="777" spans="1:7">
      <c r="A777" t="s">
        <v>365</v>
      </c>
      <c r="B777">
        <v>-14986.755630899999</v>
      </c>
      <c r="C777">
        <v>-95036.986698769993</v>
      </c>
      <c r="D777">
        <v>-21.515521240000002</v>
      </c>
      <c r="E777">
        <v>0.23676269</v>
      </c>
      <c r="F777">
        <v>1.816398E-2</v>
      </c>
      <c r="G777">
        <v>1.6953309999999999E-2</v>
      </c>
    </row>
    <row r="778" spans="1:7">
      <c r="A778" t="s">
        <v>367</v>
      </c>
      <c r="B778">
        <v>-14986.43362367</v>
      </c>
      <c r="C778">
        <v>-98136.215972880003</v>
      </c>
      <c r="D778">
        <v>-21.348147390000001</v>
      </c>
      <c r="E778">
        <v>0.23959922</v>
      </c>
      <c r="F778">
        <v>2.1455729999999999E-2</v>
      </c>
      <c r="G778">
        <v>6.5322000000000002E-3</v>
      </c>
    </row>
    <row r="779" spans="1:7">
      <c r="A779" t="s">
        <v>369</v>
      </c>
      <c r="B779">
        <v>-14985.89569442</v>
      </c>
      <c r="C779">
        <v>-101143.48258606999</v>
      </c>
      <c r="D779">
        <v>-21.726876310000002</v>
      </c>
      <c r="E779">
        <v>0.23916949000000001</v>
      </c>
      <c r="F779">
        <v>2.2530410000000001E-2</v>
      </c>
      <c r="G779">
        <v>2.788322E-2</v>
      </c>
    </row>
    <row r="780" spans="1:7">
      <c r="A780" t="s">
        <v>373</v>
      </c>
      <c r="B780">
        <v>-14985.516880020001</v>
      </c>
      <c r="C780">
        <v>-104263.42566424</v>
      </c>
      <c r="D780">
        <v>-21.716889909999999</v>
      </c>
      <c r="E780">
        <v>0.24181146000000001</v>
      </c>
      <c r="F780">
        <v>2.1557489999999999E-2</v>
      </c>
      <c r="G780">
        <v>2.0505280000000001E-2</v>
      </c>
    </row>
    <row r="781" spans="1:7">
      <c r="A781" t="s">
        <v>375</v>
      </c>
      <c r="B781">
        <v>-14985.12006712</v>
      </c>
      <c r="C781">
        <v>-107278.57725581</v>
      </c>
      <c r="D781">
        <v>-21.848832999999999</v>
      </c>
      <c r="E781">
        <v>0.24238165</v>
      </c>
      <c r="F781">
        <v>1.8418520000000001E-2</v>
      </c>
      <c r="G781">
        <v>1.7649120000000001E-2</v>
      </c>
    </row>
    <row r="782" spans="1:7">
      <c r="A782" t="s">
        <v>377</v>
      </c>
      <c r="B782">
        <v>-14984.667491640001</v>
      </c>
      <c r="C782">
        <v>-110372.21229195</v>
      </c>
      <c r="D782">
        <v>-21.77984983</v>
      </c>
      <c r="E782">
        <v>0.24364322999999999</v>
      </c>
      <c r="F782">
        <v>2.2065709999999999E-2</v>
      </c>
      <c r="G782">
        <v>2.2704809999999999E-2</v>
      </c>
    </row>
    <row r="783" spans="1:7">
      <c r="A783" t="s">
        <v>381</v>
      </c>
      <c r="B783">
        <v>-14984.44398677</v>
      </c>
      <c r="C783">
        <v>-113476.42292641</v>
      </c>
      <c r="D783">
        <v>-22.27307751</v>
      </c>
      <c r="E783">
        <v>0.24541434000000001</v>
      </c>
      <c r="F783">
        <v>2.0448640000000001E-2</v>
      </c>
      <c r="G783">
        <v>2.3356789999999999E-2</v>
      </c>
    </row>
    <row r="784" spans="1:7">
      <c r="A784" t="s">
        <v>384</v>
      </c>
      <c r="B784">
        <v>-14983.91333791</v>
      </c>
      <c r="C784">
        <v>-118800.66794037999</v>
      </c>
      <c r="D784">
        <v>-62.279363629999999</v>
      </c>
      <c r="E784">
        <v>0.24725991999999999</v>
      </c>
      <c r="F784">
        <v>2.070491E-2</v>
      </c>
      <c r="G784">
        <v>2.1094310000000002E-2</v>
      </c>
    </row>
    <row r="785" spans="1:7">
      <c r="A785" t="s">
        <v>749</v>
      </c>
      <c r="B785">
        <v>-14983.52574951</v>
      </c>
      <c r="C785">
        <v>-123656.07709704</v>
      </c>
      <c r="D785">
        <v>-63.032302989999998</v>
      </c>
      <c r="E785">
        <v>0.24855194</v>
      </c>
      <c r="F785">
        <v>2.4168950000000002E-2</v>
      </c>
      <c r="G785">
        <v>6.0978600000000001E-3</v>
      </c>
    </row>
    <row r="786" spans="1:7">
      <c r="A786" t="s">
        <v>389</v>
      </c>
      <c r="B786">
        <v>-14982.62422869</v>
      </c>
      <c r="C786">
        <v>-129635.02332959</v>
      </c>
      <c r="D786">
        <v>-62.977911200000001</v>
      </c>
      <c r="E786">
        <v>0.25021227000000001</v>
      </c>
      <c r="F786">
        <v>1.8923499999999999E-2</v>
      </c>
      <c r="G786">
        <v>2.014177E-2</v>
      </c>
    </row>
    <row r="787" spans="1:7">
      <c r="A787" t="s">
        <v>391</v>
      </c>
      <c r="B787">
        <v>-14981.788196240001</v>
      </c>
      <c r="C787">
        <v>-134989.74310826999</v>
      </c>
      <c r="D787">
        <v>-63.535850480000001</v>
      </c>
      <c r="E787">
        <v>0.25430755999999999</v>
      </c>
      <c r="F787">
        <v>2.9096319999999998E-2</v>
      </c>
      <c r="G787">
        <v>3.4641270000000002E-2</v>
      </c>
    </row>
    <row r="788" spans="1:7">
      <c r="A788" t="s">
        <v>13</v>
      </c>
      <c r="B788">
        <v>0.26744456</v>
      </c>
      <c r="C788">
        <v>9185.9713983399997</v>
      </c>
      <c r="D788">
        <v>-68.84927132</v>
      </c>
      <c r="E788">
        <v>0.13405618999999999</v>
      </c>
      <c r="F788">
        <v>5.157366E-2</v>
      </c>
      <c r="G788">
        <v>2.221381E-2</v>
      </c>
    </row>
    <row r="789" spans="1:7">
      <c r="A789" t="s">
        <v>16</v>
      </c>
      <c r="B789">
        <v>0.27372523999999998</v>
      </c>
      <c r="C789">
        <v>12044.79541513</v>
      </c>
      <c r="D789">
        <v>-69.048735969999996</v>
      </c>
      <c r="E789">
        <v>0.12594718999999999</v>
      </c>
      <c r="F789">
        <v>5.174666E-2</v>
      </c>
      <c r="G789">
        <v>2.4721239999999998E-2</v>
      </c>
    </row>
    <row r="790" spans="1:7">
      <c r="A790" t="s">
        <v>19</v>
      </c>
      <c r="B790">
        <v>5.3700060000000001E-2</v>
      </c>
      <c r="C790">
        <v>17477.383972219999</v>
      </c>
      <c r="D790">
        <v>-68.610571930000006</v>
      </c>
      <c r="E790">
        <v>0.11190883</v>
      </c>
      <c r="F790">
        <v>4.9987950000000003E-2</v>
      </c>
      <c r="G790">
        <v>7.0783799999999996E-3</v>
      </c>
    </row>
    <row r="791" spans="1:7">
      <c r="A791" t="s">
        <v>22</v>
      </c>
      <c r="B791">
        <v>5.1120220000000001E-2</v>
      </c>
      <c r="C791">
        <v>22644.82176097</v>
      </c>
      <c r="D791">
        <v>-68.301808949999995</v>
      </c>
      <c r="E791">
        <v>0.103244</v>
      </c>
      <c r="F791">
        <v>5.2079519999999997E-2</v>
      </c>
      <c r="G791">
        <v>2.1616489999999999E-2</v>
      </c>
    </row>
    <row r="792" spans="1:7">
      <c r="A792" t="s">
        <v>25</v>
      </c>
      <c r="B792">
        <v>6.0815260000000003E-2</v>
      </c>
      <c r="C792">
        <v>27977.293622050001</v>
      </c>
      <c r="D792">
        <v>-67.910576629999994</v>
      </c>
      <c r="E792">
        <v>9.3804940000000003E-2</v>
      </c>
      <c r="F792">
        <v>4.9900159999999999E-2</v>
      </c>
      <c r="G792">
        <v>1.6930850000000001E-2</v>
      </c>
    </row>
    <row r="793" spans="1:7">
      <c r="A793" t="s">
        <v>28</v>
      </c>
      <c r="B793">
        <v>8.3065029999999998E-2</v>
      </c>
      <c r="C793">
        <v>33376.656683089997</v>
      </c>
      <c r="D793">
        <v>-67.57990556</v>
      </c>
      <c r="E793">
        <v>9.1992630000000006E-2</v>
      </c>
      <c r="F793">
        <v>5.142331E-2</v>
      </c>
      <c r="G793">
        <v>5.1886399999999996E-3</v>
      </c>
    </row>
    <row r="794" spans="1:7">
      <c r="A794" t="s">
        <v>487</v>
      </c>
      <c r="B794">
        <v>0.15350270999999999</v>
      </c>
      <c r="C794">
        <v>-9635.9182924699999</v>
      </c>
      <c r="D794">
        <v>639.30218915</v>
      </c>
      <c r="E794">
        <v>0.20162242</v>
      </c>
      <c r="F794">
        <v>5.1453989999999998E-2</v>
      </c>
      <c r="G794">
        <v>4.0058969999999999E-2</v>
      </c>
    </row>
    <row r="795" spans="1:7">
      <c r="A795" t="s">
        <v>491</v>
      </c>
      <c r="B795">
        <v>0.16219389000000001</v>
      </c>
      <c r="C795">
        <v>-6805.08907972</v>
      </c>
      <c r="D795">
        <v>639.66474271000004</v>
      </c>
      <c r="E795">
        <v>0.18857260000000001</v>
      </c>
      <c r="F795">
        <v>5.0952089999999998E-2</v>
      </c>
      <c r="G795">
        <v>3.0947590000000001E-2</v>
      </c>
    </row>
    <row r="796" spans="1:7">
      <c r="A796" t="s">
        <v>498</v>
      </c>
      <c r="B796">
        <v>-3.7721209999999998E-2</v>
      </c>
      <c r="C796">
        <v>-4001.5448648800002</v>
      </c>
      <c r="D796">
        <v>679.85057095000002</v>
      </c>
      <c r="E796">
        <v>0.17837239999999999</v>
      </c>
      <c r="F796">
        <v>5.1226720000000003E-2</v>
      </c>
      <c r="G796">
        <v>2.611221E-2</v>
      </c>
    </row>
    <row r="797" spans="1:7">
      <c r="A797" t="s">
        <v>513</v>
      </c>
      <c r="B797">
        <v>50.003265480000003</v>
      </c>
      <c r="C797">
        <v>-1664.3312352400001</v>
      </c>
      <c r="D797">
        <v>258.16432591</v>
      </c>
      <c r="E797">
        <v>0.17170205999999999</v>
      </c>
      <c r="F797">
        <v>5.6839689999999998E-2</v>
      </c>
      <c r="G797">
        <v>4.5919830000000002E-2</v>
      </c>
    </row>
    <row r="798" spans="1:7">
      <c r="A798" t="s">
        <v>512</v>
      </c>
      <c r="B798">
        <v>-49.99576081</v>
      </c>
      <c r="C798">
        <v>-1755.7084701599999</v>
      </c>
      <c r="D798">
        <v>298.80915270000003</v>
      </c>
      <c r="E798">
        <v>0.16901279</v>
      </c>
      <c r="F798">
        <v>5.001179E-2</v>
      </c>
      <c r="G798">
        <v>2.4435450000000001E-2</v>
      </c>
    </row>
    <row r="799" spans="1:7">
      <c r="A799" t="s">
        <v>35</v>
      </c>
      <c r="B799">
        <v>-0.14836437</v>
      </c>
      <c r="C799">
        <v>45515.562004799998</v>
      </c>
      <c r="D799">
        <v>-56.830181719999999</v>
      </c>
      <c r="E799">
        <v>0.11727203</v>
      </c>
      <c r="F799">
        <v>5.7484319999999998E-2</v>
      </c>
      <c r="G799">
        <v>6.9059170000000003E-2</v>
      </c>
    </row>
    <row r="800" spans="1:7">
      <c r="A800" t="s">
        <v>38</v>
      </c>
      <c r="B800">
        <v>1.3894599999999999E-3</v>
      </c>
      <c r="C800">
        <v>55022.040770320004</v>
      </c>
      <c r="D800">
        <v>-56.083237060000002</v>
      </c>
      <c r="E800">
        <v>0.10407063</v>
      </c>
      <c r="F800">
        <v>5.249877E-2</v>
      </c>
      <c r="G800">
        <v>3.2532569999999997E-2</v>
      </c>
    </row>
    <row r="801" spans="1:7">
      <c r="A801" t="s">
        <v>41</v>
      </c>
      <c r="B801">
        <v>0.40128016999999999</v>
      </c>
      <c r="C801">
        <v>64712.423903440002</v>
      </c>
      <c r="D801">
        <v>-54.908455359999998</v>
      </c>
      <c r="E801">
        <v>0.11481234999999999</v>
      </c>
      <c r="F801">
        <v>5.2622219999999997E-2</v>
      </c>
      <c r="G801">
        <v>4.5437400000000001E-3</v>
      </c>
    </row>
    <row r="802" spans="1:7">
      <c r="A802" t="s">
        <v>44</v>
      </c>
      <c r="B802">
        <v>0.25389826999999998</v>
      </c>
      <c r="C802">
        <v>74309.496372730006</v>
      </c>
      <c r="D802">
        <v>-54.542111550000001</v>
      </c>
      <c r="E802">
        <v>0.1350382</v>
      </c>
      <c r="F802">
        <v>5.377966E-2</v>
      </c>
      <c r="G802">
        <v>2.8455560000000001E-2</v>
      </c>
    </row>
    <row r="803" spans="1:7">
      <c r="A803" t="s">
        <v>47</v>
      </c>
      <c r="B803">
        <v>0.17834220000000001</v>
      </c>
      <c r="C803">
        <v>83910.23961818</v>
      </c>
      <c r="D803">
        <v>-53.647522299999999</v>
      </c>
      <c r="E803">
        <v>0.15791905000000001</v>
      </c>
      <c r="F803">
        <v>5.3544109999999999E-2</v>
      </c>
      <c r="G803">
        <v>3.093541E-2</v>
      </c>
    </row>
    <row r="804" spans="1:7">
      <c r="A804" t="s">
        <v>50</v>
      </c>
      <c r="B804">
        <v>-9.7027550000000004E-2</v>
      </c>
      <c r="C804">
        <v>93503.861190829994</v>
      </c>
      <c r="D804">
        <v>-53.122762280000003</v>
      </c>
      <c r="E804">
        <v>0.18941136</v>
      </c>
      <c r="F804">
        <v>5.3446889999999997E-2</v>
      </c>
      <c r="G804">
        <v>2.8010150000000001E-2</v>
      </c>
    </row>
    <row r="805" spans="1:7">
      <c r="A805" t="s">
        <v>53</v>
      </c>
      <c r="B805">
        <v>-1.181455E-2</v>
      </c>
      <c r="C805">
        <v>103107.18522124</v>
      </c>
      <c r="D805">
        <v>-52.101534039999997</v>
      </c>
      <c r="E805">
        <v>0.22360584999999999</v>
      </c>
      <c r="F805">
        <v>5.4053770000000001E-2</v>
      </c>
      <c r="G805">
        <v>4.0485199999999999E-3</v>
      </c>
    </row>
    <row r="806" spans="1:7">
      <c r="A806" t="s">
        <v>117</v>
      </c>
      <c r="B806">
        <v>-15011.09758093</v>
      </c>
      <c r="C806">
        <v>98375.916658339993</v>
      </c>
      <c r="D806">
        <v>-12.56550243</v>
      </c>
      <c r="E806">
        <v>0.19796079999999999</v>
      </c>
      <c r="F806">
        <v>3.4563389999999999E-2</v>
      </c>
      <c r="G806">
        <v>3.3087239999999997E-2</v>
      </c>
    </row>
    <row r="807" spans="1:7">
      <c r="A807" t="s">
        <v>119</v>
      </c>
      <c r="B807">
        <v>-15009.917486460001</v>
      </c>
      <c r="C807">
        <v>88862.064741490001</v>
      </c>
      <c r="D807">
        <v>-13.235237489999999</v>
      </c>
      <c r="E807">
        <v>0.16164431000000001</v>
      </c>
      <c r="F807">
        <v>2.929549E-2</v>
      </c>
      <c r="G807">
        <v>2.4427219999999999E-2</v>
      </c>
    </row>
    <row r="808" spans="1:7">
      <c r="A808" t="s">
        <v>121</v>
      </c>
      <c r="B808">
        <v>-15008.437567479999</v>
      </c>
      <c r="C808">
        <v>79266.273918449995</v>
      </c>
      <c r="D808">
        <v>-14.15268414</v>
      </c>
      <c r="E808">
        <v>0.12312917</v>
      </c>
      <c r="F808">
        <v>2.816685E-2</v>
      </c>
      <c r="G808">
        <v>4.8413800000000002E-3</v>
      </c>
    </row>
    <row r="809" spans="1:7">
      <c r="A809" t="s">
        <v>123</v>
      </c>
      <c r="B809">
        <v>-15007.003006299999</v>
      </c>
      <c r="C809">
        <v>69666.304414400001</v>
      </c>
      <c r="D809">
        <v>-15.024109620000001</v>
      </c>
      <c r="E809">
        <v>9.3829049999999997E-2</v>
      </c>
      <c r="F809">
        <v>2.825714E-2</v>
      </c>
      <c r="G809">
        <v>2.8273719999999999E-2</v>
      </c>
    </row>
    <row r="810" spans="1:7">
      <c r="A810" t="s">
        <v>125</v>
      </c>
      <c r="B810">
        <v>-15005.53857606</v>
      </c>
      <c r="C810">
        <v>60060.307869169999</v>
      </c>
      <c r="D810">
        <v>-15.56275855</v>
      </c>
      <c r="E810">
        <v>8.2292959999999998E-2</v>
      </c>
      <c r="F810">
        <v>2.749178E-2</v>
      </c>
      <c r="G810">
        <v>3.3433890000000001E-2</v>
      </c>
    </row>
    <row r="811" spans="1:7">
      <c r="A811" t="s">
        <v>127</v>
      </c>
      <c r="B811">
        <v>-15004.21905958</v>
      </c>
      <c r="C811">
        <v>50380.005324450001</v>
      </c>
      <c r="D811">
        <v>-16.762149489999999</v>
      </c>
      <c r="E811">
        <v>9.7816410000000006E-2</v>
      </c>
      <c r="F811">
        <v>2.3858190000000001E-2</v>
      </c>
      <c r="G811">
        <v>3.3479969999999998E-2</v>
      </c>
    </row>
    <row r="812" spans="1:7">
      <c r="A812" t="s">
        <v>129</v>
      </c>
      <c r="B812">
        <v>-15002.64931678</v>
      </c>
      <c r="C812">
        <v>40771.643360610004</v>
      </c>
      <c r="D812">
        <v>-17.40658354</v>
      </c>
      <c r="E812">
        <v>0.13195952</v>
      </c>
      <c r="F812">
        <v>3.1629259999999999E-2</v>
      </c>
      <c r="G812">
        <v>4.9791299999999997E-2</v>
      </c>
    </row>
    <row r="813" spans="1:7">
      <c r="A813" t="s">
        <v>135</v>
      </c>
      <c r="B813">
        <v>-15000.98314414</v>
      </c>
      <c r="C813">
        <v>26770.72983312</v>
      </c>
      <c r="D813">
        <v>-18.113907180000002</v>
      </c>
      <c r="E813">
        <v>0.14003665000000001</v>
      </c>
      <c r="F813">
        <v>2.3111320000000001E-2</v>
      </c>
      <c r="G813">
        <v>2.8888500000000001E-3</v>
      </c>
    </row>
    <row r="814" spans="1:7">
      <c r="A814" t="s">
        <v>66</v>
      </c>
      <c r="B814">
        <v>0.64765609999999996</v>
      </c>
      <c r="C814">
        <v>116353.84398234</v>
      </c>
      <c r="D814">
        <v>43.887471410000003</v>
      </c>
      <c r="E814">
        <v>0.27293015999999998</v>
      </c>
      <c r="F814">
        <v>5.487997E-2</v>
      </c>
      <c r="G814">
        <v>2.8727079999999999E-2</v>
      </c>
    </row>
    <row r="815" spans="1:7">
      <c r="A815" t="s">
        <v>65</v>
      </c>
      <c r="B815">
        <v>0.65866005999999999</v>
      </c>
      <c r="C815">
        <v>116203.84262845</v>
      </c>
      <c r="D815">
        <v>43.895231649999999</v>
      </c>
      <c r="E815">
        <v>0.27194467</v>
      </c>
      <c r="F815">
        <v>5.5900449999999997E-2</v>
      </c>
      <c r="G815">
        <v>2.7641829999999999E-2</v>
      </c>
    </row>
    <row r="816" spans="1:7">
      <c r="A816" t="s">
        <v>77</v>
      </c>
      <c r="B816">
        <v>-4161.8365881600002</v>
      </c>
      <c r="C816">
        <v>123341.25391565</v>
      </c>
      <c r="D816">
        <v>44.129638030000002</v>
      </c>
      <c r="E816">
        <v>0.29920383</v>
      </c>
      <c r="F816">
        <v>4.1040319999999998E-2</v>
      </c>
      <c r="G816">
        <v>2.588E-2</v>
      </c>
    </row>
    <row r="817" spans="1:7">
      <c r="A817" t="s">
        <v>76</v>
      </c>
      <c r="B817">
        <v>-4031.92622218</v>
      </c>
      <c r="C817">
        <v>123266.26620655</v>
      </c>
      <c r="D817">
        <v>44.092565299999997</v>
      </c>
      <c r="E817">
        <v>0.29985821000000001</v>
      </c>
      <c r="F817">
        <v>4.2096469999999997E-2</v>
      </c>
      <c r="G817">
        <v>2.6710359999999999E-2</v>
      </c>
    </row>
    <row r="818" spans="1:7">
      <c r="A818" t="s">
        <v>83</v>
      </c>
      <c r="B818">
        <v>-7581.4926242900001</v>
      </c>
      <c r="C818">
        <v>124108.38196061</v>
      </c>
      <c r="D818">
        <v>44.062716850000001</v>
      </c>
      <c r="E818">
        <v>0.30281561000000001</v>
      </c>
      <c r="F818">
        <v>3.3227800000000002E-2</v>
      </c>
      <c r="G818">
        <v>4.70354E-3</v>
      </c>
    </row>
    <row r="819" spans="1:7">
      <c r="A819" t="s">
        <v>82</v>
      </c>
      <c r="B819">
        <v>-7431.50529216</v>
      </c>
      <c r="C819">
        <v>124108.41351195</v>
      </c>
      <c r="D819">
        <v>44.06863637</v>
      </c>
      <c r="E819">
        <v>0.30329084000000001</v>
      </c>
      <c r="F819">
        <v>3.2552999999999999E-2</v>
      </c>
      <c r="G819">
        <v>2.3720689999999999E-2</v>
      </c>
    </row>
    <row r="820" spans="1:7">
      <c r="A820" t="s">
        <v>89</v>
      </c>
      <c r="B820">
        <v>-10981.1807715</v>
      </c>
      <c r="C820">
        <v>123265.8211759</v>
      </c>
      <c r="D820">
        <v>44.175945249999998</v>
      </c>
      <c r="E820">
        <v>0.29899883999999999</v>
      </c>
      <c r="F820">
        <v>2.7638699999999999E-2</v>
      </c>
      <c r="G820">
        <v>2.524444E-2</v>
      </c>
    </row>
    <row r="821" spans="1:7">
      <c r="A821" t="s">
        <v>88</v>
      </c>
      <c r="B821">
        <v>-10851.27471922</v>
      </c>
      <c r="C821">
        <v>123340.8327154</v>
      </c>
      <c r="D821">
        <v>44.177485760000003</v>
      </c>
      <c r="E821">
        <v>0.29977387999999999</v>
      </c>
      <c r="F821">
        <v>2.6861389999999999E-2</v>
      </c>
      <c r="G821">
        <v>2.4223060000000001E-2</v>
      </c>
    </row>
    <row r="822" spans="1:7">
      <c r="A822" t="s">
        <v>97</v>
      </c>
      <c r="B822">
        <v>-14046.2175837</v>
      </c>
      <c r="C822">
        <v>120292.08887196</v>
      </c>
      <c r="D822">
        <v>44.161750480000002</v>
      </c>
      <c r="E822">
        <v>0.28965801000000002</v>
      </c>
      <c r="F822">
        <v>2.8198589999999999E-2</v>
      </c>
      <c r="G822">
        <v>2.456653E-2</v>
      </c>
    </row>
    <row r="823" spans="1:7">
      <c r="A823" t="s">
        <v>96</v>
      </c>
      <c r="B823">
        <v>-13971.183220360001</v>
      </c>
      <c r="C823">
        <v>120421.99750978001</v>
      </c>
      <c r="D823">
        <v>44.145069220000003</v>
      </c>
      <c r="E823">
        <v>0.29019599000000001</v>
      </c>
      <c r="F823">
        <v>2.901774E-2</v>
      </c>
      <c r="G823">
        <v>2.5321819999999998E-2</v>
      </c>
    </row>
    <row r="824" spans="1:7">
      <c r="A824" t="s">
        <v>109</v>
      </c>
      <c r="B824">
        <v>-15012.893720030001</v>
      </c>
      <c r="C824">
        <v>115453.25004157001</v>
      </c>
      <c r="D824">
        <v>44.1044263</v>
      </c>
      <c r="E824">
        <v>0.26971405999999998</v>
      </c>
      <c r="F824">
        <v>2.9167149999999999E-2</v>
      </c>
      <c r="G824">
        <v>1.9878360000000001E-2</v>
      </c>
    </row>
    <row r="825" spans="1:7">
      <c r="A825" t="s">
        <v>108</v>
      </c>
      <c r="B825">
        <v>-15012.98824518</v>
      </c>
      <c r="C825">
        <v>115603.26899986</v>
      </c>
      <c r="D825">
        <v>44.116456599999999</v>
      </c>
      <c r="E825">
        <v>0.27114708999999998</v>
      </c>
      <c r="F825">
        <v>2.942144E-2</v>
      </c>
      <c r="G825">
        <v>2.1302189999999999E-2</v>
      </c>
    </row>
    <row r="826" spans="1:7">
      <c r="A826" t="s">
        <v>81</v>
      </c>
      <c r="B826">
        <v>-6949.6239467599999</v>
      </c>
      <c r="C826">
        <v>124108.29540385</v>
      </c>
      <c r="D826">
        <v>44.128653389999997</v>
      </c>
      <c r="E826">
        <v>0.30380344999999997</v>
      </c>
      <c r="F826">
        <v>3.3834370000000002E-2</v>
      </c>
      <c r="G826">
        <v>2.3103490000000001E-2</v>
      </c>
    </row>
    <row r="827" spans="1:7">
      <c r="A827" t="s">
        <v>84</v>
      </c>
      <c r="B827">
        <v>-8063.2780261999997</v>
      </c>
      <c r="C827">
        <v>124108.38868242</v>
      </c>
      <c r="D827">
        <v>44.063539030000001</v>
      </c>
      <c r="E827">
        <v>0.30448051999999998</v>
      </c>
      <c r="F827">
        <v>3.2570630000000003E-2</v>
      </c>
      <c r="G827">
        <v>2.6335859999999999E-2</v>
      </c>
    </row>
    <row r="828" spans="1:7">
      <c r="A828" t="s">
        <v>73</v>
      </c>
      <c r="B828">
        <v>-3187.6114429300001</v>
      </c>
      <c r="C828">
        <v>122778.87613596</v>
      </c>
      <c r="D828">
        <v>44.234987199999999</v>
      </c>
      <c r="E828">
        <v>0.29935032</v>
      </c>
      <c r="F828">
        <v>4.5073700000000001E-2</v>
      </c>
      <c r="G828">
        <v>2.7281400000000001E-2</v>
      </c>
    </row>
    <row r="829" spans="1:7">
      <c r="A829" t="s">
        <v>92</v>
      </c>
      <c r="B829">
        <v>-11825.30257322</v>
      </c>
      <c r="C829">
        <v>122778.2548766</v>
      </c>
      <c r="D829">
        <v>44.175422769999997</v>
      </c>
      <c r="E829">
        <v>0.29669768000000002</v>
      </c>
      <c r="F829">
        <v>3.4733449999999999E-2</v>
      </c>
      <c r="G829">
        <v>3.0534619999999998E-2</v>
      </c>
    </row>
    <row r="830" spans="1:7">
      <c r="A830" t="s">
        <v>98</v>
      </c>
      <c r="B830">
        <v>-14301.12574815</v>
      </c>
      <c r="C830">
        <v>119850.33701846001</v>
      </c>
      <c r="D830">
        <v>44.192095610000003</v>
      </c>
      <c r="E830">
        <v>0.28585528999999998</v>
      </c>
      <c r="F830">
        <v>2.9023710000000001E-2</v>
      </c>
      <c r="G830">
        <v>2.230859E-2</v>
      </c>
    </row>
    <row r="831" spans="1:7">
      <c r="A831" t="s">
        <v>1852</v>
      </c>
      <c r="B831">
        <v>-14996.154220750001</v>
      </c>
      <c r="C831">
        <v>-16001.30939283</v>
      </c>
      <c r="D831">
        <v>50.136487799999998</v>
      </c>
      <c r="E831">
        <v>0.19472328</v>
      </c>
      <c r="F831">
        <v>1.8433970000000001E-2</v>
      </c>
      <c r="G831">
        <v>2.9799229999999999E-2</v>
      </c>
    </row>
    <row r="832" spans="1:7">
      <c r="A832" t="s">
        <v>1853</v>
      </c>
      <c r="B832">
        <v>-14995.438498740001</v>
      </c>
      <c r="C832">
        <v>-18598.89647951</v>
      </c>
      <c r="D832">
        <v>50.111957009999998</v>
      </c>
      <c r="E832">
        <v>0.19522850999999999</v>
      </c>
      <c r="F832">
        <v>1.9053649999999998E-2</v>
      </c>
      <c r="G832">
        <v>2.8508249999999999E-2</v>
      </c>
    </row>
    <row r="833" spans="1:7">
      <c r="A833" t="s">
        <v>1854</v>
      </c>
      <c r="B833">
        <v>-14996.445419670001</v>
      </c>
      <c r="C833">
        <v>-21197.25294382</v>
      </c>
      <c r="D833">
        <v>50.276950309999997</v>
      </c>
      <c r="E833">
        <v>0.19734692000000001</v>
      </c>
      <c r="F833">
        <v>2.2426459999999999E-2</v>
      </c>
      <c r="G833">
        <v>3.0096700000000001E-2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E99A-36F0-4226-91C1-4D3BDC2A24FD}">
  <sheetPr>
    <tabColor rgb="FFFF0000"/>
  </sheetPr>
  <dimension ref="A1:AG1984"/>
  <sheetViews>
    <sheetView tabSelected="1" workbookViewId="0">
      <pane xSplit="5" ySplit="12" topLeftCell="F13" activePane="bottomRight" state="frozen"/>
      <selection pane="topRight" activeCell="E1" sqref="E1"/>
      <selection pane="bottomLeft" activeCell="A8" sqref="A8"/>
      <selection pane="bottomRight" activeCell="A5" sqref="A5"/>
    </sheetView>
  </sheetViews>
  <sheetFormatPr baseColWidth="10" defaultColWidth="8.7109375" defaultRowHeight="16" outlineLevelCol="1"/>
  <cols>
    <col min="1" max="1" width="47.28515625" customWidth="1"/>
    <col min="6" max="6" width="12" customWidth="1"/>
    <col min="7" max="7" width="20.28515625" customWidth="1" outlineLevel="1"/>
    <col min="8" max="12" width="8.85546875" customWidth="1" outlineLevel="1"/>
    <col min="13" max="14" width="8.85546875" style="2"/>
    <col min="15" max="15" width="8.85546875" style="23" customWidth="1" outlineLevel="1"/>
    <col min="16" max="16" width="8.85546875" style="1" customWidth="1" outlineLevel="1"/>
    <col min="17" max="17" width="11.28515625" customWidth="1" outlineLevel="1"/>
    <col min="18" max="18" width="8.85546875" customWidth="1" outlineLevel="1"/>
    <col min="19" max="19" width="8.85546875" style="23" customWidth="1" outlineLevel="1"/>
    <col min="20" max="20" width="8.85546875" customWidth="1" outlineLevel="1"/>
    <col min="21" max="21" width="13.28515625" customWidth="1" outlineLevel="1"/>
    <col min="22" max="22" width="8.85546875" customWidth="1" outlineLevel="1"/>
    <col min="23" max="23" width="13.28515625" customWidth="1" outlineLevel="1"/>
    <col min="24" max="24" width="13.28515625" customWidth="1"/>
    <col min="25" max="25" width="8.85546875" customWidth="1"/>
    <col min="30" max="31" width="12.7109375" customWidth="1"/>
  </cols>
  <sheetData>
    <row r="1" spans="1:30">
      <c r="A1" t="s">
        <v>1155</v>
      </c>
    </row>
    <row r="2" spans="1:30">
      <c r="C2" t="s">
        <v>1159</v>
      </c>
      <c r="D2" t="s">
        <v>3711</v>
      </c>
      <c r="E2" t="s">
        <v>3713</v>
      </c>
    </row>
    <row r="3" spans="1:30">
      <c r="C3" t="s">
        <v>1158</v>
      </c>
      <c r="D3" t="s">
        <v>1161</v>
      </c>
    </row>
    <row r="4" spans="1:30">
      <c r="C4" t="s">
        <v>1160</v>
      </c>
    </row>
    <row r="5" spans="1:30">
      <c r="C5" t="s">
        <v>1927</v>
      </c>
    </row>
    <row r="6" spans="1:30">
      <c r="C6" t="s">
        <v>3837</v>
      </c>
    </row>
    <row r="7" spans="1:30">
      <c r="C7" t="s">
        <v>3838</v>
      </c>
    </row>
    <row r="8" spans="1:30">
      <c r="C8" t="s">
        <v>3853</v>
      </c>
    </row>
    <row r="9" spans="1:30">
      <c r="C9" t="s">
        <v>3854</v>
      </c>
    </row>
    <row r="12" spans="1:30">
      <c r="A12" t="s">
        <v>3817</v>
      </c>
      <c r="B12" t="s">
        <v>3818</v>
      </c>
      <c r="C12" t="s">
        <v>3851</v>
      </c>
      <c r="D12" t="s">
        <v>1162</v>
      </c>
      <c r="F12" t="s">
        <v>3819</v>
      </c>
      <c r="G12" t="s">
        <v>3820</v>
      </c>
      <c r="H12" t="s">
        <v>3821</v>
      </c>
      <c r="I12" t="s">
        <v>1</v>
      </c>
      <c r="J12" t="s">
        <v>1858</v>
      </c>
      <c r="K12" t="s">
        <v>1859</v>
      </c>
      <c r="L12" t="s">
        <v>1860</v>
      </c>
      <c r="M12" s="2" t="s">
        <v>1861</v>
      </c>
      <c r="N12" s="2" t="s">
        <v>1862</v>
      </c>
      <c r="O12" s="23" t="s">
        <v>1863</v>
      </c>
      <c r="P12" s="1" t="s">
        <v>3716</v>
      </c>
      <c r="Q12" t="s">
        <v>483</v>
      </c>
      <c r="R12" t="s">
        <v>484</v>
      </c>
      <c r="S12" s="23" t="s">
        <v>1864</v>
      </c>
      <c r="T12" t="s">
        <v>1926</v>
      </c>
      <c r="U12" t="s">
        <v>1865</v>
      </c>
      <c r="V12" t="s">
        <v>1866</v>
      </c>
      <c r="W12" t="s">
        <v>1867</v>
      </c>
      <c r="X12" t="s">
        <v>3830</v>
      </c>
      <c r="Y12" t="s">
        <v>3822</v>
      </c>
      <c r="Z12" t="s">
        <v>3825</v>
      </c>
      <c r="AA12" t="s">
        <v>3826</v>
      </c>
      <c r="AB12" t="s">
        <v>3827</v>
      </c>
      <c r="AC12" t="s">
        <v>3828</v>
      </c>
      <c r="AD12" t="s">
        <v>2844</v>
      </c>
    </row>
    <row r="13" spans="1:30">
      <c r="A13" t="s">
        <v>800</v>
      </c>
      <c r="B13" t="s">
        <v>3810</v>
      </c>
      <c r="C13" t="s">
        <v>3832</v>
      </c>
      <c r="D13" t="s">
        <v>1152</v>
      </c>
      <c r="E13" t="s">
        <v>804</v>
      </c>
      <c r="F13" t="s">
        <v>3833</v>
      </c>
      <c r="G13" t="s">
        <v>3833</v>
      </c>
      <c r="I13">
        <f>_xlfn.XLOOKUP($F13,設計座標!$E$13:$E$2301,設計座標!$G$13:$G$2301,"n/a",0,1)</f>
        <v>-4.3755336000000007</v>
      </c>
      <c r="J13">
        <f>_xlfn.XLOOKUP($F13,設計座標!$E$13:$E$2301,設計座標!$H$13:$H$2301,"n/a",0,1)</f>
        <v>-3513.6945000000001</v>
      </c>
      <c r="K13">
        <f>_xlfn.XLOOKUP($F13,設計座標!$E$13:$E$2301,設計座標!$I$13:$I$2301,"n/a",0,1)</f>
        <v>-9209.3248999999996</v>
      </c>
      <c r="L13">
        <f>_xlfn.XLOOKUP($F13,設計座標!$E$13:$E$2301,設計座標!$J$13:$J$2301,"n/a",0,1)</f>
        <v>-270</v>
      </c>
      <c r="M13" s="2">
        <f t="shared" ref="M13:O14" si="0">J13</f>
        <v>-3513.6945000000001</v>
      </c>
      <c r="N13" s="2">
        <f t="shared" si="0"/>
        <v>-9209.3248999999996</v>
      </c>
      <c r="O13" s="23">
        <f t="shared" si="0"/>
        <v>-270</v>
      </c>
      <c r="P13" s="1">
        <f>$L13+$T13</f>
        <v>-269.06959219873738</v>
      </c>
      <c r="Q13">
        <f>$M13-$J13</f>
        <v>0</v>
      </c>
      <c r="R13">
        <f>$N13-$K13</f>
        <v>0</v>
      </c>
      <c r="S13" s="23">
        <f>$O13-$L13</f>
        <v>0</v>
      </c>
      <c r="T13">
        <f>$S13+測地線補正!$Q$3*(lattice!$N13/1000)^3+測地線補正!$P$3*(lattice!$N13/1000)^2+測地線補正!$O$3*(lattice!$N13/1000)+測地線補正!$N$3</f>
        <v>0.93040780126262101</v>
      </c>
      <c r="U13">
        <v>0</v>
      </c>
      <c r="V13">
        <v>0</v>
      </c>
      <c r="W13">
        <v>0</v>
      </c>
      <c r="X13">
        <v>0</v>
      </c>
      <c r="Y13">
        <f>_xlfn.XLOOKUP($F13,設計座標!$E$13:$E$2301,設計座標!$L$13:$L$2301," ",0,1)</f>
        <v>0</v>
      </c>
      <c r="Z13">
        <v>0</v>
      </c>
    </row>
    <row r="14" spans="1:30">
      <c r="A14" t="s">
        <v>800</v>
      </c>
      <c r="B14" t="s">
        <v>3810</v>
      </c>
      <c r="C14" t="s">
        <v>806</v>
      </c>
      <c r="D14" t="s">
        <v>1152</v>
      </c>
      <c r="E14" t="s">
        <v>804</v>
      </c>
      <c r="F14" t="s">
        <v>1124</v>
      </c>
      <c r="G14" t="s">
        <v>2349</v>
      </c>
      <c r="I14">
        <f>_xlfn.XLOOKUP($F14,設計座標!$E$13:$E$2301,設計座標!$G$13:$G$2301,"n/a",0,1)</f>
        <v>-3.811515200000001</v>
      </c>
      <c r="J14">
        <f>_xlfn.XLOOKUP($F14,設計座標!$E$13:$E$2301,設計座標!$H$13:$H$2301,"n/a",0,1)</f>
        <v>-2949.6761000000001</v>
      </c>
      <c r="K14">
        <f>_xlfn.XLOOKUP($F14,設計座標!$E$13:$E$2301,設計座標!$I$13:$I$2301,"n/a",0,1)</f>
        <v>-9209.3248999999996</v>
      </c>
      <c r="L14">
        <f>_xlfn.XLOOKUP($F14,設計座標!$E$13:$E$2301,設計座標!$J$13:$J$2301,"n/a",0,1)</f>
        <v>-160</v>
      </c>
      <c r="M14" s="2">
        <f t="shared" si="0"/>
        <v>-2949.6761000000001</v>
      </c>
      <c r="N14" s="2">
        <f t="shared" si="0"/>
        <v>-9209.3248999999996</v>
      </c>
      <c r="O14" s="23">
        <f t="shared" si="0"/>
        <v>-160</v>
      </c>
      <c r="P14" s="1">
        <f>$L14+$T14</f>
        <v>-159.06959219873738</v>
      </c>
      <c r="Q14">
        <f>$M14-$J14</f>
        <v>0</v>
      </c>
      <c r="R14">
        <f>$N14-$K14</f>
        <v>0</v>
      </c>
      <c r="S14" s="23">
        <f>$O14-$L14</f>
        <v>0</v>
      </c>
      <c r="T14">
        <f>$S14+測地線補正!$Q$3*(lattice!$N14/1000)^3+測地線補正!$P$3*(lattice!$N14/1000)^2+測地線補正!$O$3*(lattice!$N14/1000)+測地線補正!$N$3</f>
        <v>0.93040780126262101</v>
      </c>
      <c r="U14">
        <v>0</v>
      </c>
      <c r="V14">
        <v>0</v>
      </c>
      <c r="W14">
        <v>0</v>
      </c>
      <c r="X14">
        <f>$Z$14-($Y$14+$Y$13)/2</f>
        <v>560.01840000000004</v>
      </c>
      <c r="Y14">
        <f>_xlfn.XLOOKUP($F14,設計座標!$E$13:$E$2301,設計座標!$L$13:$L$2301," ",0,1)</f>
        <v>68</v>
      </c>
      <c r="Z14">
        <v>594.01840000000004</v>
      </c>
      <c r="AA14">
        <f>_xlfn.XLOOKUP($G14,magnet_list!$A$2:$A$592,magnet_list!$AJ$2:$AJ$592,"n/a",0,1)</f>
        <v>8.039700000000001E-2</v>
      </c>
      <c r="AB14">
        <f>_xlfn.XLOOKUP($G14,magnet_list!$A$2:$A$592,magnet_list!$L$2:$L$592,"n/a",0,1)</f>
        <v>80</v>
      </c>
    </row>
    <row r="15" spans="1:30">
      <c r="A15" t="s">
        <v>800</v>
      </c>
      <c r="B15" t="s">
        <v>3810</v>
      </c>
      <c r="C15" t="s">
        <v>806</v>
      </c>
      <c r="D15" t="s">
        <v>1152</v>
      </c>
      <c r="E15" t="s">
        <v>804</v>
      </c>
      <c r="F15" t="s">
        <v>1125</v>
      </c>
      <c r="G15" t="s">
        <v>2350</v>
      </c>
      <c r="I15">
        <f>_xlfn.XLOOKUP($F15,設計座標!$E$13:$E$2301,設計座標!$G$13:$G$2301,"n/a",0,1)</f>
        <v>-3.811515200000001</v>
      </c>
      <c r="J15">
        <f>_xlfn.XLOOKUP($F15,設計座標!$E$13:$E$2301,設計座標!$H$13:$H$2301,"n/a",0,1)</f>
        <v>-2949.6761000000001</v>
      </c>
      <c r="K15">
        <f>_xlfn.XLOOKUP($F15,設計座標!$E$13:$E$2301,設計座標!$I$13:$I$2301,"n/a",0,1)</f>
        <v>-9209.3248999999996</v>
      </c>
      <c r="L15">
        <f>_xlfn.XLOOKUP($F15,設計座標!$E$13:$E$2301,設計座標!$J$13:$J$2301,"n/a",0,1)</f>
        <v>-160</v>
      </c>
      <c r="M15" s="2">
        <f t="shared" ref="M15:M22" si="1">J15</f>
        <v>-2949.6761000000001</v>
      </c>
      <c r="N15" s="2">
        <f t="shared" ref="N15:O22" si="2">K15</f>
        <v>-9209.3248999999996</v>
      </c>
      <c r="O15" s="23">
        <f t="shared" si="2"/>
        <v>-160</v>
      </c>
      <c r="P15" s="1">
        <f t="shared" ref="P15:P81" si="3">$L15+$T15</f>
        <v>-159.06959219873738</v>
      </c>
      <c r="Q15">
        <f t="shared" ref="Q15:Q22" si="4">$M15-$J15</f>
        <v>0</v>
      </c>
      <c r="R15">
        <f t="shared" ref="R15:R22" si="5">$N15-$K15</f>
        <v>0</v>
      </c>
      <c r="S15" s="23">
        <f t="shared" ref="S15:S22" si="6">$O15-$L15</f>
        <v>0</v>
      </c>
      <c r="T15">
        <f>$S15+測地線補正!$Q$3*(lattice!$N15/1000)^3+測地線補正!$P$3*(lattice!$N15/1000)^2+測地線補正!$O$3*(lattice!$N15/1000)+測地線補正!$N$3</f>
        <v>0.93040780126262101</v>
      </c>
      <c r="U15">
        <v>0</v>
      </c>
      <c r="V15">
        <v>0</v>
      </c>
      <c r="W15">
        <v>0</v>
      </c>
      <c r="X15">
        <f>$Z$14-($Y$14+$Y$13)/2</f>
        <v>560.01840000000004</v>
      </c>
      <c r="Y15">
        <f>_xlfn.XLOOKUP($F15,設計座標!$E$13:$E$2301,設計座標!$L$13:$L$2301," ",0,1)</f>
        <v>68</v>
      </c>
      <c r="Z15">
        <v>594.01840000000004</v>
      </c>
      <c r="AA15">
        <f>_xlfn.XLOOKUP($G15,magnet_list!$A$2:$A$592,magnet_list!$AJ$2:$AJ$592,"n/a",0,1)</f>
        <v>8.039700000000001E-2</v>
      </c>
      <c r="AB15">
        <f>_xlfn.XLOOKUP($G15,magnet_list!$A$2:$A$592,magnet_list!$L$2:$L$592,"n/a",0,1)</f>
        <v>80</v>
      </c>
    </row>
    <row r="16" spans="1:30">
      <c r="A16" t="s">
        <v>800</v>
      </c>
      <c r="B16" t="s">
        <v>3810</v>
      </c>
      <c r="C16" t="s">
        <v>1152</v>
      </c>
      <c r="D16" t="s">
        <v>1152</v>
      </c>
      <c r="E16" t="s">
        <v>804</v>
      </c>
      <c r="F16" t="s">
        <v>1940</v>
      </c>
      <c r="G16" t="s">
        <v>1940</v>
      </c>
      <c r="I16">
        <f>_xlfn.XLOOKUP($F16,設計座標!$E$13:$E$2301,設計座標!$G$13:$G$2301,"n/a",0,1)</f>
        <v>-3.462415200000001</v>
      </c>
      <c r="J16">
        <f>_xlfn.XLOOKUP($F16,設計座標!$E$13:$E$2301,設計座標!$H$13:$H$2301,"n/a",0,1)</f>
        <v>-2600.5761000000002</v>
      </c>
      <c r="K16">
        <f>_xlfn.XLOOKUP($F16,設計座標!$E$13:$E$2301,設計座標!$I$13:$I$2301,"n/a",0,1)</f>
        <v>-9209.3248999999996</v>
      </c>
      <c r="L16">
        <f>_xlfn.XLOOKUP($F16,設計座標!$E$13:$E$2301,設計座標!$J$13:$J$2301,"n/a",0,1)</f>
        <v>-270</v>
      </c>
      <c r="M16" s="2">
        <f t="shared" si="1"/>
        <v>-2600.5761000000002</v>
      </c>
      <c r="N16" s="2">
        <f t="shared" si="2"/>
        <v>-9209.3248999999996</v>
      </c>
      <c r="O16" s="23">
        <f t="shared" si="2"/>
        <v>-270</v>
      </c>
      <c r="P16" s="1">
        <f t="shared" si="3"/>
        <v>-269.06959219873738</v>
      </c>
      <c r="Q16">
        <f t="shared" si="4"/>
        <v>0</v>
      </c>
      <c r="R16">
        <f t="shared" si="5"/>
        <v>0</v>
      </c>
      <c r="S16" s="23">
        <f t="shared" si="6"/>
        <v>0</v>
      </c>
      <c r="T16">
        <f>$S16+測地線補正!$Q$3*(lattice!$N16/1000)^3+測地線補正!$P$3*(lattice!$N16/1000)^2+測地線補正!$O$3*(lattice!$N16/1000)+測地線補正!$N$3</f>
        <v>0.93040780126262101</v>
      </c>
      <c r="U16">
        <v>0</v>
      </c>
      <c r="V16">
        <v>0</v>
      </c>
      <c r="W16">
        <v>0</v>
      </c>
      <c r="X16">
        <f>$Z$16-($Y$16+$Y$15)/2</f>
        <v>315.09999999999991</v>
      </c>
      <c r="Y16">
        <f>_xlfn.XLOOKUP($F16,設計座標!$E$13:$E$2301,設計座標!$L$13:$L$2301," ",0,1)</f>
        <v>0</v>
      </c>
      <c r="Z16">
        <f>SQRT(($M$16-$M$15)^2+($N$16-$N$15)^2)</f>
        <v>349.09999999999991</v>
      </c>
    </row>
    <row r="17" spans="1:30">
      <c r="A17" t="s">
        <v>800</v>
      </c>
      <c r="B17" t="s">
        <v>3810</v>
      </c>
      <c r="C17" t="s">
        <v>1152</v>
      </c>
      <c r="D17" t="s">
        <v>1152</v>
      </c>
      <c r="E17" t="s">
        <v>804</v>
      </c>
      <c r="F17" t="s">
        <v>1939</v>
      </c>
      <c r="G17" t="s">
        <v>1939</v>
      </c>
      <c r="I17">
        <f>_xlfn.XLOOKUP($F17,設計座標!$E$13:$E$2301,設計座標!$G$13:$G$2301,"n/a",0,1)</f>
        <v>-3.355915200000001</v>
      </c>
      <c r="J17">
        <f>_xlfn.XLOOKUP($F17,設計座標!$E$13:$E$2301,設計座標!$H$13:$H$2301,"n/a",0,1)</f>
        <v>-2494.0761000000002</v>
      </c>
      <c r="K17">
        <f>_xlfn.XLOOKUP($F17,設計座標!$E$13:$E$2301,設計座標!$I$13:$I$2301,"n/a",0,1)</f>
        <v>-9209.3248999999996</v>
      </c>
      <c r="L17">
        <f>_xlfn.XLOOKUP($F17,設計座標!$E$13:$E$2301,設計座標!$J$13:$J$2301,"n/a",0,1)</f>
        <v>-270</v>
      </c>
      <c r="M17" s="2">
        <f t="shared" si="1"/>
        <v>-2494.0761000000002</v>
      </c>
      <c r="N17" s="2">
        <f t="shared" si="2"/>
        <v>-9209.3248999999996</v>
      </c>
      <c r="O17" s="23">
        <f t="shared" si="2"/>
        <v>-270</v>
      </c>
      <c r="P17" s="1">
        <f t="shared" si="3"/>
        <v>-269.06959219873738</v>
      </c>
      <c r="Q17">
        <f t="shared" si="4"/>
        <v>0</v>
      </c>
      <c r="R17">
        <f t="shared" si="5"/>
        <v>0</v>
      </c>
      <c r="S17" s="23">
        <f t="shared" si="6"/>
        <v>0</v>
      </c>
      <c r="T17">
        <f>$S17+測地線補正!$Q$3*(lattice!$N17/1000)^3+測地線補正!$P$3*(lattice!$N17/1000)^2+測地線補正!$O$3*(lattice!$N17/1000)+測地線補正!$N$3</f>
        <v>0.93040780126262101</v>
      </c>
      <c r="U17">
        <v>0</v>
      </c>
      <c r="V17">
        <v>0</v>
      </c>
      <c r="W17">
        <v>0</v>
      </c>
      <c r="X17">
        <f>$Z$17-($Y$17+$Y$16)/2</f>
        <v>106.5</v>
      </c>
      <c r="Y17">
        <f>_xlfn.XLOOKUP($F17,設計座標!$E$13:$E$2301,設計座標!$L$13:$L$2301," ",0,1)</f>
        <v>0</v>
      </c>
      <c r="Z17">
        <f>SQRT(($M$17-$M$16)^2+($N$17-$N$16)^2)</f>
        <v>106.5</v>
      </c>
    </row>
    <row r="18" spans="1:30">
      <c r="A18" t="s">
        <v>800</v>
      </c>
      <c r="B18" t="s">
        <v>3810</v>
      </c>
      <c r="C18" t="s">
        <v>805</v>
      </c>
      <c r="D18" t="s">
        <v>1152</v>
      </c>
      <c r="E18" t="s">
        <v>804</v>
      </c>
      <c r="F18" t="s">
        <v>1126</v>
      </c>
      <c r="G18" t="s">
        <v>2351</v>
      </c>
      <c r="I18">
        <f>_xlfn.XLOOKUP($F18,設計座標!$E$13:$E$2301,設計座標!$G$13:$G$2301,"n/a",0,1)</f>
        <v>-3.2999152000000009</v>
      </c>
      <c r="J18">
        <f>_xlfn.XLOOKUP($F18,設計座標!$E$13:$E$2301,設計座標!$H$13:$H$2301,"n/a",0,1)</f>
        <v>-2438.0761000000002</v>
      </c>
      <c r="K18">
        <f>_xlfn.XLOOKUP($F18,設計座標!$E$13:$E$2301,設計座標!$I$13:$I$2301,"n/a",0,1)</f>
        <v>-9209.3248999999996</v>
      </c>
      <c r="L18">
        <f>_xlfn.XLOOKUP($F18,設計座標!$E$13:$E$2301,設計座標!$J$13:$J$2301,"n/a",0,1)</f>
        <v>-125</v>
      </c>
      <c r="M18" s="2">
        <f t="shared" si="1"/>
        <v>-2438.0761000000002</v>
      </c>
      <c r="N18" s="2">
        <f t="shared" si="2"/>
        <v>-9209.3248999999996</v>
      </c>
      <c r="O18" s="23">
        <f t="shared" si="2"/>
        <v>-125</v>
      </c>
      <c r="P18" s="1">
        <f t="shared" si="3"/>
        <v>-124.06959219873738</v>
      </c>
      <c r="Q18">
        <f t="shared" si="4"/>
        <v>0</v>
      </c>
      <c r="R18">
        <f t="shared" si="5"/>
        <v>0</v>
      </c>
      <c r="S18" s="23">
        <f t="shared" si="6"/>
        <v>0</v>
      </c>
      <c r="T18">
        <f>$S18+測地線補正!$Q$3*(lattice!$N18/1000)^3+測地線補正!$P$3*(lattice!$N18/1000)^2+測地線補正!$O$3*(lattice!$N18/1000)+測地線補正!$N$3</f>
        <v>0.93040780126262101</v>
      </c>
      <c r="U18">
        <v>0</v>
      </c>
      <c r="V18">
        <v>0</v>
      </c>
      <c r="W18">
        <v>0</v>
      </c>
      <c r="X18">
        <f>$Z$18-($Y$18+$Y$17)/2</f>
        <v>31</v>
      </c>
      <c r="Y18">
        <f>_xlfn.XLOOKUP($F18,設計座標!$E$13:$E$2301,設計座標!$L$13:$L$2301," ",0,1)</f>
        <v>50</v>
      </c>
      <c r="Z18">
        <f>SQRT(($M$18-$M$17)^2+($N$18-$N$17)^2)</f>
        <v>56</v>
      </c>
      <c r="AA18">
        <f>_xlfn.XLOOKUP($G18,magnet_list!$A$2:$A$592,magnet_list!$AJ$2:$AJ$592,"n/a",0,1)</f>
        <v>7.478499999999999E-2</v>
      </c>
      <c r="AB18">
        <f>_xlfn.XLOOKUP($G18,magnet_list!$A$2:$A$592,magnet_list!$L$2:$L$592,"n/a",0,1)</f>
        <v>44</v>
      </c>
    </row>
    <row r="19" spans="1:30">
      <c r="A19" t="s">
        <v>800</v>
      </c>
      <c r="B19" t="s">
        <v>3810</v>
      </c>
      <c r="C19" t="s">
        <v>805</v>
      </c>
      <c r="D19" t="s">
        <v>1152</v>
      </c>
      <c r="E19" t="s">
        <v>804</v>
      </c>
      <c r="F19" t="s">
        <v>1127</v>
      </c>
      <c r="G19" t="s">
        <v>2352</v>
      </c>
      <c r="I19">
        <f>_xlfn.XLOOKUP($F19,設計座標!$E$13:$E$2301,設計座標!$G$13:$G$2301,"n/a",0,1)</f>
        <v>-3.149915200000001</v>
      </c>
      <c r="J19">
        <f>_xlfn.XLOOKUP($F19,設計座標!$E$13:$E$2301,設計座標!$H$13:$H$2301,"n/a",0,1)</f>
        <v>-2288.0761000000002</v>
      </c>
      <c r="K19">
        <f>_xlfn.XLOOKUP($F19,設計座標!$E$13:$E$2301,設計座標!$I$13:$I$2301,"n/a",0,1)</f>
        <v>-9209.3248999999996</v>
      </c>
      <c r="L19">
        <f>_xlfn.XLOOKUP($F19,設計座標!$E$13:$E$2301,設計座標!$J$13:$J$2301,"n/a",0,1)</f>
        <v>-125</v>
      </c>
      <c r="M19" s="2">
        <f t="shared" si="1"/>
        <v>-2288.0761000000002</v>
      </c>
      <c r="N19" s="2">
        <f t="shared" si="2"/>
        <v>-9209.3248999999996</v>
      </c>
      <c r="O19" s="23">
        <f t="shared" si="2"/>
        <v>-125</v>
      </c>
      <c r="P19" s="1">
        <f t="shared" si="3"/>
        <v>-124.06959219873738</v>
      </c>
      <c r="Q19">
        <f t="shared" si="4"/>
        <v>0</v>
      </c>
      <c r="R19">
        <f t="shared" si="5"/>
        <v>0</v>
      </c>
      <c r="S19" s="23">
        <f t="shared" si="6"/>
        <v>0</v>
      </c>
      <c r="T19">
        <f>$S19+測地線補正!$Q$3*(lattice!$N19/1000)^3+測地線補正!$P$3*(lattice!$N19/1000)^2+測地線補正!$O$3*(lattice!$N19/1000)+測地線補正!$N$3</f>
        <v>0.93040780126262101</v>
      </c>
      <c r="U19">
        <v>0</v>
      </c>
      <c r="V19">
        <v>0</v>
      </c>
      <c r="W19">
        <v>0</v>
      </c>
      <c r="X19">
        <f>$Z$19-($Y$19+$Y$18)/2</f>
        <v>100</v>
      </c>
      <c r="Y19">
        <f>_xlfn.XLOOKUP($F19,設計座標!$E$13:$E$2301,設計座標!$L$13:$L$2301," ",0,1)</f>
        <v>50</v>
      </c>
      <c r="Z19">
        <f>SQRT(($M$19-$M$18)^2+($N$19-$N$18)^2)</f>
        <v>150</v>
      </c>
      <c r="AA19">
        <f>_xlfn.XLOOKUP($G19,magnet_list!$A$2:$A$592,magnet_list!$AJ$2:$AJ$592,"n/a",0,1)</f>
        <v>7.478499999999999E-2</v>
      </c>
      <c r="AB19">
        <f>_xlfn.XLOOKUP($G19,magnet_list!$A$2:$A$592,magnet_list!$L$2:$L$592,"n/a",0,1)</f>
        <v>44</v>
      </c>
    </row>
    <row r="20" spans="1:30">
      <c r="A20" t="s">
        <v>800</v>
      </c>
      <c r="B20" t="s">
        <v>3810</v>
      </c>
      <c r="C20" t="s">
        <v>806</v>
      </c>
      <c r="D20" t="s">
        <v>1152</v>
      </c>
      <c r="E20" t="s">
        <v>804</v>
      </c>
      <c r="F20" t="s">
        <v>1128</v>
      </c>
      <c r="G20" t="s">
        <v>2353</v>
      </c>
      <c r="I20">
        <f>_xlfn.XLOOKUP($F20,設計座標!$E$13:$E$2301,設計座標!$G$13:$G$2301,"n/a",0,1)</f>
        <v>-2.9909152000000012</v>
      </c>
      <c r="J20">
        <f>_xlfn.XLOOKUP($F20,設計座標!$E$13:$E$2301,設計座標!$H$13:$H$2301,"n/a",0,1)</f>
        <v>-2129.0761000000002</v>
      </c>
      <c r="K20">
        <f>_xlfn.XLOOKUP($F20,設計座標!$E$13:$E$2301,設計座標!$I$13:$I$2301,"n/a",0,1)</f>
        <v>-9209.3248999999996</v>
      </c>
      <c r="L20">
        <f>_xlfn.XLOOKUP($F20,設計座標!$E$13:$E$2301,設計座標!$J$13:$J$2301,"n/a",0,1)</f>
        <v>-160</v>
      </c>
      <c r="M20" s="2">
        <f t="shared" si="1"/>
        <v>-2129.0761000000002</v>
      </c>
      <c r="N20" s="2">
        <f t="shared" si="2"/>
        <v>-9209.3248999999996</v>
      </c>
      <c r="O20" s="23">
        <f t="shared" si="2"/>
        <v>-160</v>
      </c>
      <c r="P20" s="1">
        <f t="shared" si="3"/>
        <v>-159.06959219873738</v>
      </c>
      <c r="Q20">
        <f t="shared" si="4"/>
        <v>0</v>
      </c>
      <c r="R20">
        <f t="shared" si="5"/>
        <v>0</v>
      </c>
      <c r="S20" s="23">
        <f t="shared" si="6"/>
        <v>0</v>
      </c>
      <c r="T20">
        <f>$S20+測地線補正!$Q$3*(lattice!$N20/1000)^3+測地線補正!$P$3*(lattice!$N20/1000)^2+測地線補正!$O$3*(lattice!$N20/1000)+測地線補正!$N$3</f>
        <v>0.93040780126262101</v>
      </c>
      <c r="U20">
        <v>0</v>
      </c>
      <c r="V20">
        <v>0</v>
      </c>
      <c r="W20">
        <v>0</v>
      </c>
      <c r="X20">
        <f>$Z$20-($Y$20+$Y$19)/2</f>
        <v>100</v>
      </c>
      <c r="Y20">
        <f>_xlfn.XLOOKUP($F20,設計座標!$E$13:$E$2301,設計座標!$L$13:$L$2301," ",0,1)</f>
        <v>68</v>
      </c>
      <c r="Z20">
        <f>SQRT(($M$20-$M$19)^2+($N$20-$N$19)^2)</f>
        <v>159</v>
      </c>
      <c r="AA20">
        <f>_xlfn.XLOOKUP($G20,magnet_list!$A$2:$A$592,magnet_list!$AJ$2:$AJ$592,"n/a",0,1)</f>
        <v>8.039700000000001E-2</v>
      </c>
      <c r="AB20">
        <f>_xlfn.XLOOKUP($G20,magnet_list!$A$2:$A$592,magnet_list!$L$2:$L$592,"n/a",0,1)</f>
        <v>80</v>
      </c>
    </row>
    <row r="21" spans="1:30">
      <c r="A21" t="s">
        <v>800</v>
      </c>
      <c r="B21" t="s">
        <v>3810</v>
      </c>
      <c r="C21" t="s">
        <v>806</v>
      </c>
      <c r="D21" t="s">
        <v>1152</v>
      </c>
      <c r="E21" t="s">
        <v>804</v>
      </c>
      <c r="F21" t="s">
        <v>1129</v>
      </c>
      <c r="G21" t="s">
        <v>2354</v>
      </c>
      <c r="I21">
        <f>_xlfn.XLOOKUP($F21,設計座標!$E$13:$E$2301,設計座標!$G$13:$G$2301,"n/a",0,1)</f>
        <v>-2.9909152000000012</v>
      </c>
      <c r="J21">
        <f>_xlfn.XLOOKUP($F21,設計座標!$E$13:$E$2301,設計座標!$H$13:$H$2301,"n/a",0,1)</f>
        <v>-2129.0761000000002</v>
      </c>
      <c r="K21">
        <f>_xlfn.XLOOKUP($F21,設計座標!$E$13:$E$2301,設計座標!$I$13:$I$2301,"n/a",0,1)</f>
        <v>-9209.3248999999996</v>
      </c>
      <c r="L21">
        <f>_xlfn.XLOOKUP($F21,設計座標!$E$13:$E$2301,設計座標!$J$13:$J$2301,"n/a",0,1)</f>
        <v>-160</v>
      </c>
      <c r="M21" s="2">
        <f t="shared" si="1"/>
        <v>-2129.0761000000002</v>
      </c>
      <c r="N21" s="2">
        <f t="shared" si="2"/>
        <v>-9209.3248999999996</v>
      </c>
      <c r="O21" s="23">
        <f t="shared" si="2"/>
        <v>-160</v>
      </c>
      <c r="P21" s="1">
        <f t="shared" si="3"/>
        <v>-159.06959219873738</v>
      </c>
      <c r="Q21">
        <f t="shared" si="4"/>
        <v>0</v>
      </c>
      <c r="R21">
        <f t="shared" si="5"/>
        <v>0</v>
      </c>
      <c r="S21" s="23">
        <f t="shared" si="6"/>
        <v>0</v>
      </c>
      <c r="T21">
        <f>$S21+測地線補正!$Q$3*(lattice!$N21/1000)^3+測地線補正!$P$3*(lattice!$N21/1000)^2+測地線補正!$O$3*(lattice!$N21/1000)+測地線補正!$N$3</f>
        <v>0.93040780126262101</v>
      </c>
      <c r="U21">
        <v>0</v>
      </c>
      <c r="V21">
        <v>0</v>
      </c>
      <c r="W21">
        <v>0</v>
      </c>
      <c r="X21">
        <f>$Z$21-($Y$21+$Y$20)/2</f>
        <v>91</v>
      </c>
      <c r="Y21">
        <f>_xlfn.XLOOKUP($F21,設計座標!$E$13:$E$2301,設計座標!$L$13:$L$2301," ",0,1)</f>
        <v>68</v>
      </c>
      <c r="Z21">
        <f>SQRT(($M$21-$M$19)^2+($N$21-$N$19)^2)</f>
        <v>159</v>
      </c>
      <c r="AA21">
        <f>_xlfn.XLOOKUP($G21,magnet_list!$A$2:$A$592,magnet_list!$AJ$2:$AJ$592,"n/a",0,1)</f>
        <v>8.039700000000001E-2</v>
      </c>
      <c r="AB21">
        <f>_xlfn.XLOOKUP($G21,magnet_list!$A$2:$A$592,magnet_list!$L$2:$L$592,"n/a",0,1)</f>
        <v>80</v>
      </c>
    </row>
    <row r="22" spans="1:30">
      <c r="A22" t="s">
        <v>800</v>
      </c>
      <c r="B22" t="s">
        <v>3810</v>
      </c>
      <c r="C22" t="s">
        <v>805</v>
      </c>
      <c r="D22" t="s">
        <v>1152</v>
      </c>
      <c r="E22" t="s">
        <v>804</v>
      </c>
      <c r="F22" t="s">
        <v>1130</v>
      </c>
      <c r="G22" t="s">
        <v>2355</v>
      </c>
      <c r="I22">
        <f>_xlfn.XLOOKUP($F22,設計座標!$E$13:$E$2301,設計座標!$G$13:$G$2301,"n/a",0,1)</f>
        <v>-2.5606721500000011</v>
      </c>
      <c r="J22">
        <f>_xlfn.XLOOKUP($F22,設計座標!$E$13:$E$2301,設計座標!$H$13:$H$2301,"n/a",0,1)</f>
        <v>-1703.8408999999999</v>
      </c>
      <c r="K22">
        <f>_xlfn.XLOOKUP($F22,設計座標!$E$13:$E$2301,設計座標!$I$13:$I$2301,"n/a",0,1)</f>
        <v>-9171.2646999999997</v>
      </c>
      <c r="L22">
        <f>_xlfn.XLOOKUP($F22,設計座標!$E$13:$E$2301,設計座標!$J$13:$J$2301,"n/a",0,1)</f>
        <v>-125</v>
      </c>
      <c r="M22" s="2">
        <f t="shared" si="1"/>
        <v>-1703.8408999999999</v>
      </c>
      <c r="N22" s="2">
        <f t="shared" si="2"/>
        <v>-9171.2646999999997</v>
      </c>
      <c r="O22" s="23">
        <f t="shared" si="2"/>
        <v>-125</v>
      </c>
      <c r="P22" s="1">
        <f t="shared" si="3"/>
        <v>-124.07355085093646</v>
      </c>
      <c r="Q22">
        <f t="shared" si="4"/>
        <v>0</v>
      </c>
      <c r="R22">
        <f t="shared" si="5"/>
        <v>0</v>
      </c>
      <c r="S22" s="23">
        <f t="shared" si="6"/>
        <v>0</v>
      </c>
      <c r="T22">
        <f>$S22+測地線補正!$Q$3*(lattice!$N22/1000)^3+測地線補正!$P$3*(lattice!$N22/1000)^2+測地線補正!$O$3*(lattice!$N22/1000)+測地線補正!$N$3</f>
        <v>0.9264491490635437</v>
      </c>
      <c r="U22">
        <v>0</v>
      </c>
      <c r="V22">
        <v>0</v>
      </c>
      <c r="W22">
        <v>0</v>
      </c>
      <c r="X22">
        <f>$Z$22-($Y$22+$Y$21)/2</f>
        <v>358.89280000000008</v>
      </c>
      <c r="Y22">
        <f>_xlfn.XLOOKUP($F22,設計座標!$E$13:$E$2301,設計座標!$L$13:$L$2301," ",0,1)</f>
        <v>392.70049999999998</v>
      </c>
      <c r="Z22">
        <f>392.8928+392.7005/2</f>
        <v>589.24305000000004</v>
      </c>
      <c r="AA22">
        <f>_xlfn.XLOOKUP($G22,magnet_list!$A$2:$A$592,magnet_list!$AJ$2:$AJ$592,"n/a",0,1)</f>
        <v>0.4229</v>
      </c>
      <c r="AB22">
        <f>_xlfn.XLOOKUP($G22,magnet_list!$A$2:$A$592,magnet_list!$L$2:$L$592,"n/a",0,1)</f>
        <v>30</v>
      </c>
      <c r="AD22" t="s">
        <v>3831</v>
      </c>
    </row>
    <row r="23" spans="1:30">
      <c r="A23" t="s">
        <v>798</v>
      </c>
      <c r="B23" t="s">
        <v>3810</v>
      </c>
      <c r="C23" t="s">
        <v>1152</v>
      </c>
      <c r="D23" t="s">
        <v>1152</v>
      </c>
      <c r="E23" t="s">
        <v>804</v>
      </c>
      <c r="F23" t="s">
        <v>1928</v>
      </c>
      <c r="G23" t="s">
        <v>1928</v>
      </c>
      <c r="I23">
        <f>_xlfn.XLOOKUP($F23,設計座標!$E$13:$E$2301,設計座標!$G$13:$G$2301,"n/a",0,1)</f>
        <v>-2.6197771756314507</v>
      </c>
      <c r="J23">
        <f>_xlfn.XLOOKUP($F23,設計座標!$E$13:$E$2301,設計座標!$H$13:$H$2301,"n/a",0,1)</f>
        <v>0</v>
      </c>
      <c r="K23">
        <f>_xlfn.XLOOKUP($F23,設計座標!$E$13:$E$2301,設計座標!$I$13:$I$2301,"n/a",0,1)</f>
        <v>-9862.4182924699999</v>
      </c>
      <c r="L23">
        <f>_xlfn.XLOOKUP($F23,設計座標!$E$13:$E$2301,設計座標!$J$13:$J$2301,"n/a",0,1)</f>
        <v>480</v>
      </c>
      <c r="M23" s="2">
        <f t="shared" ref="M23:M24" si="7">$J23+$Q23</f>
        <v>0.17967065016144906</v>
      </c>
      <c r="N23" s="2">
        <f>K23</f>
        <v>-9862.4182924699999</v>
      </c>
      <c r="O23" s="23">
        <f>$L23+$S23</f>
        <v>477.32357063347268</v>
      </c>
      <c r="P23" s="1">
        <f t="shared" si="3"/>
        <v>478.32221739410329</v>
      </c>
      <c r="Q23" s="1">
        <f>(Q$28-Q$25)/($N$28-$N$25)*($N23-$N$25)+Q$25</f>
        <v>0.17967065016144906</v>
      </c>
      <c r="R23">
        <f>$N23-$K23</f>
        <v>0</v>
      </c>
      <c r="S23" s="23">
        <f>(S$28-S$25)/($N$28-$N$25)*($N23-$N$25)+S$25</f>
        <v>-2.6764293665273313</v>
      </c>
      <c r="T23">
        <f>$S23+測地線補正!$Q$3*(lattice!$N23/1000)^3+測地線補正!$P$3*(lattice!$N23/1000)^2+測地線補正!$O$3*(lattice!$N23/1000)+測地線補正!$N$3</f>
        <v>-1.6777826058966909</v>
      </c>
      <c r="U23">
        <v>0</v>
      </c>
      <c r="V23">
        <v>0</v>
      </c>
      <c r="W23">
        <v>0</v>
      </c>
      <c r="X23">
        <v>0</v>
      </c>
      <c r="Y23">
        <f>_xlfn.XLOOKUP($F23,設計座標!$E$13:$E$2301,設計座標!$L$13:$L$2301," ",0,1)</f>
        <v>0</v>
      </c>
      <c r="Z23">
        <v>0</v>
      </c>
    </row>
    <row r="24" spans="1:30">
      <c r="A24" t="s">
        <v>798</v>
      </c>
      <c r="B24" t="s">
        <v>3810</v>
      </c>
      <c r="C24" t="s">
        <v>805</v>
      </c>
      <c r="D24" t="s">
        <v>1152</v>
      </c>
      <c r="E24" t="s">
        <v>804</v>
      </c>
      <c r="F24" t="s">
        <v>1146</v>
      </c>
      <c r="G24" t="s">
        <v>1851</v>
      </c>
      <c r="I24">
        <f>_xlfn.XLOOKUP($F24,設計座標!$E$13:$E$2301,設計座標!$G$13:$G$2301,"n/a",0,1)</f>
        <v>-2.5382771756314506</v>
      </c>
      <c r="J24">
        <f>_xlfn.XLOOKUP($F24,設計座標!$E$13:$E$2301,設計座標!$H$13:$H$2301,"n/a",0,1)</f>
        <v>0</v>
      </c>
      <c r="K24">
        <f>_xlfn.XLOOKUP($F24,設計座標!$E$13:$E$2301,設計座標!$I$13:$I$2301,"n/a",0,1)</f>
        <v>-9780.9182924699999</v>
      </c>
      <c r="L24">
        <f>_xlfn.XLOOKUP($F24,設計座標!$E$13:$E$2301,設計座標!$J$13:$J$2301,"n/a",0,1)</f>
        <v>642</v>
      </c>
      <c r="M24" s="2">
        <f t="shared" si="7"/>
        <v>0.17025481297311307</v>
      </c>
      <c r="N24" s="2">
        <f>K24</f>
        <v>-9780.9182924699999</v>
      </c>
      <c r="O24" s="23">
        <f>$L24+$S24</f>
        <v>639.31587707540189</v>
      </c>
      <c r="P24" s="1">
        <f t="shared" si="3"/>
        <v>640.30597608101834</v>
      </c>
      <c r="Q24" s="1">
        <f>(Q$28-Q$25)/($N$28-$N$25)*($N24-$N$25)+Q$25</f>
        <v>0.17025481297311307</v>
      </c>
      <c r="R24">
        <f t="shared" ref="R24:R32" si="8">$N24-$K24</f>
        <v>0</v>
      </c>
      <c r="S24" s="23">
        <f>(S$28-S$25)/($N$28-$N$25)*($N24-$N$25)+S$25</f>
        <v>-2.6841229245980696</v>
      </c>
      <c r="T24">
        <f>$S24+測地線補正!$Q$3*(lattice!$N24/1000)^3+測地線補正!$P$3*(lattice!$N24/1000)^2+測地線補正!$O$3*(lattice!$N24/1000)+測地線補正!$N$3</f>
        <v>-1.6940239189817115</v>
      </c>
      <c r="U24">
        <v>0</v>
      </c>
      <c r="V24">
        <v>0</v>
      </c>
      <c r="W24">
        <v>0</v>
      </c>
      <c r="X24">
        <f>$Z$24-($Y$24+$Y$23)/2</f>
        <v>56.500000543914041</v>
      </c>
      <c r="Y24">
        <f>_xlfn.XLOOKUP($F24,設計座標!$E$13:$E$2301,設計座標!$L$13:$L$2301," ",0,1)</f>
        <v>50</v>
      </c>
      <c r="Z24">
        <f>SQRT(($M$24-$M$23)^2+($N$24-$N$23)^2)</f>
        <v>81.500000543914041</v>
      </c>
      <c r="AA24">
        <f>_xlfn.XLOOKUP($G24,magnet_list!$A$2:$A$592,magnet_list!$AJ$2:$AJ$592,"n/a",0,1)</f>
        <v>7.2499999999999995E-2</v>
      </c>
      <c r="AB24">
        <f>_xlfn.XLOOKUP($G24,magnet_list!$A$2:$A$592,magnet_list!$L$2:$L$592,"n/a",0,1)</f>
        <v>44</v>
      </c>
    </row>
    <row r="25" spans="1:30">
      <c r="A25" t="s">
        <v>798</v>
      </c>
      <c r="B25" t="s">
        <v>3810</v>
      </c>
      <c r="C25" t="s">
        <v>805</v>
      </c>
      <c r="D25" t="s">
        <v>806</v>
      </c>
      <c r="F25" t="s">
        <v>487</v>
      </c>
      <c r="G25" t="s">
        <v>487</v>
      </c>
      <c r="I25">
        <f>_xlfn.XLOOKUP($F25,設計座標!$E$13:$E$2301,設計座標!$G$13:$G$2301,"n/a",0,1)</f>
        <v>-2.393277175631451</v>
      </c>
      <c r="J25">
        <f>_xlfn.XLOOKUP($F25,設計座標!$E$13:$E$2301,設計座標!$H$13:$H$2301,"n/a",0,1)</f>
        <v>0</v>
      </c>
      <c r="K25">
        <f>_xlfn.XLOOKUP($F25,設計座標!$E$13:$E$2301,設計座標!$I$13:$I$2301,"n/a",0,1)</f>
        <v>-9635.9182924699999</v>
      </c>
      <c r="L25">
        <f>_xlfn.XLOOKUP($F25,設計座標!$E$13:$E$2301,設計座標!$J$13:$J$2301,"n/a",0,1)</f>
        <v>642</v>
      </c>
      <c r="M25" s="2">
        <f>_xlfn.XLOOKUP($F25,survey_data!$A$2:$A$833,survey_data!$B$2:$B$833,"n/a",0,1)</f>
        <v>0.15350270999999999</v>
      </c>
      <c r="N25" s="2">
        <f>_xlfn.XLOOKUP($F25,survey_data!$A$2:$A$833,survey_data!$C$2:$C$833,"n/a",0,1)</f>
        <v>-9635.9182924699999</v>
      </c>
      <c r="O25" s="23">
        <f>_xlfn.XLOOKUP($F25,survey_data!$A$2:$A$833,survey_data!$D$2:$D$833,"n/a",0,1)</f>
        <v>639.30218915</v>
      </c>
      <c r="P25" s="1">
        <f t="shared" si="3"/>
        <v>640.27710322825578</v>
      </c>
      <c r="Q25" s="1">
        <f t="shared" ref="Q25:Q28" si="9">$M25-$J25</f>
        <v>0.15350270999999999</v>
      </c>
      <c r="R25">
        <f t="shared" si="8"/>
        <v>0</v>
      </c>
      <c r="S25" s="23">
        <f t="shared" ref="S25:S28" si="10">$O25-$L25</f>
        <v>-2.6978108499999962</v>
      </c>
      <c r="T25">
        <f>$S25+測地線補正!$Q$3*(lattice!$N25/1000)^3+測地線補正!$P$3*(lattice!$N25/1000)^2+測地線補正!$O$3*(lattice!$N25/1000)+測地線補正!$N$3</f>
        <v>-1.7228967717442478</v>
      </c>
      <c r="U25">
        <f>ATAN(($P$26-$P$25)/ABS($N$26-$N$25))</f>
        <v>-1.9900216367383186E-4</v>
      </c>
      <c r="V25">
        <v>0</v>
      </c>
      <c r="W25">
        <f>-ATAN(($M$26-$M$25)/ABS($N$26-$N$25))</f>
        <v>1.1553174412813589E-4</v>
      </c>
      <c r="X25">
        <f>$Z$26-($Y$26+$Y$24)/2</f>
        <v>100.00006779791426</v>
      </c>
      <c r="Y25">
        <f>_xlfn.XLOOKUP($F25,設計座標!$E$13:$E$2301,設計座標!$L$13:$L$2301," ",0,1)</f>
        <v>100</v>
      </c>
      <c r="Z25">
        <f>SQRT(($M$26-$M$24)^2+($N$26-$N$24)^2)</f>
        <v>175.00006779791426</v>
      </c>
      <c r="AA25">
        <f>_xlfn.XLOOKUP($G25,magnet_list!$A$2:$A$592,magnet_list!$AJ$2:$AJ$592,"n/a",0,1)</f>
        <v>0.122</v>
      </c>
      <c r="AB25">
        <f>_xlfn.XLOOKUP($G25,magnet_list!$A$2:$A$592,magnet_list!$L$2:$L$592,"n/a",0,1)</f>
        <v>44</v>
      </c>
    </row>
    <row r="26" spans="1:30">
      <c r="A26" t="s">
        <v>798</v>
      </c>
      <c r="B26" t="s">
        <v>3810</v>
      </c>
      <c r="C26" t="s">
        <v>805</v>
      </c>
      <c r="D26" t="s">
        <v>1152</v>
      </c>
      <c r="E26" t="s">
        <v>804</v>
      </c>
      <c r="F26" t="s">
        <v>1144</v>
      </c>
      <c r="G26" t="s">
        <v>487</v>
      </c>
      <c r="I26">
        <f>_xlfn.XLOOKUP($F26,設計座標!$E$13:$E$2301,設計座標!$G$13:$G$2301,"n/a",0,1)</f>
        <v>-2.3632771090014506</v>
      </c>
      <c r="J26">
        <f>_xlfn.XLOOKUP($F26,設計座標!$E$13:$E$2301,設計座標!$H$13:$H$2301,"n/a",0,1)</f>
        <v>0</v>
      </c>
      <c r="K26">
        <f>_xlfn.XLOOKUP($F26,設計座標!$E$13:$E$2301,設計座標!$I$13:$I$2301,"n/a",0,1)</f>
        <v>-9605.9182258399996</v>
      </c>
      <c r="L26">
        <f>_xlfn.XLOOKUP($F26,設計座標!$E$13:$E$2301,設計座標!$J$13:$J$2301,"n/a",0,1)</f>
        <v>642</v>
      </c>
      <c r="M26" s="2">
        <f>$J26+$Q26</f>
        <v>0.15003674996285504</v>
      </c>
      <c r="N26" s="2">
        <f>K26</f>
        <v>-9605.9182258399996</v>
      </c>
      <c r="O26" s="23">
        <f t="shared" ref="O26:O29" si="11">$L26+$S26</f>
        <v>639.29935715914428</v>
      </c>
      <c r="P26" s="1">
        <f t="shared" si="3"/>
        <v>640.27113315000724</v>
      </c>
      <c r="Q26" s="1">
        <f>(Q$28-Q$25)/($N$28-$N$25)*($N26-$N$25)+Q$25</f>
        <v>0.15003674996285504</v>
      </c>
      <c r="R26">
        <f t="shared" si="8"/>
        <v>0</v>
      </c>
      <c r="S26" s="23">
        <f>(S$28-S$25)/($N$28-$N$25)*($N26-$N$25)+S$25</f>
        <v>-2.7006428408557497</v>
      </c>
      <c r="T26">
        <f>$S26+測地線補正!$Q$3*(lattice!$N26/1000)^3+測地線補正!$P$3*(lattice!$N26/1000)^2+測地線補正!$O$3*(lattice!$N26/1000)+測地線補正!$N$3</f>
        <v>-1.7288668499927538</v>
      </c>
      <c r="U26">
        <f>ATAN(($P$26-$P$25)/ABS($N$26-$N$25))</f>
        <v>-1.9900216367383186E-4</v>
      </c>
      <c r="V26">
        <v>0</v>
      </c>
      <c r="W26">
        <f t="shared" ref="W26" si="12">-ATAN(($M$26-$M$25)/ABS($N$26-$N$25))</f>
        <v>1.1553174412813589E-4</v>
      </c>
      <c r="X26">
        <f>$Z$26-($Y$26+$Y$24)/2</f>
        <v>100.00006779791426</v>
      </c>
      <c r="Y26">
        <f>_xlfn.XLOOKUP($F26,設計座標!$E$13:$E$2301,設計座標!$L$13:$L$2301," ",0,1)</f>
        <v>100</v>
      </c>
      <c r="Z26">
        <f>SQRT(($M$26-$M$24)^2+($N$26-$N$24)^2)</f>
        <v>175.00006779791426</v>
      </c>
      <c r="AA26">
        <f>_xlfn.XLOOKUP($G26,magnet_list!$A$2:$A$592,magnet_list!$AJ$2:$AJ$592,"n/a",0,1)</f>
        <v>0.122</v>
      </c>
      <c r="AB26">
        <f>_xlfn.XLOOKUP($G26,magnet_list!$A$2:$A$592,magnet_list!$L$2:$L$592,"n/a",0,1)</f>
        <v>44</v>
      </c>
    </row>
    <row r="27" spans="1:30">
      <c r="A27" t="s">
        <v>798</v>
      </c>
      <c r="B27" t="s">
        <v>3810</v>
      </c>
      <c r="C27" t="s">
        <v>805</v>
      </c>
      <c r="D27" t="s">
        <v>1152</v>
      </c>
      <c r="E27" t="s">
        <v>804</v>
      </c>
      <c r="F27" t="s">
        <v>1145</v>
      </c>
      <c r="G27" t="s">
        <v>488</v>
      </c>
      <c r="I27">
        <f>_xlfn.XLOOKUP($F27,設計座標!$E$13:$E$2301,設計座標!$G$13:$G$2301,"n/a",0,1)</f>
        <v>-2.208470209001451</v>
      </c>
      <c r="J27">
        <f>_xlfn.XLOOKUP($F27,設計座標!$E$13:$E$2301,設計座標!$H$13:$H$2301,"n/a",0,1)</f>
        <v>0</v>
      </c>
      <c r="K27">
        <f>_xlfn.XLOOKUP($F27,設計座標!$E$13:$E$2301,設計座標!$I$13:$I$2301,"n/a",0,1)</f>
        <v>-9451.1113258400001</v>
      </c>
      <c r="L27">
        <f>_xlfn.XLOOKUP($F27,設計座標!$E$13:$E$2301,設計座標!$J$13:$J$2301,"n/a",0,1)</f>
        <v>642</v>
      </c>
      <c r="M27" s="2">
        <f>$J27+$Q27</f>
        <v>0.13215163872321081</v>
      </c>
      <c r="N27" s="2">
        <f>K27</f>
        <v>-9451.1113258400001</v>
      </c>
      <c r="O27" s="23">
        <f t="shared" si="11"/>
        <v>639.28474346742769</v>
      </c>
      <c r="P27" s="1">
        <f t="shared" si="3"/>
        <v>640.24034597662001</v>
      </c>
      <c r="Q27" s="1">
        <f>(Q$28-Q$25)/($N$28-$N$25)*($N27-$N$25)+Q$25</f>
        <v>0.13215163872321081</v>
      </c>
      <c r="R27">
        <f t="shared" si="8"/>
        <v>0</v>
      </c>
      <c r="S27" s="23">
        <f>(S$28-S$25)/($N$28-$N$25)*($N27-$N$25)+S$25</f>
        <v>-2.7152565325723259</v>
      </c>
      <c r="T27">
        <f>$S27+測地線補正!$Q$3*(lattice!$N27/1000)^3+測地線補正!$P$3*(lattice!$N27/1000)^2+測地線補正!$O$3*(lattice!$N27/1000)+測地線補正!$N$3</f>
        <v>-1.7596540233800173</v>
      </c>
      <c r="U27">
        <f>ATAN(($P$28-$P$27)/ABS($N$28-$N$27))</f>
        <v>-1.9876457103870849E-4</v>
      </c>
      <c r="V27">
        <v>0</v>
      </c>
      <c r="W27">
        <f>-ATAN(($M$28-$M$27)/ABS($N$28-$N$27))</f>
        <v>1.1553174412813788E-4</v>
      </c>
      <c r="X27">
        <f>$Z$27-($Y$27+$Y$26)/2</f>
        <v>79.806901033148648</v>
      </c>
      <c r="Y27">
        <f>_xlfn.XLOOKUP($F27,設計座標!$E$13:$E$2301,設計座標!$L$13:$L$2301," ",0,1)</f>
        <v>50</v>
      </c>
      <c r="Z27">
        <f>SQRT(($M$27-$M$26)^2+($N$27-$N$26)^2)</f>
        <v>154.80690103314865</v>
      </c>
      <c r="AA27">
        <f>_xlfn.XLOOKUP($G27,magnet_list!$A$2:$A$592,magnet_list!$AJ$2:$AJ$592,"n/a",0,1)</f>
        <v>7.2499999999999995E-2</v>
      </c>
      <c r="AB27">
        <f>_xlfn.XLOOKUP($G27,magnet_list!$A$2:$A$592,magnet_list!$L$2:$L$592,"n/a",0,1)</f>
        <v>44</v>
      </c>
    </row>
    <row r="28" spans="1:30">
      <c r="A28" t="s">
        <v>798</v>
      </c>
      <c r="B28" t="s">
        <v>3810</v>
      </c>
      <c r="C28" t="s">
        <v>805</v>
      </c>
      <c r="D28" t="s">
        <v>806</v>
      </c>
      <c r="F28" t="s">
        <v>488</v>
      </c>
      <c r="G28" t="s">
        <v>488</v>
      </c>
      <c r="I28">
        <f>_xlfn.XLOOKUP($F28,設計座標!$E$13:$E$2301,設計座標!$G$13:$G$2301,"n/a",0,1)</f>
        <v>-2.2034702090014511</v>
      </c>
      <c r="J28">
        <f>_xlfn.XLOOKUP($F28,設計座標!$E$13:$E$2301,設計座標!$H$13:$H$2301,"n/a",0,1)</f>
        <v>0</v>
      </c>
      <c r="K28">
        <f>_xlfn.XLOOKUP($F28,設計座標!$E$13:$E$2301,設計座標!$I$13:$I$2301,"n/a",0,1)</f>
        <v>-9446.1113258400001</v>
      </c>
      <c r="L28">
        <f>_xlfn.XLOOKUP($F28,設計座標!$E$13:$E$2301,設計座標!$J$13:$J$2301,"n/a",0,1)</f>
        <v>642</v>
      </c>
      <c r="M28" s="2">
        <f>_xlfn.XLOOKUP($F28,survey_data!$A$2:$A$833,survey_data!$B$2:$B$833,"n/a",0,1)</f>
        <v>0.13157398000000001</v>
      </c>
      <c r="N28" s="2">
        <f>_xlfn.XLOOKUP($F28,survey_data!$A$2:$A$833,survey_data!$C$2:$C$833,"n/a",0,1)</f>
        <v>-9446.1113258400001</v>
      </c>
      <c r="O28" s="23">
        <f>_xlfn.XLOOKUP($F28,survey_data!$A$2:$A$833,survey_data!$D$2:$D$833,"n/a",0,1)</f>
        <v>639.28427147000002</v>
      </c>
      <c r="P28" s="1">
        <f t="shared" si="3"/>
        <v>640.23935215375172</v>
      </c>
      <c r="Q28" s="1">
        <f t="shared" si="9"/>
        <v>0.13157398000000001</v>
      </c>
      <c r="R28">
        <f t="shared" si="8"/>
        <v>0</v>
      </c>
      <c r="S28" s="23">
        <f t="shared" si="10"/>
        <v>-2.7157285299999785</v>
      </c>
      <c r="T28">
        <f>$S28+測地線補正!$Q$3*(lattice!$N28/1000)^3+測地線補正!$P$3*(lattice!$N28/1000)^2+測地線補正!$O$3*(lattice!$N28/1000)+測地線補正!$N$3</f>
        <v>-1.7606478462482347</v>
      </c>
      <c r="U28">
        <f>ATAN(($P$28-$P$27)/ABS($N$28-$N$27))</f>
        <v>-1.9876457103870849E-4</v>
      </c>
      <c r="V28">
        <v>0</v>
      </c>
      <c r="W28">
        <f>-ATAN(($M$28-$M$27)/ABS($N$28-$N$27))</f>
        <v>1.1553174412813788E-4</v>
      </c>
      <c r="X28">
        <f>$Z$27-($Y$27+$Y$26)/2</f>
        <v>79.806901033148648</v>
      </c>
      <c r="Y28">
        <f>_xlfn.XLOOKUP($F28,設計座標!$E$13:$E$2301,設計座標!$L$13:$L$2301," ",0,1)</f>
        <v>50</v>
      </c>
      <c r="Z28">
        <f>SQRT(($M$27-$M$26)^2+($N$27-$N$26)^2)</f>
        <v>154.80690103314865</v>
      </c>
      <c r="AA28">
        <f>_xlfn.XLOOKUP($G28,magnet_list!$A$2:$A$592,magnet_list!$AJ$2:$AJ$592,"n/a",0,1)</f>
        <v>7.2499999999999995E-2</v>
      </c>
      <c r="AB28">
        <f>_xlfn.XLOOKUP($G28,magnet_list!$A$2:$A$592,magnet_list!$L$2:$L$592,"n/a",0,1)</f>
        <v>44</v>
      </c>
    </row>
    <row r="29" spans="1:30">
      <c r="A29" t="s">
        <v>798</v>
      </c>
      <c r="B29" t="s">
        <v>3810</v>
      </c>
      <c r="C29" t="s">
        <v>1152</v>
      </c>
      <c r="D29" t="s">
        <v>1152</v>
      </c>
      <c r="E29" t="s">
        <v>804</v>
      </c>
      <c r="F29" t="s">
        <v>1929</v>
      </c>
      <c r="G29" t="s">
        <v>1929</v>
      </c>
      <c r="I29">
        <f>_xlfn.XLOOKUP($F29,設計座標!$E$13:$E$2301,設計座標!$G$13:$G$2301,"n/a",0,1)</f>
        <v>-2.0799702090014511</v>
      </c>
      <c r="J29">
        <f>_xlfn.XLOOKUP($F29,設計座標!$E$13:$E$2301,設計座標!$H$13:$H$2301,"n/a",0,1)</f>
        <v>0</v>
      </c>
      <c r="K29">
        <f>_xlfn.XLOOKUP($F29,設計座標!$E$13:$E$2301,設計座標!$I$13:$I$2301,"n/a",0,1)</f>
        <v>-9322.6113258400001</v>
      </c>
      <c r="L29">
        <f>_xlfn.XLOOKUP($F29,設計座標!$E$13:$E$2301,設計座標!$J$13:$J$2301,"n/a",0,1)</f>
        <v>480</v>
      </c>
      <c r="M29" s="2">
        <f>$J29+$Q29</f>
        <v>0.12857310480807774</v>
      </c>
      <c r="N29" s="2">
        <f t="shared" ref="N29:N58" si="13">K29</f>
        <v>-9322.6113258400001</v>
      </c>
      <c r="O29" s="23">
        <f t="shared" si="11"/>
        <v>477.30156592956132</v>
      </c>
      <c r="P29" s="1">
        <f t="shared" si="3"/>
        <v>478.24376844093359</v>
      </c>
      <c r="Q29" s="1">
        <f>(Q$59-Q$28)/($N$59-$N$28)*($N29-$N$28)+Q$28</f>
        <v>0.12857310480807774</v>
      </c>
      <c r="R29">
        <f t="shared" si="8"/>
        <v>0</v>
      </c>
      <c r="S29" s="23">
        <f>(S$59-S$28)/($N$59-$N$28)*($N29-$N$28)+S$28</f>
        <v>-2.6984340704386534</v>
      </c>
      <c r="T29">
        <f>$S29+測地線補正!$Q$3*(lattice!$N29/1000)^3+測地線補正!$P$3*(lattice!$N29/1000)^2+測地線補正!$O$3*(lattice!$N29/1000)+測地線補正!$N$3</f>
        <v>-1.7562315590664279</v>
      </c>
      <c r="U29">
        <v>0</v>
      </c>
      <c r="V29">
        <v>0</v>
      </c>
      <c r="W29">
        <v>0</v>
      </c>
      <c r="X29">
        <f>$Z$29-($Y$29+$Y$28)/2</f>
        <v>103.50000004982843</v>
      </c>
      <c r="Y29">
        <f>_xlfn.XLOOKUP($F29,設計座標!$E$13:$E$2301,設計座標!$L$13:$L$2301," ",0,1)</f>
        <v>0</v>
      </c>
      <c r="Z29">
        <f>SQRT(($M$29-$M$27)^2+($N$29-$N$27)^2)</f>
        <v>128.50000004982843</v>
      </c>
    </row>
    <row r="30" spans="1:30">
      <c r="A30" t="s">
        <v>800</v>
      </c>
      <c r="B30" t="s">
        <v>3810</v>
      </c>
      <c r="C30" t="s">
        <v>1152</v>
      </c>
      <c r="D30" t="s">
        <v>1152</v>
      </c>
      <c r="E30" t="s">
        <v>804</v>
      </c>
      <c r="F30" t="s">
        <v>1938</v>
      </c>
      <c r="G30" t="s">
        <v>1938</v>
      </c>
      <c r="I30">
        <f>_xlfn.XLOOKUP($F30,設計座標!$E$13:$E$2301,設計座標!$G$13:$G$2301,"n/a",0,1)</f>
        <v>-2.1474295000000012</v>
      </c>
      <c r="J30">
        <f>_xlfn.XLOOKUP($F30,設計座標!$E$13:$E$2301,設計座標!$H$13:$H$2301,"n/a",0,1)</f>
        <v>-1388.2627</v>
      </c>
      <c r="K30">
        <f>_xlfn.XLOOKUP($F30,設計座標!$E$13:$E$2301,設計座標!$I$13:$I$2301,"n/a",0,1)</f>
        <v>-8909.5116999999991</v>
      </c>
      <c r="L30">
        <f>_xlfn.XLOOKUP($F30,設計座標!$E$13:$E$2301,設計座標!$J$13:$J$2301,"n/a",0,1)</f>
        <v>-270</v>
      </c>
      <c r="M30" s="2">
        <f t="shared" ref="M30:M32" si="14">J30</f>
        <v>-1388.2627</v>
      </c>
      <c r="N30" s="2">
        <f t="shared" si="13"/>
        <v>-8909.5116999999991</v>
      </c>
      <c r="O30" s="23">
        <f>L30</f>
        <v>-270</v>
      </c>
      <c r="P30" s="1">
        <f t="shared" si="3"/>
        <v>-269.10072217679135</v>
      </c>
      <c r="Q30">
        <f t="shared" ref="Q30:Q32" si="15">$M30-$J30</f>
        <v>0</v>
      </c>
      <c r="R30">
        <f t="shared" si="8"/>
        <v>0</v>
      </c>
      <c r="S30" s="23">
        <f t="shared" ref="S30:S32" si="16">$O30-$L30</f>
        <v>0</v>
      </c>
      <c r="T30">
        <f>$S30+測地線補正!$Q$3*(lattice!$N30/1000)^3+測地線補正!$P$3*(lattice!$N30/1000)^2+測地線補正!$O$3*(lattice!$N30/1000)+測地線補正!$N$3</f>
        <v>0.89927782320862615</v>
      </c>
      <c r="U30">
        <v>0</v>
      </c>
      <c r="V30">
        <v>0</v>
      </c>
      <c r="W30">
        <v>0</v>
      </c>
      <c r="X30">
        <f>$Z$30-($Y$30+$Y$22)/2</f>
        <v>216.89240000000004</v>
      </c>
      <c r="Y30">
        <f>_xlfn.XLOOKUP($F30,設計座標!$E$13:$E$2301,設計座標!$L$13:$L$2301," ",0,1)</f>
        <v>0</v>
      </c>
      <c r="Z30">
        <f>216.8924+392.7005/2</f>
        <v>413.24265000000003</v>
      </c>
    </row>
    <row r="31" spans="1:30">
      <c r="A31" t="s">
        <v>800</v>
      </c>
      <c r="B31" t="s">
        <v>3810</v>
      </c>
      <c r="C31" t="s">
        <v>805</v>
      </c>
      <c r="D31" t="s">
        <v>1152</v>
      </c>
      <c r="E31" t="s">
        <v>804</v>
      </c>
      <c r="F31" t="s">
        <v>1131</v>
      </c>
      <c r="G31" t="s">
        <v>2356</v>
      </c>
      <c r="I31">
        <f>_xlfn.XLOOKUP($F31,設計座標!$E$13:$E$2301,設計座標!$G$13:$G$2301,"n/a",0,1)</f>
        <v>-2.0914295000000012</v>
      </c>
      <c r="J31">
        <f>_xlfn.XLOOKUP($F31,設計座標!$E$13:$E$2301,設計座標!$H$13:$H$2301,"n/a",0,1)</f>
        <v>-1348.6647</v>
      </c>
      <c r="K31">
        <f>_xlfn.XLOOKUP($F31,設計座標!$E$13:$E$2301,設計座標!$I$13:$I$2301,"n/a",0,1)</f>
        <v>-8860.5577000000012</v>
      </c>
      <c r="L31">
        <f>_xlfn.XLOOKUP($F31,設計座標!$E$13:$E$2301,設計座標!$J$13:$J$2301,"n/a",0,1)</f>
        <v>-125</v>
      </c>
      <c r="M31" s="2">
        <f t="shared" si="14"/>
        <v>-1348.6647</v>
      </c>
      <c r="N31" s="2">
        <f t="shared" si="13"/>
        <v>-8860.5577000000012</v>
      </c>
      <c r="O31" s="23">
        <f>L31</f>
        <v>-125</v>
      </c>
      <c r="P31" s="1">
        <f t="shared" si="3"/>
        <v>-124.10579347535332</v>
      </c>
      <c r="Q31">
        <f t="shared" si="15"/>
        <v>0</v>
      </c>
      <c r="R31">
        <f t="shared" si="8"/>
        <v>0</v>
      </c>
      <c r="S31" s="23">
        <f t="shared" si="16"/>
        <v>0</v>
      </c>
      <c r="T31">
        <f>$S31+測地線補正!$Q$3*(lattice!$N31/1000)^3+測地線補正!$P$3*(lattice!$N31/1000)^2+測地線補正!$O$3*(lattice!$N31/1000)+測地線補正!$N$3</f>
        <v>0.89420652464667905</v>
      </c>
      <c r="U31">
        <v>0</v>
      </c>
      <c r="V31">
        <v>0</v>
      </c>
      <c r="W31">
        <v>0</v>
      </c>
      <c r="X31">
        <f>$Z$31-($Y$31+$Y$30)/2</f>
        <v>37.964241597908504</v>
      </c>
      <c r="Y31">
        <f>_xlfn.XLOOKUP($F31,設計座標!$E$13:$E$2301,設計座標!$L$13:$L$2301," ",0,1)</f>
        <v>50</v>
      </c>
      <c r="Z31">
        <f>SQRT(($M$31-$M$30)^2+($N$31-$N$30)^2)</f>
        <v>62.964241597908504</v>
      </c>
      <c r="AA31">
        <f>_xlfn.XLOOKUP($G31,magnet_list!$A$2:$A$592,magnet_list!$AJ$2:$AJ$592,"n/a",0,1)</f>
        <v>7.478499999999999E-2</v>
      </c>
      <c r="AB31">
        <f>_xlfn.XLOOKUP($G31,magnet_list!$A$2:$A$592,magnet_list!$L$2:$L$592,"n/a",0,1)</f>
        <v>44</v>
      </c>
    </row>
    <row r="32" spans="1:30">
      <c r="A32" t="s">
        <v>800</v>
      </c>
      <c r="B32" t="s">
        <v>3810</v>
      </c>
      <c r="C32" t="s">
        <v>805</v>
      </c>
      <c r="D32" t="s">
        <v>1152</v>
      </c>
      <c r="E32" t="s">
        <v>804</v>
      </c>
      <c r="F32" t="s">
        <v>1132</v>
      </c>
      <c r="G32" t="s">
        <v>2357</v>
      </c>
      <c r="I32">
        <f>_xlfn.XLOOKUP($F32,設計座標!$E$13:$E$2301,設計座標!$G$13:$G$2301,"n/a",0,1)</f>
        <v>-1.941429500000001</v>
      </c>
      <c r="J32">
        <f>_xlfn.XLOOKUP($F32,設計座標!$E$13:$E$2301,設計座標!$H$13:$H$2301,"n/a",0,1)</f>
        <v>-1242.5987</v>
      </c>
      <c r="K32">
        <f>_xlfn.XLOOKUP($F32,設計座標!$E$13:$E$2301,設計座標!$I$13:$I$2301,"n/a",0,1)</f>
        <v>-8754.4916000000012</v>
      </c>
      <c r="L32">
        <f>_xlfn.XLOOKUP($F32,設計座標!$E$13:$E$2301,設計座標!$J$13:$J$2301,"n/a",0,1)</f>
        <v>-125</v>
      </c>
      <c r="M32" s="2">
        <f t="shared" si="14"/>
        <v>-1242.5987</v>
      </c>
      <c r="N32" s="2">
        <f t="shared" si="13"/>
        <v>-8754.4916000000012</v>
      </c>
      <c r="O32" s="23">
        <f>L32</f>
        <v>-125</v>
      </c>
      <c r="P32" s="1">
        <f t="shared" si="3"/>
        <v>-124.11677000133378</v>
      </c>
      <c r="Q32">
        <f t="shared" si="15"/>
        <v>0</v>
      </c>
      <c r="R32">
        <f t="shared" si="8"/>
        <v>0</v>
      </c>
      <c r="S32" s="23">
        <f t="shared" si="16"/>
        <v>0</v>
      </c>
      <c r="T32">
        <f>$S32+測地線補正!$Q$3*(lattice!$N32/1000)^3+測地線補正!$P$3*(lattice!$N32/1000)^2+測地線補正!$O$3*(lattice!$N32/1000)+測地線補正!$N$3</f>
        <v>0.88322999866622431</v>
      </c>
      <c r="U32">
        <v>0</v>
      </c>
      <c r="V32">
        <v>0</v>
      </c>
      <c r="W32">
        <v>0</v>
      </c>
      <c r="X32">
        <f>$Z$32-($Y$32+$Y$31)/2</f>
        <v>100.00004641735953</v>
      </c>
      <c r="Y32">
        <f>_xlfn.XLOOKUP($F32,設計座標!$E$13:$E$2301,設計座標!$L$13:$L$2301," ",0,1)</f>
        <v>50</v>
      </c>
      <c r="Z32">
        <f>SQRT(($M$32-$M$31)^2+($N$32-$N$31)^2)</f>
        <v>150.00004641735953</v>
      </c>
      <c r="AA32">
        <f>_xlfn.XLOOKUP($G32,magnet_list!$A$2:$A$592,magnet_list!$AJ$2:$AJ$592,"n/a",0,1)</f>
        <v>7.478499999999999E-2</v>
      </c>
      <c r="AB32">
        <f>_xlfn.XLOOKUP($G32,magnet_list!$A$2:$A$592,magnet_list!$L$2:$L$592,"n/a",0,1)</f>
        <v>44</v>
      </c>
    </row>
    <row r="33" spans="1:28">
      <c r="A33" t="s">
        <v>798</v>
      </c>
      <c r="B33" t="s">
        <v>3810</v>
      </c>
      <c r="C33" t="s">
        <v>805</v>
      </c>
      <c r="D33" t="s">
        <v>1152</v>
      </c>
      <c r="E33" t="s">
        <v>804</v>
      </c>
      <c r="F33" t="s">
        <v>1117</v>
      </c>
      <c r="G33" t="s">
        <v>2358</v>
      </c>
      <c r="I33">
        <f>_xlfn.XLOOKUP($F33,設計座標!$E$13:$E$2301,設計座標!$G$13:$G$2301,"n/a",0,1)</f>
        <v>-1.9197038831614499</v>
      </c>
      <c r="J33">
        <f>_xlfn.XLOOKUP($F33,設計座標!$E$13:$E$2301,設計座標!$H$13:$H$2301,"n/a",0,1)</f>
        <v>0</v>
      </c>
      <c r="K33">
        <f>_xlfn.XLOOKUP($F33,設計座標!$E$13:$E$2301,設計座標!$I$13:$I$2301,"n/a",0,1)</f>
        <v>-9162.3449999999993</v>
      </c>
      <c r="L33">
        <f>_xlfn.XLOOKUP($F33,設計座標!$E$13:$E$2301,設計座標!$J$13:$J$2301,"n/a",0,1)</f>
        <v>575</v>
      </c>
      <c r="M33" s="2">
        <f t="shared" ref="M33:M37" si="17">$J33+$Q33</f>
        <v>0.12467885993914014</v>
      </c>
      <c r="N33" s="2">
        <f t="shared" si="13"/>
        <v>-9162.3449999999993</v>
      </c>
      <c r="O33" s="23">
        <f t="shared" ref="O33:O37" si="18">$L33+$S33</f>
        <v>572.3240090023653</v>
      </c>
      <c r="P33" s="1">
        <f t="shared" si="3"/>
        <v>573.24953069796663</v>
      </c>
      <c r="Q33" s="1">
        <f>(Q$59-Q$28)/($N$59-$N$28)*($N33-$N$28)+Q$28</f>
        <v>0.12467885993914014</v>
      </c>
      <c r="R33">
        <f t="shared" ref="R33:R40" si="19">$N33-$K33</f>
        <v>0</v>
      </c>
      <c r="S33" s="23">
        <f>(S$59-S$28)/($N$59-$N$28)*($N33-$N$28)+S$28</f>
        <v>-2.6759909976347505</v>
      </c>
      <c r="T33">
        <f>$S33+測地線補正!$Q$3*(lattice!$N33/1000)^3+測地線補正!$P$3*(lattice!$N33/1000)^2+測地線補正!$O$3*(lattice!$N33/1000)+測地線補正!$N$3</f>
        <v>-1.7504693020333304</v>
      </c>
      <c r="U33">
        <v>0</v>
      </c>
      <c r="V33">
        <v>0</v>
      </c>
      <c r="W33">
        <v>0</v>
      </c>
      <c r="X33">
        <f>$Z$33-($Y$33+$Y$29)/2</f>
        <v>135.26632588731303</v>
      </c>
      <c r="Y33">
        <f>_xlfn.XLOOKUP($F33,設計座標!$E$13:$E$2301,設計座標!$L$13:$L$2301," ",0,1)</f>
        <v>50</v>
      </c>
      <c r="Z33">
        <f>SQRT(($M$33-$M$29)^2+($N$33-$N$29)^2)</f>
        <v>160.26632588731303</v>
      </c>
      <c r="AA33">
        <f>_xlfn.XLOOKUP($G33,magnet_list!$A$2:$A$592,magnet_list!$AJ$2:$AJ$592,"n/a",0,1)</f>
        <v>0.16389799999999999</v>
      </c>
      <c r="AB33">
        <f>_xlfn.XLOOKUP($G33,magnet_list!$A$2:$A$592,magnet_list!$L$2:$L$592,"n/a",0,1)</f>
        <v>82</v>
      </c>
    </row>
    <row r="34" spans="1:28">
      <c r="A34" t="s">
        <v>798</v>
      </c>
      <c r="B34" t="s">
        <v>3810</v>
      </c>
      <c r="C34" t="s">
        <v>805</v>
      </c>
      <c r="D34" t="s">
        <v>1152</v>
      </c>
      <c r="E34" t="s">
        <v>804</v>
      </c>
      <c r="F34" t="s">
        <v>1118</v>
      </c>
      <c r="G34" t="s">
        <v>2359</v>
      </c>
      <c r="I34">
        <f>_xlfn.XLOOKUP($F34,設計座標!$E$13:$E$2301,設計座標!$G$13:$G$2301,"n/a",0,1)</f>
        <v>-1.9197038831614499</v>
      </c>
      <c r="J34">
        <f>_xlfn.XLOOKUP($F34,設計座標!$E$13:$E$2301,設計座標!$H$13:$H$2301,"n/a",0,1)</f>
        <v>0</v>
      </c>
      <c r="K34">
        <f>_xlfn.XLOOKUP($F34,設計座標!$E$13:$E$2301,設計座標!$I$13:$I$2301,"n/a",0,1)</f>
        <v>-9162.3449999999993</v>
      </c>
      <c r="L34">
        <f>_xlfn.XLOOKUP($F34,設計座標!$E$13:$E$2301,設計座標!$J$13:$J$2301,"n/a",0,1)</f>
        <v>575</v>
      </c>
      <c r="M34" s="2">
        <f t="shared" si="17"/>
        <v>0.12467885993914014</v>
      </c>
      <c r="N34" s="2">
        <f t="shared" si="13"/>
        <v>-9162.3449999999993</v>
      </c>
      <c r="O34" s="23">
        <f t="shared" si="18"/>
        <v>572.3240090023653</v>
      </c>
      <c r="P34" s="1">
        <f t="shared" si="3"/>
        <v>573.24953069796663</v>
      </c>
      <c r="Q34" s="1">
        <f>(Q$59-Q$28)/($N$59-$N$28)*($N34-$N$28)+Q$28</f>
        <v>0.12467885993914014</v>
      </c>
      <c r="R34">
        <f t="shared" si="19"/>
        <v>0</v>
      </c>
      <c r="S34" s="23">
        <f>(S$59-S$28)/($N$59-$N$28)*($N34-$N$28)+S$28</f>
        <v>-2.6759909976347505</v>
      </c>
      <c r="T34">
        <f>$S34+測地線補正!$Q$3*(lattice!$N34/1000)^3+測地線補正!$P$3*(lattice!$N34/1000)^2+測地線補正!$O$3*(lattice!$N34/1000)+測地線補正!$N$3</f>
        <v>-1.7504693020333304</v>
      </c>
      <c r="U34">
        <v>0</v>
      </c>
      <c r="V34">
        <v>0</v>
      </c>
      <c r="W34">
        <v>0</v>
      </c>
      <c r="X34">
        <f>$Z$33-($Y$33+$Y$29)/2</f>
        <v>135.26632588731303</v>
      </c>
      <c r="Y34">
        <f>_xlfn.XLOOKUP($F34,設計座標!$E$13:$E$2301,設計座標!$L$13:$L$2301," ",0,1)</f>
        <v>50</v>
      </c>
      <c r="Z34">
        <f>SQRT(($M$33-$M$29)^2+($N$33-$N$29)^2)</f>
        <v>160.26632588731303</v>
      </c>
      <c r="AA34">
        <f>_xlfn.XLOOKUP($G34,magnet_list!$A$2:$A$592,magnet_list!$AJ$2:$AJ$592,"n/a",0,1)</f>
        <v>0.16389799999999999</v>
      </c>
      <c r="AB34">
        <f>_xlfn.XLOOKUP($G34,magnet_list!$A$2:$A$592,magnet_list!$L$2:$L$592,"n/a",0,1)</f>
        <v>82</v>
      </c>
    </row>
    <row r="35" spans="1:28">
      <c r="A35" t="s">
        <v>798</v>
      </c>
      <c r="B35" t="s">
        <v>3810</v>
      </c>
      <c r="C35" t="s">
        <v>804</v>
      </c>
      <c r="D35" t="s">
        <v>1152</v>
      </c>
      <c r="E35" t="s">
        <v>804</v>
      </c>
      <c r="F35" t="s">
        <v>1398</v>
      </c>
      <c r="G35" t="s">
        <v>1119</v>
      </c>
      <c r="I35">
        <f>_xlfn.XLOOKUP($F35,設計座標!$E$13:$E$2301,設計座標!$G$13:$G$2301,"n/a",0,1)</f>
        <v>-1.7405884831614511</v>
      </c>
      <c r="J35">
        <f>_xlfn.XLOOKUP($F35,設計座標!$E$13:$E$2301,設計座標!$H$13:$H$2301,"n/a",0,1)</f>
        <v>0</v>
      </c>
      <c r="K35">
        <f>_xlfn.XLOOKUP($F35,設計座標!$E$13:$E$2301,設計座標!$I$13:$I$2301,"n/a",0,1)</f>
        <v>-8983.2296000000006</v>
      </c>
      <c r="L35">
        <f>_xlfn.XLOOKUP($F35,設計座標!$E$13:$E$2301,設計座標!$J$13:$J$2301,"n/a",0,1)</f>
        <v>480</v>
      </c>
      <c r="M35" s="2">
        <f t="shared" si="17"/>
        <v>0.12032660924803705</v>
      </c>
      <c r="N35" s="2">
        <f t="shared" si="13"/>
        <v>-8983.2296000000006</v>
      </c>
      <c r="O35" s="23">
        <f t="shared" si="18"/>
        <v>477.349091626188</v>
      </c>
      <c r="P35" s="1">
        <f t="shared" si="3"/>
        <v>478.25601228343982</v>
      </c>
      <c r="Q35" s="1">
        <f>(Q$59-Q$28)/($N$59-$N$28)*($N35-$N$28)+Q$28</f>
        <v>0.12032660924803705</v>
      </c>
      <c r="R35">
        <f t="shared" si="19"/>
        <v>0</v>
      </c>
      <c r="S35" s="23">
        <f>(S$59-S$28)/($N$59-$N$28)*($N35-$N$28)+S$28</f>
        <v>-2.6509083738119932</v>
      </c>
      <c r="T35">
        <f>$S35+測地線補正!$Q$3*(lattice!$N35/1000)^3+測地線補正!$P$3*(lattice!$N35/1000)^2+測地線補正!$O$3*(lattice!$N35/1000)+測地線補正!$N$3</f>
        <v>-1.7439877165601707</v>
      </c>
      <c r="U35">
        <f>ATAN(($P$54-$P$35)/ABS($N$54-$N$35))</f>
        <v>3.7583949845557807E-5</v>
      </c>
      <c r="V35">
        <v>0</v>
      </c>
      <c r="W35">
        <f>-ATAN(($M$54-$M$35)/ABS($N$54-$N$35))</f>
        <v>2.4298584545195854E-5</v>
      </c>
      <c r="X35">
        <f>SQRT(($M$35-$M$33)^2+($N$35-$N$33)^2)-$Y$33/2</f>
        <v>154.11540005287554</v>
      </c>
      <c r="Y35">
        <f>_xlfn.XLOOKUP($F35,設計座標!$E$13:$E$2301,設計座標!$L$13:$L$2301," ",0,1)</f>
        <v>1889.4492</v>
      </c>
      <c r="Z35">
        <f>SQRT(($M$47-$M$36)^2+($N$47-$N$36)^2)</f>
        <v>261.24500007712214</v>
      </c>
    </row>
    <row r="36" spans="1:28">
      <c r="A36" t="s">
        <v>798</v>
      </c>
      <c r="B36" t="s">
        <v>3810</v>
      </c>
      <c r="C36" t="s">
        <v>3855</v>
      </c>
      <c r="D36" t="s">
        <v>1152</v>
      </c>
      <c r="E36" t="s">
        <v>804</v>
      </c>
      <c r="F36" t="s">
        <v>2190</v>
      </c>
      <c r="G36" t="s">
        <v>2190</v>
      </c>
      <c r="I36">
        <f>_xlfn.XLOOKUP($F36,設計座標!$E$13:$E$2301,設計座標!$G$13:$G$2301,"n/a",0,1)</f>
        <v>-1.057108883161451</v>
      </c>
      <c r="J36">
        <f>_xlfn.XLOOKUP($F36,設計座標!$E$13:$E$2301,設計座標!$H$13:$H$2301,"n/a",0,1)</f>
        <v>0</v>
      </c>
      <c r="K36">
        <f>_xlfn.XLOOKUP($F36,設計座標!$E$13:$E$2301,設計座標!$I$13:$I$2301,"n/a",0,1)</f>
        <v>-8299.75</v>
      </c>
      <c r="L36">
        <f>_xlfn.XLOOKUP($F36,設計座標!$E$13:$E$2301,設計座標!$J$13:$J$2301,"n/a",0,1)</f>
        <v>480</v>
      </c>
      <c r="M36" s="2">
        <f t="shared" si="17"/>
        <v>0.1037190223992519</v>
      </c>
      <c r="N36" s="2">
        <f t="shared" si="13"/>
        <v>-8299.75</v>
      </c>
      <c r="O36" s="23">
        <f t="shared" si="18"/>
        <v>477.44480345050533</v>
      </c>
      <c r="P36" s="1">
        <f t="shared" si="3"/>
        <v>478.28114631346079</v>
      </c>
      <c r="Q36" s="1">
        <f>(Q$59-Q$28)/($N$59-$N$28)*($N36-$N$28)+Q$28</f>
        <v>0.1037190223992519</v>
      </c>
      <c r="R36">
        <f t="shared" si="19"/>
        <v>0</v>
      </c>
      <c r="S36" s="23">
        <f>(S$59-S$28)/($N$59-$N$28)*($N36-$N$28)+S$28</f>
        <v>-2.5551965494946605</v>
      </c>
      <c r="T36">
        <f>$S36+測地線補正!$Q$3*(lattice!$N36/1000)^3+測地線補正!$P$3*(lattice!$N36/1000)^2+測地線補正!$O$3*(lattice!$N36/1000)+測地線補正!$N$3</f>
        <v>-1.7188536865392181</v>
      </c>
      <c r="U36">
        <f>ATAN(($P$54-$P$35)/ABS($N$54-$N$35))</f>
        <v>3.7583949845557807E-5</v>
      </c>
      <c r="V36">
        <v>0</v>
      </c>
      <c r="W36">
        <f>-ATAN(($M$54-$M$35)/ABS($N$54-$N$35))</f>
        <v>2.4298584545195854E-5</v>
      </c>
      <c r="X36" t="s">
        <v>3860</v>
      </c>
      <c r="Y36">
        <f>_xlfn.XLOOKUP($F36,設計座標!$E$13:$E$2301,設計座標!$L$13:$L$2301," ",0,1)</f>
        <v>1000</v>
      </c>
      <c r="Z36">
        <f>SQRT(($M$36-$M$33)^2+($N$36-$N$33)^2)</f>
        <v>862.59500025464649</v>
      </c>
      <c r="AA36">
        <f>_xlfn.XLOOKUP($G36,magnet_list!$A$2:$A$592,magnet_list!$AJ$2:$AJ$592,"n/a",0,1)</f>
        <v>0.95010000000000006</v>
      </c>
      <c r="AB36">
        <f>_xlfn.XLOOKUP($G36,magnet_list!$A$2:$A$592,magnet_list!$L$2:$L$592,"n/a",0,1)</f>
        <v>120</v>
      </c>
    </row>
    <row r="37" spans="1:28">
      <c r="A37" t="s">
        <v>798</v>
      </c>
      <c r="B37" t="s">
        <v>3810</v>
      </c>
      <c r="C37" t="s">
        <v>3855</v>
      </c>
      <c r="D37" t="s">
        <v>1152</v>
      </c>
      <c r="E37" t="s">
        <v>804</v>
      </c>
      <c r="F37" t="s">
        <v>2191</v>
      </c>
      <c r="G37" t="s">
        <v>2191</v>
      </c>
      <c r="I37">
        <f>_xlfn.XLOOKUP($F37,設計座標!$E$13:$E$2301,設計座標!$G$13:$G$2301,"n/a",0,1)</f>
        <v>-1.057108883161451</v>
      </c>
      <c r="J37">
        <f>_xlfn.XLOOKUP($F37,設計座標!$E$13:$E$2301,設計座標!$H$13:$H$2301,"n/a",0,1)</f>
        <v>0</v>
      </c>
      <c r="K37">
        <f>_xlfn.XLOOKUP($F37,設計座標!$E$13:$E$2301,設計座標!$I$13:$I$2301,"n/a",0,1)</f>
        <v>-8299.75</v>
      </c>
      <c r="L37">
        <f>_xlfn.XLOOKUP($F37,設計座標!$E$13:$E$2301,設計座標!$J$13:$J$2301,"n/a",0,1)</f>
        <v>480</v>
      </c>
      <c r="M37" s="2">
        <f t="shared" si="17"/>
        <v>0.1037190223992519</v>
      </c>
      <c r="N37" s="2">
        <f t="shared" si="13"/>
        <v>-8299.75</v>
      </c>
      <c r="O37" s="23">
        <f t="shared" si="18"/>
        <v>477.44480345050533</v>
      </c>
      <c r="P37" s="1">
        <f t="shared" si="3"/>
        <v>478.28114631346079</v>
      </c>
      <c r="Q37" s="1">
        <f>(Q$59-Q$28)/($N$59-$N$28)*($N37-$N$28)+Q$28</f>
        <v>0.1037190223992519</v>
      </c>
      <c r="R37">
        <f t="shared" si="19"/>
        <v>0</v>
      </c>
      <c r="S37" s="23">
        <f>(S$59-S$28)/($N$59-$N$28)*($N37-$N$28)+S$28</f>
        <v>-2.5551965494946605</v>
      </c>
      <c r="T37">
        <f>$S37+測地線補正!$Q$3*(lattice!$N37/1000)^3+測地線補正!$P$3*(lattice!$N37/1000)^2+測地線補正!$O$3*(lattice!$N37/1000)+測地線補正!$N$3</f>
        <v>-1.7188536865392181</v>
      </c>
      <c r="U37">
        <f>ATAN(($P$54-$P$35)/ABS($N$54-$N$35))</f>
        <v>3.7583949845557807E-5</v>
      </c>
      <c r="V37">
        <v>0</v>
      </c>
      <c r="W37">
        <f>-ATAN(($M$54-$M$35)/ABS($N$54-$N$35))</f>
        <v>2.4298584545195854E-5</v>
      </c>
      <c r="X37" t="s">
        <v>3860</v>
      </c>
      <c r="Y37">
        <f>_xlfn.XLOOKUP($F37,設計座標!$E$13:$E$2301,設計座標!$L$13:$L$2301," ",0,1)</f>
        <v>1000</v>
      </c>
      <c r="Z37">
        <f>SQRT(($M$36-$M$33)^2+($N$36-$N$33)^2)</f>
        <v>862.59500025464649</v>
      </c>
      <c r="AA37">
        <f>_xlfn.XLOOKUP($G37,magnet_list!$A$2:$A$592,magnet_list!$AJ$2:$AJ$592,"n/a",0,1)</f>
        <v>0.95010000000000006</v>
      </c>
      <c r="AB37">
        <f>_xlfn.XLOOKUP($G37,magnet_list!$A$2:$A$592,magnet_list!$L$2:$L$592,"n/a",0,1)</f>
        <v>120</v>
      </c>
    </row>
    <row r="38" spans="1:28">
      <c r="A38" t="s">
        <v>799</v>
      </c>
      <c r="B38" t="s">
        <v>3810</v>
      </c>
      <c r="C38" t="s">
        <v>3832</v>
      </c>
      <c r="D38" t="s">
        <v>1152</v>
      </c>
      <c r="E38" t="s">
        <v>804</v>
      </c>
      <c r="F38" t="s">
        <v>3836</v>
      </c>
      <c r="G38" t="s">
        <v>3836</v>
      </c>
      <c r="I38">
        <f>_xlfn.XLOOKUP($F38,設計座標!$E$13:$E$2301,設計座標!$G$13:$G$2301,"n/a",0,1)</f>
        <v>-1.8603869000000011</v>
      </c>
      <c r="J38">
        <f>_xlfn.XLOOKUP($F38,設計座標!$E$13:$E$2301,設計座標!$H$13:$H$2301,"n/a",0,1)</f>
        <v>0</v>
      </c>
      <c r="K38">
        <f>_xlfn.XLOOKUP($F38,設計座標!$E$13:$E$2301,設計座標!$I$13:$I$2301,"n/a",0,1)</f>
        <v>-9189.1278999999995</v>
      </c>
      <c r="L38">
        <f>_xlfn.XLOOKUP($F38,設計座標!$E$13:$E$2301,設計座標!$J$13:$J$2301,"n/a",0,1)</f>
        <v>-270</v>
      </c>
      <c r="M38" s="2">
        <f t="shared" ref="M38:M40" si="20">J38</f>
        <v>0</v>
      </c>
      <c r="N38" s="2">
        <f>_xlfn.XLOOKUP($F38,設計座標!$E$13:$E$2301,設計座標!$I$13:$I$2301,"n/a",0,1)</f>
        <v>-9189.1278999999995</v>
      </c>
      <c r="O38" s="23">
        <f t="shared" ref="O38:O40" si="21">L38</f>
        <v>-270</v>
      </c>
      <c r="P38" s="1">
        <f t="shared" si="3"/>
        <v>-269.07169314162917</v>
      </c>
      <c r="Q38" s="1">
        <f t="shared" ref="Q38:Q40" si="22">$M38-$J38</f>
        <v>0</v>
      </c>
      <c r="R38">
        <f t="shared" si="19"/>
        <v>0</v>
      </c>
      <c r="S38" s="23">
        <f t="shared" ref="S38:S40" si="23">$O38-$L38</f>
        <v>0</v>
      </c>
      <c r="T38">
        <f>$S38+測地線補正!$Q$3*(lattice!$N38/1000)^3+測地線補正!$P$3*(lattice!$N38/1000)^2+測地線補正!$O$3*(lattice!$N38/1000)+測地線補正!$N$3</f>
        <v>0.92830685837083038</v>
      </c>
      <c r="U38">
        <v>0</v>
      </c>
      <c r="V38">
        <v>0</v>
      </c>
      <c r="W38">
        <v>0</v>
      </c>
      <c r="X38">
        <v>0</v>
      </c>
      <c r="Y38">
        <f>_xlfn.XLOOKUP($F38,設計座標!$E$13:$E$2301,設計座標!$L$13:$L$2301," ",0,1)</f>
        <v>0</v>
      </c>
      <c r="Z38">
        <v>0</v>
      </c>
    </row>
    <row r="39" spans="1:28">
      <c r="A39" t="s">
        <v>799</v>
      </c>
      <c r="B39" t="s">
        <v>3810</v>
      </c>
      <c r="C39" t="s">
        <v>806</v>
      </c>
      <c r="D39" t="s">
        <v>1152</v>
      </c>
      <c r="E39" t="s">
        <v>804</v>
      </c>
      <c r="F39" t="s">
        <v>3835</v>
      </c>
      <c r="G39" t="s">
        <v>3835</v>
      </c>
      <c r="I39">
        <f>_xlfn.XLOOKUP($F39,設計座標!$E$13:$E$2301,設計座標!$G$13:$G$2301,"n/a",0,1)</f>
        <v>-1.548086900000001</v>
      </c>
      <c r="J39">
        <f>_xlfn.XLOOKUP($F39,設計座標!$E$13:$E$2301,設計座標!$H$13:$H$2301,"n/a",0,1)</f>
        <v>0</v>
      </c>
      <c r="K39">
        <f>_xlfn.XLOOKUP($F39,設計座標!$E$13:$E$2301,設計座標!$I$13:$I$2301,"n/a",0,1)</f>
        <v>-8876.8279000000002</v>
      </c>
      <c r="L39">
        <f>_xlfn.XLOOKUP($F39,設計座標!$E$13:$E$2301,設計座標!$J$13:$J$2301,"n/a",0,1)</f>
        <v>-270</v>
      </c>
      <c r="M39" s="2">
        <f t="shared" si="20"/>
        <v>0</v>
      </c>
      <c r="N39" s="2">
        <f>_xlfn.XLOOKUP($F39,設計座標!$E$13:$E$2301,設計座標!$I$13:$I$2301,"n/a",0,1)</f>
        <v>-8876.8279000000002</v>
      </c>
      <c r="O39" s="23">
        <f t="shared" si="21"/>
        <v>-270</v>
      </c>
      <c r="P39" s="1">
        <f t="shared" si="3"/>
        <v>-269.1041083565633</v>
      </c>
      <c r="Q39" s="1">
        <f t="shared" si="22"/>
        <v>0</v>
      </c>
      <c r="R39">
        <f t="shared" si="19"/>
        <v>0</v>
      </c>
      <c r="S39" s="23">
        <f t="shared" si="23"/>
        <v>0</v>
      </c>
      <c r="T39">
        <f>$S39+測地線補正!$Q$3*(lattice!$N39/1000)^3+測地線補正!$P$3*(lattice!$N39/1000)^2+測地線補正!$O$3*(lattice!$N39/1000)+測地線補正!$N$3</f>
        <v>0.89589164343671923</v>
      </c>
      <c r="U39">
        <v>0</v>
      </c>
      <c r="V39">
        <v>0</v>
      </c>
      <c r="W39">
        <v>0</v>
      </c>
      <c r="X39">
        <f>$Z$39-($Y$39+$Y$38)/2</f>
        <v>292.29999999999927</v>
      </c>
      <c r="Y39">
        <f>_xlfn.XLOOKUP($F39,設計座標!$E$13:$E$2301,設計座標!$L$13:$L$2301," ",0,1)</f>
        <v>40</v>
      </c>
      <c r="Z39">
        <f>SQRT(($M$39-$M$38)^2+($N$39-$N$38)^2)</f>
        <v>312.29999999999927</v>
      </c>
    </row>
    <row r="40" spans="1:28">
      <c r="A40" t="s">
        <v>799</v>
      </c>
      <c r="B40" t="s">
        <v>3810</v>
      </c>
      <c r="C40" t="s">
        <v>2288</v>
      </c>
      <c r="D40" t="s">
        <v>1152</v>
      </c>
      <c r="E40" t="s">
        <v>804</v>
      </c>
      <c r="F40" t="s">
        <v>3834</v>
      </c>
      <c r="G40" t="s">
        <v>3834</v>
      </c>
      <c r="I40">
        <f>_xlfn.XLOOKUP($F40,設計座標!$E$13:$E$2301,設計座標!$G$13:$G$2301,"n/a",0,1)</f>
        <v>-1.2430869000000011</v>
      </c>
      <c r="J40">
        <f>_xlfn.XLOOKUP($F40,設計座標!$E$13:$E$2301,設計座標!$H$13:$H$2301,"n/a",0,1)</f>
        <v>0</v>
      </c>
      <c r="K40">
        <f>_xlfn.XLOOKUP($F40,設計座標!$E$13:$E$2301,設計座標!$I$13:$I$2301,"n/a",0,1)</f>
        <v>-8571.8279000000002</v>
      </c>
      <c r="L40">
        <f>_xlfn.XLOOKUP($F40,設計座標!$E$13:$E$2301,設計座標!$J$13:$J$2301,"n/a",0,1)</f>
        <v>-270</v>
      </c>
      <c r="M40" s="2">
        <f t="shared" si="20"/>
        <v>0</v>
      </c>
      <c r="N40" s="2">
        <f>_xlfn.XLOOKUP($F40,設計座標!$E$13:$E$2301,設計座標!$I$13:$I$2301,"n/a",0,1)</f>
        <v>-8571.8279000000002</v>
      </c>
      <c r="O40" s="23">
        <f t="shared" si="21"/>
        <v>-270</v>
      </c>
      <c r="P40" s="1">
        <f t="shared" si="3"/>
        <v>-269.13563759594695</v>
      </c>
      <c r="Q40" s="1">
        <f t="shared" si="22"/>
        <v>0</v>
      </c>
      <c r="R40">
        <f t="shared" si="19"/>
        <v>0</v>
      </c>
      <c r="S40" s="23">
        <f t="shared" si="23"/>
        <v>0</v>
      </c>
      <c r="T40">
        <f>$S40+測地線補正!$Q$3*(lattice!$N40/1000)^3+測地線補正!$P$3*(lattice!$N40/1000)^2+測地線補正!$O$3*(lattice!$N40/1000)+測地線補正!$N$3</f>
        <v>0.86436240405307962</v>
      </c>
      <c r="U40">
        <v>0</v>
      </c>
      <c r="V40">
        <v>0</v>
      </c>
      <c r="W40">
        <v>0</v>
      </c>
      <c r="X40">
        <f>$Z$40-($Y$40+$Y$39)/2</f>
        <v>285</v>
      </c>
      <c r="Y40">
        <f>_xlfn.XLOOKUP($F40,設計座標!$E$13:$E$2301,設計座標!$L$13:$L$2301," ",0,1)</f>
        <v>0</v>
      </c>
      <c r="Z40">
        <f>SQRT(($M$40-$M$39)^2+($N$40-$N$39)^2)</f>
        <v>305</v>
      </c>
    </row>
    <row r="41" spans="1:28">
      <c r="A41" t="s">
        <v>799</v>
      </c>
      <c r="B41" t="s">
        <v>3810</v>
      </c>
      <c r="C41" t="s">
        <v>1152</v>
      </c>
      <c r="D41" t="s">
        <v>1152</v>
      </c>
      <c r="E41" t="s">
        <v>804</v>
      </c>
      <c r="F41" t="s">
        <v>1943</v>
      </c>
      <c r="G41" t="s">
        <v>1943</v>
      </c>
      <c r="I41">
        <f>_xlfn.XLOOKUP($F41,設計座標!$E$13:$E$2301,設計座標!$G$13:$G$2301,"n/a",0,1)</f>
        <v>-0.94208690000000117</v>
      </c>
      <c r="J41">
        <f>_xlfn.XLOOKUP($F41,設計座標!$E$13:$E$2301,設計座標!$H$13:$H$2301,"n/a",0,1)</f>
        <v>0</v>
      </c>
      <c r="K41">
        <f>_xlfn.XLOOKUP($F41,設計座標!$E$13:$E$2301,設計座標!$I$13:$I$2301,"n/a",0,1)</f>
        <v>-8342.8279000000002</v>
      </c>
      <c r="L41">
        <f>_xlfn.XLOOKUP($F41,設計座標!$E$13:$E$2301,設計座標!$J$13:$J$2301,"n/a",0,1)</f>
        <v>-270</v>
      </c>
      <c r="M41" s="2">
        <f>J41</f>
        <v>0</v>
      </c>
      <c r="N41" s="2">
        <f t="shared" si="13"/>
        <v>-8342.8279000000002</v>
      </c>
      <c r="O41" s="23">
        <f>L41</f>
        <v>-270</v>
      </c>
      <c r="P41" s="1">
        <f t="shared" si="3"/>
        <v>-269.15922748569807</v>
      </c>
      <c r="Q41" s="1">
        <f>$M41-$J41</f>
        <v>0</v>
      </c>
      <c r="R41">
        <f>$N41-$K41</f>
        <v>0</v>
      </c>
      <c r="S41" s="23">
        <f>$O41-$L41</f>
        <v>0</v>
      </c>
      <c r="T41">
        <f>$S41+測地線補正!$Q$3*(lattice!$N41/1000)^3+測地線補正!$P$3*(lattice!$N41/1000)^2+測地線補正!$O$3*(lattice!$N41/1000)+測地線補正!$N$3</f>
        <v>0.84077251430193423</v>
      </c>
      <c r="U41">
        <v>0</v>
      </c>
      <c r="V41">
        <v>0</v>
      </c>
      <c r="W41">
        <v>0</v>
      </c>
      <c r="X41">
        <f>$Z$41-($Y$41+$Y$40)/2</f>
        <v>229</v>
      </c>
      <c r="Y41">
        <f>_xlfn.XLOOKUP($F41,設計座標!$E$13:$E$2301,設計座標!$L$13:$L$2301," ",0,1)</f>
        <v>0</v>
      </c>
      <c r="Z41">
        <f>SQRT(($M$41-$M$40)^2+($N$41-$N$40)^2)</f>
        <v>229</v>
      </c>
    </row>
    <row r="42" spans="1:28">
      <c r="A42" t="s">
        <v>799</v>
      </c>
      <c r="B42" t="s">
        <v>3810</v>
      </c>
      <c r="C42" t="s">
        <v>805</v>
      </c>
      <c r="D42" t="s">
        <v>1152</v>
      </c>
      <c r="E42" t="s">
        <v>804</v>
      </c>
      <c r="F42" t="s">
        <v>1115</v>
      </c>
      <c r="G42" t="s">
        <v>2360</v>
      </c>
      <c r="I42">
        <f>_xlfn.XLOOKUP($F42,設計座標!$E$13:$E$2301,設計座標!$G$13:$G$2301,"n/a",0,1)</f>
        <v>-0.87008690000000122</v>
      </c>
      <c r="J42">
        <f>_xlfn.XLOOKUP($F42,設計座標!$E$13:$E$2301,設計座標!$H$13:$H$2301,"n/a",0,1)</f>
        <v>0</v>
      </c>
      <c r="K42">
        <f>_xlfn.XLOOKUP($F42,設計座標!$E$13:$E$2301,設計座標!$I$13:$I$2301,"n/a",0,1)</f>
        <v>-8270.8279000000002</v>
      </c>
      <c r="L42">
        <f>_xlfn.XLOOKUP($F42,設計座標!$E$13:$E$2301,設計座標!$J$13:$J$2301,"n/a",0,1)</f>
        <v>-80</v>
      </c>
      <c r="M42" s="2">
        <f t="shared" ref="M42" si="24">J42</f>
        <v>0</v>
      </c>
      <c r="N42" s="2">
        <f t="shared" si="13"/>
        <v>-8270.8279000000002</v>
      </c>
      <c r="O42" s="23">
        <f t="shared" ref="O42" si="25">L42</f>
        <v>-80</v>
      </c>
      <c r="P42" s="1">
        <f t="shared" si="3"/>
        <v>-79.166629759784641</v>
      </c>
      <c r="Q42" s="1">
        <f t="shared" ref="Q42" si="26">$M42-$J42</f>
        <v>0</v>
      </c>
      <c r="R42">
        <f t="shared" ref="R42" si="27">$N42-$K42</f>
        <v>0</v>
      </c>
      <c r="S42" s="23">
        <f t="shared" ref="S42" si="28">$O42-$L42</f>
        <v>0</v>
      </c>
      <c r="T42">
        <f>$S42+測地線補正!$Q$3*(lattice!$N42/1000)^3+測地線補正!$P$3*(lattice!$N42/1000)^2+測地線補正!$O$3*(lattice!$N42/1000)+測地線補正!$N$3</f>
        <v>0.83337024021535699</v>
      </c>
      <c r="U42">
        <v>0</v>
      </c>
      <c r="V42">
        <v>0</v>
      </c>
      <c r="W42">
        <v>0</v>
      </c>
      <c r="X42">
        <f>$Z$42-($Y$42+$Y$41)/2</f>
        <v>47</v>
      </c>
      <c r="Y42">
        <f>_xlfn.XLOOKUP($F42,設計座標!$E$13:$E$2301,設計座標!$L$13:$L$2301," ",0,1)</f>
        <v>50</v>
      </c>
      <c r="Z42">
        <f>SQRT(($M$42-$M$41)^2+($N$42-$N$41)^2)</f>
        <v>72</v>
      </c>
      <c r="AA42">
        <f>_xlfn.XLOOKUP($G42,magnet_list!$A$2:$A$592,magnet_list!$AJ$2:$AJ$592,"n/a",0,1)</f>
        <v>7.3599999999999999E-2</v>
      </c>
      <c r="AB42">
        <f>_xlfn.XLOOKUP($G42,magnet_list!$A$2:$A$592,magnet_list!$L$2:$L$592,"n/a",0,1)</f>
        <v>44</v>
      </c>
    </row>
    <row r="43" spans="1:28">
      <c r="A43" t="s">
        <v>800</v>
      </c>
      <c r="B43" t="s">
        <v>3810</v>
      </c>
      <c r="C43" t="s">
        <v>1152</v>
      </c>
      <c r="D43" t="s">
        <v>1152</v>
      </c>
      <c r="E43" t="s">
        <v>804</v>
      </c>
      <c r="F43" t="s">
        <v>1941</v>
      </c>
      <c r="G43" t="s">
        <v>1941</v>
      </c>
      <c r="I43">
        <f>_xlfn.XLOOKUP($F43,設計座標!$E$13:$E$2301,設計座標!$G$13:$G$2301,"n/a",0,1)</f>
        <v>-1.0991295000000012</v>
      </c>
      <c r="J43">
        <f>_xlfn.XLOOKUP($F43,設計座標!$E$13:$E$2301,設計座標!$H$13:$H$2301,"n/a",0,1)</f>
        <v>-647.0027</v>
      </c>
      <c r="K43">
        <f>_xlfn.XLOOKUP($F43,設計座標!$E$13:$E$2301,設計座標!$I$13:$I$2301,"n/a",0,1)</f>
        <v>-8168.2516999999998</v>
      </c>
      <c r="L43">
        <f>_xlfn.XLOOKUP($F43,設計座標!$E$13:$E$2301,設計座標!$J$13:$J$2301,"n/a",0,1)</f>
        <v>-270</v>
      </c>
      <c r="M43" s="2">
        <f t="shared" ref="M43:M45" si="29">J43</f>
        <v>-647.0027</v>
      </c>
      <c r="N43" s="2">
        <f t="shared" si="13"/>
        <v>-8168.2516999999998</v>
      </c>
      <c r="O43" s="23">
        <f>L43</f>
        <v>-270</v>
      </c>
      <c r="P43" s="1">
        <f t="shared" si="3"/>
        <v>-269.17716349112322</v>
      </c>
      <c r="Q43">
        <f t="shared" ref="Q43:Q45" si="30">$M43-$J43</f>
        <v>0</v>
      </c>
      <c r="R43">
        <f t="shared" ref="R43:R45" si="31">$N43-$K43</f>
        <v>0</v>
      </c>
      <c r="S43" s="23">
        <f t="shared" ref="S43:S45" si="32">$O43-$L43</f>
        <v>0</v>
      </c>
      <c r="T43">
        <f>$S43+測地線補正!$Q$3*(lattice!$N43/1000)^3+測地線補正!$P$3*(lattice!$N43/1000)^2+測地線補正!$O$3*(lattice!$N43/1000)+測地線補正!$N$3</f>
        <v>0.82283650887674842</v>
      </c>
      <c r="U43">
        <v>0</v>
      </c>
      <c r="V43">
        <v>0</v>
      </c>
      <c r="W43">
        <v>0</v>
      </c>
      <c r="X43">
        <f>$Z$43-($Y$43+$Y$32)/2</f>
        <v>810.71036583735849</v>
      </c>
      <c r="Y43">
        <f>_xlfn.XLOOKUP($F43,設計座標!$E$13:$E$2301,設計座標!$L$13:$L$2301," ",0,1)</f>
        <v>0</v>
      </c>
      <c r="Z43">
        <f>SQRT(($M$43-$M$32)^2+($N$43-$N$32)^2)</f>
        <v>835.71036583735849</v>
      </c>
    </row>
    <row r="44" spans="1:28">
      <c r="A44" t="s">
        <v>800</v>
      </c>
      <c r="B44" t="s">
        <v>3810</v>
      </c>
      <c r="C44" t="s">
        <v>1152</v>
      </c>
      <c r="D44" t="s">
        <v>1152</v>
      </c>
      <c r="E44" t="s">
        <v>804</v>
      </c>
      <c r="F44" t="s">
        <v>1942</v>
      </c>
      <c r="G44" t="s">
        <v>1942</v>
      </c>
      <c r="I44">
        <f>_xlfn.XLOOKUP($F44,設計座標!$E$13:$E$2301,設計座標!$G$13:$G$2301,"n/a",0,1)</f>
        <v>-0.87012950000000111</v>
      </c>
      <c r="J44">
        <f>_xlfn.XLOOKUP($F44,設計座標!$E$13:$E$2301,設計座標!$H$13:$H$2301,"n/a",0,1)</f>
        <v>-485.07530000000003</v>
      </c>
      <c r="K44">
        <f>_xlfn.XLOOKUP($F44,設計座標!$E$13:$E$2301,設計座標!$I$13:$I$2301,"n/a",0,1)</f>
        <v>-8006.3243000000002</v>
      </c>
      <c r="L44">
        <f>_xlfn.XLOOKUP($F44,設計座標!$E$13:$E$2301,設計座標!$J$13:$J$2301,"n/a",0,1)</f>
        <v>-270</v>
      </c>
      <c r="M44" s="2">
        <f t="shared" si="29"/>
        <v>-485.07530000000003</v>
      </c>
      <c r="N44" s="2">
        <f t="shared" si="13"/>
        <v>-8006.3243000000002</v>
      </c>
      <c r="O44" s="23">
        <f>L44</f>
        <v>-270</v>
      </c>
      <c r="P44" s="1">
        <f t="shared" si="3"/>
        <v>-269.1937633113933</v>
      </c>
      <c r="Q44">
        <f t="shared" si="30"/>
        <v>0</v>
      </c>
      <c r="R44">
        <f t="shared" si="31"/>
        <v>0</v>
      </c>
      <c r="S44" s="23">
        <f t="shared" si="32"/>
        <v>0</v>
      </c>
      <c r="T44">
        <f>$S44+測地線補正!$Q$3*(lattice!$N44/1000)^3+測地線補正!$P$3*(lattice!$N44/1000)^2+測地線補正!$O$3*(lattice!$N44/1000)+測地線補正!$N$3</f>
        <v>0.80623668860671938</v>
      </c>
      <c r="U44">
        <v>0</v>
      </c>
      <c r="V44">
        <v>0</v>
      </c>
      <c r="W44">
        <v>0</v>
      </c>
      <c r="X44">
        <f>$Z$44-($Y$44+$Y$43)/2</f>
        <v>228.99992519981279</v>
      </c>
      <c r="Y44">
        <f>_xlfn.XLOOKUP($F44,設計座標!$E$13:$E$2301,設計座標!$L$13:$L$2301," ",0,1)</f>
        <v>0</v>
      </c>
      <c r="Z44">
        <f>SQRT(($M$44-$M$43)^2+($N$44-$N$43)^2)</f>
        <v>228.99992519981279</v>
      </c>
    </row>
    <row r="45" spans="1:28">
      <c r="A45" t="s">
        <v>800</v>
      </c>
      <c r="B45" t="s">
        <v>3810</v>
      </c>
      <c r="C45" t="s">
        <v>805</v>
      </c>
      <c r="D45" t="s">
        <v>1152</v>
      </c>
      <c r="E45" t="s">
        <v>804</v>
      </c>
      <c r="F45" t="s">
        <v>1133</v>
      </c>
      <c r="G45" t="s">
        <v>2361</v>
      </c>
      <c r="I45">
        <f>_xlfn.XLOOKUP($F45,設計座標!$E$13:$E$2301,設計座標!$G$13:$G$2301,"n/a",0,1)</f>
        <v>-0.81412950000000106</v>
      </c>
      <c r="J45">
        <f>_xlfn.XLOOKUP($F45,設計座標!$E$13:$E$2301,設計座標!$H$13:$H$2301,"n/a",0,1)</f>
        <v>-445.47730000000001</v>
      </c>
      <c r="K45">
        <f>_xlfn.XLOOKUP($F45,設計座標!$E$13:$E$2301,設計座標!$I$13:$I$2301,"n/a",0,1)</f>
        <v>-7957.3702000000003</v>
      </c>
      <c r="L45">
        <f>_xlfn.XLOOKUP($F45,設計座標!$E$13:$E$2301,設計座標!$J$13:$J$2301,"n/a",0,1)</f>
        <v>-125</v>
      </c>
      <c r="M45" s="2">
        <f t="shared" si="29"/>
        <v>-445.47730000000001</v>
      </c>
      <c r="N45" s="2">
        <f t="shared" si="13"/>
        <v>-7957.3702000000003</v>
      </c>
      <c r="O45" s="23">
        <f>L45</f>
        <v>-125</v>
      </c>
      <c r="P45" s="1">
        <f t="shared" si="3"/>
        <v>-124.19877486433603</v>
      </c>
      <c r="Q45">
        <f t="shared" si="30"/>
        <v>0</v>
      </c>
      <c r="R45">
        <f t="shared" si="31"/>
        <v>0</v>
      </c>
      <c r="S45" s="23">
        <f t="shared" si="32"/>
        <v>0</v>
      </c>
      <c r="T45">
        <f>$S45+測地線補正!$Q$3*(lattice!$N45/1000)^3+測地線補正!$P$3*(lattice!$N45/1000)^2+測地線補正!$O$3*(lattice!$N45/1000)+測地線補正!$N$3</f>
        <v>0.80122513566397213</v>
      </c>
      <c r="U45">
        <v>0</v>
      </c>
      <c r="V45">
        <v>0</v>
      </c>
      <c r="W45">
        <v>0</v>
      </c>
      <c r="X45">
        <f>$Z$45-($Y$45+$Y$44)/2</f>
        <v>37.9643193468332</v>
      </c>
      <c r="Y45">
        <f>_xlfn.XLOOKUP($F45,設計座標!$E$13:$E$2301,設計座標!$L$13:$L$2301," ",0,1)</f>
        <v>50</v>
      </c>
      <c r="Z45">
        <f>SQRT(($M$45-$M$44)^2+($N$45-$N$44)^2)</f>
        <v>62.9643193468332</v>
      </c>
      <c r="AA45">
        <f>_xlfn.XLOOKUP($G45,magnet_list!$A$2:$A$592,magnet_list!$AJ$2:$AJ$592,"n/a",0,1)</f>
        <v>7.478499999999999E-2</v>
      </c>
      <c r="AB45">
        <f>_xlfn.XLOOKUP($G45,magnet_list!$A$2:$A$592,magnet_list!$L$2:$L$592,"n/a",0,1)</f>
        <v>44</v>
      </c>
    </row>
    <row r="46" spans="1:28">
      <c r="A46" t="s">
        <v>799</v>
      </c>
      <c r="B46" t="s">
        <v>3810</v>
      </c>
      <c r="C46" t="s">
        <v>805</v>
      </c>
      <c r="D46" t="s">
        <v>1152</v>
      </c>
      <c r="E46" t="s">
        <v>804</v>
      </c>
      <c r="F46" t="s">
        <v>1116</v>
      </c>
      <c r="G46" t="s">
        <v>2362</v>
      </c>
      <c r="I46">
        <f>_xlfn.XLOOKUP($F46,設計座標!$E$13:$E$2301,設計座標!$G$13:$G$2301,"n/a",0,1)</f>
        <v>-0.76008690000000034</v>
      </c>
      <c r="J46">
        <f>_xlfn.XLOOKUP($F46,設計座標!$E$13:$E$2301,設計座標!$H$13:$H$2301,"n/a",0,1)</f>
        <v>0</v>
      </c>
      <c r="K46">
        <f>_xlfn.XLOOKUP($F46,設計座標!$E$13:$E$2301,設計座標!$I$13:$I$2301,"n/a",0,1)</f>
        <v>-8160.8278999999993</v>
      </c>
      <c r="L46">
        <f>_xlfn.XLOOKUP($F46,設計座標!$E$13:$E$2301,設計座標!$J$13:$J$2301,"n/a",0,1)</f>
        <v>-80</v>
      </c>
      <c r="M46" s="2">
        <f>J46</f>
        <v>0</v>
      </c>
      <c r="N46" s="2">
        <f t="shared" si="13"/>
        <v>-8160.8278999999993</v>
      </c>
      <c r="O46" s="23">
        <f>L46</f>
        <v>-80</v>
      </c>
      <c r="P46" s="1">
        <f t="shared" si="3"/>
        <v>-79.177925304814437</v>
      </c>
      <c r="Q46" s="1">
        <f>$M46-$J46</f>
        <v>0</v>
      </c>
      <c r="R46">
        <f>$N46-$K46</f>
        <v>0</v>
      </c>
      <c r="S46" s="23">
        <f>$O46-$L46</f>
        <v>0</v>
      </c>
      <c r="T46">
        <f>$S46+測地線補正!$Q$3*(lattice!$N46/1000)^3+測地線補正!$P$3*(lattice!$N46/1000)^2+測地線補正!$O$3*(lattice!$N46/1000)+測地線補正!$N$3</f>
        <v>0.82207469518556275</v>
      </c>
      <c r="U46">
        <v>0</v>
      </c>
      <c r="V46">
        <v>0</v>
      </c>
      <c r="W46">
        <v>0</v>
      </c>
      <c r="X46">
        <f>$Z$46-($Y$46+$Y$42)/2</f>
        <v>60.000000000000909</v>
      </c>
      <c r="Y46">
        <f>_xlfn.XLOOKUP($F46,設計座標!$E$13:$E$2301,設計座標!$L$13:$L$2301," ",0,1)</f>
        <v>50</v>
      </c>
      <c r="Z46">
        <f>SQRT(($M$46-$M$42)^2+($N$46-$N$42)^2)</f>
        <v>110.00000000000091</v>
      </c>
      <c r="AA46">
        <f>_xlfn.XLOOKUP($G46,magnet_list!$A$2:$A$592,magnet_list!$AJ$2:$AJ$592,"n/a",0,1)</f>
        <v>7.3599999999999999E-2</v>
      </c>
      <c r="AB46">
        <f>_xlfn.XLOOKUP($G46,magnet_list!$A$2:$A$592,magnet_list!$L$2:$L$592,"n/a",0,1)</f>
        <v>44</v>
      </c>
    </row>
    <row r="47" spans="1:28">
      <c r="A47" t="s">
        <v>798</v>
      </c>
      <c r="B47" t="s">
        <v>3810</v>
      </c>
      <c r="C47" t="s">
        <v>804</v>
      </c>
      <c r="D47" t="s">
        <v>1152</v>
      </c>
      <c r="E47" t="s">
        <v>804</v>
      </c>
      <c r="F47" t="s">
        <v>1164</v>
      </c>
      <c r="G47" t="s">
        <v>1119</v>
      </c>
      <c r="I47">
        <f>_xlfn.XLOOKUP($F47,設計座標!$E$13:$E$2301,設計座標!$G$13:$G$2301,"n/a",0,1)</f>
        <v>-0.79586388316145218</v>
      </c>
      <c r="J47">
        <f>_xlfn.XLOOKUP($F47,設計座標!$E$13:$E$2301,設計座標!$H$13:$H$2301,"n/a",0,1)</f>
        <v>0</v>
      </c>
      <c r="K47">
        <f>_xlfn.XLOOKUP($F47,設計座標!$E$13:$E$2301,設計座標!$I$13:$I$2301,"n/a",0,1)</f>
        <v>-8038.5050000000001</v>
      </c>
      <c r="L47">
        <f>_xlfn.XLOOKUP($F47,設計座標!$E$13:$E$2301,設計座標!$J$13:$J$2301,"n/a",0,1)</f>
        <v>480</v>
      </c>
      <c r="M47" s="2">
        <f>$J47+$Q47</f>
        <v>9.7371138678492897E-2</v>
      </c>
      <c r="N47" s="2">
        <f t="shared" si="13"/>
        <v>-8038.5050000000001</v>
      </c>
      <c r="O47" s="23">
        <f t="shared" ref="O47" si="33">$L47+$S47</f>
        <v>477.48138718401219</v>
      </c>
      <c r="P47" s="1">
        <f t="shared" si="3"/>
        <v>478.2909200412056</v>
      </c>
      <c r="Q47" s="1">
        <f>(Q$59-Q$28)/($N$59-$N$28)*($N47-$N$28)+Q$28</f>
        <v>9.7371138678492897E-2</v>
      </c>
      <c r="R47">
        <f>$N47-$K47</f>
        <v>0</v>
      </c>
      <c r="S47" s="23">
        <f>(S$59-S$28)/($N$59-$N$28)*($N47-$N$28)+S$28</f>
        <v>-2.5186128159877912</v>
      </c>
      <c r="T47">
        <f>$S47+測地線補正!$Q$3*(lattice!$N47/1000)^3+測地線補正!$P$3*(lattice!$N47/1000)^2+測地線補正!$O$3*(lattice!$N47/1000)+測地線補正!$N$3</f>
        <v>-1.7090799587943886</v>
      </c>
      <c r="U47">
        <f>ATAN(($P$54-$P$35)/ABS($N$54-$N$35))</f>
        <v>3.7583949845557807E-5</v>
      </c>
      <c r="V47">
        <v>0</v>
      </c>
      <c r="W47">
        <f>-ATAN(($M$54-$M$35)/ABS($N$54-$N$35))</f>
        <v>2.4298584545195854E-5</v>
      </c>
      <c r="X47" t="s">
        <v>3860</v>
      </c>
      <c r="Y47">
        <f>_xlfn.XLOOKUP($F47,設計座標!$E$13:$E$2301,設計座標!$L$13:$L$2301," ",0,1)</f>
        <v>1889.4492</v>
      </c>
      <c r="Z47">
        <f>SQRT(($M$47-$M$36)^2+($N$47-$N$36)^2)</f>
        <v>261.24500007712214</v>
      </c>
    </row>
    <row r="48" spans="1:28">
      <c r="A48" t="s">
        <v>800</v>
      </c>
      <c r="B48" t="s">
        <v>3810</v>
      </c>
      <c r="C48" t="s">
        <v>805</v>
      </c>
      <c r="D48" t="s">
        <v>1152</v>
      </c>
      <c r="E48" t="s">
        <v>804</v>
      </c>
      <c r="F48" t="s">
        <v>1134</v>
      </c>
      <c r="G48" t="s">
        <v>2363</v>
      </c>
      <c r="I48">
        <f>_xlfn.XLOOKUP($F48,設計座標!$E$13:$E$2301,設計座標!$G$13:$G$2301,"n/a",0,1)</f>
        <v>-0.56412950000000106</v>
      </c>
      <c r="J48">
        <f>_xlfn.XLOOKUP($F48,設計座標!$E$13:$E$2301,設計座標!$H$13:$H$2301,"n/a",0,1)</f>
        <v>-339.41129999999998</v>
      </c>
      <c r="K48">
        <f>_xlfn.XLOOKUP($F48,設計座標!$E$13:$E$2301,設計座標!$I$13:$I$2301,"n/a",0,1)</f>
        <v>-7851.3041999999996</v>
      </c>
      <c r="L48">
        <f>_xlfn.XLOOKUP($F48,設計座標!$E$13:$E$2301,設計座標!$J$13:$J$2301,"n/a",0,1)</f>
        <v>-125</v>
      </c>
      <c r="M48" s="2">
        <f>J48</f>
        <v>-339.41129999999998</v>
      </c>
      <c r="N48" s="2">
        <f t="shared" si="13"/>
        <v>-7851.3041999999996</v>
      </c>
      <c r="O48" s="23">
        <f>L48</f>
        <v>-125</v>
      </c>
      <c r="P48" s="1">
        <f t="shared" si="3"/>
        <v>-124.20962209484584</v>
      </c>
      <c r="Q48">
        <f>$M48-$J48</f>
        <v>0</v>
      </c>
      <c r="R48">
        <f>$N48-$K48</f>
        <v>0</v>
      </c>
      <c r="S48" s="23">
        <f>$O48-$L48</f>
        <v>0</v>
      </c>
      <c r="T48">
        <f>$S48+測地線補正!$Q$3*(lattice!$N48/1000)^3+測地線補正!$P$3*(lattice!$N48/1000)^2+測地線補正!$O$3*(lattice!$N48/1000)+測地線補正!$N$3</f>
        <v>0.79037790515416562</v>
      </c>
      <c r="U48">
        <v>0</v>
      </c>
      <c r="V48">
        <v>0</v>
      </c>
      <c r="W48">
        <v>0</v>
      </c>
      <c r="X48">
        <f>$Z$48-($Y$48+$Y$45)/2</f>
        <v>99.999975706665225</v>
      </c>
      <c r="Y48">
        <f>_xlfn.XLOOKUP($F48,設計座標!$E$13:$E$2301,設計座標!$L$13:$L$2301," ",0,1)</f>
        <v>50</v>
      </c>
      <c r="Z48">
        <f>SQRT(($M$48-$M$45)^2+($N$48-$N$45)^2)</f>
        <v>149.99997570666523</v>
      </c>
      <c r="AA48">
        <f>_xlfn.XLOOKUP($G48,magnet_list!$A$2:$A$592,magnet_list!$AJ$2:$AJ$592,"n/a",0,1)</f>
        <v>7.478499999999999E-2</v>
      </c>
      <c r="AB48">
        <f>_xlfn.XLOOKUP($G48,magnet_list!$A$2:$A$592,magnet_list!$L$2:$L$592,"n/a",0,1)</f>
        <v>44</v>
      </c>
    </row>
    <row r="49" spans="1:30">
      <c r="A49" t="s">
        <v>799</v>
      </c>
      <c r="B49" t="s">
        <v>3810</v>
      </c>
      <c r="C49" t="s">
        <v>1152</v>
      </c>
      <c r="D49" t="s">
        <v>1152</v>
      </c>
      <c r="E49" t="s">
        <v>804</v>
      </c>
      <c r="F49" t="s">
        <v>1944</v>
      </c>
      <c r="G49" t="s">
        <v>1944</v>
      </c>
      <c r="I49">
        <f>_xlfn.XLOOKUP($F49,設計座標!$E$13:$E$2301,設計座標!$G$13:$G$2301,"n/a",0,1)</f>
        <v>-0.51265190000000083</v>
      </c>
      <c r="J49">
        <f>_xlfn.XLOOKUP($F49,設計座標!$E$13:$E$2301,設計座標!$H$13:$H$2301,"n/a",0,1)</f>
        <v>0</v>
      </c>
      <c r="K49">
        <f>_xlfn.XLOOKUP($F49,設計座標!$E$13:$E$2301,設計座標!$I$13:$I$2301,"n/a",0,1)</f>
        <v>-7913.3928999999998</v>
      </c>
      <c r="L49">
        <f>_xlfn.XLOOKUP($F49,設計座標!$E$13:$E$2301,設計座標!$J$13:$J$2301,"n/a",0,1)</f>
        <v>-270</v>
      </c>
      <c r="M49" s="2">
        <f t="shared" ref="M49:M52" si="34">J49</f>
        <v>0</v>
      </c>
      <c r="N49" s="2">
        <f t="shared" si="13"/>
        <v>-7913.3928999999998</v>
      </c>
      <c r="O49" s="23">
        <f t="shared" ref="O49:O52" si="35">L49</f>
        <v>-270</v>
      </c>
      <c r="P49" s="1">
        <f t="shared" si="3"/>
        <v>-269.20327419230603</v>
      </c>
      <c r="Q49" s="1">
        <f t="shared" ref="Q49:Q52" si="36">$M49-$J49</f>
        <v>0</v>
      </c>
      <c r="R49">
        <f t="shared" ref="R49:R52" si="37">$N49-$K49</f>
        <v>0</v>
      </c>
      <c r="S49" s="23">
        <f t="shared" ref="S49:S52" si="38">$O49-$L49</f>
        <v>0</v>
      </c>
      <c r="T49">
        <f>$S49+測地線補正!$Q$3*(lattice!$N49/1000)^3+測地線補正!$P$3*(lattice!$N49/1000)^2+測地線補正!$O$3*(lattice!$N49/1000)+測地線補正!$N$3</f>
        <v>0.7967258076939866</v>
      </c>
      <c r="U49">
        <v>0</v>
      </c>
      <c r="V49">
        <v>0</v>
      </c>
      <c r="W49">
        <v>0</v>
      </c>
      <c r="X49">
        <f>$Z$49-($Y$49+$Y$46)/2</f>
        <v>222.43499999999949</v>
      </c>
      <c r="Y49">
        <f>_xlfn.XLOOKUP($F49,設計座標!$E$13:$E$2301,設計座標!$L$13:$L$2301," ",0,1)</f>
        <v>0</v>
      </c>
      <c r="Z49">
        <f>SQRT(($M$49-$M$46)^2+($N$49-$N$46)^2)</f>
        <v>247.43499999999949</v>
      </c>
    </row>
    <row r="50" spans="1:30">
      <c r="A50" t="s">
        <v>799</v>
      </c>
      <c r="B50" t="s">
        <v>3810</v>
      </c>
      <c r="C50" t="s">
        <v>805</v>
      </c>
      <c r="D50" t="s">
        <v>1152</v>
      </c>
      <c r="E50" t="s">
        <v>804</v>
      </c>
      <c r="F50" t="s">
        <v>1136</v>
      </c>
      <c r="G50" t="s">
        <v>2364</v>
      </c>
      <c r="I50">
        <f>_xlfn.XLOOKUP($F50,設計座標!$E$13:$E$2301,設計座標!$G$13:$G$2301,"n/a",0,1)</f>
        <v>-0.41465190000000079</v>
      </c>
      <c r="J50">
        <f>_xlfn.XLOOKUP($F50,設計座標!$E$13:$E$2301,設計座標!$H$13:$H$2301,"n/a",0,1)</f>
        <v>0</v>
      </c>
      <c r="K50">
        <f>_xlfn.XLOOKUP($F50,設計座標!$E$13:$E$2301,設計座標!$I$13:$I$2301,"n/a",0,1)</f>
        <v>-7815.3928999999998</v>
      </c>
      <c r="L50">
        <f>_xlfn.XLOOKUP($F50,設計座標!$E$13:$E$2301,設計座標!$J$13:$J$2301,"n/a",0,1)</f>
        <v>-180</v>
      </c>
      <c r="M50" s="2">
        <f t="shared" si="34"/>
        <v>0</v>
      </c>
      <c r="N50" s="2">
        <f t="shared" si="13"/>
        <v>-7815.3928999999998</v>
      </c>
      <c r="O50" s="23">
        <f t="shared" si="35"/>
        <v>-180</v>
      </c>
      <c r="P50" s="1">
        <f t="shared" si="3"/>
        <v>-179.21329128639917</v>
      </c>
      <c r="Q50" s="1">
        <f t="shared" si="36"/>
        <v>0</v>
      </c>
      <c r="R50">
        <f t="shared" si="37"/>
        <v>0</v>
      </c>
      <c r="S50" s="23">
        <f t="shared" si="38"/>
        <v>0</v>
      </c>
      <c r="T50">
        <f>$S50+測地線補正!$Q$3*(lattice!$N50/1000)^3+測地線補正!$P$3*(lattice!$N50/1000)^2+測地線補正!$O$3*(lattice!$N50/1000)+測地線補正!$N$3</f>
        <v>0.78670871360083661</v>
      </c>
      <c r="U50">
        <v>0</v>
      </c>
      <c r="V50">
        <v>0</v>
      </c>
      <c r="W50">
        <v>0</v>
      </c>
      <c r="X50">
        <f>$Z$50-($Y$50+$Y$49)/2</f>
        <v>73</v>
      </c>
      <c r="Y50">
        <f>_xlfn.XLOOKUP($F50,設計座標!$E$13:$E$2301,設計座標!$L$13:$L$2301," ",0,1)</f>
        <v>50</v>
      </c>
      <c r="Z50">
        <f>SQRT(($M$50-$M$49)^2+($N$50-$N$49)^2)</f>
        <v>98</v>
      </c>
      <c r="AA50">
        <f>_xlfn.XLOOKUP($G50,magnet_list!$A$2:$A$592,magnet_list!$AJ$2:$AJ$592,"n/a",0,1)</f>
        <v>0.16389799999999999</v>
      </c>
      <c r="AB50">
        <f>_xlfn.XLOOKUP($G50,magnet_list!$A$2:$A$592,magnet_list!$L$2:$L$592,"n/a",0,1)</f>
        <v>82</v>
      </c>
    </row>
    <row r="51" spans="1:30">
      <c r="A51" t="s">
        <v>799</v>
      </c>
      <c r="B51" t="s">
        <v>3810</v>
      </c>
      <c r="C51" t="s">
        <v>805</v>
      </c>
      <c r="D51" t="s">
        <v>1152</v>
      </c>
      <c r="E51" t="s">
        <v>804</v>
      </c>
      <c r="F51" t="s">
        <v>1137</v>
      </c>
      <c r="G51" t="s">
        <v>2365</v>
      </c>
      <c r="I51">
        <f>_xlfn.XLOOKUP($F51,設計座標!$E$13:$E$2301,設計座標!$G$13:$G$2301,"n/a",0,1)</f>
        <v>-0.41465190000000079</v>
      </c>
      <c r="J51">
        <f>_xlfn.XLOOKUP($F51,設計座標!$E$13:$E$2301,設計座標!$H$13:$H$2301,"n/a",0,1)</f>
        <v>0</v>
      </c>
      <c r="K51">
        <f>_xlfn.XLOOKUP($F51,設計座標!$E$13:$E$2301,設計座標!$I$13:$I$2301,"n/a",0,1)</f>
        <v>-7815.3928999999998</v>
      </c>
      <c r="L51">
        <f>_xlfn.XLOOKUP($F51,設計座標!$E$13:$E$2301,設計座標!$J$13:$J$2301,"n/a",0,1)</f>
        <v>-180</v>
      </c>
      <c r="M51" s="2">
        <f t="shared" si="34"/>
        <v>0</v>
      </c>
      <c r="N51" s="2">
        <f t="shared" si="13"/>
        <v>-7815.3928999999998</v>
      </c>
      <c r="O51" s="23">
        <f t="shared" si="35"/>
        <v>-180</v>
      </c>
      <c r="P51" s="1">
        <f t="shared" si="3"/>
        <v>-179.21329128639917</v>
      </c>
      <c r="Q51" s="1">
        <f t="shared" si="36"/>
        <v>0</v>
      </c>
      <c r="R51">
        <f t="shared" si="37"/>
        <v>0</v>
      </c>
      <c r="S51" s="23">
        <f t="shared" si="38"/>
        <v>0</v>
      </c>
      <c r="T51">
        <f>$S51+測地線補正!$Q$3*(lattice!$N51/1000)^3+測地線補正!$P$3*(lattice!$N51/1000)^2+測地線補正!$O$3*(lattice!$N51/1000)+測地線補正!$N$3</f>
        <v>0.78670871360083661</v>
      </c>
      <c r="U51">
        <v>0</v>
      </c>
      <c r="V51">
        <v>0</v>
      </c>
      <c r="W51">
        <v>0</v>
      </c>
      <c r="X51">
        <f>$Z$50-($Y$50+$Y$49)/2</f>
        <v>73</v>
      </c>
      <c r="Y51">
        <f>_xlfn.XLOOKUP($F51,設計座標!$E$13:$E$2301,設計座標!$L$13:$L$2301," ",0,1)</f>
        <v>50</v>
      </c>
      <c r="Z51">
        <f>SQRT(($M$51-$M$49)^2+($N$51-$N$49)^2)</f>
        <v>98</v>
      </c>
      <c r="AA51">
        <f>_xlfn.XLOOKUP($G51,magnet_list!$A$2:$A$592,magnet_list!$AJ$2:$AJ$592,"n/a",0,1)</f>
        <v>0.16389799999999999</v>
      </c>
      <c r="AB51">
        <f>_xlfn.XLOOKUP($G51,magnet_list!$A$2:$A$592,magnet_list!$L$2:$L$592,"n/a",0,1)</f>
        <v>82</v>
      </c>
    </row>
    <row r="52" spans="1:30">
      <c r="A52" t="s">
        <v>800</v>
      </c>
      <c r="B52" t="s">
        <v>3810</v>
      </c>
      <c r="C52" t="s">
        <v>805</v>
      </c>
      <c r="D52" t="s">
        <v>1152</v>
      </c>
      <c r="E52" t="s">
        <v>804</v>
      </c>
      <c r="F52" t="s">
        <v>1135</v>
      </c>
      <c r="G52" t="s">
        <v>2366</v>
      </c>
      <c r="I52">
        <f>_xlfn.XLOOKUP($F52,設計座標!$E$13:$E$2301,設計座標!$G$13:$G$2301,"n/a",0,1)</f>
        <v>-9.538720000000106E-2</v>
      </c>
      <c r="J52">
        <f>_xlfn.XLOOKUP($F52,設計座標!$E$13:$E$2301,設計座標!$H$13:$H$2301,"n/a",0,1)</f>
        <v>-38.060600000000001</v>
      </c>
      <c r="K52">
        <f>_xlfn.XLOOKUP($F52,設計座標!$E$13:$E$2301,設計座標!$I$13:$I$2301,"n/a",0,1)</f>
        <v>-7496.1282000000001</v>
      </c>
      <c r="L52">
        <f>_xlfn.XLOOKUP($F52,設計座標!$E$13:$E$2301,設計座標!$J$13:$J$2301,"n/a",0,1)</f>
        <v>-125</v>
      </c>
      <c r="M52" s="2">
        <f t="shared" si="34"/>
        <v>-38.060600000000001</v>
      </c>
      <c r="N52" s="2">
        <f t="shared" si="13"/>
        <v>-7496.1282000000001</v>
      </c>
      <c r="O52" s="23">
        <f t="shared" si="35"/>
        <v>-125</v>
      </c>
      <c r="P52" s="1">
        <f t="shared" si="3"/>
        <v>-124.24583613065344</v>
      </c>
      <c r="Q52" s="1">
        <f t="shared" si="36"/>
        <v>0</v>
      </c>
      <c r="R52">
        <f t="shared" si="37"/>
        <v>0</v>
      </c>
      <c r="S52" s="23">
        <f t="shared" si="38"/>
        <v>0</v>
      </c>
      <c r="T52">
        <f>$S52+測地線補正!$Q$3*(lattice!$N52/1000)^3+測地線補正!$P$3*(lattice!$N52/1000)^2+測地線補正!$O$3*(lattice!$N52/1000)+測地線補正!$N$3</f>
        <v>0.75416386934655522</v>
      </c>
      <c r="U52">
        <v>0</v>
      </c>
      <c r="V52">
        <v>0</v>
      </c>
      <c r="W52">
        <v>0</v>
      </c>
      <c r="X52">
        <f>$Z$52-($Y$52+$Y$48)/2</f>
        <v>247.89250000000001</v>
      </c>
      <c r="Y52">
        <f>_xlfn.XLOOKUP($F52,設計座標!$E$13:$E$2301,設計座標!$L$13:$L$2301," ",0,1)</f>
        <v>392.69959999999998</v>
      </c>
      <c r="Z52">
        <f>272.8925+392.6996/2</f>
        <v>469.2423</v>
      </c>
      <c r="AA52">
        <f>_xlfn.XLOOKUP($G52,magnet_list!$A$2:$A$592,magnet_list!$AJ$2:$AJ$592,"n/a",0,1)</f>
        <v>0.4229</v>
      </c>
      <c r="AB52">
        <f>_xlfn.XLOOKUP($G52,magnet_list!$A$2:$A$592,magnet_list!$L$2:$L$592,"n/a",0,1)</f>
        <v>30</v>
      </c>
      <c r="AD52" t="s">
        <v>3839</v>
      </c>
    </row>
    <row r="53" spans="1:30">
      <c r="A53" t="s">
        <v>800</v>
      </c>
      <c r="B53" t="s">
        <v>3810</v>
      </c>
      <c r="C53" t="s">
        <v>1152</v>
      </c>
      <c r="D53" t="s">
        <v>1152</v>
      </c>
      <c r="E53" t="s">
        <v>804</v>
      </c>
      <c r="F53" t="s">
        <v>1945</v>
      </c>
      <c r="G53" t="s">
        <v>1945</v>
      </c>
      <c r="I53">
        <f>_xlfn.XLOOKUP($F53,設計座標!$E$13:$E$2301,設計座標!$G$13:$G$2301,"n/a",0,1)</f>
        <v>0.40487039999999896</v>
      </c>
      <c r="J53">
        <f>_xlfn.XLOOKUP($F53,設計座標!$E$13:$E$2301,設計座標!$H$13:$H$2301,"n/a",0,1)</f>
        <v>345.77519999999998</v>
      </c>
      <c r="K53">
        <f>_xlfn.XLOOKUP($F53,設計座標!$E$13:$E$2301,設計座標!$I$13:$I$2301,"n/a",0,1)</f>
        <v>-7175.4739</v>
      </c>
      <c r="L53">
        <f>_xlfn.XLOOKUP($F53,設計座標!$E$13:$E$2301,設計座標!$J$13:$J$2301,"n/a",0,1)</f>
        <v>-270</v>
      </c>
      <c r="M53" s="2">
        <f>J53</f>
        <v>345.77519999999998</v>
      </c>
      <c r="N53" s="2">
        <f t="shared" si="13"/>
        <v>-7175.4739</v>
      </c>
      <c r="O53" s="23">
        <f>L53</f>
        <v>-270</v>
      </c>
      <c r="P53" s="1">
        <f t="shared" si="3"/>
        <v>-269.27838636086597</v>
      </c>
      <c r="Q53">
        <f>$M53-$J53</f>
        <v>0</v>
      </c>
      <c r="R53">
        <f>$N53-$K53</f>
        <v>0</v>
      </c>
      <c r="S53" s="23">
        <f>$O53-$L53</f>
        <v>0</v>
      </c>
      <c r="T53">
        <f>$S53+測地線補正!$Q$3*(lattice!$N53/1000)^3+測地線補正!$P$3*(lattice!$N53/1000)^2+測地線補正!$O$3*(lattice!$N53/1000)+測地線補正!$N$3</f>
        <v>0.72161363913405607</v>
      </c>
      <c r="U53">
        <v>0</v>
      </c>
      <c r="V53">
        <v>0</v>
      </c>
      <c r="W53">
        <v>0</v>
      </c>
      <c r="X53">
        <f>$Z$53-($Y$53+$Y$52)/2</f>
        <v>772.65010000000007</v>
      </c>
      <c r="Y53">
        <f>_xlfn.XLOOKUP($F53,設計座標!$E$13:$E$2301,設計座標!$L$13:$L$2301," ",0,1)</f>
        <v>0</v>
      </c>
      <c r="Z53">
        <f>968.9999</f>
        <v>968.99990000000003</v>
      </c>
      <c r="AD53" t="s">
        <v>3840</v>
      </c>
    </row>
    <row r="54" spans="1:30">
      <c r="A54" t="s">
        <v>798</v>
      </c>
      <c r="B54" t="s">
        <v>3810</v>
      </c>
      <c r="C54" t="s">
        <v>804</v>
      </c>
      <c r="D54" t="s">
        <v>1152</v>
      </c>
      <c r="E54" t="s">
        <v>804</v>
      </c>
      <c r="F54" t="s">
        <v>1399</v>
      </c>
      <c r="G54" t="s">
        <v>1119</v>
      </c>
      <c r="I54">
        <f>_xlfn.XLOOKUP($F54,設計座標!$E$13:$E$2301,設計座標!$G$13:$G$2301,"n/a",0,1)</f>
        <v>0.1488607168385494</v>
      </c>
      <c r="J54">
        <f>_xlfn.XLOOKUP($F54,設計座標!$E$13:$E$2301,設計座標!$H$13:$H$2301,"n/a",0,1)</f>
        <v>0</v>
      </c>
      <c r="K54">
        <f>_xlfn.XLOOKUP($F54,設計座標!$E$13:$E$2301,設計座標!$I$13:$I$2301,"n/a",0,1)</f>
        <v>-7093.7803999999996</v>
      </c>
      <c r="L54">
        <f>_xlfn.XLOOKUP($F54,設計座標!$E$13:$E$2301,設計座標!$J$13:$J$2301,"n/a",0,1)</f>
        <v>480</v>
      </c>
      <c r="M54" s="2">
        <f>$J54+$Q54</f>
        <v>7.4415668108948757E-2</v>
      </c>
      <c r="N54" s="2">
        <f t="shared" si="13"/>
        <v>-7093.7803999999996</v>
      </c>
      <c r="O54" s="23">
        <f t="shared" ref="O54" si="39">$L54+$S54</f>
        <v>477.61368274183639</v>
      </c>
      <c r="P54" s="1">
        <f t="shared" si="3"/>
        <v>478.32702524744178</v>
      </c>
      <c r="Q54" s="1">
        <f>(Q$59-Q$28)/($N$59-$N$28)*($N54-$N$28)+Q$28</f>
        <v>7.4415668108948757E-2</v>
      </c>
      <c r="R54">
        <f>$N54-$K54</f>
        <v>0</v>
      </c>
      <c r="S54" s="23">
        <f>(S$59-S$28)/($N$59-$N$28)*($N54-$N$28)+S$28</f>
        <v>-2.3863172581635892</v>
      </c>
      <c r="T54">
        <f>$S54+測地線補正!$Q$3*(lattice!$N54/1000)^3+測地線補正!$P$3*(lattice!$N54/1000)^2+測地線補正!$O$3*(lattice!$N54/1000)+測地線補正!$N$3</f>
        <v>-1.6729747525582448</v>
      </c>
      <c r="U54">
        <f>ATAN(($P$54-$P$35)/ABS($N$54-$N$35))</f>
        <v>3.7583949845557807E-5</v>
      </c>
      <c r="V54">
        <v>0</v>
      </c>
      <c r="W54">
        <f>-ATAN(($M$54-$M$35)/ABS($N$54-$N$35))</f>
        <v>2.4298584545195854E-5</v>
      </c>
      <c r="X54" t="s">
        <v>3860</v>
      </c>
      <c r="Y54">
        <f>_xlfn.XLOOKUP($F54,設計座標!$E$13:$E$2301,設計座標!$L$13:$L$2301," ",0,1)</f>
        <v>1889.4492</v>
      </c>
      <c r="Z54">
        <f>SQRT(($M$47-$M$36)^2+($N$47-$N$36)^2)</f>
        <v>261.24500007712214</v>
      </c>
    </row>
    <row r="55" spans="1:30">
      <c r="A55" t="s">
        <v>801</v>
      </c>
      <c r="B55" t="s">
        <v>3810</v>
      </c>
      <c r="C55" t="s">
        <v>1152</v>
      </c>
      <c r="D55" t="s">
        <v>1152</v>
      </c>
      <c r="E55" t="s">
        <v>804</v>
      </c>
      <c r="F55" t="s">
        <v>1946</v>
      </c>
      <c r="G55" t="s">
        <v>1946</v>
      </c>
      <c r="I55">
        <f>_xlfn.XLOOKUP($F55,設計座標!$E$13:$E$2301,設計座標!$G$13:$G$2301,"n/a",0,1)</f>
        <v>0.36941309999999977</v>
      </c>
      <c r="J55">
        <f>_xlfn.XLOOKUP($F55,設計座標!$E$13:$E$2301,設計座標!$H$13:$H$2301,"n/a",0,1)</f>
        <v>0</v>
      </c>
      <c r="K55">
        <f>_xlfn.XLOOKUP($F55,設計座標!$E$13:$E$2301,設計座標!$I$13:$I$2301,"n/a",0,1)</f>
        <v>-7031.3278999999993</v>
      </c>
      <c r="L55">
        <f>_xlfn.XLOOKUP($F55,設計座標!$E$13:$E$2301,設計座標!$J$13:$J$2301,"n/a",0,1)</f>
        <v>-270</v>
      </c>
      <c r="M55" s="2">
        <f>J55</f>
        <v>0</v>
      </c>
      <c r="N55" s="2">
        <f t="shared" si="13"/>
        <v>-7031.3278999999993</v>
      </c>
      <c r="O55" s="23">
        <f>L55</f>
        <v>-270</v>
      </c>
      <c r="P55" s="1">
        <f t="shared" si="3"/>
        <v>-269.29297462117796</v>
      </c>
      <c r="Q55" s="1">
        <f>$N55-$K55</f>
        <v>0</v>
      </c>
      <c r="R55">
        <f>$N55-$K55</f>
        <v>0</v>
      </c>
      <c r="S55" s="23">
        <f>$O55-$L55</f>
        <v>0</v>
      </c>
      <c r="T55">
        <f>$S55+測地線補正!$Q$3*(lattice!$N55/1000)^3+測地線補正!$P$3*(lattice!$N55/1000)^2+測地線補正!$O$3*(lattice!$N55/1000)+測地線補正!$N$3</f>
        <v>0.70702537882204008</v>
      </c>
      <c r="U55">
        <v>0</v>
      </c>
      <c r="V55">
        <v>0</v>
      </c>
      <c r="W55">
        <v>0</v>
      </c>
      <c r="X55" t="s">
        <v>3864</v>
      </c>
      <c r="Y55">
        <f>_xlfn.XLOOKUP($F55,設計座標!$E$13:$E$2301,設計座標!$L$13:$L$2301," ",0,1)</f>
        <v>0</v>
      </c>
      <c r="Z55" t="s">
        <v>3841</v>
      </c>
      <c r="AD55" t="s">
        <v>3842</v>
      </c>
    </row>
    <row r="56" spans="1:30">
      <c r="A56" t="s">
        <v>801</v>
      </c>
      <c r="B56" t="s">
        <v>3810</v>
      </c>
      <c r="C56" t="s">
        <v>805</v>
      </c>
      <c r="D56" t="s">
        <v>1152</v>
      </c>
      <c r="F56" t="s">
        <v>1871</v>
      </c>
      <c r="G56" t="s">
        <v>1871</v>
      </c>
      <c r="I56">
        <f>_xlfn.XLOOKUP($F56,設計座標!$E$13:$E$2301,設計座標!$G$13:$G$2301,"n/a",0,1)</f>
        <v>0.39241309999999974</v>
      </c>
      <c r="J56">
        <f>_xlfn.XLOOKUP($F56,設計座標!$E$13:$E$2301,設計座標!$H$13:$H$2301,"n/a",0,1)</f>
        <v>0</v>
      </c>
      <c r="K56">
        <f>_xlfn.XLOOKUP($F56,設計座標!$E$13:$E$2301,設計座標!$I$13:$I$2301,"n/a",0,1)</f>
        <v>-7008.3278999999993</v>
      </c>
      <c r="L56">
        <f>_xlfn.XLOOKUP($F56,設計座標!$E$13:$E$2301,設計座標!$J$13:$J$2301,"n/a",0,1)</f>
        <v>-80</v>
      </c>
      <c r="M56" s="2">
        <f t="shared" ref="M56:M57" si="40">J56</f>
        <v>0</v>
      </c>
      <c r="N56" s="2">
        <f t="shared" si="13"/>
        <v>-7008.3278999999993</v>
      </c>
      <c r="O56" s="23">
        <f>L56</f>
        <v>-80</v>
      </c>
      <c r="P56" s="1">
        <f t="shared" si="3"/>
        <v>-79.295299797781411</v>
      </c>
      <c r="Q56" s="1">
        <f t="shared" ref="Q56:R57" si="41">$N56-$K56</f>
        <v>0</v>
      </c>
      <c r="R56">
        <f t="shared" si="41"/>
        <v>0</v>
      </c>
      <c r="S56" s="23">
        <f t="shared" ref="S56:S57" si="42">$O56-$L56</f>
        <v>0</v>
      </c>
      <c r="T56">
        <f>$S56+測地線補正!$Q$3*(lattice!$N56/1000)^3+測地線補正!$P$3*(lattice!$N56/1000)^2+測地線補正!$O$3*(lattice!$N56/1000)+測地線補正!$N$3</f>
        <v>0.70470020221858509</v>
      </c>
      <c r="U56">
        <v>0</v>
      </c>
      <c r="V56">
        <v>0</v>
      </c>
      <c r="W56">
        <v>0</v>
      </c>
      <c r="X56">
        <f>$Z$57-($Y$57+$Y$55)/2</f>
        <v>13</v>
      </c>
      <c r="Y56">
        <f>_xlfn.XLOOKUP($F56,設計座標!$E$13:$E$2301,設計座標!$L$13:$L$2301," ",0,1)</f>
        <v>50</v>
      </c>
      <c r="Z56">
        <f>SQRT(($M$57-$M$55)^2+($N$57-$N$55)^2)</f>
        <v>38</v>
      </c>
      <c r="AA56">
        <f>_xlfn.XLOOKUP($G56,magnet_list!$A$2:$A$592,magnet_list!$AJ$2:$AJ$592,"n/a",0,1)</f>
        <v>7.3599999999999999E-2</v>
      </c>
      <c r="AB56">
        <f>_xlfn.XLOOKUP($G56,magnet_list!$A$2:$A$592,magnet_list!$L$2:$L$592,"n/a",0,1)</f>
        <v>44</v>
      </c>
    </row>
    <row r="57" spans="1:30">
      <c r="A57" t="s">
        <v>801</v>
      </c>
      <c r="B57" t="s">
        <v>3810</v>
      </c>
      <c r="C57" t="s">
        <v>805</v>
      </c>
      <c r="D57" t="s">
        <v>1152</v>
      </c>
      <c r="E57" t="s">
        <v>804</v>
      </c>
      <c r="F57" t="s">
        <v>1122</v>
      </c>
      <c r="G57" t="s">
        <v>1871</v>
      </c>
      <c r="I57">
        <f>_xlfn.XLOOKUP($F57,設計座標!$E$13:$E$2301,設計座標!$G$13:$G$2301,"n/a",0,1)</f>
        <v>0.40741309999999975</v>
      </c>
      <c r="J57">
        <f>_xlfn.XLOOKUP($F57,設計座標!$E$13:$E$2301,設計座標!$H$13:$H$2301,"n/a",0,1)</f>
        <v>0</v>
      </c>
      <c r="K57">
        <f>_xlfn.XLOOKUP($F57,設計座標!$E$13:$E$2301,設計座標!$I$13:$I$2301,"n/a",0,1)</f>
        <v>-6993.3278999999993</v>
      </c>
      <c r="L57">
        <f>_xlfn.XLOOKUP($F57,設計座標!$E$13:$E$2301,設計座標!$J$13:$J$2301,"n/a",0,1)</f>
        <v>-80</v>
      </c>
      <c r="M57" s="2">
        <f t="shared" si="40"/>
        <v>0</v>
      </c>
      <c r="N57" s="2">
        <f t="shared" si="13"/>
        <v>-6993.3278999999993</v>
      </c>
      <c r="O57" s="23">
        <f>L57</f>
        <v>-80</v>
      </c>
      <c r="P57" s="1">
        <f t="shared" si="3"/>
        <v>-79.296815842212325</v>
      </c>
      <c r="Q57" s="1">
        <f t="shared" si="41"/>
        <v>0</v>
      </c>
      <c r="R57">
        <f t="shared" si="41"/>
        <v>0</v>
      </c>
      <c r="S57" s="23">
        <f t="shared" si="42"/>
        <v>0</v>
      </c>
      <c r="T57">
        <f>$S57+測地線補正!$Q$3*(lattice!$N57/1000)^3+測地線補正!$P$3*(lattice!$N57/1000)^2+測地線補正!$O$3*(lattice!$N57/1000)+測地線補正!$N$3</f>
        <v>0.7031841577876683</v>
      </c>
      <c r="U57">
        <v>0</v>
      </c>
      <c r="V57">
        <v>0</v>
      </c>
      <c r="W57">
        <v>0</v>
      </c>
      <c r="X57">
        <f>$Z$57-($Y$57+$Y$55)/2</f>
        <v>13</v>
      </c>
      <c r="Y57">
        <f>_xlfn.XLOOKUP($F57,設計座標!$E$13:$E$2301,設計座標!$L$13:$L$2301," ",0,1)</f>
        <v>50</v>
      </c>
      <c r="Z57">
        <f>SQRT(($M$57-$M$55)^2+($N$57-$N$55)^2)</f>
        <v>38</v>
      </c>
      <c r="AA57">
        <f>_xlfn.XLOOKUP($G57,magnet_list!$A$2:$A$592,magnet_list!$AJ$2:$AJ$592,"n/a",0,1)</f>
        <v>7.3599999999999999E-2</v>
      </c>
      <c r="AB57">
        <f>_xlfn.XLOOKUP($G57,magnet_list!$A$2:$A$592,magnet_list!$L$2:$L$592,"n/a",0,1)</f>
        <v>44</v>
      </c>
    </row>
    <row r="58" spans="1:30">
      <c r="A58" t="s">
        <v>798</v>
      </c>
      <c r="B58" t="s">
        <v>3810</v>
      </c>
      <c r="C58" t="s">
        <v>1152</v>
      </c>
      <c r="D58" t="s">
        <v>1152</v>
      </c>
      <c r="E58" t="s">
        <v>804</v>
      </c>
      <c r="F58" t="s">
        <v>1952</v>
      </c>
      <c r="G58" t="s">
        <v>1952</v>
      </c>
      <c r="I58">
        <f>_xlfn.XLOOKUP($F58,設計座標!$E$13:$E$2301,設計座標!$G$13:$G$2301,"n/a",0,1)</f>
        <v>0.23768334572854855</v>
      </c>
      <c r="J58">
        <f>_xlfn.XLOOKUP($F58,設計座標!$E$13:$E$2301,設計座標!$H$13:$H$2301,"n/a",0,1)</f>
        <v>0</v>
      </c>
      <c r="K58">
        <f>_xlfn.XLOOKUP($F58,設計座標!$E$13:$E$2301,設計座標!$I$13:$I$2301,"n/a",0,1)</f>
        <v>-7004.957771110001</v>
      </c>
      <c r="L58">
        <f>_xlfn.XLOOKUP($F58,設計座標!$E$13:$E$2301,設計座標!$J$13:$J$2301,"n/a",0,1)</f>
        <v>480</v>
      </c>
      <c r="M58" s="2">
        <f>$J58+$Q58</f>
        <v>7.2257403950913818E-2</v>
      </c>
      <c r="N58" s="2">
        <f t="shared" si="13"/>
        <v>-7004.957771110001</v>
      </c>
      <c r="O58" s="23">
        <f t="shared" ref="O58:O60" si="43">$L58+$S58</f>
        <v>477.62612111724911</v>
      </c>
      <c r="P58" s="1">
        <f t="shared" si="3"/>
        <v>478.33048067600424</v>
      </c>
      <c r="Q58" s="1">
        <f>(Q$59-Q$28)/($N$59-$N$28)*($N58-$N$28)+Q$28</f>
        <v>7.2257403950913818E-2</v>
      </c>
      <c r="R58">
        <f t="shared" ref="R58:R63" si="44">$N58-$K58</f>
        <v>0</v>
      </c>
      <c r="S58" s="23">
        <f>(S$59-S$28)/($N$59-$N$28)*($N58-$N$28)+S$28</f>
        <v>-2.3738788827508874</v>
      </c>
      <c r="T58">
        <f>$S58+測地線補正!$Q$3*(lattice!$N58/1000)^3+測地線補正!$P$3*(lattice!$N58/1000)^2+測地線補正!$O$3*(lattice!$N58/1000)+測地線補正!$N$3</f>
        <v>-1.6695193239957296</v>
      </c>
      <c r="U58">
        <v>0</v>
      </c>
      <c r="V58">
        <v>0</v>
      </c>
      <c r="W58">
        <v>0</v>
      </c>
      <c r="X58">
        <f>SQRT(($M$58-$M$54)^2+($N$58-$N$54)^2)</f>
        <v>88.822628916220054</v>
      </c>
      <c r="Y58">
        <f>_xlfn.XLOOKUP($F58,設計座標!$E$13:$E$2301,設計座標!$L$13:$L$2301," ",0,1)</f>
        <v>0</v>
      </c>
      <c r="Z58">
        <f>SQRT(($M$58-$M$47)^2+($N$58-$N$47)^2)</f>
        <v>1033.5472291951132</v>
      </c>
    </row>
    <row r="59" spans="1:30">
      <c r="A59" t="s">
        <v>798</v>
      </c>
      <c r="B59" t="s">
        <v>3810</v>
      </c>
      <c r="C59" t="s">
        <v>805</v>
      </c>
      <c r="D59" t="s">
        <v>806</v>
      </c>
      <c r="F59" t="s">
        <v>490</v>
      </c>
      <c r="G59" t="s">
        <v>490</v>
      </c>
      <c r="I59">
        <f>_xlfn.XLOOKUP($F59,設計座標!$E$13:$E$2301,設計座標!$G$13:$G$2301,"n/a",0,1)</f>
        <v>0.28816134572854946</v>
      </c>
      <c r="J59">
        <f>_xlfn.XLOOKUP($F59,設計座標!$E$13:$E$2301,設計座標!$H$13:$H$2301,"n/a",0,1)</f>
        <v>0</v>
      </c>
      <c r="K59">
        <f>_xlfn.XLOOKUP($F59,設計座標!$E$13:$E$2301,設計座標!$I$13:$I$2301,"n/a",0,1)</f>
        <v>-6954.47977111</v>
      </c>
      <c r="L59">
        <f>_xlfn.XLOOKUP($F59,設計座標!$E$13:$E$2301,設計座標!$J$13:$J$2301,"n/a",0,1)</f>
        <v>642</v>
      </c>
      <c r="M59" s="2">
        <f>_xlfn.XLOOKUP($F59,survey_data!$A$2:$A$833,survey_data!$B$2:$B$833,"n/a",0,1)</f>
        <v>7.1030860000000001E-2</v>
      </c>
      <c r="N59" s="2">
        <f>_xlfn.XLOOKUP($F59,survey_data!$A$2:$A$833,survey_data!$C$2:$C$833,"n/a",0,1)</f>
        <v>-6954.47977111</v>
      </c>
      <c r="O59" s="23">
        <f>_xlfn.XLOOKUP($F59,survey_data!$A$2:$A$833,survey_data!$D$2:$D$833,"n/a",0,1)</f>
        <v>639.63318986000002</v>
      </c>
      <c r="P59" s="1">
        <f t="shared" si="3"/>
        <v>640.33244902774857</v>
      </c>
      <c r="Q59" s="1">
        <f t="shared" ref="Q59" si="45">$M59-$J59</f>
        <v>7.1030860000000001E-2</v>
      </c>
      <c r="R59">
        <f t="shared" si="44"/>
        <v>0</v>
      </c>
      <c r="S59" s="23">
        <f t="shared" ref="S59" si="46">$O59-$L59</f>
        <v>-2.3668101399999841</v>
      </c>
      <c r="T59">
        <f>$S59+測地線補正!$Q$3*(lattice!$N59/1000)^3+測地線補正!$P$3*(lattice!$N59/1000)^2+測地線補正!$O$3*(lattice!$N59/1000)+測地線補正!$N$3</f>
        <v>-1.6675509722514257</v>
      </c>
      <c r="U59">
        <f>ATAN(($P$60-$P$59)/ABS($N$60-$N$59))</f>
        <v>1.1020490042890222E-4</v>
      </c>
      <c r="V59">
        <v>0</v>
      </c>
      <c r="W59">
        <f>-ATAN(($M$60-$M$59)/ABS($N$60-$N$59))</f>
        <v>-6.1023225634683248E-4</v>
      </c>
      <c r="X59">
        <f>$Z$60-($Y$60+$Y$58)/2</f>
        <v>30.47800003000502</v>
      </c>
      <c r="Y59">
        <f>_xlfn.XLOOKUP($F59,設計座標!$E$13:$E$2301,設計座標!$L$13:$L$2301," ",0,1)</f>
        <v>50</v>
      </c>
      <c r="Z59">
        <f>SQRT(($M$60-$M$58)^2+($N$60-$N$58)^2)</f>
        <v>55.47800003000502</v>
      </c>
      <c r="AA59">
        <f>_xlfn.XLOOKUP($G59,magnet_list!$A$2:$A$592,magnet_list!$AJ$2:$AJ$592,"n/a",0,1)</f>
        <v>7.2499999999999995E-2</v>
      </c>
      <c r="AB59">
        <f>_xlfn.XLOOKUP($G59,magnet_list!$A$2:$A$592,magnet_list!$L$2:$L$592,"n/a",0,1)</f>
        <v>44</v>
      </c>
    </row>
    <row r="60" spans="1:30">
      <c r="A60" t="s">
        <v>798</v>
      </c>
      <c r="B60" t="s">
        <v>3810</v>
      </c>
      <c r="C60" t="s">
        <v>805</v>
      </c>
      <c r="D60" t="s">
        <v>1152</v>
      </c>
      <c r="E60" t="s">
        <v>804</v>
      </c>
      <c r="F60" t="s">
        <v>1141</v>
      </c>
      <c r="G60" t="s">
        <v>490</v>
      </c>
      <c r="I60">
        <f>_xlfn.XLOOKUP($F60,設計座標!$E$13:$E$2301,設計座標!$G$13:$G$2301,"n/a",0,1)</f>
        <v>0.29316134572854757</v>
      </c>
      <c r="J60">
        <f>_xlfn.XLOOKUP($F60,設計座標!$E$13:$E$2301,設計座標!$H$13:$H$2301,"n/a",0,1)</f>
        <v>0</v>
      </c>
      <c r="K60">
        <f>_xlfn.XLOOKUP($F60,設計座標!$E$13:$E$2301,設計座標!$I$13:$I$2301,"n/a",0,1)</f>
        <v>-6949.4797711100009</v>
      </c>
      <c r="L60">
        <f>_xlfn.XLOOKUP($F60,設計座標!$E$13:$E$2301,設計座標!$J$13:$J$2301,"n/a",0,1)</f>
        <v>642</v>
      </c>
      <c r="M60" s="2">
        <f>$J60+$Q60</f>
        <v>7.4082021660467609E-2</v>
      </c>
      <c r="N60" s="2">
        <f>K60</f>
        <v>-6949.4797711100009</v>
      </c>
      <c r="O60" s="23">
        <f t="shared" si="43"/>
        <v>639.63424591140813</v>
      </c>
      <c r="P60" s="1">
        <f t="shared" si="3"/>
        <v>640.33300005225294</v>
      </c>
      <c r="Q60" s="1">
        <f>(Q$64-Q$59)/($N$64-$N$59)*($N60-$N$59)+Q$59</f>
        <v>7.4082021660467609E-2</v>
      </c>
      <c r="R60">
        <f t="shared" si="44"/>
        <v>0</v>
      </c>
      <c r="S60" s="23">
        <f>(S$64-S$59)/($N$64-$N$59)*($N60-$N$59)+S$59</f>
        <v>-2.3657540885918795</v>
      </c>
      <c r="T60">
        <f>$S60+測地線補正!$Q$3*(lattice!$N60/1000)^3+測地線補正!$P$3*(lattice!$N60/1000)^2+測地線補正!$O$3*(lattice!$N60/1000)+測地線補正!$N$3</f>
        <v>-1.666999947747019</v>
      </c>
      <c r="U60">
        <f>ATAN(($P$60-$P$59)/ABS($N$60-$N$59))</f>
        <v>1.1020490042890222E-4</v>
      </c>
      <c r="V60">
        <v>0</v>
      </c>
      <c r="W60">
        <f t="shared" ref="W60" si="47">-ATAN(($M$60-$M$59)/ABS($N$60-$N$59))</f>
        <v>-6.1023225634683248E-4</v>
      </c>
      <c r="X60">
        <f>$Z$60-($Y$60+$Y$58)/2</f>
        <v>30.47800003000502</v>
      </c>
      <c r="Y60">
        <f>_xlfn.XLOOKUP($F60,設計座標!$E$13:$E$2301,設計座標!$L$13:$L$2301," ",0,1)</f>
        <v>50</v>
      </c>
      <c r="Z60">
        <f>SQRT(($M$60-$M$58)^2+($N$60-$N$58)^2)</f>
        <v>55.47800003000502</v>
      </c>
      <c r="AA60">
        <f>_xlfn.XLOOKUP($G60,magnet_list!$A$2:$A$592,magnet_list!$AJ$2:$AJ$592,"n/a",0,1)</f>
        <v>7.2499999999999995E-2</v>
      </c>
      <c r="AB60">
        <f>_xlfn.XLOOKUP($G60,magnet_list!$A$2:$A$592,magnet_list!$L$2:$L$592,"n/a",0,1)</f>
        <v>44</v>
      </c>
    </row>
    <row r="61" spans="1:30">
      <c r="A61" t="s">
        <v>801</v>
      </c>
      <c r="B61" t="s">
        <v>3810</v>
      </c>
      <c r="C61" t="s">
        <v>805</v>
      </c>
      <c r="D61" t="s">
        <v>1152</v>
      </c>
      <c r="E61" t="s">
        <v>804</v>
      </c>
      <c r="F61" t="s">
        <v>1123</v>
      </c>
      <c r="G61" t="s">
        <v>1872</v>
      </c>
      <c r="I61">
        <f>_xlfn.XLOOKUP($F61,設計座標!$E$13:$E$2301,設計座標!$G$13:$G$2301,"n/a",0,1)</f>
        <v>0.50805699999999976</v>
      </c>
      <c r="J61">
        <f>_xlfn.XLOOKUP($F61,設計座標!$E$13:$E$2301,設計座標!$H$13:$H$2301,"n/a",0,1)</f>
        <v>0</v>
      </c>
      <c r="K61">
        <f>_xlfn.XLOOKUP($F61,設計座標!$E$13:$E$2301,設計座標!$I$13:$I$2301,"n/a",0,1)</f>
        <v>-6892.6839999999993</v>
      </c>
      <c r="L61">
        <f>_xlfn.XLOOKUP($F61,設計座標!$E$13:$E$2301,設計座標!$J$13:$J$2301,"n/a",0,1)</f>
        <v>-80</v>
      </c>
      <c r="M61" s="2">
        <f t="shared" ref="M61:M63" si="48">J61</f>
        <v>0</v>
      </c>
      <c r="N61" s="2">
        <f>K61</f>
        <v>-6892.6839999999993</v>
      </c>
      <c r="O61" s="23">
        <f>L61</f>
        <v>-80</v>
      </c>
      <c r="P61" s="1">
        <f t="shared" si="3"/>
        <v>-79.306980231467421</v>
      </c>
      <c r="Q61" s="1">
        <f t="shared" ref="Q61:Q63" si="49">$N61-$K61</f>
        <v>0</v>
      </c>
      <c r="R61">
        <f t="shared" si="44"/>
        <v>0</v>
      </c>
      <c r="S61" s="23">
        <f t="shared" ref="S61:S63" si="50">$O61-$L61</f>
        <v>0</v>
      </c>
      <c r="T61">
        <f>$S61+測地線補正!$Q$3*(lattice!$N61/1000)^3+測地線補正!$P$3*(lattice!$N61/1000)^2+測地線補正!$O$3*(lattice!$N61/1000)+測地線補正!$N$3</f>
        <v>0.69301976853257985</v>
      </c>
      <c r="U61">
        <v>0</v>
      </c>
      <c r="V61">
        <v>0</v>
      </c>
      <c r="W61">
        <v>0</v>
      </c>
      <c r="X61">
        <f>$Z$61-($Y$61+$Y$57)/2</f>
        <v>50.643900000000031</v>
      </c>
      <c r="Y61">
        <f>_xlfn.XLOOKUP($F61,設計座標!$E$13:$E$2301,設計座標!$L$13:$L$2301," ",0,1)</f>
        <v>50</v>
      </c>
      <c r="Z61">
        <f>SQRT(($M$61-$M$57)^2+($N$61-$N$57)^2)</f>
        <v>100.64390000000003</v>
      </c>
      <c r="AA61">
        <f>_xlfn.XLOOKUP($G61,magnet_list!$A$2:$A$592,magnet_list!$AJ$2:$AJ$592,"n/a",0,1)</f>
        <v>7.3599999999999999E-2</v>
      </c>
      <c r="AB61">
        <f>_xlfn.XLOOKUP($G61,magnet_list!$A$2:$A$592,magnet_list!$L$2:$L$592,"n/a",0,1)</f>
        <v>44</v>
      </c>
    </row>
    <row r="62" spans="1:30">
      <c r="A62" t="s">
        <v>801</v>
      </c>
      <c r="B62" t="s">
        <v>3810</v>
      </c>
      <c r="C62" t="s">
        <v>805</v>
      </c>
      <c r="D62" t="s">
        <v>1152</v>
      </c>
      <c r="F62" t="s">
        <v>1872</v>
      </c>
      <c r="G62" t="s">
        <v>1872</v>
      </c>
      <c r="I62">
        <f>_xlfn.XLOOKUP($F62,設計座標!$E$13:$E$2301,設計座標!$G$13:$G$2301,"n/a",0,1)</f>
        <v>0.52305699999999977</v>
      </c>
      <c r="J62">
        <f>_xlfn.XLOOKUP($F62,設計座標!$E$13:$E$2301,設計座標!$H$13:$H$2301,"n/a",0,1)</f>
        <v>0</v>
      </c>
      <c r="K62">
        <f>_xlfn.XLOOKUP($F62,設計座標!$E$13:$E$2301,設計座標!$I$13:$I$2301,"n/a",0,1)</f>
        <v>-6877.6839999999993</v>
      </c>
      <c r="L62">
        <f>_xlfn.XLOOKUP($F62,設計座標!$E$13:$E$2301,設計座標!$J$13:$J$2301,"n/a",0,1)</f>
        <v>-80</v>
      </c>
      <c r="M62" s="2">
        <f t="shared" si="48"/>
        <v>0</v>
      </c>
      <c r="N62" s="2">
        <f>K62</f>
        <v>-6877.6839999999993</v>
      </c>
      <c r="O62" s="23">
        <f>L62</f>
        <v>-80</v>
      </c>
      <c r="P62" s="1">
        <f t="shared" si="3"/>
        <v>-79.308493995819745</v>
      </c>
      <c r="Q62" s="1">
        <f t="shared" si="49"/>
        <v>0</v>
      </c>
      <c r="R62">
        <f t="shared" si="44"/>
        <v>0</v>
      </c>
      <c r="S62" s="23">
        <f t="shared" si="50"/>
        <v>0</v>
      </c>
      <c r="T62">
        <f>$S62+測地線補正!$Q$3*(lattice!$N62/1000)^3+測地線補正!$P$3*(lattice!$N62/1000)^2+測地線補正!$O$3*(lattice!$N62/1000)+測地線補正!$N$3</f>
        <v>0.6915060041802582</v>
      </c>
      <c r="U62">
        <v>0</v>
      </c>
      <c r="V62">
        <v>0</v>
      </c>
      <c r="W62">
        <v>0</v>
      </c>
      <c r="X62">
        <f>$Z$61-($Y$61+$Y$57)/2</f>
        <v>50.643900000000031</v>
      </c>
      <c r="Y62">
        <f>_xlfn.XLOOKUP($F62,設計座標!$E$13:$E$2301,設計座標!$L$13:$L$2301," ",0,1)</f>
        <v>50</v>
      </c>
      <c r="Z62">
        <f>SQRT(($M$61-$M$57)^2+($N$61-$N$57)^2)</f>
        <v>100.64390000000003</v>
      </c>
      <c r="AA62">
        <f>_xlfn.XLOOKUP($G62,magnet_list!$A$2:$A$592,magnet_list!$AJ$2:$AJ$592,"n/a",0,1)</f>
        <v>7.3599999999999999E-2</v>
      </c>
      <c r="AB62">
        <f>_xlfn.XLOOKUP($G62,magnet_list!$A$2:$A$592,magnet_list!$L$2:$L$592,"n/a",0,1)</f>
        <v>44</v>
      </c>
    </row>
    <row r="63" spans="1:30">
      <c r="A63" t="s">
        <v>801</v>
      </c>
      <c r="B63" t="s">
        <v>3810</v>
      </c>
      <c r="C63" t="s">
        <v>1152</v>
      </c>
      <c r="D63" t="s">
        <v>1152</v>
      </c>
      <c r="E63" t="s">
        <v>804</v>
      </c>
      <c r="F63" t="s">
        <v>1947</v>
      </c>
      <c r="G63" t="s">
        <v>1947</v>
      </c>
      <c r="I63">
        <f>_xlfn.XLOOKUP($F63,設計座標!$E$13:$E$2301,設計座標!$G$13:$G$2301,"n/a",0,1)</f>
        <v>0.62805699999999975</v>
      </c>
      <c r="J63">
        <f>_xlfn.XLOOKUP($F63,設計座標!$E$13:$E$2301,設計座標!$H$13:$H$2301,"n/a",0,1)</f>
        <v>0</v>
      </c>
      <c r="K63">
        <f>_xlfn.XLOOKUP($F63,設計座標!$E$13:$E$2301,設計座標!$I$13:$I$2301,"n/a",0,1)</f>
        <v>-6772.6839999999993</v>
      </c>
      <c r="L63">
        <f>_xlfn.XLOOKUP($F63,設計座標!$E$13:$E$2301,設計座標!$J$13:$J$2301,"n/a",0,1)</f>
        <v>-270</v>
      </c>
      <c r="M63" s="2">
        <f t="shared" si="48"/>
        <v>0</v>
      </c>
      <c r="N63" s="2">
        <f>K63</f>
        <v>-6772.6839999999993</v>
      </c>
      <c r="O63" s="23">
        <f>L63</f>
        <v>-270</v>
      </c>
      <c r="P63" s="1">
        <f t="shared" si="3"/>
        <v>-269.31908208034434</v>
      </c>
      <c r="Q63" s="1">
        <f t="shared" si="49"/>
        <v>0</v>
      </c>
      <c r="R63">
        <f t="shared" si="44"/>
        <v>0</v>
      </c>
      <c r="S63" s="23">
        <f t="shared" si="50"/>
        <v>0</v>
      </c>
      <c r="T63">
        <f>$S63+測地線補正!$Q$3*(lattice!$N63/1000)^3+測地線補正!$P$3*(lattice!$N63/1000)^2+測地線補正!$O$3*(lattice!$N63/1000)+測地線補正!$N$3</f>
        <v>0.68091791965563475</v>
      </c>
      <c r="U63">
        <v>0</v>
      </c>
      <c r="V63">
        <v>0</v>
      </c>
      <c r="W63">
        <v>0</v>
      </c>
      <c r="X63">
        <f>$Z$63-($Y$63+$Y$61)/2</f>
        <v>95</v>
      </c>
      <c r="Y63">
        <f>_xlfn.XLOOKUP($F63,設計座標!$E$13:$E$2301,設計座標!$L$13:$L$2301," ",0,1)</f>
        <v>0</v>
      </c>
      <c r="Z63">
        <f>SQRT(($M$63-$M$61)^2+($N$63-$N$61)^2)</f>
        <v>120</v>
      </c>
    </row>
    <row r="64" spans="1:30">
      <c r="A64" t="s">
        <v>798</v>
      </c>
      <c r="B64" t="s">
        <v>3810</v>
      </c>
      <c r="C64" t="s">
        <v>805</v>
      </c>
      <c r="D64" t="s">
        <v>806</v>
      </c>
      <c r="F64" t="s">
        <v>491</v>
      </c>
      <c r="G64" t="s">
        <v>491</v>
      </c>
      <c r="I64">
        <f>_xlfn.XLOOKUP($F64,設計座標!$E$13:$E$2301,設計座標!$G$13:$G$2301,"n/a",0,1)</f>
        <v>0.4375520371185484</v>
      </c>
      <c r="J64">
        <f>_xlfn.XLOOKUP($F64,設計座標!$E$13:$E$2301,設計座標!$H$13:$H$2301,"n/a",0,1)</f>
        <v>0</v>
      </c>
      <c r="K64">
        <f>_xlfn.XLOOKUP($F64,設計座標!$E$13:$E$2301,設計座標!$I$13:$I$2301,"n/a",0,1)</f>
        <v>-6805.08907972</v>
      </c>
      <c r="L64">
        <f>_xlfn.XLOOKUP($F64,設計座標!$E$13:$E$2301,設計座標!$J$13:$J$2301,"n/a",0,1)</f>
        <v>642</v>
      </c>
      <c r="M64" s="2">
        <f>_xlfn.XLOOKUP($F64,survey_data!$A$2:$A$833,survey_data!$B$2:$B$833,"n/a",0,1)</f>
        <v>0.16219389000000001</v>
      </c>
      <c r="N64" s="2">
        <f>_xlfn.XLOOKUP($F64,survey_data!$A$2:$A$833,survey_data!$C$2:$C$833,"n/a",0,1)</f>
        <v>-6805.08907972</v>
      </c>
      <c r="O64" s="23">
        <f>_xlfn.XLOOKUP($F64,survey_data!$A$2:$A$833,survey_data!$D$2:$D$833,"n/a",0,1)</f>
        <v>639.66474271000004</v>
      </c>
      <c r="P64" s="1">
        <f t="shared" si="3"/>
        <v>640.34892677984362</v>
      </c>
      <c r="Q64" s="1">
        <f t="shared" ref="Q64" si="51">$M64-$J64</f>
        <v>0.16219389000000001</v>
      </c>
      <c r="R64">
        <f t="shared" ref="R64:R68" si="52">$N64-$K64</f>
        <v>0</v>
      </c>
      <c r="S64" s="23">
        <f t="shared" ref="S64" si="53">$O64-$L64</f>
        <v>-2.3352572899999586</v>
      </c>
      <c r="T64">
        <f>$S64+測地線補正!$Q$3*(lattice!$N64/1000)^3+測地線補正!$P$3*(lattice!$N64/1000)^2+測地線補正!$O$3*(lattice!$N64/1000)+測地線補正!$N$3</f>
        <v>-1.6510732201563225</v>
      </c>
      <c r="U64">
        <f>ATAN(($P$65-$P$64)/ABS($N$65-$N$64))</f>
        <v>1.7488646425553692E-4</v>
      </c>
      <c r="V64">
        <v>0</v>
      </c>
      <c r="W64">
        <f>-ATAN(($M$65-$M$64)/ABS($N$65-$N$64))</f>
        <v>-6.6574630534043018E-5</v>
      </c>
      <c r="X64">
        <f>$Z$65-($Y$65+$Y$59)/2</f>
        <v>99.390714670057605</v>
      </c>
      <c r="Y64">
        <f>_xlfn.XLOOKUP($F64,設計座標!$E$13:$E$2301,設計座標!$L$13:$L$2301," ",0,1)</f>
        <v>100</v>
      </c>
      <c r="Z64">
        <f>SQRT(($M$65-$M$60)^2+($N$65-$N$60)^2)</f>
        <v>174.3907146700576</v>
      </c>
      <c r="AA64">
        <f>_xlfn.XLOOKUP($G64,magnet_list!$A$2:$A$592,magnet_list!$AJ$2:$AJ$592,"n/a",0,1)</f>
        <v>0.122</v>
      </c>
      <c r="AB64">
        <f>_xlfn.XLOOKUP($G64,magnet_list!$A$2:$A$592,magnet_list!$L$2:$L$592,"n/a",0,1)</f>
        <v>44</v>
      </c>
    </row>
    <row r="65" spans="1:28">
      <c r="A65" t="s">
        <v>798</v>
      </c>
      <c r="B65" t="s">
        <v>3810</v>
      </c>
      <c r="C65" t="s">
        <v>805</v>
      </c>
      <c r="D65" t="s">
        <v>1152</v>
      </c>
      <c r="E65" t="s">
        <v>804</v>
      </c>
      <c r="F65" t="s">
        <v>1142</v>
      </c>
      <c r="G65" t="s">
        <v>491</v>
      </c>
      <c r="I65">
        <f>_xlfn.XLOOKUP($F65,設計座標!$E$13:$E$2301,設計座標!$G$13:$G$2301,"n/a",0,1)</f>
        <v>0.46755203711854865</v>
      </c>
      <c r="J65">
        <f>_xlfn.XLOOKUP($F65,設計座標!$E$13:$E$2301,設計座標!$H$13:$H$2301,"n/a",0,1)</f>
        <v>0</v>
      </c>
      <c r="K65">
        <f>_xlfn.XLOOKUP($F65,設計座標!$E$13:$E$2301,設計座標!$I$13:$I$2301,"n/a",0,1)</f>
        <v>-6775.0890797200009</v>
      </c>
      <c r="L65">
        <f>_xlfn.XLOOKUP($F65,設計座標!$E$13:$E$2301,設計座標!$J$13:$J$2301,"n/a",0,1)</f>
        <v>642</v>
      </c>
      <c r="M65" s="2">
        <f>$J65+$Q65</f>
        <v>0.16419112891897195</v>
      </c>
      <c r="N65" s="2">
        <f>K65</f>
        <v>-6775.0890797200009</v>
      </c>
      <c r="O65" s="23">
        <f t="shared" ref="O65" si="54">$L65+$S65</f>
        <v>639.67301309032894</v>
      </c>
      <c r="P65" s="1">
        <f t="shared" si="3"/>
        <v>640.35417337382478</v>
      </c>
      <c r="Q65" s="1">
        <f>(Q$70-Q$64)/($N$70-$N$64)*($N65-$N$64)+Q$64</f>
        <v>0.16419112891897195</v>
      </c>
      <c r="R65">
        <f t="shared" si="52"/>
        <v>0</v>
      </c>
      <c r="S65" s="23">
        <f>(S$70-S$64)/($N$70-$N$64)*($N65-$N$64)+S$64</f>
        <v>-2.3269869096710227</v>
      </c>
      <c r="T65">
        <f>$S65+測地線補正!$Q$3*(lattice!$N65/1000)^3+測地線補正!$P$3*(lattice!$N65/1000)^2+測地線補正!$O$3*(lattice!$N65/1000)+測地線補正!$N$3</f>
        <v>-1.6458266261751744</v>
      </c>
      <c r="U65">
        <f t="shared" ref="U65" si="55">ATAN(($P$65-$P$64)/ABS($N$65-$N$64))</f>
        <v>1.7488646425553692E-4</v>
      </c>
      <c r="V65">
        <v>0</v>
      </c>
      <c r="W65">
        <f>-ATAN(($M$65-$M$64)/ABS($N$65-$N$64))</f>
        <v>-6.6574630534043018E-5</v>
      </c>
      <c r="X65">
        <f>$Z$65-($Y$65+$Y$59)/2</f>
        <v>99.390714670057605</v>
      </c>
      <c r="Y65">
        <f>_xlfn.XLOOKUP($F65,設計座標!$E$13:$E$2301,設計座標!$L$13:$L$2301," ",0,1)</f>
        <v>100</v>
      </c>
      <c r="Z65">
        <f>SQRT(($M$65-$M$60)^2+($N$65-$N$60)^2)</f>
        <v>174.3907146700576</v>
      </c>
      <c r="AA65">
        <f>_xlfn.XLOOKUP($G65,magnet_list!$A$2:$A$592,magnet_list!$AJ$2:$AJ$592,"n/a",0,1)</f>
        <v>0.122</v>
      </c>
      <c r="AB65">
        <f>_xlfn.XLOOKUP($G65,magnet_list!$A$2:$A$592,magnet_list!$L$2:$L$592,"n/a",0,1)</f>
        <v>44</v>
      </c>
    </row>
    <row r="66" spans="1:28">
      <c r="A66" t="s">
        <v>801</v>
      </c>
      <c r="B66" t="s">
        <v>3810</v>
      </c>
      <c r="C66" t="s">
        <v>804</v>
      </c>
      <c r="D66" t="s">
        <v>1152</v>
      </c>
      <c r="E66" t="s">
        <v>804</v>
      </c>
      <c r="F66" t="s">
        <v>1400</v>
      </c>
      <c r="G66" t="s">
        <v>1121</v>
      </c>
      <c r="I66">
        <f>_xlfn.XLOOKUP($F66,設計座標!$E$13:$E$2301,設計座標!$G$13:$G$2301,"n/a",0,1)</f>
        <v>0.76890309999999951</v>
      </c>
      <c r="J66">
        <f>_xlfn.XLOOKUP($F66,設計座標!$E$13:$E$2301,設計座標!$H$13:$H$2301,"n/a",0,1)</f>
        <v>0</v>
      </c>
      <c r="K66">
        <f>_xlfn.XLOOKUP($F66,設計座標!$E$13:$E$2301,設計座標!$I$13:$I$2301,"n/a",0,1)</f>
        <v>-6631.8378999999995</v>
      </c>
      <c r="L66">
        <f>_xlfn.XLOOKUP($F66,設計座標!$E$13:$E$2301,設計座標!$J$13:$J$2301,"n/a",0,1)</f>
        <v>-270</v>
      </c>
      <c r="M66" s="2">
        <f t="shared" ref="M66:M68" si="56">J66</f>
        <v>0</v>
      </c>
      <c r="N66" s="2">
        <f>K66</f>
        <v>-6631.8378999999995</v>
      </c>
      <c r="O66" s="23">
        <f>L66</f>
        <v>-270</v>
      </c>
      <c r="P66" s="1">
        <f t="shared" si="3"/>
        <v>-269.33326216771229</v>
      </c>
      <c r="Q66" s="1">
        <f t="shared" ref="Q66:Q68" si="57">$N66-$K66</f>
        <v>0</v>
      </c>
      <c r="R66">
        <f t="shared" si="52"/>
        <v>0</v>
      </c>
      <c r="S66" s="23">
        <f t="shared" ref="S66:S68" si="58">$O66-$L66</f>
        <v>0</v>
      </c>
      <c r="T66">
        <f>$S66+測地線補正!$Q$3*(lattice!$N66/1000)^3+測地線補正!$P$3*(lattice!$N66/1000)^2+測地線補正!$O$3*(lattice!$N66/1000)+測地線補正!$N$3</f>
        <v>0.66673783228770678</v>
      </c>
      <c r="U66">
        <v>0</v>
      </c>
      <c r="V66">
        <v>0</v>
      </c>
      <c r="W66">
        <v>0</v>
      </c>
      <c r="X66">
        <f>SQRT(($M$66-$M$63)^2+($N$66-$N$63)^2)</f>
        <v>140.84609999999975</v>
      </c>
      <c r="Y66">
        <f>_xlfn.XLOOKUP($F66,設計座標!$E$13:$E$2301,設計座標!$L$13:$L$2301," ",0,1)</f>
        <v>1889.4492</v>
      </c>
      <c r="Z66">
        <f>SQRT(($M$75-$M$67)^2+($N$75-$N$67)^2)</f>
        <v>311.22999999999956</v>
      </c>
    </row>
    <row r="67" spans="1:28">
      <c r="A67" t="s">
        <v>801</v>
      </c>
      <c r="B67" t="s">
        <v>3810</v>
      </c>
      <c r="C67" t="s">
        <v>3855</v>
      </c>
      <c r="D67" t="s">
        <v>1152</v>
      </c>
      <c r="E67" t="s">
        <v>804</v>
      </c>
      <c r="F67" t="s">
        <v>2194</v>
      </c>
      <c r="G67" t="s">
        <v>2194</v>
      </c>
      <c r="I67">
        <f>_xlfn.XLOOKUP($F67,設計座標!$E$13:$E$2301,設計座標!$G$13:$G$2301,"n/a",0,1)</f>
        <v>1.4049030999999994</v>
      </c>
      <c r="J67">
        <f>_xlfn.XLOOKUP($F67,設計座標!$E$13:$E$2301,設計座標!$H$13:$H$2301,"n/a",0,1)</f>
        <v>0</v>
      </c>
      <c r="K67">
        <f>_xlfn.XLOOKUP($F67,設計座標!$E$13:$E$2301,設計座標!$I$13:$I$2301,"n/a",0,1)</f>
        <v>-5995.8378999999995</v>
      </c>
      <c r="L67">
        <f>_xlfn.XLOOKUP($F67,設計座標!$E$13:$E$2301,設計座標!$J$13:$J$2301,"n/a",0,1)</f>
        <v>-270</v>
      </c>
      <c r="M67" s="2">
        <f t="shared" si="56"/>
        <v>0</v>
      </c>
      <c r="N67" s="2">
        <f>K67</f>
        <v>-5995.8378999999995</v>
      </c>
      <c r="O67" s="23">
        <f>L67</f>
        <v>-270</v>
      </c>
      <c r="P67" s="1">
        <f t="shared" si="3"/>
        <v>-269.39697151647607</v>
      </c>
      <c r="Q67" s="1">
        <f t="shared" si="57"/>
        <v>0</v>
      </c>
      <c r="R67">
        <f t="shared" si="52"/>
        <v>0</v>
      </c>
      <c r="S67" s="23">
        <f t="shared" si="58"/>
        <v>0</v>
      </c>
      <c r="T67">
        <f>$S67+測地線補正!$Q$3*(lattice!$N67/1000)^3+測地線補正!$P$3*(lattice!$N67/1000)^2+測地線補正!$O$3*(lattice!$N67/1000)+測地線補正!$N$3</f>
        <v>0.6030284835239319</v>
      </c>
      <c r="U67">
        <v>0</v>
      </c>
      <c r="V67">
        <v>0</v>
      </c>
      <c r="W67">
        <v>0</v>
      </c>
      <c r="X67" t="s">
        <v>3860</v>
      </c>
      <c r="Y67">
        <f>_xlfn.XLOOKUP($F67,設計座標!$E$13:$E$2301,設計座標!$L$13:$L$2301," ",0,1)</f>
        <v>0</v>
      </c>
      <c r="Z67">
        <f>SQRT(($M$67-$M$63)^2+($N$67-$N$63)^2)</f>
        <v>776.84609999999975</v>
      </c>
      <c r="AA67">
        <f>_xlfn.XLOOKUP($G67,magnet_list!$A$2:$A$592,magnet_list!$AJ$2:$AJ$592,"n/a",0,1)</f>
        <v>0.95010000000000006</v>
      </c>
      <c r="AB67">
        <f>_xlfn.XLOOKUP($G67,magnet_list!$A$2:$A$592,magnet_list!$L$2:$L$592,"n/a",0,1)</f>
        <v>120</v>
      </c>
    </row>
    <row r="68" spans="1:28">
      <c r="A68" t="s">
        <v>801</v>
      </c>
      <c r="B68" t="s">
        <v>3810</v>
      </c>
      <c r="C68" t="s">
        <v>3855</v>
      </c>
      <c r="D68" t="s">
        <v>1152</v>
      </c>
      <c r="E68" t="s">
        <v>804</v>
      </c>
      <c r="F68" t="s">
        <v>2195</v>
      </c>
      <c r="G68" t="s">
        <v>2195</v>
      </c>
      <c r="I68">
        <f>_xlfn.XLOOKUP($F68,設計座標!$E$13:$E$2301,設計座標!$G$13:$G$2301,"n/a",0,1)</f>
        <v>1.4049030999999994</v>
      </c>
      <c r="J68">
        <f>_xlfn.XLOOKUP($F68,設計座標!$E$13:$E$2301,設計座標!$H$13:$H$2301,"n/a",0,1)</f>
        <v>0</v>
      </c>
      <c r="K68">
        <f>_xlfn.XLOOKUP($F68,設計座標!$E$13:$E$2301,設計座標!$I$13:$I$2301,"n/a",0,1)</f>
        <v>-5995.8378999999995</v>
      </c>
      <c r="L68">
        <f>_xlfn.XLOOKUP($F68,設計座標!$E$13:$E$2301,設計座標!$J$13:$J$2301,"n/a",0,1)</f>
        <v>-270</v>
      </c>
      <c r="M68" s="2">
        <f t="shared" si="56"/>
        <v>0</v>
      </c>
      <c r="N68" s="2">
        <f>K68</f>
        <v>-5995.8378999999995</v>
      </c>
      <c r="O68" s="23">
        <f>L68</f>
        <v>-270</v>
      </c>
      <c r="P68" s="1">
        <f t="shared" si="3"/>
        <v>-269.39697151647607</v>
      </c>
      <c r="Q68" s="1">
        <f t="shared" si="57"/>
        <v>0</v>
      </c>
      <c r="R68">
        <f t="shared" si="52"/>
        <v>0</v>
      </c>
      <c r="S68" s="23">
        <f t="shared" si="58"/>
        <v>0</v>
      </c>
      <c r="T68">
        <f>$S68+測地線補正!$Q$3*(lattice!$N68/1000)^3+測地線補正!$P$3*(lattice!$N68/1000)^2+測地線補正!$O$3*(lattice!$N68/1000)+測地線補正!$N$3</f>
        <v>0.6030284835239319</v>
      </c>
      <c r="U68">
        <v>0</v>
      </c>
      <c r="V68">
        <v>0</v>
      </c>
      <c r="W68">
        <v>0</v>
      </c>
      <c r="X68" t="s">
        <v>3860</v>
      </c>
      <c r="Y68">
        <f>_xlfn.XLOOKUP($F68,設計座標!$E$13:$E$2301,設計座標!$L$13:$L$2301," ",0,1)</f>
        <v>0</v>
      </c>
      <c r="Z68">
        <f>SQRT(($M$67-$M$63)^2+($N$67-$N$63)^2)</f>
        <v>776.84609999999975</v>
      </c>
      <c r="AA68">
        <f>_xlfn.XLOOKUP($G68,magnet_list!$A$2:$A$592,magnet_list!$AJ$2:$AJ$592,"n/a",0,1)</f>
        <v>0.95010000000000006</v>
      </c>
      <c r="AB68">
        <f>_xlfn.XLOOKUP($G68,magnet_list!$A$2:$A$592,magnet_list!$L$2:$L$592,"n/a",0,1)</f>
        <v>120</v>
      </c>
    </row>
    <row r="69" spans="1:28">
      <c r="A69" t="s">
        <v>798</v>
      </c>
      <c r="B69" t="s">
        <v>3810</v>
      </c>
      <c r="C69" t="s">
        <v>805</v>
      </c>
      <c r="D69" t="s">
        <v>1152</v>
      </c>
      <c r="E69" t="s">
        <v>804</v>
      </c>
      <c r="F69" t="s">
        <v>1143</v>
      </c>
      <c r="G69" t="s">
        <v>492</v>
      </c>
      <c r="I69">
        <f>_xlfn.XLOOKUP($F69,設計座標!$E$13:$E$2301,設計座標!$G$13:$G$2301,"n/a",0,1)</f>
        <v>0.6428662343885474</v>
      </c>
      <c r="J69">
        <f>_xlfn.XLOOKUP($F69,設計座標!$E$13:$E$2301,設計座標!$H$13:$H$2301,"n/a",0,1)</f>
        <v>0</v>
      </c>
      <c r="K69">
        <f>_xlfn.XLOOKUP($F69,設計座標!$E$13:$E$2301,設計座標!$I$13:$I$2301,"n/a",0,1)</f>
        <v>-6599.7748824500013</v>
      </c>
      <c r="L69">
        <f>_xlfn.XLOOKUP($F69,設計座標!$E$13:$E$2301,設計座標!$J$13:$J$2301,"n/a",0,1)</f>
        <v>642</v>
      </c>
      <c r="M69" s="2">
        <f>$J69+$Q69</f>
        <v>0.17586260684683794</v>
      </c>
      <c r="N69" s="2">
        <f>K69</f>
        <v>-6599.7748824500013</v>
      </c>
      <c r="O69" s="23">
        <f t="shared" ref="O69:O76" si="59">$L69+$S69</f>
        <v>639.72134359327845</v>
      </c>
      <c r="P69" s="1">
        <f t="shared" si="3"/>
        <v>640.38485701341824</v>
      </c>
      <c r="Q69" s="1">
        <f>(Q$70-Q$64)/($N$70-$N$64)*($N69-$N$64)+Q$64</f>
        <v>0.17586260684683794</v>
      </c>
      <c r="R69">
        <f t="shared" ref="R69:R74" si="60">$N69-$K69</f>
        <v>0</v>
      </c>
      <c r="S69" s="23">
        <f>(S$70-S$64)/($N$70-$N$64)*($N69-$N$64)+S$64</f>
        <v>-2.2786564067215216</v>
      </c>
      <c r="T69">
        <f>$S69+測地線補正!$Q$3*(lattice!$N69/1000)^3+測地線補正!$P$3*(lattice!$N69/1000)^2+測地線補正!$O$3*(lattice!$N69/1000)+測地線補正!$N$3</f>
        <v>-1.615142986581757</v>
      </c>
      <c r="U69">
        <f>ATAN(($P$70-$P$69)/ABS($N$70-$N$69))</f>
        <v>1.7513870930639208E-4</v>
      </c>
      <c r="V69">
        <v>0</v>
      </c>
      <c r="W69">
        <f>-ATAN(($M$70-$M$69)/ABS($N$70-$N$69))</f>
        <v>-6.6574630534040917E-5</v>
      </c>
      <c r="X69">
        <f>$Z$69-($Y$69+$Y$65)/2</f>
        <v>100.31419765851172</v>
      </c>
      <c r="Y69">
        <f>_xlfn.XLOOKUP($F69,設計座標!$E$13:$E$2301,設計座標!$L$13:$L$2301," ",0,1)</f>
        <v>50</v>
      </c>
      <c r="Z69">
        <f>SQRT(($M$69-$M$65)^2+($N$69-$N$65)^2)</f>
        <v>175.31419765851172</v>
      </c>
      <c r="AA69">
        <f>_xlfn.XLOOKUP($G69,magnet_list!$A$2:$A$592,magnet_list!$AJ$2:$AJ$592,"n/a",0,1)</f>
        <v>7.2499999999999995E-2</v>
      </c>
      <c r="AB69">
        <f>_xlfn.XLOOKUP($G69,magnet_list!$A$2:$A$592,magnet_list!$L$2:$L$592,"n/a",0,1)</f>
        <v>44</v>
      </c>
    </row>
    <row r="70" spans="1:28">
      <c r="A70" t="s">
        <v>798</v>
      </c>
      <c r="B70" t="s">
        <v>3810</v>
      </c>
      <c r="C70" t="s">
        <v>805</v>
      </c>
      <c r="D70" t="s">
        <v>806</v>
      </c>
      <c r="F70" t="s">
        <v>492</v>
      </c>
      <c r="G70" t="s">
        <v>492</v>
      </c>
      <c r="I70">
        <f>_xlfn.XLOOKUP($F70,設計座標!$E$13:$E$2301,設計座標!$G$13:$G$2301,"n/a",0,1)</f>
        <v>0.64786623438854818</v>
      </c>
      <c r="J70">
        <f>_xlfn.XLOOKUP($F70,設計座標!$E$13:$E$2301,設計座標!$H$13:$H$2301,"n/a",0,1)</f>
        <v>0</v>
      </c>
      <c r="K70">
        <f>_xlfn.XLOOKUP($F70,設計座標!$E$13:$E$2301,設計座標!$I$13:$I$2301,"n/a",0,1)</f>
        <v>-6594.7748824500004</v>
      </c>
      <c r="L70">
        <f>_xlfn.XLOOKUP($F70,設計座標!$E$13:$E$2301,設計座標!$J$13:$J$2301,"n/a",0,1)</f>
        <v>642</v>
      </c>
      <c r="M70" s="2">
        <f>_xlfn.XLOOKUP($F70,survey_data!$A$2:$A$833,survey_data!$B$2:$B$833,"n/a",0,1)</f>
        <v>0.17619547999999999</v>
      </c>
      <c r="N70" s="2">
        <f>_xlfn.XLOOKUP($F70,survey_data!$A$2:$A$833,survey_data!$C$2:$C$833,"n/a",0,1)</f>
        <v>-6594.7748824500004</v>
      </c>
      <c r="O70" s="23">
        <f>_xlfn.XLOOKUP($F70,survey_data!$A$2:$A$833,survey_data!$D$2:$D$833,"n/a",0,1)</f>
        <v>639.72272198999997</v>
      </c>
      <c r="P70" s="1">
        <f t="shared" si="3"/>
        <v>640.38573270697373</v>
      </c>
      <c r="Q70" s="1">
        <f t="shared" ref="Q70" si="61">$M70-$J70</f>
        <v>0.17619547999999999</v>
      </c>
      <c r="R70">
        <f t="shared" si="60"/>
        <v>0</v>
      </c>
      <c r="S70" s="23">
        <f t="shared" ref="S70" si="62">$O70-$L70</f>
        <v>-2.2772780100000318</v>
      </c>
      <c r="T70">
        <f>$S70+測地線補正!$Q$3*(lattice!$N70/1000)^3+測地線補正!$P$3*(lattice!$N70/1000)^2+測地線補正!$O$3*(lattice!$N70/1000)+測地線補正!$N$3</f>
        <v>-1.6142672930263071</v>
      </c>
      <c r="U70">
        <f t="shared" ref="U70" si="63">ATAN(($P$70-$P$69)/ABS($N$70-$N$69))</f>
        <v>1.7513870930639208E-4</v>
      </c>
      <c r="V70">
        <v>0</v>
      </c>
      <c r="W70">
        <f>-ATAN(($M$70-$M$69)/ABS($N$70-$N$69))</f>
        <v>-6.6574630534040917E-5</v>
      </c>
      <c r="X70">
        <f>$Z$69-($Y$69+$Y$65)/2</f>
        <v>100.31419765851172</v>
      </c>
      <c r="Y70">
        <f>_xlfn.XLOOKUP($F70,設計座標!$E$13:$E$2301,設計座標!$L$13:$L$2301," ",0,1)</f>
        <v>50</v>
      </c>
      <c r="Z70">
        <f>SQRT(($M$69-$M$65)^2+($N$69-$N$65)^2)</f>
        <v>175.31419765851172</v>
      </c>
      <c r="AA70">
        <f>_xlfn.XLOOKUP($G70,magnet_list!$A$2:$A$592,magnet_list!$AJ$2:$AJ$592,"n/a",0,1)</f>
        <v>7.2499999999999995E-2</v>
      </c>
      <c r="AB70">
        <f>_xlfn.XLOOKUP($G70,magnet_list!$A$2:$A$592,magnet_list!$L$2:$L$592,"n/a",0,1)</f>
        <v>44</v>
      </c>
    </row>
    <row r="71" spans="1:28">
      <c r="A71" t="s">
        <v>798</v>
      </c>
      <c r="B71" t="s">
        <v>3810</v>
      </c>
      <c r="C71" t="s">
        <v>1152</v>
      </c>
      <c r="D71" t="s">
        <v>1152</v>
      </c>
      <c r="E71" t="s">
        <v>804</v>
      </c>
      <c r="F71" t="s">
        <v>1930</v>
      </c>
      <c r="G71" t="s">
        <v>1930</v>
      </c>
      <c r="I71">
        <f>_xlfn.XLOOKUP($F71,設計座標!$E$13:$E$2301,設計座標!$G$13:$G$2301,"n/a",0,1)</f>
        <v>0.76036623438854756</v>
      </c>
      <c r="J71">
        <f>_xlfn.XLOOKUP($F71,設計座標!$E$13:$E$2301,設計座標!$H$13:$H$2301,"n/a",0,1)</f>
        <v>0</v>
      </c>
      <c r="K71">
        <f>_xlfn.XLOOKUP($F71,設計座標!$E$13:$E$2301,設計座標!$I$13:$I$2301,"n/a",0,1)</f>
        <v>-6482.2748824500013</v>
      </c>
      <c r="L71">
        <f>_xlfn.XLOOKUP($F71,設計座標!$E$13:$E$2301,設計座標!$J$13:$J$2301,"n/a",0,1)</f>
        <v>480</v>
      </c>
      <c r="M71" s="2">
        <f t="shared" ref="M71:M74" si="64">$J71+$Q71</f>
        <v>0.16813388966484072</v>
      </c>
      <c r="N71" s="2">
        <f t="shared" ref="N71:N87" si="65">K71</f>
        <v>-6482.2748824500013</v>
      </c>
      <c r="O71" s="23">
        <f t="shared" si="59"/>
        <v>477.81781957617937</v>
      </c>
      <c r="P71" s="1">
        <f t="shared" si="3"/>
        <v>478.46952809631011</v>
      </c>
      <c r="Q71" s="1">
        <f>(Q$88-Q$70)/($N$88-$N$70)*($N71-$N$70)+Q$70</f>
        <v>0.16813388966484072</v>
      </c>
      <c r="R71">
        <f t="shared" si="60"/>
        <v>0</v>
      </c>
      <c r="S71" s="23">
        <f>(S$88-S$70)/($N$88-$N$70)*($N71-$N$70)+S$70</f>
        <v>-2.1821804238206086</v>
      </c>
      <c r="T71">
        <f>$S71+測地線補正!$Q$3*(lattice!$N71/1000)^3+測地線補正!$P$3*(lattice!$N71/1000)^2+測地線補正!$O$3*(lattice!$N71/1000)+測地線補正!$N$3</f>
        <v>-1.5304719036898906</v>
      </c>
      <c r="U71">
        <v>0</v>
      </c>
      <c r="V71">
        <v>0</v>
      </c>
      <c r="W71">
        <v>0</v>
      </c>
      <c r="X71">
        <f>$Z$71-($Y$71+$Y$69)/2</f>
        <v>92.500000254183277</v>
      </c>
      <c r="Y71">
        <f>_xlfn.XLOOKUP($F71,設計座標!$E$13:$E$2301,設計座標!$L$13:$L$2301," ",0,1)</f>
        <v>0</v>
      </c>
      <c r="Z71">
        <f>SQRT(($M$71-$M$69)^2+($N$71-$N$69)^2)</f>
        <v>117.50000025418328</v>
      </c>
    </row>
    <row r="72" spans="1:28">
      <c r="A72" t="s">
        <v>798</v>
      </c>
      <c r="B72" t="s">
        <v>3810</v>
      </c>
      <c r="C72" t="s">
        <v>804</v>
      </c>
      <c r="D72" t="s">
        <v>1152</v>
      </c>
      <c r="E72" t="s">
        <v>804</v>
      </c>
      <c r="F72" t="s">
        <v>1401</v>
      </c>
      <c r="G72" t="s">
        <v>1120</v>
      </c>
      <c r="I72">
        <f>_xlfn.XLOOKUP($F72,設計座標!$E$13:$E$2301,設計座標!$G$13:$G$2301,"n/a",0,1)</f>
        <v>1.0073015168385475</v>
      </c>
      <c r="J72">
        <f>_xlfn.XLOOKUP($F72,設計座標!$E$13:$E$2301,設計座標!$H$13:$H$2301,"n/a",0,1)</f>
        <v>0</v>
      </c>
      <c r="K72">
        <f>_xlfn.XLOOKUP($F72,設計座標!$E$13:$E$2301,設計座標!$I$13:$I$2301,"n/a",0,1)</f>
        <v>-6235.3396000000012</v>
      </c>
      <c r="L72">
        <f>_xlfn.XLOOKUP($F72,設計座標!$E$13:$E$2301,設計座標!$J$13:$J$2301,"n/a",0,1)</f>
        <v>480</v>
      </c>
      <c r="M72" s="2">
        <f t="shared" si="64"/>
        <v>0.15043885778565172</v>
      </c>
      <c r="N72" s="2">
        <f t="shared" si="65"/>
        <v>-6235.3396000000012</v>
      </c>
      <c r="O72" s="23">
        <f t="shared" si="59"/>
        <v>478.02655690332188</v>
      </c>
      <c r="P72" s="1">
        <f t="shared" si="3"/>
        <v>478.65351509853843</v>
      </c>
      <c r="Q72" s="1">
        <f>(Q$88-Q$70)/($N$88-$N$70)*($N72-$N$70)+Q$70</f>
        <v>0.15043885778565172</v>
      </c>
      <c r="R72">
        <f t="shared" si="60"/>
        <v>0</v>
      </c>
      <c r="S72" s="23">
        <f>(S$88-S$70)/($N$88-$N$70)*($N72-$N$70)+S$70</f>
        <v>-1.9734430966781262</v>
      </c>
      <c r="T72">
        <f>$S72+測地線補正!$Q$3*(lattice!$N72/1000)^3+測地線補正!$P$3*(lattice!$N72/1000)^2+測地線補正!$O$3*(lattice!$N72/1000)+測地線補正!$N$3</f>
        <v>-1.3464849014615392</v>
      </c>
      <c r="U72">
        <f>ATAN(($P$83-$P$72)/ABS($N$83-$N$72))</f>
        <v>7.4645244365163777E-4</v>
      </c>
      <c r="V72">
        <v>0</v>
      </c>
      <c r="W72">
        <f>-ATAN(($M$83-$M$72)/ABS($N$83-$N$72))</f>
        <v>7.1658580634317411E-5</v>
      </c>
      <c r="X72">
        <f>SQRT(($M$72-$M$71)^2+($N$72-$N$71)^2)</f>
        <v>246.93528308400059</v>
      </c>
      <c r="Y72">
        <f>_xlfn.XLOOKUP($F72,設計座標!$E$13:$E$2301,設計座標!$L$13:$L$2301," ",0,1)</f>
        <v>1889.4492</v>
      </c>
      <c r="Z72">
        <f>SQRT(($M$76-$M$73)^2+($N$76-$N$73)^2)</f>
        <v>261.24000067072723</v>
      </c>
    </row>
    <row r="73" spans="1:28">
      <c r="A73" t="s">
        <v>798</v>
      </c>
      <c r="B73" t="s">
        <v>3810</v>
      </c>
      <c r="C73" t="s">
        <v>3855</v>
      </c>
      <c r="D73" t="s">
        <v>1152</v>
      </c>
      <c r="E73" t="s">
        <v>804</v>
      </c>
      <c r="F73" t="s">
        <v>2192</v>
      </c>
      <c r="G73" t="s">
        <v>2192</v>
      </c>
      <c r="I73">
        <f>_xlfn.XLOOKUP($F73,設計座標!$E$13:$E$2301,設計座標!$G$13:$G$2301,"n/a",0,1)</f>
        <v>1.6907861168385483</v>
      </c>
      <c r="J73">
        <f>_xlfn.XLOOKUP($F73,設計座標!$E$13:$E$2301,設計座標!$H$13:$H$2301,"n/a",0,1)</f>
        <v>0</v>
      </c>
      <c r="K73">
        <f>_xlfn.XLOOKUP($F73,設計座標!$E$13:$E$2301,設計座標!$I$13:$I$2301,"n/a",0,1)</f>
        <v>-5551.8550000000005</v>
      </c>
      <c r="L73">
        <f>_xlfn.XLOOKUP($F73,設計座標!$E$13:$E$2301,設計座標!$J$13:$J$2301,"n/a",0,1)</f>
        <v>480</v>
      </c>
      <c r="M73" s="2">
        <f t="shared" si="64"/>
        <v>0.10146132138040505</v>
      </c>
      <c r="N73" s="2">
        <f t="shared" si="65"/>
        <v>-5551.8550000000005</v>
      </c>
      <c r="O73" s="23">
        <f t="shared" si="59"/>
        <v>478.60431455355126</v>
      </c>
      <c r="P73" s="1">
        <f t="shared" si="3"/>
        <v>479.16317827538035</v>
      </c>
      <c r="Q73" s="1">
        <f>(Q$88-Q$70)/($N$88-$N$70)*($N73-$N$70)+Q$70</f>
        <v>0.10146132138040505</v>
      </c>
      <c r="R73">
        <f t="shared" si="60"/>
        <v>0</v>
      </c>
      <c r="S73" s="23">
        <f>(S$88-S$70)/($N$88-$N$70)*($N73-$N$70)+S$70</f>
        <v>-1.3956854464487114</v>
      </c>
      <c r="T73">
        <f>$S73+測地線補正!$Q$3*(lattice!$N73/1000)^3+測地線補正!$P$3*(lattice!$N73/1000)^2+測地線補正!$O$3*(lattice!$N73/1000)+測地線補正!$N$3</f>
        <v>-0.83682172461965554</v>
      </c>
      <c r="U73">
        <f t="shared" ref="U73:U74" si="66">ATAN(($P$83-$P$72)/ABS($N$83-$N$72))</f>
        <v>7.4645244365163777E-4</v>
      </c>
      <c r="V73">
        <v>0</v>
      </c>
      <c r="W73">
        <f t="shared" ref="W73:W74" si="67">-ATAN(($M$83-$M$72)/ABS($N$83-$N$72))</f>
        <v>7.1658580634317411E-5</v>
      </c>
      <c r="X73" t="s">
        <v>3860</v>
      </c>
      <c r="Y73">
        <f>_xlfn.XLOOKUP($F73,設計座標!$E$13:$E$2301,設計座標!$L$13:$L$2301," ",0,1)</f>
        <v>0</v>
      </c>
      <c r="Z73">
        <f>SQRT(($M$73-$M$71)^2+($N$73-$N$71)^2)</f>
        <v>930.41988483883165</v>
      </c>
      <c r="AA73">
        <v>0.95009999999999994</v>
      </c>
      <c r="AB73">
        <v>44</v>
      </c>
    </row>
    <row r="74" spans="1:28">
      <c r="A74" t="s">
        <v>798</v>
      </c>
      <c r="B74" t="s">
        <v>3810</v>
      </c>
      <c r="C74" t="s">
        <v>3855</v>
      </c>
      <c r="D74" t="s">
        <v>1152</v>
      </c>
      <c r="E74" t="s">
        <v>804</v>
      </c>
      <c r="F74" t="s">
        <v>2193</v>
      </c>
      <c r="G74" t="s">
        <v>2193</v>
      </c>
      <c r="I74">
        <f>_xlfn.XLOOKUP($F74,設計座標!$E$13:$E$2301,設計座標!$G$13:$G$2301,"n/a",0,1)</f>
        <v>1.6907861168385483</v>
      </c>
      <c r="J74">
        <f>_xlfn.XLOOKUP($F74,設計座標!$E$13:$E$2301,設計座標!$H$13:$H$2301,"n/a",0,1)</f>
        <v>0</v>
      </c>
      <c r="K74">
        <f>_xlfn.XLOOKUP($F74,設計座標!$E$13:$E$2301,設計座標!$I$13:$I$2301,"n/a",0,1)</f>
        <v>-5551.8550000000005</v>
      </c>
      <c r="L74">
        <f>_xlfn.XLOOKUP($F74,設計座標!$E$13:$E$2301,設計座標!$J$13:$J$2301,"n/a",0,1)</f>
        <v>480</v>
      </c>
      <c r="M74" s="2">
        <f t="shared" si="64"/>
        <v>0.10146132138040505</v>
      </c>
      <c r="N74" s="2">
        <f t="shared" si="65"/>
        <v>-5551.8550000000005</v>
      </c>
      <c r="O74" s="23">
        <f t="shared" si="59"/>
        <v>478.60431455355126</v>
      </c>
      <c r="P74" s="1">
        <f t="shared" si="3"/>
        <v>479.16317827538035</v>
      </c>
      <c r="Q74" s="1">
        <f>(Q$88-Q$70)/($N$88-$N$70)*($N74-$N$70)+Q$70</f>
        <v>0.10146132138040505</v>
      </c>
      <c r="R74">
        <f t="shared" si="60"/>
        <v>0</v>
      </c>
      <c r="S74" s="23">
        <f>(S$88-S$70)/($N$88-$N$70)*($N74-$N$70)+S$70</f>
        <v>-1.3956854464487114</v>
      </c>
      <c r="T74">
        <f>$S74+測地線補正!$Q$3*(lattice!$N74/1000)^3+測地線補正!$P$3*(lattice!$N74/1000)^2+測地線補正!$O$3*(lattice!$N74/1000)+測地線補正!$N$3</f>
        <v>-0.83682172461965554</v>
      </c>
      <c r="U74">
        <f t="shared" si="66"/>
        <v>7.4645244365163777E-4</v>
      </c>
      <c r="V74">
        <v>0</v>
      </c>
      <c r="W74">
        <f t="shared" si="67"/>
        <v>7.1658580634317411E-5</v>
      </c>
      <c r="X74" t="s">
        <v>3860</v>
      </c>
      <c r="Y74">
        <f>_xlfn.XLOOKUP($F74,設計座標!$E$13:$E$2301,設計座標!$L$13:$L$2301," ",0,1)</f>
        <v>0</v>
      </c>
      <c r="Z74">
        <f>SQRT(($M$73-$M$71)^2+($N$73-$N$71)^2)</f>
        <v>930.41988483883165</v>
      </c>
      <c r="AA74">
        <v>0.95009999999999994</v>
      </c>
      <c r="AB74">
        <v>120</v>
      </c>
    </row>
    <row r="75" spans="1:28">
      <c r="A75" t="s">
        <v>801</v>
      </c>
      <c r="B75" t="s">
        <v>3810</v>
      </c>
      <c r="C75" t="s">
        <v>804</v>
      </c>
      <c r="D75" t="s">
        <v>1152</v>
      </c>
      <c r="E75" t="s">
        <v>804</v>
      </c>
      <c r="F75" t="s">
        <v>1165</v>
      </c>
      <c r="G75" t="s">
        <v>1121</v>
      </c>
      <c r="I75">
        <f>_xlfn.XLOOKUP($F75,設計座標!$E$13:$E$2301,設計座標!$G$13:$G$2301,"n/a",0,1)</f>
        <v>1.7161330999999991</v>
      </c>
      <c r="J75">
        <f>_xlfn.XLOOKUP($F75,設計座標!$E$13:$E$2301,設計座標!$H$13:$H$2301,"n/a",0,1)</f>
        <v>0</v>
      </c>
      <c r="K75">
        <f>_xlfn.XLOOKUP($F75,設計座標!$E$13:$E$2301,設計座標!$I$13:$I$2301,"n/a",0,1)</f>
        <v>-5684.6079</v>
      </c>
      <c r="L75">
        <f>_xlfn.XLOOKUP($F75,設計座標!$E$13:$E$2301,設計座標!$J$13:$J$2301,"n/a",0,1)</f>
        <v>-270</v>
      </c>
      <c r="M75" s="2">
        <f>J75</f>
        <v>0</v>
      </c>
      <c r="N75" s="2">
        <f t="shared" si="65"/>
        <v>-5684.6079</v>
      </c>
      <c r="O75" s="23">
        <f>L75</f>
        <v>-270</v>
      </c>
      <c r="P75" s="1">
        <f t="shared" si="3"/>
        <v>-269.42795735202606</v>
      </c>
      <c r="Q75" s="1">
        <f>$N75-$K75</f>
        <v>0</v>
      </c>
      <c r="R75">
        <f>$N75-$K75</f>
        <v>0</v>
      </c>
      <c r="S75" s="23">
        <f>$O75-$L75</f>
        <v>0</v>
      </c>
      <c r="T75">
        <f>$S75+測地線補正!$Q$3*(lattice!$N75/1000)^3+測地線補正!$P$3*(lattice!$N75/1000)^2+測地線補正!$O$3*(lattice!$N75/1000)+測地線補正!$N$3</f>
        <v>0.57204264797396553</v>
      </c>
      <c r="U75">
        <v>0</v>
      </c>
      <c r="V75">
        <v>0</v>
      </c>
      <c r="W75">
        <v>0</v>
      </c>
      <c r="X75" t="s">
        <v>3860</v>
      </c>
      <c r="Y75">
        <f>_xlfn.XLOOKUP($F75,設計座標!$E$13:$E$2301,設計座標!$L$13:$L$2301," ",0,1)</f>
        <v>1889.4492</v>
      </c>
      <c r="Z75">
        <f>SQRT(($M$75-$M$67)^2+($N$75-$N$67)^2)</f>
        <v>311.22999999999956</v>
      </c>
    </row>
    <row r="76" spans="1:28">
      <c r="A76" t="s">
        <v>798</v>
      </c>
      <c r="B76" t="s">
        <v>3810</v>
      </c>
      <c r="C76" t="s">
        <v>804</v>
      </c>
      <c r="D76" t="s">
        <v>1152</v>
      </c>
      <c r="E76" t="s">
        <v>804</v>
      </c>
      <c r="F76" t="s">
        <v>1221</v>
      </c>
      <c r="G76" t="s">
        <v>1120</v>
      </c>
      <c r="I76">
        <f>_xlfn.XLOOKUP($F76,設計座標!$E$13:$E$2301,設計座標!$G$13:$G$2301,"n/a",0,1)</f>
        <v>1.9520261168385482</v>
      </c>
      <c r="J76">
        <f>_xlfn.XLOOKUP($F76,設計座標!$E$13:$E$2301,設計座標!$H$13:$H$2301,"n/a",0,1)</f>
        <v>0</v>
      </c>
      <c r="K76">
        <f>_xlfn.XLOOKUP($F76,設計座標!$E$13:$E$2301,設計座標!$I$13:$I$2301,"n/a",0,1)</f>
        <v>-5290.6150000000007</v>
      </c>
      <c r="L76">
        <f>_xlfn.XLOOKUP($F76,設計座標!$E$13:$E$2301,設計座標!$J$13:$J$2301,"n/a",0,1)</f>
        <v>480</v>
      </c>
      <c r="M76" s="2">
        <f>$J76+$Q76</f>
        <v>8.274123374345374E-2</v>
      </c>
      <c r="N76" s="2">
        <f t="shared" si="65"/>
        <v>-5290.6150000000007</v>
      </c>
      <c r="O76" s="23">
        <f t="shared" si="59"/>
        <v>478.82514382833807</v>
      </c>
      <c r="P76" s="1">
        <f t="shared" si="3"/>
        <v>479.35813899062595</v>
      </c>
      <c r="Q76" s="1">
        <f>(Q$88-Q$70)/($N$88-$N$70)*($N76-$N$70)+Q$70</f>
        <v>8.274123374345374E-2</v>
      </c>
      <c r="R76">
        <f>$N76-$K76</f>
        <v>0</v>
      </c>
      <c r="S76" s="23">
        <f>(S$88-S$70)/($N$88-$N$70)*($N76-$N$70)+S$70</f>
        <v>-1.1748561716619321</v>
      </c>
      <c r="T76">
        <f>$S76+測地線補正!$Q$3*(lattice!$N76/1000)^3+測地線補正!$P$3*(lattice!$N76/1000)^2+測地線補正!$O$3*(lattice!$N76/1000)+測地線補正!$N$3</f>
        <v>-0.64186100937403767</v>
      </c>
      <c r="U76">
        <f>ATAN(($P$83-$P$72)/ABS($N$83-$N$72))</f>
        <v>7.4645244365163777E-4</v>
      </c>
      <c r="V76">
        <v>0</v>
      </c>
      <c r="W76">
        <f>-ATAN(($M$83-$M$72)/ABS($N$83-$N$72))</f>
        <v>7.1658580634317411E-5</v>
      </c>
      <c r="X76" t="s">
        <v>3860</v>
      </c>
      <c r="Y76">
        <f>_xlfn.XLOOKUP($F76,設計座標!$E$13:$E$2301,設計座標!$L$13:$L$2301," ",0,1)</f>
        <v>1889.4492</v>
      </c>
      <c r="Z76">
        <f>SQRT(($M$76-$M$73)^2+($N$76-$N$73)^2)</f>
        <v>261.24000067072723</v>
      </c>
    </row>
    <row r="77" spans="1:28">
      <c r="A77" t="s">
        <v>801</v>
      </c>
      <c r="B77" t="s">
        <v>3810</v>
      </c>
      <c r="C77" t="s">
        <v>804</v>
      </c>
      <c r="D77" t="s">
        <v>1152</v>
      </c>
      <c r="E77" t="s">
        <v>804</v>
      </c>
      <c r="F77" t="s">
        <v>1402</v>
      </c>
      <c r="G77" t="s">
        <v>1121</v>
      </c>
      <c r="I77">
        <f>_xlfn.XLOOKUP($F77,設計座標!$E$13:$E$2301,設計座標!$G$13:$G$2301,"n/a",0,1)</f>
        <v>2.6633730999999989</v>
      </c>
      <c r="J77">
        <f>_xlfn.XLOOKUP($F77,設計座標!$E$13:$E$2301,設計座標!$H$13:$H$2301,"n/a",0,1)</f>
        <v>0</v>
      </c>
      <c r="K77">
        <f>_xlfn.XLOOKUP($F77,設計座標!$E$13:$E$2301,設計座標!$I$13:$I$2301,"n/a",0,1)</f>
        <v>-4737.3679000000002</v>
      </c>
      <c r="L77">
        <f>_xlfn.XLOOKUP($F77,設計座標!$E$13:$E$2301,設計座標!$J$13:$J$2301,"n/a",0,1)</f>
        <v>-270</v>
      </c>
      <c r="M77" s="2">
        <f t="shared" ref="M77:M82" si="68">J77</f>
        <v>0</v>
      </c>
      <c r="N77" s="2">
        <f t="shared" si="65"/>
        <v>-4737.3679000000002</v>
      </c>
      <c r="O77" s="23">
        <f t="shared" ref="O77:O82" si="69">L77</f>
        <v>-270</v>
      </c>
      <c r="P77" s="1">
        <f t="shared" si="3"/>
        <v>-269.52150223953453</v>
      </c>
      <c r="Q77" s="1">
        <f t="shared" ref="Q77:R82" si="70">$N77-$K77</f>
        <v>0</v>
      </c>
      <c r="R77">
        <f t="shared" si="70"/>
        <v>0</v>
      </c>
      <c r="S77" s="23">
        <f t="shared" ref="S77:S82" si="71">$O77-$L77</f>
        <v>0</v>
      </c>
      <c r="T77">
        <f>$S77+測地線補正!$Q$3*(lattice!$N77/1000)^3+測地線補正!$P$3*(lattice!$N77/1000)^2+測地線補正!$O$3*(lattice!$N77/1000)+測地線補正!$N$3</f>
        <v>0.47849776046545417</v>
      </c>
      <c r="U77">
        <v>0</v>
      </c>
      <c r="V77">
        <v>0</v>
      </c>
      <c r="W77">
        <v>0</v>
      </c>
      <c r="X77" t="s">
        <v>3860</v>
      </c>
      <c r="Y77">
        <f>_xlfn.XLOOKUP($F77,設計座標!$E$13:$E$2301,設計座標!$L$13:$L$2301," ",0,1)</f>
        <v>1889.4492</v>
      </c>
      <c r="Z77">
        <f>SQRT(($M$75-$M$67)^2+($N$75-$N$67)^2)</f>
        <v>311.22999999999956</v>
      </c>
    </row>
    <row r="78" spans="1:28">
      <c r="A78" t="s">
        <v>801</v>
      </c>
      <c r="B78" t="s">
        <v>3810</v>
      </c>
      <c r="C78" t="s">
        <v>1152</v>
      </c>
      <c r="D78" t="s">
        <v>1152</v>
      </c>
      <c r="E78" t="s">
        <v>804</v>
      </c>
      <c r="F78" t="s">
        <v>1948</v>
      </c>
      <c r="G78" t="s">
        <v>1948</v>
      </c>
      <c r="I78">
        <f>_xlfn.XLOOKUP($F78,設計座標!$E$13:$E$2301,設計座標!$G$13:$G$2301,"n/a",0,1)</f>
        <v>2.7588730999999993</v>
      </c>
      <c r="J78">
        <f>_xlfn.XLOOKUP($F78,設計座標!$E$13:$E$2301,設計座標!$H$13:$H$2301,"n/a",0,1)</f>
        <v>0</v>
      </c>
      <c r="K78">
        <f>_xlfn.XLOOKUP($F78,設計座標!$E$13:$E$2301,設計座標!$I$13:$I$2301,"n/a",0,1)</f>
        <v>-4641.8679000000002</v>
      </c>
      <c r="L78">
        <f>_xlfn.XLOOKUP($F78,設計座標!$E$13:$E$2301,設計座標!$J$13:$J$2301,"n/a",0,1)</f>
        <v>-270</v>
      </c>
      <c r="M78" s="2">
        <f t="shared" si="68"/>
        <v>0</v>
      </c>
      <c r="N78" s="2">
        <f t="shared" si="65"/>
        <v>-4641.8679000000002</v>
      </c>
      <c r="O78" s="23">
        <f t="shared" si="69"/>
        <v>-270</v>
      </c>
      <c r="P78" s="1">
        <f t="shared" si="3"/>
        <v>-269.53087029584947</v>
      </c>
      <c r="Q78" s="1">
        <f t="shared" si="70"/>
        <v>0</v>
      </c>
      <c r="R78">
        <f t="shared" si="70"/>
        <v>0</v>
      </c>
      <c r="S78" s="23">
        <f t="shared" si="71"/>
        <v>0</v>
      </c>
      <c r="T78">
        <f>$S78+測地線補正!$Q$3*(lattice!$N78/1000)^3+測地線補正!$P$3*(lattice!$N78/1000)^2+測地線補正!$O$3*(lattice!$N78/1000)+測地線補正!$N$3</f>
        <v>0.46912970415050664</v>
      </c>
      <c r="U78">
        <v>0</v>
      </c>
      <c r="V78">
        <v>0</v>
      </c>
      <c r="W78">
        <v>0</v>
      </c>
      <c r="X78">
        <f>SQRT(($M$78-$M$77)^2+($N$78-$N$77)^2)</f>
        <v>95.5</v>
      </c>
      <c r="Y78">
        <f>_xlfn.XLOOKUP($F78,設計座標!$E$13:$E$2301,設計座標!$L$13:$L$2301," ",0,1)</f>
        <v>0</v>
      </c>
      <c r="Z78">
        <f>SQRT(($M$78-$M$75)^2+($N$78-$N$75)^2)</f>
        <v>1042.7399999999998</v>
      </c>
    </row>
    <row r="79" spans="1:28">
      <c r="A79" t="s">
        <v>801</v>
      </c>
      <c r="B79" t="s">
        <v>3810</v>
      </c>
      <c r="C79" t="s">
        <v>805</v>
      </c>
      <c r="D79" t="s">
        <v>1152</v>
      </c>
      <c r="F79" t="s">
        <v>493</v>
      </c>
      <c r="G79" t="s">
        <v>493</v>
      </c>
      <c r="I79">
        <f>_xlfn.XLOOKUP($F79,設計座標!$E$13:$E$2301,設計座標!$G$13:$G$2301,"n/a",0,1)</f>
        <v>2.8288730999999991</v>
      </c>
      <c r="J79">
        <f>_xlfn.XLOOKUP($F79,設計座標!$E$13:$E$2301,設計座標!$H$13:$H$2301,"n/a",0,1)</f>
        <v>0</v>
      </c>
      <c r="K79">
        <f>_xlfn.XLOOKUP($F79,設計座標!$E$13:$E$2301,設計座標!$I$13:$I$2301,"n/a",0,1)</f>
        <v>-4571.8679000000002</v>
      </c>
      <c r="L79">
        <f>_xlfn.XLOOKUP($F79,設計座標!$E$13:$E$2301,設計座標!$J$13:$J$2301,"n/a",0,1)</f>
        <v>-70</v>
      </c>
      <c r="M79" s="2">
        <f t="shared" si="68"/>
        <v>0</v>
      </c>
      <c r="N79" s="2">
        <f t="shared" si="65"/>
        <v>-4571.8679000000002</v>
      </c>
      <c r="O79" s="23">
        <f t="shared" si="69"/>
        <v>-70</v>
      </c>
      <c r="P79" s="1">
        <f t="shared" si="3"/>
        <v>-69.537729650479108</v>
      </c>
      <c r="Q79" s="1">
        <f t="shared" si="70"/>
        <v>0</v>
      </c>
      <c r="R79">
        <f t="shared" si="70"/>
        <v>0</v>
      </c>
      <c r="S79" s="23">
        <f t="shared" si="71"/>
        <v>0</v>
      </c>
      <c r="T79">
        <f>$S79+測地線補正!$Q$3*(lattice!$N79/1000)^3+測地線補正!$P$3*(lattice!$N79/1000)^2+測地線補正!$O$3*(lattice!$N79/1000)+測地線補正!$N$3</f>
        <v>0.46227034952089113</v>
      </c>
      <c r="U79">
        <v>0</v>
      </c>
      <c r="V79">
        <v>0</v>
      </c>
      <c r="W79">
        <v>0</v>
      </c>
      <c r="X79">
        <f>$Z$80-($Y$80+$Y$78)/2</f>
        <v>60</v>
      </c>
      <c r="Y79">
        <f>_xlfn.XLOOKUP($F79,設計座標!$E$13:$E$2301,設計座標!$L$13:$L$2301," ",0,1)</f>
        <v>50</v>
      </c>
      <c r="Z79">
        <f>SQRT(($M$80-$M$78)^2+($N$80-$N$78)^2)</f>
        <v>85</v>
      </c>
      <c r="AA79">
        <f>_xlfn.XLOOKUP($G79,magnet_list!$A$2:$A$592,magnet_list!$AJ$2:$AJ$592,"n/a",0,1)</f>
        <v>6.6400000000000001E-2</v>
      </c>
      <c r="AB79">
        <f>_xlfn.XLOOKUP($G79,magnet_list!$A$2:$A$592,magnet_list!$L$2:$L$592,"n/a",0,1)</f>
        <v>44</v>
      </c>
    </row>
    <row r="80" spans="1:28">
      <c r="A80" t="s">
        <v>801</v>
      </c>
      <c r="B80" t="s">
        <v>3810</v>
      </c>
      <c r="C80" t="s">
        <v>805</v>
      </c>
      <c r="D80" t="s">
        <v>1152</v>
      </c>
      <c r="E80" t="s">
        <v>804</v>
      </c>
      <c r="F80" t="s">
        <v>1868</v>
      </c>
      <c r="G80" t="s">
        <v>493</v>
      </c>
      <c r="I80">
        <f>_xlfn.XLOOKUP($F80,設計座標!$E$13:$E$2301,設計座標!$G$13:$G$2301,"n/a",0,1)</f>
        <v>2.8438730999999993</v>
      </c>
      <c r="J80">
        <f>_xlfn.XLOOKUP($F80,設計座標!$E$13:$E$2301,設計座標!$H$13:$H$2301,"n/a",0,1)</f>
        <v>0</v>
      </c>
      <c r="K80">
        <f>_xlfn.XLOOKUP($F80,設計座標!$E$13:$E$2301,設計座標!$I$13:$I$2301,"n/a",0,1)</f>
        <v>-4556.8679000000002</v>
      </c>
      <c r="L80">
        <f>_xlfn.XLOOKUP($F80,設計座標!$E$13:$E$2301,設計座標!$J$13:$J$2301,"n/a",0,1)</f>
        <v>-70</v>
      </c>
      <c r="M80" s="2">
        <f t="shared" si="68"/>
        <v>0</v>
      </c>
      <c r="N80" s="2">
        <f t="shared" si="65"/>
        <v>-4556.8679000000002</v>
      </c>
      <c r="O80" s="23">
        <f t="shared" si="69"/>
        <v>-70</v>
      </c>
      <c r="P80" s="1">
        <f t="shared" si="3"/>
        <v>-69.539198711545012</v>
      </c>
      <c r="Q80" s="1">
        <f t="shared" si="70"/>
        <v>0</v>
      </c>
      <c r="R80">
        <f t="shared" si="70"/>
        <v>0</v>
      </c>
      <c r="S80" s="23">
        <f t="shared" si="71"/>
        <v>0</v>
      </c>
      <c r="T80">
        <f>$S80+測地線補正!$Q$3*(lattice!$N80/1000)^3+測地線補正!$P$3*(lattice!$N80/1000)^2+測地線補正!$O$3*(lattice!$N80/1000)+測地線補正!$N$3</f>
        <v>0.46080128845498153</v>
      </c>
      <c r="U80">
        <v>0</v>
      </c>
      <c r="V80">
        <v>0</v>
      </c>
      <c r="W80">
        <v>0</v>
      </c>
      <c r="X80">
        <f>$Z$80-($Y$80+$Y$78)/2</f>
        <v>60</v>
      </c>
      <c r="Y80">
        <f>_xlfn.XLOOKUP($F80,設計座標!$E$13:$E$2301,設計座標!$L$13:$L$2301," ",0,1)</f>
        <v>50</v>
      </c>
      <c r="Z80">
        <f>SQRT(($M$80-$M$78)^2+($N$80-$N$78)^2)</f>
        <v>85</v>
      </c>
      <c r="AA80">
        <f>_xlfn.XLOOKUP($G80,magnet_list!$A$2:$A$592,magnet_list!$AJ$2:$AJ$592,"n/a",0,1)</f>
        <v>6.6400000000000001E-2</v>
      </c>
      <c r="AB80">
        <f>_xlfn.XLOOKUP($G80,magnet_list!$A$2:$A$592,magnet_list!$L$2:$L$592,"n/a",0,1)</f>
        <v>44</v>
      </c>
    </row>
    <row r="81" spans="1:28">
      <c r="A81" t="s">
        <v>801</v>
      </c>
      <c r="B81" t="s">
        <v>3810</v>
      </c>
      <c r="C81" t="s">
        <v>805</v>
      </c>
      <c r="D81" t="s">
        <v>1152</v>
      </c>
      <c r="F81" t="s">
        <v>494</v>
      </c>
      <c r="G81" t="s">
        <v>494</v>
      </c>
      <c r="I81">
        <f>_xlfn.XLOOKUP($F81,設計座標!$E$13:$E$2301,設計座標!$G$13:$G$2301,"n/a",0,1)</f>
        <v>2.9641630999999991</v>
      </c>
      <c r="J81">
        <f>_xlfn.XLOOKUP($F81,設計座標!$E$13:$E$2301,設計座標!$H$13:$H$2301,"n/a",0,1)</f>
        <v>0</v>
      </c>
      <c r="K81">
        <f>_xlfn.XLOOKUP($F81,設計座標!$E$13:$E$2301,設計座標!$I$13:$I$2301,"n/a",0,1)</f>
        <v>-4436.5779000000002</v>
      </c>
      <c r="L81">
        <f>_xlfn.XLOOKUP($F81,設計座標!$E$13:$E$2301,設計座標!$J$13:$J$2301,"n/a",0,1)</f>
        <v>-70</v>
      </c>
      <c r="M81" s="2">
        <f t="shared" si="68"/>
        <v>0</v>
      </c>
      <c r="N81" s="2">
        <f t="shared" si="65"/>
        <v>-4436.5779000000002</v>
      </c>
      <c r="O81" s="23">
        <f t="shared" si="69"/>
        <v>-70</v>
      </c>
      <c r="P81" s="1">
        <f t="shared" si="3"/>
        <v>-69.550969396435434</v>
      </c>
      <c r="Q81" s="1">
        <f t="shared" si="70"/>
        <v>0</v>
      </c>
      <c r="R81">
        <f t="shared" si="70"/>
        <v>0</v>
      </c>
      <c r="S81" s="23">
        <f t="shared" si="71"/>
        <v>0</v>
      </c>
      <c r="T81">
        <f>$S81+測地線補正!$Q$3*(lattice!$N81/1000)^3+測地線補正!$P$3*(lattice!$N81/1000)^2+測地線補正!$O$3*(lattice!$N81/1000)+測地線補正!$N$3</f>
        <v>0.44903060356456087</v>
      </c>
      <c r="U81">
        <v>0</v>
      </c>
      <c r="V81">
        <v>0</v>
      </c>
      <c r="W81">
        <v>0</v>
      </c>
      <c r="X81">
        <f>$Z$82-($Y$82+$Y$80)/2</f>
        <v>75.289999999999964</v>
      </c>
      <c r="Y81">
        <f>_xlfn.XLOOKUP($F81,設計座標!$E$13:$E$2301,設計座標!$L$13:$L$2301," ",0,1)</f>
        <v>100</v>
      </c>
      <c r="Z81">
        <f>SQRT(($M$82-$M$80)^2+($N$82-$N$80)^2)</f>
        <v>150.28999999999996</v>
      </c>
      <c r="AA81">
        <f>_xlfn.XLOOKUP($G81,magnet_list!$A$2:$A$592,magnet_list!$AJ$2:$AJ$592,"n/a",0,1)</f>
        <v>0.11459999999999999</v>
      </c>
      <c r="AB81">
        <f>_xlfn.XLOOKUP($G81,magnet_list!$A$2:$A$592,magnet_list!$L$2:$L$592,"n/a",0,1)</f>
        <v>44</v>
      </c>
    </row>
    <row r="82" spans="1:28">
      <c r="A82" t="s">
        <v>801</v>
      </c>
      <c r="B82" t="s">
        <v>3810</v>
      </c>
      <c r="C82" t="s">
        <v>805</v>
      </c>
      <c r="D82" t="s">
        <v>1152</v>
      </c>
      <c r="E82" t="s">
        <v>804</v>
      </c>
      <c r="F82" t="s">
        <v>1869</v>
      </c>
      <c r="G82" t="s">
        <v>494</v>
      </c>
      <c r="I82">
        <f>_xlfn.XLOOKUP($F82,設計座標!$E$13:$E$2301,設計座標!$G$13:$G$2301,"n/a",0,1)</f>
        <v>2.9941630999999989</v>
      </c>
      <c r="J82">
        <f>_xlfn.XLOOKUP($F82,設計座標!$E$13:$E$2301,設計座標!$H$13:$H$2301,"n/a",0,1)</f>
        <v>0</v>
      </c>
      <c r="K82">
        <f>_xlfn.XLOOKUP($F82,設計座標!$E$13:$E$2301,設計座標!$I$13:$I$2301,"n/a",0,1)</f>
        <v>-4406.5779000000002</v>
      </c>
      <c r="L82">
        <f>_xlfn.XLOOKUP($F82,設計座標!$E$13:$E$2301,設計座標!$J$13:$J$2301,"n/a",0,1)</f>
        <v>-70</v>
      </c>
      <c r="M82" s="2">
        <f t="shared" si="68"/>
        <v>0</v>
      </c>
      <c r="N82" s="2">
        <f t="shared" si="65"/>
        <v>-4406.5779000000002</v>
      </c>
      <c r="O82" s="23">
        <f t="shared" si="69"/>
        <v>-70</v>
      </c>
      <c r="P82" s="1">
        <f t="shared" ref="P82:P145" si="72">$L82+$T82</f>
        <v>-69.553902149020317</v>
      </c>
      <c r="Q82" s="1">
        <f t="shared" si="70"/>
        <v>0</v>
      </c>
      <c r="R82">
        <f t="shared" si="70"/>
        <v>0</v>
      </c>
      <c r="S82" s="23">
        <f t="shared" si="71"/>
        <v>0</v>
      </c>
      <c r="T82">
        <f>$S82+測地線補正!$Q$3*(lattice!$N82/1000)^3+測地線補正!$P$3*(lattice!$N82/1000)^2+測地線補正!$O$3*(lattice!$N82/1000)+測地線補正!$N$3</f>
        <v>0.44609785097968679</v>
      </c>
      <c r="U82">
        <v>0</v>
      </c>
      <c r="V82">
        <v>0</v>
      </c>
      <c r="W82">
        <v>0</v>
      </c>
      <c r="X82">
        <f>$Z$82-($Y$82+$Y$80)/2</f>
        <v>75.289999999999964</v>
      </c>
      <c r="Y82">
        <f>_xlfn.XLOOKUP($F82,設計座標!$E$13:$E$2301,設計座標!$L$13:$L$2301," ",0,1)</f>
        <v>100</v>
      </c>
      <c r="Z82">
        <f>SQRT(($M$82-$M$80)^2+($N$82-$N$80)^2)</f>
        <v>150.28999999999996</v>
      </c>
      <c r="AA82">
        <f>_xlfn.XLOOKUP($G82,magnet_list!$A$2:$A$592,magnet_list!$AJ$2:$AJ$592,"n/a",0,1)</f>
        <v>0.11459999999999999</v>
      </c>
      <c r="AB82">
        <f>_xlfn.XLOOKUP($G82,magnet_list!$A$2:$A$592,magnet_list!$L$2:$L$592,"n/a",0,1)</f>
        <v>44</v>
      </c>
    </row>
    <row r="83" spans="1:28">
      <c r="A83" t="s">
        <v>798</v>
      </c>
      <c r="B83" t="s">
        <v>3810</v>
      </c>
      <c r="C83" t="s">
        <v>804</v>
      </c>
      <c r="D83" t="s">
        <v>1152</v>
      </c>
      <c r="E83" t="s">
        <v>804</v>
      </c>
      <c r="F83" t="s">
        <v>1403</v>
      </c>
      <c r="G83" t="s">
        <v>1120</v>
      </c>
      <c r="I83">
        <f>_xlfn.XLOOKUP($F83,設計座標!$E$13:$E$2301,設計座標!$G$13:$G$2301,"n/a",0,1)</f>
        <v>2.8967507168385485</v>
      </c>
      <c r="J83">
        <f>_xlfn.XLOOKUP($F83,設計座標!$E$13:$E$2301,設計座標!$H$13:$H$2301,"n/a",0,1)</f>
        <v>0</v>
      </c>
      <c r="K83">
        <f>_xlfn.XLOOKUP($F83,設計座標!$E$13:$E$2301,設計座標!$I$13:$I$2301,"n/a",0,1)</f>
        <v>-4345.8904000000002</v>
      </c>
      <c r="L83">
        <f>_xlfn.XLOOKUP($F83,設計座標!$E$13:$E$2301,設計座標!$J$13:$J$2301,"n/a",0,1)</f>
        <v>480</v>
      </c>
      <c r="M83" s="2">
        <f t="shared" ref="M83:M84" si="73">$J83+$Q83</f>
        <v>1.5043609701255761E-2</v>
      </c>
      <c r="N83" s="2">
        <f t="shared" si="65"/>
        <v>-4345.8904000000002</v>
      </c>
      <c r="O83" s="23">
        <f t="shared" ref="O83:O84" si="74">$L83+$S83</f>
        <v>479.62373075335427</v>
      </c>
      <c r="P83" s="1">
        <f t="shared" si="72"/>
        <v>480.06389933298533</v>
      </c>
      <c r="Q83" s="1">
        <f>(Q$88-Q$70)/($N$88-$N$70)*($N83-$N$70)+Q$70</f>
        <v>1.5043609701255761E-2</v>
      </c>
      <c r="R83">
        <f t="shared" ref="R83:R87" si="75">$N83-$K83</f>
        <v>0</v>
      </c>
      <c r="S83" s="23">
        <f>(S$88-S$70)/($N$88-$N$70)*($N83-$N$70)+S$70</f>
        <v>-0.3762692466457378</v>
      </c>
      <c r="T83">
        <f>$S83+測地線補正!$Q$3*(lattice!$N83/1000)^3+測地線補正!$P$3*(lattice!$N83/1000)^2+測地線補正!$O$3*(lattice!$N83/1000)+測地線補正!$N$3</f>
        <v>6.3899332985327101E-2</v>
      </c>
      <c r="U83">
        <f>ATAN(($P$83-$P$72)/ABS($N$83-$N$72))</f>
        <v>7.4645244365163777E-4</v>
      </c>
      <c r="V83">
        <v>0</v>
      </c>
      <c r="W83">
        <f>-ATAN(($M$83-$M$72)/ABS($N$83-$N$72))</f>
        <v>7.1658580634317411E-5</v>
      </c>
      <c r="X83" t="s">
        <v>3860</v>
      </c>
      <c r="Y83">
        <f>_xlfn.XLOOKUP($F83,設計座標!$E$13:$E$2301,設計座標!$L$13:$L$2301," ",0,1)</f>
        <v>1889.4492</v>
      </c>
      <c r="Z83">
        <f>SQRT(($M$76-$M$73)^2+($N$76-$N$73)^2)</f>
        <v>261.24000067072723</v>
      </c>
    </row>
    <row r="84" spans="1:28">
      <c r="A84" t="s">
        <v>798</v>
      </c>
      <c r="B84" t="s">
        <v>3810</v>
      </c>
      <c r="C84" t="s">
        <v>1152</v>
      </c>
      <c r="D84" t="s">
        <v>1152</v>
      </c>
      <c r="E84" t="s">
        <v>804</v>
      </c>
      <c r="F84" t="s">
        <v>1931</v>
      </c>
      <c r="G84" t="s">
        <v>1931</v>
      </c>
      <c r="I84">
        <f>_xlfn.XLOOKUP($F84,設計座標!$E$13:$E$2301,設計座標!$G$13:$G$2301,"n/a",0,1)</f>
        <v>2.9888185797585476</v>
      </c>
      <c r="J84">
        <f>_xlfn.XLOOKUP($F84,設計座標!$E$13:$E$2301,設計座標!$H$13:$H$2301,"n/a",0,1)</f>
        <v>0</v>
      </c>
      <c r="K84">
        <f>_xlfn.XLOOKUP($F84,設計座標!$E$13:$E$2301,設計座標!$I$13:$I$2301,"n/a",0,1)</f>
        <v>-4253.822537080001</v>
      </c>
      <c r="L84">
        <f>_xlfn.XLOOKUP($F84,設計座標!$E$13:$E$2301,設計座標!$J$13:$J$2301,"n/a",0,1)</f>
        <v>480</v>
      </c>
      <c r="M84" s="2">
        <f t="shared" si="73"/>
        <v>8.4461573110811705E-3</v>
      </c>
      <c r="N84" s="2">
        <f t="shared" si="65"/>
        <v>-4253.822537080001</v>
      </c>
      <c r="O84" s="23">
        <f t="shared" si="74"/>
        <v>479.70155681138442</v>
      </c>
      <c r="P84" s="1">
        <f t="shared" si="72"/>
        <v>480.13273899204609</v>
      </c>
      <c r="Q84" s="1">
        <f>(Q$88-Q$70)/($N$88-$N$70)*($N84-$N$70)+Q$70</f>
        <v>8.4461573110811705E-3</v>
      </c>
      <c r="R84">
        <f t="shared" si="75"/>
        <v>0</v>
      </c>
      <c r="S84" s="23">
        <f>(S$88-S$70)/($N$88-$N$70)*($N84-$N$70)+S$70</f>
        <v>-0.29844318861560426</v>
      </c>
      <c r="T84">
        <f>$S84+測地線補正!$Q$3*(lattice!$N84/1000)^3+測地線補正!$P$3*(lattice!$N84/1000)^2+測地線補正!$O$3*(lattice!$N84/1000)+測地線補正!$N$3</f>
        <v>0.13273899204607639</v>
      </c>
      <c r="U84">
        <v>0</v>
      </c>
      <c r="V84">
        <v>0</v>
      </c>
      <c r="W84">
        <v>0</v>
      </c>
      <c r="X84">
        <f>SQRT(($M$84-$M$83)^2+($N$84-$N$83)^2)</f>
        <v>92.067863156381279</v>
      </c>
      <c r="Y84">
        <f>_xlfn.XLOOKUP($F84,設計座標!$E$13:$E$2301,設計座標!$L$13:$L$2301," ",0,1)</f>
        <v>0</v>
      </c>
      <c r="Z84">
        <f>SQRT(($M$84-$M$76)^2+($N$84-$N$76)^2)</f>
        <v>1036.7924655819395</v>
      </c>
    </row>
    <row r="85" spans="1:28">
      <c r="A85" t="s">
        <v>801</v>
      </c>
      <c r="B85" t="s">
        <v>3810</v>
      </c>
      <c r="C85" t="s">
        <v>805</v>
      </c>
      <c r="D85" t="s">
        <v>1152</v>
      </c>
      <c r="E85" t="s">
        <v>804</v>
      </c>
      <c r="F85" t="s">
        <v>1870</v>
      </c>
      <c r="G85" t="s">
        <v>496</v>
      </c>
      <c r="I85">
        <f>_xlfn.XLOOKUP($F85,設計座標!$E$13:$E$2301,設計座標!$G$13:$G$2301,"n/a",0,1)</f>
        <v>3.2032820999999996</v>
      </c>
      <c r="J85">
        <f>_xlfn.XLOOKUP($F85,設計座標!$E$13:$E$2301,設計座標!$H$13:$H$2301,"n/a",0,1)</f>
        <v>0</v>
      </c>
      <c r="K85">
        <f>_xlfn.XLOOKUP($F85,設計座標!$E$13:$E$2301,設計座標!$I$13:$I$2301,"n/a",0,1)</f>
        <v>-4197.4588999999996</v>
      </c>
      <c r="L85">
        <f>_xlfn.XLOOKUP($F85,設計座標!$E$13:$E$2301,設計座標!$J$13:$J$2301,"n/a",0,1)</f>
        <v>-70</v>
      </c>
      <c r="M85" s="2">
        <f t="shared" ref="M85:M87" si="76">J85</f>
        <v>0</v>
      </c>
      <c r="N85" s="2">
        <f t="shared" si="65"/>
        <v>-4197.4588999999996</v>
      </c>
      <c r="O85" s="23">
        <f>L85</f>
        <v>-70</v>
      </c>
      <c r="P85" s="1">
        <f t="shared" si="72"/>
        <v>-69.574314042880317</v>
      </c>
      <c r="Q85" s="1">
        <f t="shared" ref="Q85:Q87" si="77">$N85-$K85</f>
        <v>0</v>
      </c>
      <c r="R85">
        <f t="shared" si="75"/>
        <v>0</v>
      </c>
      <c r="S85" s="23">
        <f t="shared" ref="S85:S87" si="78">$O85-$L85</f>
        <v>0</v>
      </c>
      <c r="T85">
        <f>$S85+測地線補正!$Q$3*(lattice!$N85/1000)^3+測地線補正!$P$3*(lattice!$N85/1000)^2+測地線補正!$O$3*(lattice!$N85/1000)+測地線補正!$N$3</f>
        <v>0.4256859571196856</v>
      </c>
      <c r="U85">
        <v>0</v>
      </c>
      <c r="V85">
        <v>0</v>
      </c>
      <c r="W85">
        <v>0</v>
      </c>
      <c r="X85">
        <f>$Z$85-($Y$85+$Y$82)/2</f>
        <v>134.1190000000006</v>
      </c>
      <c r="Y85">
        <f>_xlfn.XLOOKUP($F85,設計座標!$E$13:$E$2301,設計座標!$L$13:$L$2301," ",0,1)</f>
        <v>50</v>
      </c>
      <c r="Z85">
        <f>SQRT(($M$85-$M$82)^2+($N$85-$N$82)^2)</f>
        <v>209.1190000000006</v>
      </c>
      <c r="AA85">
        <f>_xlfn.XLOOKUP($G85,magnet_list!$A$2:$A$592,magnet_list!$AJ$2:$AJ$592,"n/a",0,1)</f>
        <v>6.6400000000000001E-2</v>
      </c>
      <c r="AB85">
        <f>_xlfn.XLOOKUP($G85,magnet_list!$A$2:$A$592,magnet_list!$L$2:$L$592,"n/a",0,1)</f>
        <v>44</v>
      </c>
    </row>
    <row r="86" spans="1:28">
      <c r="A86" t="s">
        <v>801</v>
      </c>
      <c r="B86" t="s">
        <v>3810</v>
      </c>
      <c r="C86" t="s">
        <v>805</v>
      </c>
      <c r="D86" t="s">
        <v>1152</v>
      </c>
      <c r="F86" t="s">
        <v>496</v>
      </c>
      <c r="G86" t="s">
        <v>496</v>
      </c>
      <c r="I86">
        <f>_xlfn.XLOOKUP($F86,設計座標!$E$13:$E$2301,設計座標!$G$13:$G$2301,"n/a",0,1)</f>
        <v>3.2182820999999997</v>
      </c>
      <c r="J86">
        <f>_xlfn.XLOOKUP($F86,設計座標!$E$13:$E$2301,設計座標!$H$13:$H$2301,"n/a",0,1)</f>
        <v>0</v>
      </c>
      <c r="K86">
        <f>_xlfn.XLOOKUP($F86,設計座標!$E$13:$E$2301,設計座標!$I$13:$I$2301,"n/a",0,1)</f>
        <v>-4182.4588999999996</v>
      </c>
      <c r="L86">
        <f>_xlfn.XLOOKUP($F86,設計座標!$E$13:$E$2301,設計座標!$J$13:$J$2301,"n/a",0,1)</f>
        <v>-70</v>
      </c>
      <c r="M86" s="2">
        <f t="shared" si="76"/>
        <v>0</v>
      </c>
      <c r="N86" s="2">
        <f t="shared" si="65"/>
        <v>-4182.4588999999996</v>
      </c>
      <c r="O86" s="23">
        <f>L86</f>
        <v>-70</v>
      </c>
      <c r="P86" s="1">
        <f t="shared" si="72"/>
        <v>-69.575776080363241</v>
      </c>
      <c r="Q86" s="1">
        <f t="shared" si="77"/>
        <v>0</v>
      </c>
      <c r="R86">
        <f t="shared" si="75"/>
        <v>0</v>
      </c>
      <c r="S86" s="23">
        <f t="shared" si="78"/>
        <v>0</v>
      </c>
      <c r="T86">
        <f>$S86+測地線補正!$Q$3*(lattice!$N86/1000)^3+測地線補正!$P$3*(lattice!$N86/1000)^2+測地線補正!$O$3*(lattice!$N86/1000)+測地線補正!$N$3</f>
        <v>0.42422391963675771</v>
      </c>
      <c r="U86">
        <v>0</v>
      </c>
      <c r="V86">
        <v>0</v>
      </c>
      <c r="W86">
        <v>0</v>
      </c>
      <c r="X86">
        <f>$Z$85-($Y$85+$Y$82)/2</f>
        <v>134.1190000000006</v>
      </c>
      <c r="Y86">
        <f>_xlfn.XLOOKUP($F86,設計座標!$E$13:$E$2301,設計座標!$L$13:$L$2301," ",0,1)</f>
        <v>50</v>
      </c>
      <c r="Z86">
        <f>SQRT(($M$85-$M$82)^2+($N$85-$N$82)^2)</f>
        <v>209.1190000000006</v>
      </c>
      <c r="AA86">
        <f>_xlfn.XLOOKUP($G86,magnet_list!$A$2:$A$592,magnet_list!$AJ$2:$AJ$592,"n/a",0,1)</f>
        <v>6.6400000000000001E-2</v>
      </c>
      <c r="AB86">
        <f>_xlfn.XLOOKUP($G86,magnet_list!$A$2:$A$592,magnet_list!$L$2:$L$592,"n/a",0,1)</f>
        <v>44</v>
      </c>
    </row>
    <row r="87" spans="1:28">
      <c r="A87" t="s">
        <v>801</v>
      </c>
      <c r="B87" t="s">
        <v>3810</v>
      </c>
      <c r="C87" t="s">
        <v>1152</v>
      </c>
      <c r="D87" t="s">
        <v>1152</v>
      </c>
      <c r="E87" t="s">
        <v>804</v>
      </c>
      <c r="F87" t="s">
        <v>1949</v>
      </c>
      <c r="G87" t="s">
        <v>1949</v>
      </c>
      <c r="I87">
        <f>_xlfn.XLOOKUP($F87,設計座標!$E$13:$E$2301,設計座標!$G$13:$G$2301,"n/a",0,1)</f>
        <v>3.4002821000000001</v>
      </c>
      <c r="J87">
        <f>_xlfn.XLOOKUP($F87,設計座標!$E$13:$E$2301,設計座標!$H$13:$H$2301,"n/a",0,1)</f>
        <v>0</v>
      </c>
      <c r="K87">
        <f>_xlfn.XLOOKUP($F87,設計座標!$E$13:$E$2301,設計座標!$I$13:$I$2301,"n/a",0,1)</f>
        <v>-4000.4588999999996</v>
      </c>
      <c r="L87">
        <f>_xlfn.XLOOKUP($F87,設計座標!$E$13:$E$2301,設計座標!$J$13:$J$2301,"n/a",0,1)</f>
        <v>-270</v>
      </c>
      <c r="M87" s="2">
        <f t="shared" si="76"/>
        <v>0</v>
      </c>
      <c r="N87" s="2">
        <f t="shared" si="65"/>
        <v>-4000.4588999999996</v>
      </c>
      <c r="O87" s="23">
        <f>L87</f>
        <v>-270</v>
      </c>
      <c r="P87" s="1">
        <f t="shared" si="72"/>
        <v>-269.5934931604757</v>
      </c>
      <c r="Q87" s="1">
        <f t="shared" si="77"/>
        <v>0</v>
      </c>
      <c r="R87">
        <f t="shared" si="75"/>
        <v>0</v>
      </c>
      <c r="S87" s="23">
        <f t="shared" si="78"/>
        <v>0</v>
      </c>
      <c r="T87">
        <f>$S87+測地線補正!$Q$3*(lattice!$N87/1000)^3+測地線補正!$P$3*(lattice!$N87/1000)^2+測地線補正!$O$3*(lattice!$N87/1000)+測地線補正!$N$3</f>
        <v>0.40650683952429106</v>
      </c>
      <c r="U87">
        <v>0</v>
      </c>
      <c r="V87">
        <v>0</v>
      </c>
      <c r="W87">
        <v>0</v>
      </c>
      <c r="X87">
        <f>$Z$87-($Y$87+$Y$85)/2</f>
        <v>172</v>
      </c>
      <c r="Y87">
        <f>_xlfn.XLOOKUP($F87,設計座標!$E$13:$E$2301,設計座標!$L$13:$L$2301," ",0,1)</f>
        <v>0</v>
      </c>
      <c r="Z87">
        <f>SQRT(($M$87-$M$85)^2+($N$87-$N$85)^2)</f>
        <v>197</v>
      </c>
    </row>
    <row r="88" spans="1:28">
      <c r="A88" t="s">
        <v>798</v>
      </c>
      <c r="B88" t="s">
        <v>3810</v>
      </c>
      <c r="C88" t="s">
        <v>805</v>
      </c>
      <c r="D88" t="s">
        <v>806</v>
      </c>
      <c r="F88" t="s">
        <v>497</v>
      </c>
      <c r="G88" t="s">
        <v>497</v>
      </c>
      <c r="I88">
        <f>_xlfn.XLOOKUP($F88,設計座標!$E$13:$E$2301,設計座標!$G$13:$G$2301,"n/a",0,1)</f>
        <v>3.0913865797585487</v>
      </c>
      <c r="J88">
        <f>_xlfn.XLOOKUP($F88,設計座標!$E$13:$E$2301,設計座標!$H$13:$H$2301,"n/a",0,1)</f>
        <v>0</v>
      </c>
      <c r="K88">
        <f>_xlfn.XLOOKUP($F88,設計座標!$E$13:$E$2301,設計座標!$I$13:$I$2301,"n/a",0,1)</f>
        <v>-4151.2545370799999</v>
      </c>
      <c r="L88">
        <f>_xlfn.XLOOKUP($F88,設計座標!$E$13:$E$2301,設計座標!$J$13:$J$2301,"n/a",0,1)</f>
        <v>680</v>
      </c>
      <c r="M88" s="2">
        <f>_xlfn.XLOOKUP($F88,survey_data!$A$2:$A$833,survey_data!$B$2:$B$833,"n/a",0,1)</f>
        <v>1.09628E-3</v>
      </c>
      <c r="N88" s="2">
        <f>_xlfn.XLOOKUP($F88,survey_data!$A$2:$A$833,survey_data!$C$2:$C$833,"n/a",0,1)</f>
        <v>-4151.2545370799999</v>
      </c>
      <c r="O88" s="23">
        <f>_xlfn.XLOOKUP($F88,survey_data!$A$2:$A$833,survey_data!$D$2:$D$833,"n/a",0,1)</f>
        <v>679.78825875999996</v>
      </c>
      <c r="P88" s="1">
        <f t="shared" si="72"/>
        <v>680.20944211438348</v>
      </c>
      <c r="Q88" s="1">
        <f t="shared" ref="Q88:Q93" si="79">$M88-$J88</f>
        <v>1.09628E-3</v>
      </c>
      <c r="R88">
        <f t="shared" ref="R88:R94" si="80">$N88-$K88</f>
        <v>0</v>
      </c>
      <c r="S88" s="23">
        <f t="shared" ref="S88:S93" si="81">$O88-$L88</f>
        <v>-0.21174124000003758</v>
      </c>
      <c r="T88">
        <f>$S88+測地線補正!$Q$3*(lattice!$N88/1000)^3+測地線補正!$P$3*(lattice!$N88/1000)^2+測地線補正!$O$3*(lattice!$N88/1000)+測地線補正!$N$3</f>
        <v>0.20944211438351812</v>
      </c>
      <c r="U88">
        <f>ATAN(($P$89-$P$88)/ABS($N$89-$N$88))</f>
        <v>-8.0769039511235265E-5</v>
      </c>
      <c r="V88">
        <v>0</v>
      </c>
      <c r="W88">
        <f>-ATAN(($M$89-$M$88)/ABS($N$89-$N$88))</f>
        <v>1.0371404713722282E-5</v>
      </c>
      <c r="X88">
        <f>$Z$89-($Y$89+$Y$84)/2</f>
        <v>82.568000254656198</v>
      </c>
      <c r="Y88">
        <f>_xlfn.XLOOKUP($F88,設計座標!$E$13:$E$2301,設計座標!$L$13:$L$2301," ",0,1)</f>
        <v>50</v>
      </c>
      <c r="Z88">
        <f>SQRT(($M$89-$M$84)^2+($N$89-$N$84)^2)</f>
        <v>107.5680002546562</v>
      </c>
      <c r="AA88">
        <f>_xlfn.XLOOKUP($G88,magnet_list!$A$2:$A$592,magnet_list!$AJ$2:$AJ$592,"n/a",0,1)</f>
        <v>6.6400000000000001E-2</v>
      </c>
      <c r="AB88">
        <f>_xlfn.XLOOKUP($G88,magnet_list!$A$2:$A$592,magnet_list!$L$2:$L$592,"n/a",0,1)</f>
        <v>44</v>
      </c>
    </row>
    <row r="89" spans="1:28">
      <c r="A89" t="s">
        <v>798</v>
      </c>
      <c r="B89" t="s">
        <v>3810</v>
      </c>
      <c r="C89" t="s">
        <v>805</v>
      </c>
      <c r="D89" t="s">
        <v>1152</v>
      </c>
      <c r="E89" t="s">
        <v>804</v>
      </c>
      <c r="F89" t="s">
        <v>1138</v>
      </c>
      <c r="G89" t="s">
        <v>497</v>
      </c>
      <c r="I89">
        <f>_xlfn.XLOOKUP($F89,設計座標!$E$13:$E$2301,設計座標!$G$13:$G$2301,"n/a",0,1)</f>
        <v>3.0963865797585477</v>
      </c>
      <c r="J89">
        <f>_xlfn.XLOOKUP($F89,設計座標!$E$13:$E$2301,設計座標!$H$13:$H$2301,"n/a",0,1)</f>
        <v>0</v>
      </c>
      <c r="K89">
        <f>_xlfn.XLOOKUP($F89,設計座標!$E$13:$E$2301,設計座標!$I$13:$I$2301,"n/a",0,1)</f>
        <v>-4146.2545370800008</v>
      </c>
      <c r="L89">
        <f>_xlfn.XLOOKUP($F89,設計座標!$E$13:$E$2301,設計座標!$J$13:$J$2301,"n/a",0,1)</f>
        <v>680</v>
      </c>
      <c r="M89" s="2">
        <f t="shared" ref="M89:M94" si="82">$J89+$Q89</f>
        <v>1.0444229764295387E-3</v>
      </c>
      <c r="N89" s="2">
        <f>K89</f>
        <v>-4146.2545370800008</v>
      </c>
      <c r="O89" s="23">
        <f t="shared" ref="O89:O94" si="83">$L89+$S89</f>
        <v>679.78834200404037</v>
      </c>
      <c r="P89" s="1">
        <f t="shared" si="72"/>
        <v>680.20903826918504</v>
      </c>
      <c r="Q89" s="1">
        <f>(Q$90-Q$88)/($N$90-$N$88)/($N89-$N$88)+Q$88</f>
        <v>1.0444229764295387E-3</v>
      </c>
      <c r="R89">
        <f t="shared" si="80"/>
        <v>0</v>
      </c>
      <c r="S89" s="23">
        <f>(S$90-S$88)/($N$90-$N$88)/($N89-$N$88)+S$88</f>
        <v>-0.21165799595964341</v>
      </c>
      <c r="T89">
        <f>$S89+測地線補正!$Q$3*(lattice!$N89/1000)^3+測地線補正!$P$3*(lattice!$N89/1000)^2+測地線補正!$O$3*(lattice!$N89/1000)+測地線補正!$N$3</f>
        <v>0.20903826918499263</v>
      </c>
      <c r="U89">
        <f t="shared" ref="U89" si="84">ATAN(($P$89-$P$88)/ABS($N$89-$N$88))</f>
        <v>-8.0769039511235265E-5</v>
      </c>
      <c r="V89">
        <v>0</v>
      </c>
      <c r="W89">
        <f>-ATAN(($M$89-$M$88)/ABS($N$89-$N$88))</f>
        <v>1.0371404713722282E-5</v>
      </c>
      <c r="X89">
        <f>$Z$89-($Y$89+$Y$84)/2</f>
        <v>82.568000254656198</v>
      </c>
      <c r="Y89">
        <f>_xlfn.XLOOKUP($F89,設計座標!$E$13:$E$2301,設計座標!$L$13:$L$2301," ",0,1)</f>
        <v>50</v>
      </c>
      <c r="Z89">
        <f>SQRT(($M$89-$M$84)^2+($N$89-$N$84)^2)</f>
        <v>107.5680002546562</v>
      </c>
      <c r="AA89">
        <f>_xlfn.XLOOKUP($G89,magnet_list!$A$2:$A$592,magnet_list!$AJ$2:$AJ$592,"n/a",0,1)</f>
        <v>6.6400000000000001E-2</v>
      </c>
      <c r="AB89">
        <f>_xlfn.XLOOKUP($G89,magnet_list!$A$2:$A$592,magnet_list!$L$2:$L$592,"n/a",0,1)</f>
        <v>44</v>
      </c>
    </row>
    <row r="90" spans="1:28">
      <c r="A90" t="s">
        <v>798</v>
      </c>
      <c r="B90" t="s">
        <v>3810</v>
      </c>
      <c r="C90" t="s">
        <v>805</v>
      </c>
      <c r="D90" t="s">
        <v>806</v>
      </c>
      <c r="F90" t="s">
        <v>498</v>
      </c>
      <c r="G90" t="s">
        <v>498</v>
      </c>
      <c r="I90">
        <f>_xlfn.XLOOKUP($F90,設計座標!$E$13:$E$2301,設計座標!$G$13:$G$2301,"n/a",0,1)</f>
        <v>3.2410962519585484</v>
      </c>
      <c r="J90">
        <f>_xlfn.XLOOKUP($F90,設計座標!$E$13:$E$2301,設計座標!$H$13:$H$2301,"n/a",0,1)</f>
        <v>0</v>
      </c>
      <c r="K90">
        <f>_xlfn.XLOOKUP($F90,設計座標!$E$13:$E$2301,設計座標!$I$13:$I$2301,"n/a",0,1)</f>
        <v>-4001.5448648800002</v>
      </c>
      <c r="L90">
        <f>_xlfn.XLOOKUP($F90,設計座標!$E$13:$E$2301,設計座標!$J$13:$J$2301,"n/a",0,1)</f>
        <v>680</v>
      </c>
      <c r="M90" s="2">
        <f>_xlfn.XLOOKUP($F90,survey_data!$A$2:$A$833,survey_data!$B$2:$B$833,"n/a",0,1)</f>
        <v>-3.7721209999999998E-2</v>
      </c>
      <c r="N90" s="2">
        <f>_xlfn.XLOOKUP($F90,survey_data!$A$2:$A$833,survey_data!$C$2:$C$833,"n/a",0,1)</f>
        <v>-4001.5448648800002</v>
      </c>
      <c r="O90" s="23">
        <f>_xlfn.XLOOKUP($F90,survey_data!$A$2:$A$833,survey_data!$D$2:$D$833,"n/a",0,1)</f>
        <v>679.85057095000002</v>
      </c>
      <c r="P90" s="1">
        <f t="shared" si="72"/>
        <v>680.25718338242677</v>
      </c>
      <c r="Q90" s="1">
        <f t="shared" si="79"/>
        <v>-3.7721209999999998E-2</v>
      </c>
      <c r="R90">
        <f t="shared" si="80"/>
        <v>0</v>
      </c>
      <c r="S90" s="23">
        <f t="shared" si="81"/>
        <v>-0.14942904999998063</v>
      </c>
      <c r="T90">
        <f>$S90+測地線補正!$Q$3*(lattice!$N90/1000)^3+測地線補正!$P$3*(lattice!$N90/1000)^2+測地線補正!$O$3*(lattice!$N90/1000)+測地線補正!$N$3</f>
        <v>0.25718338242672961</v>
      </c>
      <c r="U90">
        <f>ATAN(($P$91-$P$90)/ABS($N$91-$N$90))</f>
        <v>-3.5738910971660923E-4</v>
      </c>
      <c r="V90">
        <v>0</v>
      </c>
      <c r="W90">
        <f>-ATAN(($M$91-$M$90)/ABS($N$91-$N$90))</f>
        <v>-4.5474457145793369E-4</v>
      </c>
      <c r="X90">
        <f>$Z$91-($Y$91+$Y$89)/2</f>
        <v>99.70967400636772</v>
      </c>
      <c r="Y90">
        <f>_xlfn.XLOOKUP($F90,設計座標!$E$13:$E$2301,設計座標!$L$13:$L$2301," ",0,1)</f>
        <v>100</v>
      </c>
      <c r="Z90">
        <f>SQRT(($M$91-$M$89)^2+($N$91-$N$89)^2)</f>
        <v>174.70967400636772</v>
      </c>
      <c r="AA90">
        <f>_xlfn.XLOOKUP($G90,magnet_list!$A$2:$A$592,magnet_list!$AJ$2:$AJ$592,"n/a",0,1)</f>
        <v>0.11459999999999999</v>
      </c>
      <c r="AB90">
        <f>_xlfn.XLOOKUP($G90,magnet_list!$A$2:$A$592,magnet_list!$L$2:$L$592,"n/a",0,1)</f>
        <v>44</v>
      </c>
    </row>
    <row r="91" spans="1:28">
      <c r="A91" t="s">
        <v>798</v>
      </c>
      <c r="B91" t="s">
        <v>3810</v>
      </c>
      <c r="C91" t="s">
        <v>805</v>
      </c>
      <c r="D91" t="s">
        <v>1152</v>
      </c>
      <c r="E91" t="s">
        <v>804</v>
      </c>
      <c r="F91" t="s">
        <v>1139</v>
      </c>
      <c r="G91" t="s">
        <v>498</v>
      </c>
      <c r="I91">
        <f>_xlfn.XLOOKUP($F91,設計座標!$E$13:$E$2301,設計座標!$G$13:$G$2301,"n/a",0,1)</f>
        <v>3.2710962519585474</v>
      </c>
      <c r="J91">
        <f>_xlfn.XLOOKUP($F91,設計座標!$E$13:$E$2301,設計座標!$H$13:$H$2301,"n/a",0,1)</f>
        <v>0</v>
      </c>
      <c r="K91">
        <f>_xlfn.XLOOKUP($F91,設計座標!$E$13:$E$2301,設計座標!$I$13:$I$2301,"n/a",0,1)</f>
        <v>-3971.5448648800011</v>
      </c>
      <c r="L91">
        <f>_xlfn.XLOOKUP($F91,設計座標!$E$13:$E$2301,設計座標!$J$13:$J$2301,"n/a",0,1)</f>
        <v>680</v>
      </c>
      <c r="M91" s="2">
        <f t="shared" si="82"/>
        <v>-2.4078871915884086E-2</v>
      </c>
      <c r="N91" s="2">
        <f>K91</f>
        <v>-3971.5448648800011</v>
      </c>
      <c r="O91" s="23">
        <f t="shared" si="83"/>
        <v>679.84276576335321</v>
      </c>
      <c r="P91" s="1">
        <f t="shared" si="72"/>
        <v>680.24646170867879</v>
      </c>
      <c r="Q91" s="1">
        <f>(Q$93-Q$90)/($N$93-$N$90)*($N91-$N$90)+Q$90</f>
        <v>-2.4078871915884086E-2</v>
      </c>
      <c r="R91">
        <f t="shared" si="80"/>
        <v>0</v>
      </c>
      <c r="S91" s="23">
        <f>(S$93-S$90)/($N$93-$N$90)*($N91-$N$90)+S$90</f>
        <v>-0.15723423664677877</v>
      </c>
      <c r="T91">
        <f>$S91+測地線補正!$Q$3*(lattice!$N91/1000)^3+測地線補正!$P$3*(lattice!$N91/1000)^2+測地線補正!$O$3*(lattice!$N91/1000)+測地線補正!$N$3</f>
        <v>0.24646170867879938</v>
      </c>
      <c r="U91">
        <f>ATAN(($P$91-$P$90)/ABS($N$91-$N$90))</f>
        <v>-3.5738910971660923E-4</v>
      </c>
      <c r="V91">
        <v>0</v>
      </c>
      <c r="W91">
        <f>-ATAN(($M$91-$M$90)/ABS($N$91-$N$90))</f>
        <v>-4.5474457145793369E-4</v>
      </c>
      <c r="X91">
        <f>$Z$91-($Y$91+$Y$89)/2</f>
        <v>99.70967400636772</v>
      </c>
      <c r="Y91">
        <f>_xlfn.XLOOKUP($F91,設計座標!$E$13:$E$2301,設計座標!$L$13:$L$2301," ",0,1)</f>
        <v>100</v>
      </c>
      <c r="Z91">
        <f>SQRT(($M$91-$M$89)^2+($N$91-$N$89)^2)</f>
        <v>174.70967400636772</v>
      </c>
      <c r="AA91">
        <f>_xlfn.XLOOKUP($G91,magnet_list!$A$2:$A$592,magnet_list!$AJ$2:$AJ$592,"n/a",0,1)</f>
        <v>0.11459999999999999</v>
      </c>
      <c r="AB91">
        <f>_xlfn.XLOOKUP($G91,magnet_list!$A$2:$A$592,magnet_list!$L$2:$L$592,"n/a",0,1)</f>
        <v>44</v>
      </c>
    </row>
    <row r="92" spans="1:28">
      <c r="A92" t="s">
        <v>798</v>
      </c>
      <c r="B92" t="s">
        <v>3810</v>
      </c>
      <c r="C92" t="s">
        <v>805</v>
      </c>
      <c r="D92" t="s">
        <v>1152</v>
      </c>
      <c r="E92" t="s">
        <v>804</v>
      </c>
      <c r="F92" t="s">
        <v>1140</v>
      </c>
      <c r="G92" t="s">
        <v>499</v>
      </c>
      <c r="I92">
        <f>_xlfn.XLOOKUP($F92,設計座標!$E$13:$E$2301,設計座標!$G$13:$G$2301,"n/a",0,1)</f>
        <v>3.4465222128385475</v>
      </c>
      <c r="J92">
        <f>_xlfn.XLOOKUP($F92,設計座標!$E$13:$E$2301,設計座標!$H$13:$H$2301,"n/a",0,1)</f>
        <v>0</v>
      </c>
      <c r="K92">
        <f>_xlfn.XLOOKUP($F92,設計座標!$E$13:$E$2301,設計座標!$I$13:$I$2301,"n/a",0,1)</f>
        <v>-3796.1189040000008</v>
      </c>
      <c r="L92">
        <f>_xlfn.XLOOKUP($F92,設計座標!$E$13:$E$2301,設計座標!$J$13:$J$2301,"n/a",0,1)</f>
        <v>680</v>
      </c>
      <c r="M92" s="2">
        <f t="shared" si="82"/>
        <v>5.5695136985980186E-2</v>
      </c>
      <c r="N92" s="2">
        <f>K92</f>
        <v>-3796.1189040000008</v>
      </c>
      <c r="O92" s="23">
        <f t="shared" si="83"/>
        <v>679.79712468444109</v>
      </c>
      <c r="P92" s="1">
        <f t="shared" si="72"/>
        <v>680.18378870863432</v>
      </c>
      <c r="Q92" s="1">
        <f>(Q$93-Q$90)/($N$93-$N$90)*($N92-$N$90)+Q$90</f>
        <v>5.5695136985980186E-2</v>
      </c>
      <c r="R92">
        <f t="shared" si="80"/>
        <v>0</v>
      </c>
      <c r="S92" s="23">
        <f>(S$93-S$90)/($N$93-$N$90)*($N92-$N$90)+S$90</f>
        <v>-0.20287531555885707</v>
      </c>
      <c r="T92">
        <f>$S92+測地線補正!$Q$3*(lattice!$N92/1000)^3+測地線補正!$P$3*(lattice!$N92/1000)^2+測地線補正!$O$3*(lattice!$N92/1000)+測地線補正!$N$3</f>
        <v>0.18378870863430011</v>
      </c>
      <c r="U92">
        <f>ATAN(($P$93-$P$92)/ABS($N$93-$N$92))</f>
        <v>-3.5715017131970656E-4</v>
      </c>
      <c r="V92">
        <v>0</v>
      </c>
      <c r="W92">
        <f>-ATAN(($M$93-$M$92)/ABS($N$93-$N$92))</f>
        <v>-4.547445714579357E-4</v>
      </c>
      <c r="X92">
        <f>$Z$92-($Y$92+$Y$91)/2</f>
        <v>100.42597901839935</v>
      </c>
      <c r="Y92">
        <f>_xlfn.XLOOKUP($F92,設計座標!$E$13:$E$2301,設計座標!$L$13:$L$2301," ",0,1)</f>
        <v>50</v>
      </c>
      <c r="Z92">
        <f>SQRT(($M$92-$M$91)^2+($N$92-$N$91)^2)</f>
        <v>175.42597901839935</v>
      </c>
      <c r="AA92">
        <f>_xlfn.XLOOKUP($G92,magnet_list!$A$2:$A$592,magnet_list!$AJ$2:$AJ$592,"n/a",0,1)</f>
        <v>6.6400000000000001E-2</v>
      </c>
      <c r="AB92">
        <f>_xlfn.XLOOKUP($G92,magnet_list!$A$2:$A$592,magnet_list!$L$2:$L$592,"n/a",0,1)</f>
        <v>44</v>
      </c>
    </row>
    <row r="93" spans="1:28">
      <c r="A93" t="s">
        <v>798</v>
      </c>
      <c r="B93" t="s">
        <v>3810</v>
      </c>
      <c r="C93" t="s">
        <v>805</v>
      </c>
      <c r="D93" t="s">
        <v>806</v>
      </c>
      <c r="F93" t="s">
        <v>499</v>
      </c>
      <c r="G93" t="s">
        <v>499</v>
      </c>
      <c r="I93">
        <f>_xlfn.XLOOKUP($F93,設計座標!$E$13:$E$2301,設計座標!$G$13:$G$2301,"n/a",0,1)</f>
        <v>3.4515222128385488</v>
      </c>
      <c r="J93">
        <f>_xlfn.XLOOKUP($F93,設計座標!$E$13:$E$2301,設計座標!$H$13:$H$2301,"n/a",0,1)</f>
        <v>0</v>
      </c>
      <c r="K93">
        <f>_xlfn.XLOOKUP($F93,設計座標!$E$13:$E$2301,設計座標!$I$13:$I$2301,"n/a",0,1)</f>
        <v>-3791.1189039999999</v>
      </c>
      <c r="L93">
        <f>_xlfn.XLOOKUP($F93,設計座標!$E$13:$E$2301,設計座標!$J$13:$J$2301,"n/a",0,1)</f>
        <v>680</v>
      </c>
      <c r="M93" s="2">
        <f>_xlfn.XLOOKUP($F93,survey_data!$A$2:$A$833,survey_data!$B$2:$B$833,"n/a",0,1)</f>
        <v>5.7968859999999997E-2</v>
      </c>
      <c r="N93" s="2">
        <f>_xlfn.XLOOKUP($F93,survey_data!$A$2:$A$833,survey_data!$C$2:$C$833,"n/a",0,1)</f>
        <v>-3791.1189039999999</v>
      </c>
      <c r="O93" s="23">
        <f>_xlfn.XLOOKUP($F93,survey_data!$A$2:$A$833,survey_data!$D$2:$D$833,"n/a",0,1)</f>
        <v>679.79582382000001</v>
      </c>
      <c r="P93" s="1">
        <f t="shared" si="72"/>
        <v>680.1820029577018</v>
      </c>
      <c r="Q93" s="1">
        <f t="shared" si="79"/>
        <v>5.7968859999999997E-2</v>
      </c>
      <c r="R93">
        <f t="shared" si="80"/>
        <v>0</v>
      </c>
      <c r="S93" s="23">
        <f t="shared" si="81"/>
        <v>-0.20417617999999038</v>
      </c>
      <c r="T93">
        <f>$S93+測地線補正!$Q$3*(lattice!$N93/1000)^3+測地線補正!$P$3*(lattice!$N93/1000)^2+測地線補正!$O$3*(lattice!$N93/1000)+測地線補正!$N$3</f>
        <v>0.18200295770176558</v>
      </c>
      <c r="U93">
        <f>ATAN(($P$93-$P$92)/ABS($N$93-$N$92))</f>
        <v>-3.5715017131970656E-4</v>
      </c>
      <c r="V93">
        <v>0</v>
      </c>
      <c r="W93">
        <f>-ATAN(($M$93-$M$92)/ABS($N$93-$N$92))</f>
        <v>-4.547445714579357E-4</v>
      </c>
      <c r="X93">
        <f>$Z$92-($Y$92+$Y$91)/2</f>
        <v>100.42597901839935</v>
      </c>
      <c r="Y93">
        <f>_xlfn.XLOOKUP($F93,設計座標!$E$13:$E$2301,設計座標!$L$13:$L$2301," ",0,1)</f>
        <v>50</v>
      </c>
      <c r="Z93">
        <f>SQRT(($M$92-$M$91)^2+($N$92-$N$91)^2)</f>
        <v>175.42597901839935</v>
      </c>
      <c r="AA93">
        <f>_xlfn.XLOOKUP($G93,magnet_list!$A$2:$A$592,magnet_list!$AJ$2:$AJ$592,"n/a",0,1)</f>
        <v>6.6400000000000001E-2</v>
      </c>
      <c r="AB93">
        <f>_xlfn.XLOOKUP($G93,magnet_list!$A$2:$A$592,magnet_list!$L$2:$L$592,"n/a",0,1)</f>
        <v>44</v>
      </c>
    </row>
    <row r="94" spans="1:28">
      <c r="A94" t="s">
        <v>798</v>
      </c>
      <c r="B94" t="s">
        <v>3810</v>
      </c>
      <c r="C94" t="s">
        <v>1152</v>
      </c>
      <c r="D94" t="s">
        <v>1152</v>
      </c>
      <c r="E94" t="s">
        <v>804</v>
      </c>
      <c r="F94" t="s">
        <v>1932</v>
      </c>
      <c r="G94" t="s">
        <v>1932</v>
      </c>
      <c r="I94">
        <f>_xlfn.XLOOKUP($F94,設計座標!$E$13:$E$2301,設計座標!$G$13:$G$2301,"n/a",0,1)</f>
        <v>3.6639522128385478</v>
      </c>
      <c r="J94">
        <f>_xlfn.XLOOKUP($F94,設計座標!$E$13:$E$2301,設計座標!$H$13:$H$2301,"n/a",0,1)</f>
        <v>0</v>
      </c>
      <c r="K94">
        <f>_xlfn.XLOOKUP($F94,設計座標!$E$13:$E$2301,設計座標!$I$13:$I$2301,"n/a",0,1)</f>
        <v>-3578.688904000001</v>
      </c>
      <c r="L94">
        <f>_xlfn.XLOOKUP($F94,設計座標!$E$13:$E$2301,設計座標!$J$13:$J$2301,"n/a",0,1)</f>
        <v>480</v>
      </c>
      <c r="M94" s="2">
        <f t="shared" si="82"/>
        <v>6.3455182075161876E-2</v>
      </c>
      <c r="N94" s="2">
        <f>K94</f>
        <v>-3578.688904000001</v>
      </c>
      <c r="O94" s="23">
        <f t="shared" si="83"/>
        <v>479.81303765553395</v>
      </c>
      <c r="P94" s="1">
        <f t="shared" si="72"/>
        <v>480.17864441137289</v>
      </c>
      <c r="Q94" s="1">
        <f>(Q$96-Q$93)/($N$96-$N$93)*($N94-$N$93)+Q$93</f>
        <v>6.3455182075161876E-2</v>
      </c>
      <c r="R94">
        <f t="shared" si="80"/>
        <v>0</v>
      </c>
      <c r="S94" s="23">
        <f>(S$96-S$93)/($N$96-$N$93)*($N94-$N$93)+S$93</f>
        <v>-0.18696234446606966</v>
      </c>
      <c r="T94">
        <f>$S94+測地線補正!$Q$3*(lattice!$N94/1000)^3+測地線補正!$P$3*(lattice!$N94/1000)^2+測地線補正!$O$3*(lattice!$N94/1000)+測地線補正!$N$3</f>
        <v>0.17864441137287942</v>
      </c>
      <c r="U94">
        <v>0</v>
      </c>
      <c r="V94">
        <v>0</v>
      </c>
      <c r="W94">
        <v>0</v>
      </c>
      <c r="X94">
        <f>$Z$94-($Y$94+$Y$93)/2</f>
        <v>192.43000013847728</v>
      </c>
      <c r="Y94">
        <f>_xlfn.XLOOKUP($F94,設計座標!$E$13:$E$2301,設計座標!$L$13:$L$2301," ",0,1)</f>
        <v>0</v>
      </c>
      <c r="Z94">
        <f>SQRT(($M$94-$M$92)^2+($N$94-$N$92)^2)</f>
        <v>217.43000013847728</v>
      </c>
    </row>
    <row r="95" spans="1:28">
      <c r="A95" t="s">
        <v>801</v>
      </c>
      <c r="B95" t="s">
        <v>3810</v>
      </c>
      <c r="C95" t="s">
        <v>805</v>
      </c>
      <c r="D95" t="s">
        <v>1152</v>
      </c>
      <c r="E95" t="s">
        <v>804</v>
      </c>
      <c r="F95" t="s">
        <v>1147</v>
      </c>
      <c r="G95" t="s">
        <v>2367</v>
      </c>
      <c r="I95">
        <f>_xlfn.XLOOKUP($F95,設計座標!$E$13:$E$2301,設計座標!$G$13:$G$2301,"n/a",0,1)</f>
        <v>3.6602820999999999</v>
      </c>
      <c r="J95">
        <f>_xlfn.XLOOKUP($F95,設計座標!$E$13:$E$2301,設計座標!$H$13:$H$2301,"n/a",0,1)</f>
        <v>0</v>
      </c>
      <c r="K95">
        <f>_xlfn.XLOOKUP($F95,設計座標!$E$13:$E$2301,設計座標!$I$13:$I$2301,"n/a",0,1)</f>
        <v>-3740.4588999999996</v>
      </c>
      <c r="L95">
        <f>_xlfn.XLOOKUP($F95,設計座標!$E$13:$E$2301,設計座標!$J$13:$J$2301,"n/a",0,1)</f>
        <v>-95</v>
      </c>
      <c r="M95" s="2">
        <f>J95</f>
        <v>0</v>
      </c>
      <c r="N95" s="2">
        <f>K95</f>
        <v>-3740.4588999999996</v>
      </c>
      <c r="O95" s="23">
        <f>L95</f>
        <v>-95</v>
      </c>
      <c r="P95" s="1">
        <f t="shared" si="72"/>
        <v>-94.61873199050882</v>
      </c>
      <c r="Q95" s="1">
        <f>$N95-$K95</f>
        <v>0</v>
      </c>
      <c r="R95">
        <f>$N95-$K95</f>
        <v>0</v>
      </c>
      <c r="S95" s="23">
        <f>$O95-$L95</f>
        <v>0</v>
      </c>
      <c r="T95">
        <f>$S95+測地線補正!$Q$3*(lattice!$N95/1000)^3+測地線補正!$P$3*(lattice!$N95/1000)^2+測地線補正!$O$3*(lattice!$N95/1000)+測地線補正!$N$3</f>
        <v>0.38126800949117723</v>
      </c>
      <c r="U95">
        <v>0</v>
      </c>
      <c r="V95">
        <v>0</v>
      </c>
      <c r="W95">
        <v>0</v>
      </c>
      <c r="X95">
        <f>$Z$95-($Y$95+$Y$87)/2</f>
        <v>210</v>
      </c>
      <c r="Y95">
        <f>_xlfn.XLOOKUP($F95,設計座標!$E$13:$E$2301,設計座標!$L$13:$L$2301," ",0,1)</f>
        <v>100</v>
      </c>
      <c r="Z95">
        <f>SQRT(($M$95-$M$87)^2+($N$95-$N$87)^2)</f>
        <v>260</v>
      </c>
      <c r="AA95">
        <f>_xlfn.XLOOKUP($G95,magnet_list!$A$2:$A$592,magnet_list!$AJ$2:$AJ$592,"n/a",0,1)</f>
        <v>0.14724799999999999</v>
      </c>
      <c r="AB95">
        <f>_xlfn.XLOOKUP($G95,magnet_list!$A$2:$A$592,magnet_list!$L$2:$L$592,"n/a",0,1)</f>
        <v>40</v>
      </c>
    </row>
    <row r="96" spans="1:28">
      <c r="A96" t="s">
        <v>798</v>
      </c>
      <c r="B96" t="s">
        <v>3810</v>
      </c>
      <c r="C96" t="s">
        <v>805</v>
      </c>
      <c r="D96" t="s">
        <v>806</v>
      </c>
      <c r="E96" t="s">
        <v>804</v>
      </c>
      <c r="F96" t="s">
        <v>501</v>
      </c>
      <c r="G96" t="s">
        <v>501</v>
      </c>
      <c r="I96">
        <f>_xlfn.XLOOKUP($F96,設計座標!$E$13:$E$2301,設計座標!$G$13:$G$2301,"n/a",0,1)</f>
        <v>3.914969945958549</v>
      </c>
      <c r="J96">
        <f>_xlfn.XLOOKUP($F96,設計座標!$E$13:$E$2301,設計座標!$H$13:$H$2301,"n/a",0,1)</f>
        <v>0</v>
      </c>
      <c r="K96">
        <f>_xlfn.XLOOKUP($F96,設計座標!$E$13:$E$2301,設計座標!$I$13:$I$2301,"n/a",0,1)</f>
        <v>-3327.6711708799999</v>
      </c>
      <c r="L96">
        <f>_xlfn.XLOOKUP($F96,設計座標!$E$13:$E$2301,設計座標!$J$13:$J$2301,"n/a",0,1)</f>
        <v>680</v>
      </c>
      <c r="M96" s="2">
        <f>_xlfn.XLOOKUP($F96,survey_data!$A$2:$A$833,survey_data!$B$2:$B$833,"n/a",0,1)</f>
        <v>6.9938089999999994E-2</v>
      </c>
      <c r="N96" s="2">
        <f>_xlfn.XLOOKUP($F96,survey_data!$A$2:$A$833,survey_data!$C$2:$C$833,"n/a",0,1)</f>
        <v>-3327.6711708799999</v>
      </c>
      <c r="O96" s="23">
        <f>_xlfn.XLOOKUP($F96,survey_data!$A$2:$A$833,survey_data!$D$2:$D$833,"n/a",0,1)</f>
        <v>679.83337836999999</v>
      </c>
      <c r="P96" s="1">
        <f t="shared" si="72"/>
        <v>680.17474735798112</v>
      </c>
      <c r="Q96" s="1">
        <f>$M96-$J96</f>
        <v>6.9938089999999994E-2</v>
      </c>
      <c r="R96">
        <f>$N96-$K96</f>
        <v>0</v>
      </c>
      <c r="S96" s="23">
        <f>$O96-$L96</f>
        <v>-0.16662163000000874</v>
      </c>
      <c r="T96">
        <f>$S96+測地線補正!$Q$3*(lattice!$N96/1000)^3+測地線補正!$P$3*(lattice!$N96/1000)^2+測地線補正!$O$3*(lattice!$N96/1000)+測地線補正!$N$3</f>
        <v>0.17474735798115715</v>
      </c>
      <c r="U96">
        <v>0</v>
      </c>
      <c r="V96">
        <v>0</v>
      </c>
      <c r="W96">
        <v>0</v>
      </c>
      <c r="X96">
        <f>$Z$96-($Y$96+$Y$94)/2</f>
        <v>226.01773320371652</v>
      </c>
      <c r="Y96">
        <f>_xlfn.XLOOKUP($F96,設計座標!$E$13:$E$2301,設計座標!$L$13:$L$2301," ",0,1)</f>
        <v>50</v>
      </c>
      <c r="Z96">
        <f>SQRT(($M$96-$M$94)^2+($N$96-$N$94)^2)</f>
        <v>251.01773320371652</v>
      </c>
      <c r="AA96">
        <f>_xlfn.XLOOKUP($G96,magnet_list!$A$2:$A$592,magnet_list!$AJ$2:$AJ$592,"n/a",0,1)</f>
        <v>9.1811000000000004E-2</v>
      </c>
      <c r="AB96">
        <f>_xlfn.XLOOKUP($G96,magnet_list!$A$2:$A$592,magnet_list!$L$2:$L$592,"n/a",0,1)</f>
        <v>39</v>
      </c>
    </row>
    <row r="97" spans="1:28">
      <c r="A97" t="s">
        <v>801</v>
      </c>
      <c r="B97" t="s">
        <v>3810</v>
      </c>
      <c r="C97" t="s">
        <v>805</v>
      </c>
      <c r="D97" t="s">
        <v>1152</v>
      </c>
      <c r="E97" t="s">
        <v>804</v>
      </c>
      <c r="F97" t="s">
        <v>1148</v>
      </c>
      <c r="G97" t="s">
        <v>2368</v>
      </c>
      <c r="I97">
        <f>_xlfn.XLOOKUP($F97,設計座標!$E$13:$E$2301,設計座標!$G$13:$G$2301,"n/a",0,1)</f>
        <v>4.1602820999999999</v>
      </c>
      <c r="J97">
        <f>_xlfn.XLOOKUP($F97,設計座標!$E$13:$E$2301,設計座標!$H$13:$H$2301,"n/a",0,1)</f>
        <v>0</v>
      </c>
      <c r="K97">
        <f>_xlfn.XLOOKUP($F97,設計座標!$E$13:$E$2301,設計座標!$I$13:$I$2301,"n/a",0,1)</f>
        <v>-3240.4588999999996</v>
      </c>
      <c r="L97">
        <f>_xlfn.XLOOKUP($F97,設計座標!$E$13:$E$2301,設計座標!$J$13:$J$2301,"n/a",0,1)</f>
        <v>-95</v>
      </c>
      <c r="M97" s="2">
        <f t="shared" ref="M97:M100" si="85">J97</f>
        <v>0</v>
      </c>
      <c r="N97" s="2">
        <f t="shared" ref="N97:O100" si="86">K97</f>
        <v>-3240.4588999999996</v>
      </c>
      <c r="O97" s="23">
        <f t="shared" si="86"/>
        <v>-95</v>
      </c>
      <c r="P97" s="1">
        <f t="shared" si="72"/>
        <v>-94.66703397349265</v>
      </c>
      <c r="Q97" s="1">
        <f t="shared" ref="Q97:R100" si="87">$N97-$K97</f>
        <v>0</v>
      </c>
      <c r="R97">
        <f t="shared" si="87"/>
        <v>0</v>
      </c>
      <c r="S97" s="23">
        <f t="shared" ref="S97:S100" si="88">$O97-$L97</f>
        <v>0</v>
      </c>
      <c r="T97">
        <f>$S97+測地線補正!$Q$3*(lattice!$N97/1000)^3+測地線補正!$P$3*(lattice!$N97/1000)^2+測地線補正!$O$3*(lattice!$N97/1000)+測地線補正!$N$3</f>
        <v>0.33296602650735235</v>
      </c>
      <c r="U97">
        <v>0</v>
      </c>
      <c r="V97">
        <v>0</v>
      </c>
      <c r="W97">
        <v>0</v>
      </c>
      <c r="X97">
        <f>$Z$97-($Y$97+$Y$95)/2</f>
        <v>400</v>
      </c>
      <c r="Y97">
        <f>_xlfn.XLOOKUP($F97,設計座標!$E$13:$E$2301,設計座標!$L$13:$L$2301," ",0,1)</f>
        <v>100</v>
      </c>
      <c r="Z97">
        <f>SQRT(($M$97-$M$95)^2+($N$97-$N$95)^2)</f>
        <v>500</v>
      </c>
      <c r="AA97">
        <f>_xlfn.XLOOKUP($G97,magnet_list!$A$2:$A$592,magnet_list!$AJ$2:$AJ$592,"n/a",0,1)</f>
        <v>0.14724799999999999</v>
      </c>
      <c r="AB97">
        <f>_xlfn.XLOOKUP($G97,magnet_list!$A$2:$A$592,magnet_list!$L$2:$L$592,"n/a",0,1)</f>
        <v>40</v>
      </c>
    </row>
    <row r="98" spans="1:28">
      <c r="A98" t="s">
        <v>801</v>
      </c>
      <c r="B98" t="s">
        <v>3810</v>
      </c>
      <c r="C98" t="s">
        <v>1152</v>
      </c>
      <c r="D98" t="s">
        <v>1152</v>
      </c>
      <c r="E98" t="s">
        <v>804</v>
      </c>
      <c r="F98" t="s">
        <v>1950</v>
      </c>
      <c r="G98" t="s">
        <v>1950</v>
      </c>
      <c r="I98">
        <f>_xlfn.XLOOKUP($F98,設計座標!$E$13:$E$2301,設計座標!$G$13:$G$2301,"n/a",0,1)</f>
        <v>4.3602821</v>
      </c>
      <c r="J98">
        <f>_xlfn.XLOOKUP($F98,設計座標!$E$13:$E$2301,設計座標!$H$13:$H$2301,"n/a",0,1)</f>
        <v>0</v>
      </c>
      <c r="K98">
        <f>_xlfn.XLOOKUP($F98,設計座標!$E$13:$E$2301,設計座標!$I$13:$I$2301,"n/a",0,1)</f>
        <v>-3040.4588999999996</v>
      </c>
      <c r="L98">
        <f>_xlfn.XLOOKUP($F98,設計座標!$E$13:$E$2301,設計座標!$J$13:$J$2301,"n/a",0,1)</f>
        <v>-270</v>
      </c>
      <c r="M98" s="2">
        <f t="shared" si="85"/>
        <v>0</v>
      </c>
      <c r="N98" s="2">
        <f t="shared" si="86"/>
        <v>-3040.4588999999996</v>
      </c>
      <c r="O98" s="23">
        <f t="shared" si="86"/>
        <v>-270</v>
      </c>
      <c r="P98" s="1">
        <f t="shared" si="72"/>
        <v>-269.68626902906038</v>
      </c>
      <c r="Q98" s="1">
        <f t="shared" si="87"/>
        <v>0</v>
      </c>
      <c r="R98">
        <f t="shared" si="87"/>
        <v>0</v>
      </c>
      <c r="S98" s="23">
        <f t="shared" si="88"/>
        <v>0</v>
      </c>
      <c r="T98">
        <f>$S98+測地線補正!$Q$3*(lattice!$N98/1000)^3+測地線補正!$P$3*(lattice!$N98/1000)^2+測地線補正!$O$3*(lattice!$N98/1000)+測地線補正!$N$3</f>
        <v>0.31373097093961921</v>
      </c>
      <c r="U98">
        <v>0</v>
      </c>
      <c r="V98">
        <v>0</v>
      </c>
      <c r="W98">
        <v>0</v>
      </c>
      <c r="X98">
        <f>$Z$98-($Y$98+$Y$97)/2</f>
        <v>150</v>
      </c>
      <c r="Y98">
        <f>_xlfn.XLOOKUP($F98,設計座標!$E$13:$E$2301,設計座標!$L$13:$L$2301," ",0,1)</f>
        <v>0</v>
      </c>
      <c r="Z98">
        <f>SQRT(($M$98-$M$97)^2+($N$98-$N$97)^2)</f>
        <v>200</v>
      </c>
    </row>
    <row r="99" spans="1:28">
      <c r="A99" t="s">
        <v>801</v>
      </c>
      <c r="B99" t="s">
        <v>3810</v>
      </c>
      <c r="C99" t="s">
        <v>1152</v>
      </c>
      <c r="D99" t="s">
        <v>1152</v>
      </c>
      <c r="E99" t="s">
        <v>804</v>
      </c>
      <c r="F99" t="s">
        <v>1951</v>
      </c>
      <c r="G99" t="s">
        <v>1951</v>
      </c>
      <c r="I99">
        <f>_xlfn.XLOOKUP($F99,設計座標!$E$13:$E$2301,設計座標!$G$13:$G$2301,"n/a",0,1)</f>
        <v>4.3602821</v>
      </c>
      <c r="J99">
        <f>_xlfn.XLOOKUP($F99,設計座標!$E$13:$E$2301,設計座標!$H$13:$H$2301,"n/a",0,1)</f>
        <v>0</v>
      </c>
      <c r="K99">
        <f>_xlfn.XLOOKUP($F99,設計座標!$E$13:$E$2301,設計座標!$I$13:$I$2301,"n/a",0,1)</f>
        <v>-3040.4588999999996</v>
      </c>
      <c r="L99">
        <f>_xlfn.XLOOKUP($F99,設計座標!$E$13:$E$2301,設計座標!$J$13:$J$2301,"n/a",0,1)</f>
        <v>-270</v>
      </c>
      <c r="M99" s="2">
        <f t="shared" si="85"/>
        <v>0</v>
      </c>
      <c r="N99" s="2">
        <f t="shared" si="86"/>
        <v>-3040.4588999999996</v>
      </c>
      <c r="O99" s="23">
        <f t="shared" si="86"/>
        <v>-270</v>
      </c>
      <c r="P99" s="1">
        <f t="shared" si="72"/>
        <v>-269.68626902906038</v>
      </c>
      <c r="Q99" s="1">
        <f t="shared" si="87"/>
        <v>0</v>
      </c>
      <c r="R99">
        <f t="shared" si="87"/>
        <v>0</v>
      </c>
      <c r="S99" s="23">
        <f t="shared" si="88"/>
        <v>0</v>
      </c>
      <c r="T99">
        <f>$S99+測地線補正!$Q$3*(lattice!$N99/1000)^3+測地線補正!$P$3*(lattice!$N99/1000)^2+測地線補正!$O$3*(lattice!$N99/1000)+測地線補正!$N$3</f>
        <v>0.31373097093961921</v>
      </c>
      <c r="U99">
        <v>0</v>
      </c>
      <c r="V99">
        <v>0</v>
      </c>
      <c r="W99">
        <v>0</v>
      </c>
      <c r="X99">
        <v>0</v>
      </c>
      <c r="Y99">
        <f>_xlfn.XLOOKUP($F99,設計座標!$E$13:$E$2301,設計座標!$L$13:$L$2301," ",0,1)</f>
        <v>0</v>
      </c>
      <c r="Z99">
        <f>SQRT(($M$98-$M$97)^2+($N$98-$N$97)^2)</f>
        <v>200</v>
      </c>
    </row>
    <row r="100" spans="1:28">
      <c r="A100" t="s">
        <v>801</v>
      </c>
      <c r="B100" t="s">
        <v>3810</v>
      </c>
      <c r="C100" t="s">
        <v>805</v>
      </c>
      <c r="D100" t="s">
        <v>1152</v>
      </c>
      <c r="E100" t="s">
        <v>804</v>
      </c>
      <c r="F100" t="s">
        <v>1149</v>
      </c>
      <c r="G100" t="s">
        <v>2369</v>
      </c>
      <c r="I100">
        <f>_xlfn.XLOOKUP($F100,設計座標!$E$13:$E$2301,設計座標!$G$13:$G$2301,"n/a",0,1)</f>
        <v>4.5602821000000002</v>
      </c>
      <c r="J100">
        <f>_xlfn.XLOOKUP($F100,設計座標!$E$13:$E$2301,設計座標!$H$13:$H$2301,"n/a",0,1)</f>
        <v>0</v>
      </c>
      <c r="K100">
        <f>_xlfn.XLOOKUP($F100,設計座標!$E$13:$E$2301,設計座標!$I$13:$I$2301,"n/a",0,1)</f>
        <v>-2840.4588999999996</v>
      </c>
      <c r="L100">
        <f>_xlfn.XLOOKUP($F100,設計座標!$E$13:$E$2301,設計座標!$J$13:$J$2301,"n/a",0,1)</f>
        <v>-95</v>
      </c>
      <c r="M100" s="2">
        <f t="shared" si="85"/>
        <v>0</v>
      </c>
      <c r="N100" s="2">
        <f t="shared" si="86"/>
        <v>-2840.4588999999996</v>
      </c>
      <c r="O100" s="23">
        <f t="shared" si="86"/>
        <v>-95</v>
      </c>
      <c r="P100" s="1">
        <f t="shared" si="72"/>
        <v>-94.705455390160694</v>
      </c>
      <c r="Q100" s="1">
        <f t="shared" si="87"/>
        <v>0</v>
      </c>
      <c r="R100">
        <f t="shared" si="87"/>
        <v>0</v>
      </c>
      <c r="S100" s="23">
        <f t="shared" si="88"/>
        <v>0</v>
      </c>
      <c r="T100">
        <f>$S100+測地線補正!$Q$3*(lattice!$N100/1000)^3+測地線補正!$P$3*(lattice!$N100/1000)^2+測地線補正!$O$3*(lattice!$N100/1000)+測地線補正!$N$3</f>
        <v>0.29454460983931285</v>
      </c>
      <c r="U100">
        <v>0</v>
      </c>
      <c r="V100">
        <v>0</v>
      </c>
      <c r="W100">
        <v>0</v>
      </c>
      <c r="X100">
        <f>$Z$100-($Y$100+$Y$99)/2</f>
        <v>150</v>
      </c>
      <c r="Y100">
        <f>_xlfn.XLOOKUP($F100,設計座標!$E$13:$E$2301,設計座標!$L$13:$L$2301," ",0,1)</f>
        <v>100</v>
      </c>
      <c r="Z100">
        <f>SQRT(($M$100-$M$98)^2+($N$100-$N$98)^2)</f>
        <v>200</v>
      </c>
      <c r="AA100">
        <f>_xlfn.XLOOKUP($G100,magnet_list!$A$2:$A$592,magnet_list!$AJ$2:$AJ$592,"n/a",0,1)</f>
        <v>0.14724799999999999</v>
      </c>
      <c r="AB100">
        <f>_xlfn.XLOOKUP($G100,magnet_list!$A$2:$A$592,magnet_list!$L$2:$L$592,"n/a",0,1)</f>
        <v>40</v>
      </c>
    </row>
    <row r="101" spans="1:28">
      <c r="A101" t="s">
        <v>798</v>
      </c>
      <c r="B101" t="s">
        <v>3810</v>
      </c>
      <c r="C101" t="s">
        <v>805</v>
      </c>
      <c r="D101" t="s">
        <v>806</v>
      </c>
      <c r="E101" t="s">
        <v>804</v>
      </c>
      <c r="F101" t="s">
        <v>502</v>
      </c>
      <c r="G101" t="s">
        <v>502</v>
      </c>
      <c r="I101">
        <f>_xlfn.XLOOKUP($F101,設計座標!$E$13:$E$2301,設計座標!$G$13:$G$2301,"n/a",0,1)</f>
        <v>4.0545579202785484</v>
      </c>
      <c r="J101">
        <f>_xlfn.XLOOKUP($F101,設計座標!$E$13:$E$2301,設計座標!$H$13:$H$2301,"n/a",0,1)</f>
        <v>0</v>
      </c>
      <c r="K101">
        <f>_xlfn.XLOOKUP($F101,設計座標!$E$13:$E$2301,設計座標!$I$13:$I$2301,"n/a",0,1)</f>
        <v>-3188.08319656</v>
      </c>
      <c r="L101">
        <f>_xlfn.XLOOKUP($F101,設計座標!$E$13:$E$2301,設計座標!$J$13:$J$2301,"n/a",0,1)</f>
        <v>680</v>
      </c>
      <c r="M101" s="2">
        <f>_xlfn.XLOOKUP($F101,survey_data!$A$2:$A$833,survey_data!$B$2:$B$833,"n/a",0,1)</f>
        <v>0.30633096999999998</v>
      </c>
      <c r="N101" s="2">
        <f>_xlfn.XLOOKUP($F101,survey_data!$A$2:$A$833,survey_data!$C$2:$C$833,"n/a",0,1)</f>
        <v>-3188.08319656</v>
      </c>
      <c r="O101" s="23">
        <f>_xlfn.XLOOKUP($F101,survey_data!$A$2:$A$833,survey_data!$D$2:$D$833,"n/a",0,1)</f>
        <v>679.78925936999997</v>
      </c>
      <c r="P101" s="1">
        <f t="shared" si="72"/>
        <v>680.11718343125972</v>
      </c>
      <c r="Q101" s="1">
        <f t="shared" ref="Q101" si="89">$M101-$J101</f>
        <v>0.30633096999999998</v>
      </c>
      <c r="R101">
        <f t="shared" ref="R101:R104" si="90">$N101-$K101</f>
        <v>0</v>
      </c>
      <c r="S101" s="23">
        <f t="shared" ref="S101" si="91">$O101-$L101</f>
        <v>-0.21074063000003207</v>
      </c>
      <c r="T101">
        <f>$S101+測地線補正!$Q$3*(lattice!$N101/1000)^3+測地線補正!$P$3*(lattice!$N101/1000)^2+測地線補正!$O$3*(lattice!$N101/1000)+測地線補正!$N$3</f>
        <v>0.11718343125975872</v>
      </c>
      <c r="U101">
        <v>0</v>
      </c>
      <c r="V101">
        <v>0</v>
      </c>
      <c r="W101">
        <v>0</v>
      </c>
      <c r="X101">
        <f>$Z$101-($Y$101+$Y$96)/2</f>
        <v>89.588174486074024</v>
      </c>
      <c r="Y101">
        <f>_xlfn.XLOOKUP($F101,設計座標!$E$13:$E$2301,設計座標!$L$13:$L$2301," ",0,1)</f>
        <v>50</v>
      </c>
      <c r="Z101">
        <f>SQRT(($M$101-$M$96)^2+($N$101-$N$96)^2)</f>
        <v>139.58817448607402</v>
      </c>
      <c r="AA101">
        <f>_xlfn.XLOOKUP($G101,magnet_list!$A$2:$A$592,magnet_list!$AJ$2:$AJ$592,"n/a",0,1)</f>
        <v>9.1811000000000004E-2</v>
      </c>
      <c r="AB101">
        <f>_xlfn.XLOOKUP($G101,magnet_list!$A$2:$A$592,magnet_list!$L$2:$L$592,"n/a",0,1)</f>
        <v>39</v>
      </c>
    </row>
    <row r="102" spans="1:28">
      <c r="A102" t="s">
        <v>798</v>
      </c>
      <c r="B102" t="s">
        <v>3810</v>
      </c>
      <c r="C102" t="s">
        <v>1152</v>
      </c>
      <c r="D102" t="s">
        <v>1152</v>
      </c>
      <c r="E102" t="s">
        <v>804</v>
      </c>
      <c r="F102" t="s">
        <v>1933</v>
      </c>
      <c r="G102" t="s">
        <v>1933</v>
      </c>
      <c r="I102">
        <f>_xlfn.XLOOKUP($F102,設計座標!$E$13:$E$2301,設計座標!$G$13:$G$2301,"n/a",0,1)</f>
        <v>4.2575549202785474</v>
      </c>
      <c r="J102">
        <f>_xlfn.XLOOKUP($F102,設計座標!$E$13:$E$2301,設計座標!$H$13:$H$2301,"n/a",0,1)</f>
        <v>0</v>
      </c>
      <c r="K102">
        <f>_xlfn.XLOOKUP($F102,設計座標!$E$13:$E$2301,設計座標!$I$13:$I$2301,"n/a",0,1)</f>
        <v>-2985.0861965600011</v>
      </c>
      <c r="L102">
        <f>_xlfn.XLOOKUP($F102,設計座標!$E$13:$E$2301,設計座標!$J$13:$J$2301,"n/a",0,1)</f>
        <v>480</v>
      </c>
      <c r="M102" s="2">
        <f t="shared" ref="M102" si="92">$J102+$Q102</f>
        <v>0.18756985055970191</v>
      </c>
      <c r="N102" s="2">
        <f>K102</f>
        <v>-2985.0861965600011</v>
      </c>
      <c r="O102" s="23">
        <f t="shared" ref="O102" si="93">$L102+$S102</f>
        <v>479.77266132880561</v>
      </c>
      <c r="P102" s="1">
        <f t="shared" si="72"/>
        <v>480.08107543024403</v>
      </c>
      <c r="Q102" s="1">
        <f>(Q$105-Q$101)/($N$105-$N$101)*($N102-$N$101)+Q$101</f>
        <v>0.18756985055970191</v>
      </c>
      <c r="R102">
        <f t="shared" si="90"/>
        <v>0</v>
      </c>
      <c r="S102" s="23">
        <f>(S$105-S$101)/($N$105-$N$101)*($N102-$N$101)+S$101</f>
        <v>-0.22733867119440149</v>
      </c>
      <c r="T102">
        <f>$S102+測地線補正!$Q$3*(lattice!$N102/1000)^3+測地線補正!$P$3*(lattice!$N102/1000)^2+測地線補正!$O$3*(lattice!$N102/1000)+測地線補正!$N$3</f>
        <v>8.1075430244045371E-2</v>
      </c>
      <c r="U102">
        <v>0</v>
      </c>
      <c r="V102">
        <v>0</v>
      </c>
      <c r="W102">
        <v>0</v>
      </c>
      <c r="X102">
        <f>$Z$102-($Y$102+$Y$101)/2</f>
        <v>177.99703473992682</v>
      </c>
      <c r="Y102">
        <f>_xlfn.XLOOKUP($F102,設計座標!$E$13:$E$2301,設計座標!$L$13:$L$2301," ",0,1)</f>
        <v>0</v>
      </c>
      <c r="Z102">
        <f>SQRT(($M$102-$M$101)^2+($N$102-$N$101)^2)</f>
        <v>202.99703473992682</v>
      </c>
    </row>
    <row r="103" spans="1:28">
      <c r="A103" t="s">
        <v>801</v>
      </c>
      <c r="B103" t="s">
        <v>3810</v>
      </c>
      <c r="C103" t="s">
        <v>805</v>
      </c>
      <c r="D103" t="s">
        <v>1152</v>
      </c>
      <c r="E103" t="s">
        <v>804</v>
      </c>
      <c r="F103" t="s">
        <v>1150</v>
      </c>
      <c r="G103" t="s">
        <v>2370</v>
      </c>
      <c r="I103">
        <f>_xlfn.XLOOKUP($F103,設計座標!$E$13:$E$2301,設計座標!$G$13:$G$2301,"n/a",0,1)</f>
        <v>5.0602821000000002</v>
      </c>
      <c r="J103">
        <f>_xlfn.XLOOKUP($F103,設計座標!$E$13:$E$2301,設計座標!$H$13:$H$2301,"n/a",0,1)</f>
        <v>0</v>
      </c>
      <c r="K103">
        <f>_xlfn.XLOOKUP($F103,設計座標!$E$13:$E$2301,設計座標!$I$13:$I$2301,"n/a",0,1)</f>
        <v>-2340.4588999999996</v>
      </c>
      <c r="L103">
        <f>_xlfn.XLOOKUP($F103,設計座標!$E$13:$E$2301,設計座標!$J$13:$J$2301,"n/a",0,1)</f>
        <v>-95</v>
      </c>
      <c r="M103" s="2">
        <f t="shared" ref="M103:M104" si="94">J103</f>
        <v>0</v>
      </c>
      <c r="N103" s="2">
        <f>K103</f>
        <v>-2340.4588999999996</v>
      </c>
      <c r="O103" s="23">
        <f>L103</f>
        <v>-95</v>
      </c>
      <c r="P103" s="1">
        <f t="shared" si="72"/>
        <v>-94.753209560385955</v>
      </c>
      <c r="Q103" s="1">
        <f t="shared" ref="Q103:Q104" si="95">$N103-$K103</f>
        <v>0</v>
      </c>
      <c r="R103">
        <f t="shared" si="90"/>
        <v>0</v>
      </c>
      <c r="S103" s="23">
        <f t="shared" ref="S103:S104" si="96">$O103-$L103</f>
        <v>0</v>
      </c>
      <c r="T103">
        <f>$S103+測地線補正!$Q$3*(lattice!$N103/1000)^3+測地線補正!$P$3*(lattice!$N103/1000)^2+測地線補正!$O$3*(lattice!$N103/1000)+測地線補正!$N$3</f>
        <v>0.24679043961403904</v>
      </c>
      <c r="U103">
        <v>0</v>
      </c>
      <c r="V103">
        <v>0</v>
      </c>
      <c r="W103">
        <v>0</v>
      </c>
      <c r="X103">
        <f>$Z$103-($Y$103+$Y$100)/2</f>
        <v>400</v>
      </c>
      <c r="Y103">
        <f>_xlfn.XLOOKUP($F103,設計座標!$E$13:$E$2301,設計座標!$L$13:$L$2301," ",0,1)</f>
        <v>100</v>
      </c>
      <c r="Z103">
        <f>SQRT(($M$103-$M$100)^2+($N$103-$N$100)^2)</f>
        <v>500</v>
      </c>
      <c r="AA103">
        <f>_xlfn.XLOOKUP($G103,magnet_list!$A$2:$A$592,magnet_list!$AJ$2:$AJ$592,"n/a",0,1)</f>
        <v>0.14724799999999999</v>
      </c>
      <c r="AB103">
        <f>_xlfn.XLOOKUP($G103,magnet_list!$A$2:$A$592,magnet_list!$L$2:$L$592,"n/a",0,1)</f>
        <v>40</v>
      </c>
    </row>
    <row r="104" spans="1:28">
      <c r="A104" t="s">
        <v>801</v>
      </c>
      <c r="B104" t="s">
        <v>3810</v>
      </c>
      <c r="C104" t="s">
        <v>805</v>
      </c>
      <c r="D104" t="s">
        <v>1152</v>
      </c>
      <c r="E104" t="s">
        <v>804</v>
      </c>
      <c r="F104" t="s">
        <v>1151</v>
      </c>
      <c r="G104" t="s">
        <v>2371</v>
      </c>
      <c r="I104">
        <f>_xlfn.XLOOKUP($F104,設計座標!$E$13:$E$2301,設計座標!$G$13:$G$2301,"n/a",0,1)</f>
        <v>5.4277980999999995</v>
      </c>
      <c r="J104">
        <f>_xlfn.XLOOKUP($F104,設計座標!$E$13:$E$2301,設計座標!$H$13:$H$2301,"n/a",0,1)</f>
        <v>0</v>
      </c>
      <c r="K104">
        <f>_xlfn.XLOOKUP($F104,設計座標!$E$13:$E$2301,設計座標!$I$13:$I$2301,"n/a",0,1)</f>
        <v>-1972.9429</v>
      </c>
      <c r="L104">
        <f>_xlfn.XLOOKUP($F104,設計座標!$E$13:$E$2301,設計座標!$J$13:$J$2301,"n/a",0,1)</f>
        <v>-220</v>
      </c>
      <c r="M104" s="2">
        <f t="shared" si="94"/>
        <v>0</v>
      </c>
      <c r="N104" s="2">
        <f>K104</f>
        <v>-1972.9429</v>
      </c>
      <c r="O104" s="23">
        <f>L104</f>
        <v>-220</v>
      </c>
      <c r="P104" s="1">
        <f t="shared" si="72"/>
        <v>-219.78811894067746</v>
      </c>
      <c r="Q104" s="1">
        <f t="shared" si="95"/>
        <v>0</v>
      </c>
      <c r="R104">
        <f t="shared" si="90"/>
        <v>0</v>
      </c>
      <c r="S104" s="23">
        <f t="shared" si="96"/>
        <v>0</v>
      </c>
      <c r="T104">
        <f>$S104+測地線補正!$Q$3*(lattice!$N104/1000)^3+測地線補正!$P$3*(lattice!$N104/1000)^2+測地線補正!$O$3*(lattice!$N104/1000)+測地線補正!$N$3</f>
        <v>0.21188105932254658</v>
      </c>
      <c r="U104">
        <v>0</v>
      </c>
      <c r="V104">
        <v>0</v>
      </c>
      <c r="W104">
        <v>0</v>
      </c>
      <c r="X104">
        <f>$Z$104-($Y$104+$Y$103)/2</f>
        <v>267.51599999999962</v>
      </c>
      <c r="Y104">
        <f>_xlfn.XLOOKUP($F104,設計座標!$E$13:$E$2301,設計座標!$L$13:$L$2301," ",0,1)</f>
        <v>100</v>
      </c>
      <c r="Z104">
        <f>SQRT(($M$104-$M$103)^2+($N$104-$N$103)^2)</f>
        <v>367.51599999999962</v>
      </c>
      <c r="AA104">
        <f>_xlfn.XLOOKUP($G104,magnet_list!$A$2:$A$592,magnet_list!$AJ$2:$AJ$592,"n/a",0,1)</f>
        <v>0.12551300000000001</v>
      </c>
      <c r="AB104">
        <f>_xlfn.XLOOKUP($G104,magnet_list!$A$2:$A$592,magnet_list!$L$2:$L$592,"n/a",0,1)</f>
        <v>30</v>
      </c>
    </row>
    <row r="105" spans="1:28">
      <c r="A105" t="s">
        <v>798</v>
      </c>
      <c r="B105" t="s">
        <v>3810</v>
      </c>
      <c r="C105" t="s">
        <v>805</v>
      </c>
      <c r="D105" t="s">
        <v>806</v>
      </c>
      <c r="F105" t="s">
        <v>503</v>
      </c>
      <c r="G105" t="s">
        <v>2372</v>
      </c>
      <c r="I105">
        <f>_xlfn.XLOOKUP($F105,設計座標!$E$13:$E$2301,設計座標!$G$13:$G$2301,"n/a",0,1)</f>
        <v>4.5630597403585487</v>
      </c>
      <c r="J105">
        <f>_xlfn.XLOOKUP($F105,設計座標!$E$13:$E$2301,設計座標!$H$13:$H$2301,"n/a",0,1)</f>
        <v>-170</v>
      </c>
      <c r="K105">
        <f>_xlfn.XLOOKUP($F105,設計座標!$E$13:$E$2301,設計座標!$I$13:$I$2301,"n/a",0,1)</f>
        <v>-2679.58137648</v>
      </c>
      <c r="L105">
        <f>_xlfn.XLOOKUP($F105,設計座標!$E$13:$E$2301,設計座標!$J$13:$J$2301,"n/a",0,1)</f>
        <v>480</v>
      </c>
      <c r="M105" s="2">
        <f>_xlfn.XLOOKUP($F105,survey_data!$A$2:$A$833,survey_data!$B$2:$B$833,"n/a",0,1)</f>
        <v>-169.99116232</v>
      </c>
      <c r="N105" s="2">
        <f>_xlfn.XLOOKUP($F105,survey_data!$A$2:$A$833,survey_data!$C$2:$C$833,"n/a",0,1)</f>
        <v>-2679.58137648</v>
      </c>
      <c r="O105" s="23">
        <f>_xlfn.XLOOKUP($F105,survey_data!$A$2:$A$833,survey_data!$D$2:$D$833,"n/a",0,1)</f>
        <v>479.74768174000002</v>
      </c>
      <c r="P105" s="1">
        <f t="shared" si="72"/>
        <v>480.02682828179417</v>
      </c>
      <c r="Q105" s="1">
        <f t="shared" ref="Q105:Q157" si="97">$M105-$J105</f>
        <v>8.8376799999991817E-3</v>
      </c>
      <c r="R105">
        <f t="shared" ref="R105:R168" si="98">$N105-$K105</f>
        <v>0</v>
      </c>
      <c r="S105" s="23">
        <f t="shared" ref="S105:S157" si="99">$O105-$L105</f>
        <v>-0.25231825999998136</v>
      </c>
      <c r="T105">
        <f>$S105+測地線補正!$Q$3*(lattice!$N105/1000)^3+測地線補正!$P$3*(lattice!$N105/1000)^2+測地線補正!$O$3*(lattice!$N105/1000)+測地線補正!$N$3</f>
        <v>2.6828281794174905E-2</v>
      </c>
      <c r="U105">
        <f>ATAN(($P$112-$P$105)/ABS($N$112-$N$105))</f>
        <v>1.3787876939915479E-4</v>
      </c>
      <c r="V105">
        <v>0</v>
      </c>
      <c r="W105">
        <f>-ATAN(($M$112-$M$105)/ABS($N$112-$N$105))</f>
        <v>2.7665949954248806E-4</v>
      </c>
      <c r="X105">
        <f t="shared" ref="X105:X108" si="100">$Z$109-($Y$109+$Y$102)/2</f>
        <v>274.51242648883652</v>
      </c>
      <c r="Y105">
        <f>_xlfn.XLOOKUP($F105,設計座標!$E$13:$E$2301,設計座標!$L$13:$L$2301," ",0,1)</f>
        <v>162</v>
      </c>
      <c r="Z105">
        <f t="shared" ref="Z105:Z108" si="101">SQRT(($M$109-$M$102)^2+($N$109-$N$102)^2)</f>
        <v>355.51242648883652</v>
      </c>
      <c r="AA105">
        <f>_xlfn.XLOOKUP($G105,magnet_list!$A$2:$A$592,magnet_list!$AJ$2:$AJ$592,"n/a",0,1)</f>
        <v>0.1963</v>
      </c>
      <c r="AB105">
        <f>_xlfn.XLOOKUP($G105,magnet_list!$A$2:$A$592,magnet_list!$L$2:$L$592,"n/a",0,1)</f>
        <v>25</v>
      </c>
    </row>
    <row r="106" spans="1:28">
      <c r="A106" t="s">
        <v>798</v>
      </c>
      <c r="B106" t="s">
        <v>3810</v>
      </c>
      <c r="C106" t="s">
        <v>805</v>
      </c>
      <c r="D106" t="s">
        <v>806</v>
      </c>
      <c r="F106" t="s">
        <v>504</v>
      </c>
      <c r="G106" t="s">
        <v>2372</v>
      </c>
      <c r="I106">
        <f>_xlfn.XLOOKUP($F106,設計座標!$E$13:$E$2301,設計座標!$G$13:$G$2301,"n/a",0,1)</f>
        <v>4.6130673002685487</v>
      </c>
      <c r="J106">
        <f>_xlfn.XLOOKUP($F106,設計座標!$E$13:$E$2301,設計座標!$H$13:$H$2301,"n/a",0,1)</f>
        <v>-170</v>
      </c>
      <c r="K106">
        <f>_xlfn.XLOOKUP($F106,設計座標!$E$13:$E$2301,設計座標!$I$13:$I$2301,"n/a",0,1)</f>
        <v>-2670.2508046500002</v>
      </c>
      <c r="L106">
        <f>_xlfn.XLOOKUP($F106,設計座標!$E$13:$E$2301,設計座標!$J$13:$J$2301,"n/a",0,1)</f>
        <v>388.65</v>
      </c>
      <c r="M106" s="2">
        <f>_xlfn.XLOOKUP($F106,survey_data!$A$2:$A$833,survey_data!$B$2:$B$833,"n/a",0,1)</f>
        <v>-169.92916613</v>
      </c>
      <c r="N106" s="2">
        <f>_xlfn.XLOOKUP($F106,survey_data!$A$2:$A$833,survey_data!$C$2:$C$833,"n/a",0,1)</f>
        <v>-2670.2508046500002</v>
      </c>
      <c r="O106" s="23">
        <f>_xlfn.XLOOKUP($F106,survey_data!$A$2:$A$833,survey_data!$D$2:$D$833,"n/a",0,1)</f>
        <v>388.37066396</v>
      </c>
      <c r="P106" s="1">
        <f t="shared" si="72"/>
        <v>388.64891840544976</v>
      </c>
      <c r="Q106" s="1">
        <f t="shared" si="97"/>
        <v>7.0833870000001298E-2</v>
      </c>
      <c r="R106">
        <f t="shared" si="98"/>
        <v>0</v>
      </c>
      <c r="S106" s="23">
        <f t="shared" si="99"/>
        <v>-0.27933603999997558</v>
      </c>
      <c r="T106">
        <f>$S106+測地線補正!$Q$3*(lattice!$N106/1000)^3+測地線補正!$P$3*(lattice!$N106/1000)^2+測地線補正!$O$3*(lattice!$N106/1000)+測地線補正!$N$3</f>
        <v>-1.0815945502325695E-3</v>
      </c>
      <c r="U106">
        <f t="shared" ref="U106:U112" si="102">ATAN(($P$112-$P$105)/ABS($N$112-$N$105))</f>
        <v>1.3787876939915479E-4</v>
      </c>
      <c r="V106">
        <v>0</v>
      </c>
      <c r="W106">
        <f t="shared" ref="W106:W112" si="103">-ATAN(($M$112-$M$105)/ABS($N$112-$N$105))</f>
        <v>2.7665949954248806E-4</v>
      </c>
      <c r="X106">
        <f t="shared" si="100"/>
        <v>274.51242648883652</v>
      </c>
      <c r="Y106">
        <f>_xlfn.XLOOKUP($F106,設計座標!$E$13:$E$2301,設計座標!$L$13:$L$2301," ",0,1)</f>
        <v>162</v>
      </c>
      <c r="Z106">
        <f t="shared" si="101"/>
        <v>355.51242648883652</v>
      </c>
      <c r="AA106">
        <f>_xlfn.XLOOKUP($G106,magnet_list!$A$2:$A$592,magnet_list!$AJ$2:$AJ$592,"n/a",0,1)</f>
        <v>0.1963</v>
      </c>
      <c r="AB106">
        <f>_xlfn.XLOOKUP($G106,magnet_list!$A$2:$A$592,magnet_list!$L$2:$L$592,"n/a",0,1)</f>
        <v>25</v>
      </c>
    </row>
    <row r="107" spans="1:28">
      <c r="A107" t="s">
        <v>798</v>
      </c>
      <c r="B107" t="s">
        <v>3810</v>
      </c>
      <c r="C107" t="s">
        <v>805</v>
      </c>
      <c r="D107" t="s">
        <v>806</v>
      </c>
      <c r="F107" t="s">
        <v>505</v>
      </c>
      <c r="G107" t="s">
        <v>2372</v>
      </c>
      <c r="I107">
        <f>_xlfn.XLOOKUP($F107,設計座標!$E$13:$E$2301,設計座標!$G$13:$G$2301,"n/a",0,1)</f>
        <v>4.6130673002685487</v>
      </c>
      <c r="J107">
        <f>_xlfn.XLOOKUP($F107,設計座標!$E$13:$E$2301,設計座標!$H$13:$H$2301,"n/a",0,1)</f>
        <v>-170</v>
      </c>
      <c r="K107">
        <f>_xlfn.XLOOKUP($F107,設計座標!$E$13:$E$2301,設計座標!$I$13:$I$2301,"n/a",0,1)</f>
        <v>-2629.5959852999999</v>
      </c>
      <c r="L107">
        <f>_xlfn.XLOOKUP($F107,設計座標!$E$13:$E$2301,設計座標!$J$13:$J$2301,"n/a",0,1)</f>
        <v>380</v>
      </c>
      <c r="M107" s="2">
        <f>_xlfn.XLOOKUP($F107,survey_data!$A$2:$A$833,survey_data!$B$2:$B$833,"n/a",0,1)</f>
        <v>-169.93393741</v>
      </c>
      <c r="N107" s="2">
        <f>_xlfn.XLOOKUP($F107,survey_data!$A$2:$A$833,survey_data!$C$2:$C$833,"n/a",0,1)</f>
        <v>-2629.5959852999999</v>
      </c>
      <c r="O107" s="23">
        <f>_xlfn.XLOOKUP($F107,survey_data!$A$2:$A$833,survey_data!$D$2:$D$833,"n/a",0,1)</f>
        <v>379.71876093999998</v>
      </c>
      <c r="P107" s="1">
        <f t="shared" si="72"/>
        <v>379.99312960386129</v>
      </c>
      <c r="Q107" s="1">
        <f t="shared" si="97"/>
        <v>6.6062590000001364E-2</v>
      </c>
      <c r="R107">
        <f t="shared" si="98"/>
        <v>0</v>
      </c>
      <c r="S107" s="23">
        <f t="shared" si="99"/>
        <v>-0.28123906000001853</v>
      </c>
      <c r="T107">
        <f>$S107+測地線補正!$Q$3*(lattice!$N107/1000)^3+測地線補正!$P$3*(lattice!$N107/1000)^2+測地線補正!$O$3*(lattice!$N107/1000)+測地線補正!$N$3</f>
        <v>-6.8703961387263611E-3</v>
      </c>
      <c r="U107">
        <f t="shared" si="102"/>
        <v>1.3787876939915479E-4</v>
      </c>
      <c r="V107">
        <v>0</v>
      </c>
      <c r="W107">
        <f t="shared" si="103"/>
        <v>2.7665949954248806E-4</v>
      </c>
      <c r="X107">
        <f t="shared" si="100"/>
        <v>274.51242648883652</v>
      </c>
      <c r="Y107">
        <f>_xlfn.XLOOKUP($F107,設計座標!$E$13:$E$2301,設計座標!$L$13:$L$2301," ",0,1)</f>
        <v>162</v>
      </c>
      <c r="Z107">
        <f t="shared" si="101"/>
        <v>355.51242648883652</v>
      </c>
      <c r="AA107">
        <f>_xlfn.XLOOKUP($G107,magnet_list!$A$2:$A$592,magnet_list!$AJ$2:$AJ$592,"n/a",0,1)</f>
        <v>0.1963</v>
      </c>
      <c r="AB107">
        <f>_xlfn.XLOOKUP($G107,magnet_list!$A$2:$A$592,magnet_list!$L$2:$L$592,"n/a",0,1)</f>
        <v>25</v>
      </c>
    </row>
    <row r="108" spans="1:28">
      <c r="A108" t="s">
        <v>798</v>
      </c>
      <c r="B108" t="s">
        <v>3810</v>
      </c>
      <c r="C108" t="s">
        <v>805</v>
      </c>
      <c r="D108" t="s">
        <v>806</v>
      </c>
      <c r="F108" t="s">
        <v>506</v>
      </c>
      <c r="G108" t="s">
        <v>2372</v>
      </c>
      <c r="I108">
        <f>_xlfn.XLOOKUP($F108,設計座標!$E$13:$E$2301,設計座標!$G$13:$G$2301,"n/a",0,1)</f>
        <v>4.6130673002685487</v>
      </c>
      <c r="J108">
        <f>_xlfn.XLOOKUP($F108,設計座標!$E$13:$E$2301,設計座標!$H$13:$H$2301,"n/a",0,1)</f>
        <v>-170</v>
      </c>
      <c r="K108">
        <f>_xlfn.XLOOKUP($F108,設計座標!$E$13:$E$2301,設計座標!$I$13:$I$2301,"n/a",0,1)</f>
        <v>-2629.57381657</v>
      </c>
      <c r="L108">
        <f>_xlfn.XLOOKUP($F108,設計座標!$E$13:$E$2301,設計座標!$J$13:$J$2301,"n/a",0,1)</f>
        <v>480</v>
      </c>
      <c r="M108" s="2">
        <f>_xlfn.XLOOKUP($F108,survey_data!$A$2:$A$833,survey_data!$B$2:$B$833,"n/a",0,1)</f>
        <v>-169.99425926000001</v>
      </c>
      <c r="N108" s="2">
        <f>_xlfn.XLOOKUP($F108,survey_data!$A$2:$A$833,survey_data!$C$2:$C$833,"n/a",0,1)</f>
        <v>-2629.57381657</v>
      </c>
      <c r="O108" s="23">
        <f>_xlfn.XLOOKUP($F108,survey_data!$A$2:$A$833,survey_data!$D$2:$D$833,"n/a",0,1)</f>
        <v>479.75666877999998</v>
      </c>
      <c r="P108" s="1">
        <f t="shared" si="72"/>
        <v>480.03103532552177</v>
      </c>
      <c r="Q108" s="1">
        <f t="shared" si="97"/>
        <v>5.7407399999931386E-3</v>
      </c>
      <c r="R108">
        <f t="shared" si="98"/>
        <v>0</v>
      </c>
      <c r="S108" s="23">
        <f t="shared" si="99"/>
        <v>-0.24333122000001595</v>
      </c>
      <c r="T108">
        <f>$S108+測地線補正!$Q$3*(lattice!$N108/1000)^3+測地線補正!$P$3*(lattice!$N108/1000)^2+測地線補正!$O$3*(lattice!$N108/1000)+測地線補正!$N$3</f>
        <v>3.1035325521785815E-2</v>
      </c>
      <c r="U108">
        <f t="shared" si="102"/>
        <v>1.3787876939915479E-4</v>
      </c>
      <c r="V108">
        <v>0</v>
      </c>
      <c r="W108">
        <f t="shared" si="103"/>
        <v>2.7665949954248806E-4</v>
      </c>
      <c r="X108">
        <f t="shared" si="100"/>
        <v>274.51242648883652</v>
      </c>
      <c r="Y108">
        <f>_xlfn.XLOOKUP($F108,設計座標!$E$13:$E$2301,設計座標!$L$13:$L$2301," ",0,1)</f>
        <v>162</v>
      </c>
      <c r="Z108">
        <f t="shared" si="101"/>
        <v>355.51242648883652</v>
      </c>
      <c r="AA108">
        <f>_xlfn.XLOOKUP($G108,magnet_list!$A$2:$A$592,magnet_list!$AJ$2:$AJ$592,"n/a",0,1)</f>
        <v>0.1963</v>
      </c>
      <c r="AB108">
        <f>_xlfn.XLOOKUP($G108,magnet_list!$A$2:$A$592,magnet_list!$L$2:$L$592,"n/a",0,1)</f>
        <v>25</v>
      </c>
    </row>
    <row r="109" spans="1:28">
      <c r="A109" t="s">
        <v>798</v>
      </c>
      <c r="B109" t="s">
        <v>3810</v>
      </c>
      <c r="C109" t="s">
        <v>805</v>
      </c>
      <c r="D109" t="s">
        <v>1152</v>
      </c>
      <c r="E109" t="s">
        <v>804</v>
      </c>
      <c r="F109" t="s">
        <v>1386</v>
      </c>
      <c r="G109" t="s">
        <v>2372</v>
      </c>
      <c r="I109">
        <f>_xlfn.XLOOKUP($F109,設計座標!$E$13:$E$2301,設計座標!$G$13:$G$2301,"n/a",0,1)</f>
        <v>4.6130673002685487</v>
      </c>
      <c r="J109">
        <f>_xlfn.XLOOKUP($F109,設計座標!$E$13:$E$2301,設計座標!$H$13:$H$2301,"n/a",0,1)</f>
        <v>0</v>
      </c>
      <c r="K109">
        <f>_xlfn.XLOOKUP($F109,設計座標!$E$13:$E$2301,設計座標!$I$13:$I$2301,"n/a",0,1)</f>
        <v>-2629.57381657</v>
      </c>
      <c r="L109">
        <f>_xlfn.XLOOKUP($F109,設計座標!$E$13:$E$2301,設計座標!$J$13:$J$2301,"n/a",0,1)</f>
        <v>480</v>
      </c>
      <c r="M109" s="2">
        <f t="shared" ref="M109" si="104">$J109+$Q109</f>
        <v>5.7407399999931386E-3</v>
      </c>
      <c r="N109" s="2">
        <f>K109</f>
        <v>-2629.57381657</v>
      </c>
      <c r="O109" s="23">
        <f t="shared" ref="O109" si="105">$L109+$S109</f>
        <v>479.75666877999998</v>
      </c>
      <c r="P109" s="1">
        <f t="shared" si="72"/>
        <v>480.03103532552177</v>
      </c>
      <c r="Q109" s="1">
        <f>(Q$110-Q$108)/($N$110-$N$108)*($N109-$N$108)+Q$108</f>
        <v>5.7407399999931386E-3</v>
      </c>
      <c r="R109">
        <f t="shared" si="98"/>
        <v>0</v>
      </c>
      <c r="S109" s="23">
        <f>(S$110-S$108)/($N$110-$N$108)*($N109-$N$108)+S$108</f>
        <v>-0.24333122000001595</v>
      </c>
      <c r="T109">
        <f>$S109+測地線補正!$Q$3*(lattice!$N109/1000)^3+測地線補正!$P$3*(lattice!$N109/1000)^2+測地線補正!$O$3*(lattice!$N109/1000)+測地線補正!$N$3</f>
        <v>3.1035325521785815E-2</v>
      </c>
      <c r="U109">
        <f t="shared" si="102"/>
        <v>1.3787876939915479E-4</v>
      </c>
      <c r="V109">
        <v>0</v>
      </c>
      <c r="W109">
        <f t="shared" si="103"/>
        <v>2.7665949954248806E-4</v>
      </c>
      <c r="X109">
        <f>$Z$109-($Y$109+$Y$102)/2</f>
        <v>274.51242648883652</v>
      </c>
      <c r="Y109">
        <f>_xlfn.XLOOKUP($F109,設計座標!$E$13:$E$2301,設計座標!$L$13:$L$2301," ",0,1)</f>
        <v>162</v>
      </c>
      <c r="Z109">
        <f>SQRT(($M$109-$M$102)^2+($N$109-$N$102)^2)</f>
        <v>355.51242648883652</v>
      </c>
      <c r="AA109">
        <f>_xlfn.XLOOKUP($G109,magnet_list!$A$2:$A$592,magnet_list!$AJ$2:$AJ$592,"n/a",0,1)</f>
        <v>0.1963</v>
      </c>
      <c r="AB109">
        <f>_xlfn.XLOOKUP($G109,magnet_list!$A$2:$A$592,magnet_list!$L$2:$L$592,"n/a",0,1)</f>
        <v>25</v>
      </c>
    </row>
    <row r="110" spans="1:28">
      <c r="A110" t="s">
        <v>798</v>
      </c>
      <c r="B110" t="s">
        <v>3810</v>
      </c>
      <c r="C110" t="s">
        <v>805</v>
      </c>
      <c r="D110" t="s">
        <v>806</v>
      </c>
      <c r="F110" t="s">
        <v>507</v>
      </c>
      <c r="G110" t="s">
        <v>2372</v>
      </c>
      <c r="I110">
        <f>_xlfn.XLOOKUP($F110,設計座標!$E$13:$E$2301,設計座標!$G$13:$G$2301,"n/a",0,1)</f>
        <v>4.6130673002685487</v>
      </c>
      <c r="J110">
        <f>_xlfn.XLOOKUP($F110,設計座標!$E$13:$E$2301,設計座標!$H$13:$H$2301,"n/a",0,1)</f>
        <v>-170</v>
      </c>
      <c r="K110">
        <f>_xlfn.XLOOKUP($F110,設計座標!$E$13:$E$2301,設計座標!$I$13:$I$2301,"n/a",0,1)</f>
        <v>-2629.5688501599998</v>
      </c>
      <c r="L110">
        <f>_xlfn.XLOOKUP($F110,設計座標!$E$13:$E$2301,設計座標!$J$13:$J$2301,"n/a",0,1)</f>
        <v>580</v>
      </c>
      <c r="M110" s="2">
        <f>_xlfn.XLOOKUP($F110,survey_data!$A$2:$A$833,survey_data!$B$2:$B$833,"n/a",0,1)</f>
        <v>-170.03051065</v>
      </c>
      <c r="N110" s="2">
        <f>_xlfn.XLOOKUP($F110,survey_data!$A$2:$A$833,survey_data!$C$2:$C$833,"n/a",0,1)</f>
        <v>-2629.5688501599998</v>
      </c>
      <c r="O110" s="23">
        <f>_xlfn.XLOOKUP($F110,survey_data!$A$2:$A$833,survey_data!$D$2:$D$833,"n/a",0,1)</f>
        <v>579.77422106999995</v>
      </c>
      <c r="P110" s="1">
        <f t="shared" si="72"/>
        <v>580.04858714095508</v>
      </c>
      <c r="Q110" s="1">
        <f t="shared" si="97"/>
        <v>-3.0510649999996531E-2</v>
      </c>
      <c r="R110">
        <f t="shared" si="98"/>
        <v>0</v>
      </c>
      <c r="S110" s="23">
        <f t="shared" si="99"/>
        <v>-0.22577893000004678</v>
      </c>
      <c r="T110">
        <f>$S110+測地線補正!$Q$3*(lattice!$N110/1000)^3+測地線補正!$P$3*(lattice!$N110/1000)^2+測地線補正!$O$3*(lattice!$N110/1000)+測地線補正!$N$3</f>
        <v>4.8587140955073604E-2</v>
      </c>
      <c r="U110">
        <f t="shared" si="102"/>
        <v>1.3787876939915479E-4</v>
      </c>
      <c r="V110">
        <v>0</v>
      </c>
      <c r="W110">
        <f t="shared" si="103"/>
        <v>2.7665949954248806E-4</v>
      </c>
      <c r="X110">
        <f t="shared" ref="X110:X112" si="106">$Z$109-($Y$109+$Y$102)/2</f>
        <v>274.51242648883652</v>
      </c>
      <c r="Y110">
        <f>_xlfn.XLOOKUP($F110,設計座標!$E$13:$E$2301,設計座標!$L$13:$L$2301," ",0,1)</f>
        <v>162</v>
      </c>
      <c r="Z110">
        <f t="shared" ref="Z110:Z112" si="107">SQRT(($M$109-$M$102)^2+($N$109-$N$102)^2)</f>
        <v>355.51242648883652</v>
      </c>
      <c r="AA110">
        <f>_xlfn.XLOOKUP($G110,magnet_list!$A$2:$A$592,magnet_list!$AJ$2:$AJ$592,"n/a",0,1)</f>
        <v>0.1963</v>
      </c>
      <c r="AB110">
        <f>_xlfn.XLOOKUP($G110,magnet_list!$A$2:$A$592,magnet_list!$L$2:$L$592,"n/a",0,1)</f>
        <v>25</v>
      </c>
    </row>
    <row r="111" spans="1:28">
      <c r="A111" t="s">
        <v>798</v>
      </c>
      <c r="B111" t="s">
        <v>3810</v>
      </c>
      <c r="C111" t="s">
        <v>805</v>
      </c>
      <c r="D111" t="s">
        <v>806</v>
      </c>
      <c r="F111" t="s">
        <v>508</v>
      </c>
      <c r="G111" t="s">
        <v>2372</v>
      </c>
      <c r="I111">
        <f>_xlfn.XLOOKUP($F111,設計座標!$E$13:$E$2301,設計座標!$G$13:$G$2301,"n/a",0,1)</f>
        <v>4.6130673002685487</v>
      </c>
      <c r="J111">
        <f>_xlfn.XLOOKUP($F111,設計座標!$E$13:$E$2301,設計座標!$H$13:$H$2301,"n/a",0,1)</f>
        <v>-170</v>
      </c>
      <c r="K111">
        <f>_xlfn.XLOOKUP($F111,設計座標!$E$13:$E$2301,設計座標!$I$13:$I$2301,"n/a",0,1)</f>
        <v>-2588.8946322900001</v>
      </c>
      <c r="L111">
        <f>_xlfn.XLOOKUP($F111,設計座標!$E$13:$E$2301,設計座標!$J$13:$J$2301,"n/a",0,1)</f>
        <v>571.35</v>
      </c>
      <c r="M111" s="2">
        <f>_xlfn.XLOOKUP($F111,survey_data!$A$2:$A$833,survey_data!$B$2:$B$833,"n/a",0,1)</f>
        <v>-170.02576715000001</v>
      </c>
      <c r="N111" s="2">
        <f>_xlfn.XLOOKUP($F111,survey_data!$A$2:$A$833,survey_data!$C$2:$C$833,"n/a",0,1)</f>
        <v>-2588.8946322900001</v>
      </c>
      <c r="O111" s="23">
        <f>_xlfn.XLOOKUP($F111,survey_data!$A$2:$A$833,survey_data!$D$2:$D$833,"n/a",0,1)</f>
        <v>571.12443168000004</v>
      </c>
      <c r="P111" s="1">
        <f t="shared" si="72"/>
        <v>571.39491211320171</v>
      </c>
      <c r="Q111" s="1">
        <f t="shared" si="97"/>
        <v>-2.5767150000007177E-2</v>
      </c>
      <c r="R111">
        <f t="shared" si="98"/>
        <v>0</v>
      </c>
      <c r="S111" s="23">
        <f t="shared" si="99"/>
        <v>-0.22556831999997939</v>
      </c>
      <c r="T111">
        <f>$S111+測地線補正!$Q$3*(lattice!$N111/1000)^3+測地線補正!$P$3*(lattice!$N111/1000)^2+測地線補正!$O$3*(lattice!$N111/1000)+測地線補正!$N$3</f>
        <v>4.4912113201669129E-2</v>
      </c>
      <c r="U111">
        <f t="shared" si="102"/>
        <v>1.3787876939915479E-4</v>
      </c>
      <c r="V111">
        <v>0</v>
      </c>
      <c r="W111">
        <f t="shared" si="103"/>
        <v>2.7665949954248806E-4</v>
      </c>
      <c r="X111">
        <f t="shared" si="106"/>
        <v>274.51242648883652</v>
      </c>
      <c r="Y111">
        <f>_xlfn.XLOOKUP($F111,設計座標!$E$13:$E$2301,設計座標!$L$13:$L$2301," ",0,1)</f>
        <v>162</v>
      </c>
      <c r="Z111">
        <f t="shared" si="107"/>
        <v>355.51242648883652</v>
      </c>
      <c r="AA111">
        <f>_xlfn.XLOOKUP($G111,magnet_list!$A$2:$A$592,magnet_list!$AJ$2:$AJ$592,"n/a",0,1)</f>
        <v>0.1963</v>
      </c>
      <c r="AB111">
        <f>_xlfn.XLOOKUP($G111,magnet_list!$A$2:$A$592,magnet_list!$L$2:$L$592,"n/a",0,1)</f>
        <v>25</v>
      </c>
    </row>
    <row r="112" spans="1:28">
      <c r="A112" t="s">
        <v>798</v>
      </c>
      <c r="B112" t="s">
        <v>3810</v>
      </c>
      <c r="C112" t="s">
        <v>805</v>
      </c>
      <c r="D112" t="s">
        <v>806</v>
      </c>
      <c r="F112" t="s">
        <v>509</v>
      </c>
      <c r="G112" t="s">
        <v>2372</v>
      </c>
      <c r="I112">
        <f>_xlfn.XLOOKUP($F112,設計座標!$E$13:$E$2301,設計座標!$G$13:$G$2301,"n/a",0,1)</f>
        <v>4.6630728226485489</v>
      </c>
      <c r="J112">
        <f>_xlfn.XLOOKUP($F112,設計座標!$E$13:$E$2301,設計座標!$H$13:$H$2301,"n/a",0,1)</f>
        <v>-170</v>
      </c>
      <c r="K112">
        <f>_xlfn.XLOOKUP($F112,設計座標!$E$13:$E$2301,設計座標!$I$13:$I$2301,"n/a",0,1)</f>
        <v>-2579.56829419</v>
      </c>
      <c r="L112">
        <f>_xlfn.XLOOKUP($F112,設計座標!$E$13:$E$2301,設計座標!$J$13:$J$2301,"n/a",0,1)</f>
        <v>480</v>
      </c>
      <c r="M112" s="2">
        <f>_xlfn.XLOOKUP($F112,survey_data!$A$2:$A$833,survey_data!$B$2:$B$833,"n/a",0,1)</f>
        <v>-170.01883189</v>
      </c>
      <c r="N112" s="2">
        <f>_xlfn.XLOOKUP($F112,survey_data!$A$2:$A$833,survey_data!$C$2:$C$833,"n/a",0,1)</f>
        <v>-2579.56829419</v>
      </c>
      <c r="O112" s="23">
        <f>_xlfn.XLOOKUP($F112,survey_data!$A$2:$A$833,survey_data!$D$2:$D$833,"n/a",0,1)</f>
        <v>479.77102819999999</v>
      </c>
      <c r="P112" s="1">
        <f t="shared" si="72"/>
        <v>480.04061796259151</v>
      </c>
      <c r="Q112" s="1">
        <f t="shared" si="97"/>
        <v>-1.8831890000001295E-2</v>
      </c>
      <c r="R112">
        <f t="shared" si="98"/>
        <v>0</v>
      </c>
      <c r="S112" s="23">
        <f t="shared" si="99"/>
        <v>-0.22897180000001072</v>
      </c>
      <c r="T112">
        <f>$S112+測地線補正!$Q$3*(lattice!$N112/1000)^3+測地線補正!$P$3*(lattice!$N112/1000)^2+測地線補正!$O$3*(lattice!$N112/1000)+測地線補正!$N$3</f>
        <v>4.0617962591496026E-2</v>
      </c>
      <c r="U112">
        <f t="shared" si="102"/>
        <v>1.3787876939915479E-4</v>
      </c>
      <c r="V112">
        <v>0</v>
      </c>
      <c r="W112">
        <f t="shared" si="103"/>
        <v>2.7665949954248806E-4</v>
      </c>
      <c r="X112">
        <f t="shared" si="106"/>
        <v>274.51242648883652</v>
      </c>
      <c r="Y112">
        <f>_xlfn.XLOOKUP($F112,設計座標!$E$13:$E$2301,設計座標!$L$13:$L$2301," ",0,1)</f>
        <v>162</v>
      </c>
      <c r="Z112">
        <f t="shared" si="107"/>
        <v>355.51242648883652</v>
      </c>
      <c r="AA112">
        <f>_xlfn.XLOOKUP($G112,magnet_list!$A$2:$A$592,magnet_list!$AJ$2:$AJ$592,"n/a",0,1)</f>
        <v>0.1963</v>
      </c>
      <c r="AB112">
        <f>_xlfn.XLOOKUP($G112,magnet_list!$A$2:$A$592,magnet_list!$L$2:$L$592,"n/a",0,1)</f>
        <v>25</v>
      </c>
    </row>
    <row r="113" spans="1:33">
      <c r="A113" t="s">
        <v>798</v>
      </c>
      <c r="B113" t="s">
        <v>3810</v>
      </c>
      <c r="C113" t="s">
        <v>1152</v>
      </c>
      <c r="D113" t="s">
        <v>1152</v>
      </c>
      <c r="E113" t="s">
        <v>804</v>
      </c>
      <c r="F113" t="s">
        <v>1934</v>
      </c>
      <c r="G113" t="s">
        <v>1934</v>
      </c>
      <c r="I113">
        <f>_xlfn.XLOOKUP($F113,設計座標!$E$13:$E$2301,設計座標!$G$13:$G$2301,"n/a",0,1)</f>
        <v>4.940041529350184</v>
      </c>
      <c r="J113">
        <f>_xlfn.XLOOKUP($F113,設計座標!$E$13:$E$2301,設計座標!$H$13:$H$2301,"n/a",0,1)</f>
        <v>0</v>
      </c>
      <c r="K113">
        <f>_xlfn.XLOOKUP($F113,設計座標!$E$13:$E$2301,設計座標!$I$13:$I$2301,"n/a",0,1)</f>
        <v>-2330.8678165699998</v>
      </c>
      <c r="L113">
        <f>_xlfn.XLOOKUP($F113,設計座標!$E$13:$E$2301,設計座標!$J$13:$J$2301,"n/a",0,1)</f>
        <v>347.00800000000004</v>
      </c>
      <c r="M113" s="2">
        <f t="shared" ref="M113:M123" si="108">$J113+$Q113</f>
        <v>1.6014449076305212E-2</v>
      </c>
      <c r="N113" s="2">
        <f>K113</f>
        <v>-2330.8678165699998</v>
      </c>
      <c r="O113" s="23">
        <f t="shared" ref="O113:O123" si="109">$L113+$S113</f>
        <v>346.80582084659903</v>
      </c>
      <c r="P113" s="1">
        <f t="shared" si="72"/>
        <v>347.051698200087</v>
      </c>
      <c r="Q113" s="1">
        <f>(Q$114-Q$112)/($N$114-$N$112)*($N113-$N$112)+Q$112</f>
        <v>1.6014449076305212E-2</v>
      </c>
      <c r="R113">
        <f t="shared" si="98"/>
        <v>0</v>
      </c>
      <c r="S113" s="23">
        <f>(S$114-S$112)/($N$114-$N$112)*($N113-$N$112)+S$112</f>
        <v>-0.20217915340101913</v>
      </c>
      <c r="T113">
        <f>$S113+測地線補正!$Q$3*(lattice!$N113/1000)^3+測地線補正!$P$3*(lattice!$N113/1000)^2+測地線補正!$O$3*(lattice!$N113/1000)+測地線補正!$N$3</f>
        <v>4.3698200086973643E-2</v>
      </c>
      <c r="U113">
        <v>0</v>
      </c>
      <c r="V113">
        <v>0</v>
      </c>
      <c r="W113">
        <v>0</v>
      </c>
      <c r="X113">
        <f>$Z$113-($Y$113+$Y$109)/2</f>
        <v>245.96907903327678</v>
      </c>
      <c r="Y113">
        <f>_xlfn.XLOOKUP($F113,設計座標!$E$13:$E$2301,設計座標!$L$13:$L$2301," ",0,1)</f>
        <v>0</v>
      </c>
      <c r="Z113">
        <f>SQRT(($M$113-$M$109)^2+($N$113-$N$109)^2+($P$113-$P$109)^2)</f>
        <v>326.96907903327678</v>
      </c>
    </row>
    <row r="114" spans="1:33">
      <c r="A114" t="s">
        <v>798</v>
      </c>
      <c r="B114" t="s">
        <v>3810</v>
      </c>
      <c r="C114" t="s">
        <v>805</v>
      </c>
      <c r="D114" t="s">
        <v>806</v>
      </c>
      <c r="F114" t="s">
        <v>510</v>
      </c>
      <c r="G114" t="s">
        <v>2373</v>
      </c>
      <c r="I114">
        <f>_xlfn.XLOOKUP($F114,設計座標!$E$13:$E$2301,設計座標!$G$13:$G$2301,"n/a",0,1)</f>
        <v>5.1166772209583273</v>
      </c>
      <c r="J114">
        <f>_xlfn.XLOOKUP($F114,設計座標!$E$13:$E$2301,設計座標!$H$13:$H$2301,"n/a",0,1)</f>
        <v>-50</v>
      </c>
      <c r="K114">
        <f>_xlfn.XLOOKUP($F114,設計座標!$E$13:$E$2301,設計座標!$I$13:$I$2301,"n/a",0,1)</f>
        <v>-2166.76470427</v>
      </c>
      <c r="L114">
        <f>_xlfn.XLOOKUP($F114,設計座標!$E$13:$E$2301,設計座標!$J$13:$J$2301,"n/a",0,1)</f>
        <v>481.94299999999998</v>
      </c>
      <c r="M114" s="2">
        <f>_xlfn.XLOOKUP($F114,survey_data!$A$2:$A$833,survey_data!$B$2:$B$833,"n/a",0,1)</f>
        <v>-49.96099246</v>
      </c>
      <c r="N114" s="2">
        <f>_xlfn.XLOOKUP($F114,survey_data!$A$2:$A$833,survey_data!$C$2:$C$833,"n/a",0,1)</f>
        <v>-2166.76470427</v>
      </c>
      <c r="O114" s="23">
        <f>_xlfn.XLOOKUP($F114,survey_data!$A$2:$A$833,survey_data!$D$2:$D$833,"n/a",0,1)</f>
        <v>481.75849977000001</v>
      </c>
      <c r="P114" s="1">
        <f t="shared" si="72"/>
        <v>481.98877133073591</v>
      </c>
      <c r="Q114" s="1">
        <f t="shared" si="97"/>
        <v>3.9007540000000063E-2</v>
      </c>
      <c r="R114">
        <f t="shared" si="98"/>
        <v>0</v>
      </c>
      <c r="S114" s="23">
        <f t="shared" si="99"/>
        <v>-0.18450022999996918</v>
      </c>
      <c r="T114">
        <f>$S114+測地線補正!$Q$3*(lattice!$N114/1000)^3+測地線補正!$P$3*(lattice!$N114/1000)^2+測地線補正!$O$3*(lattice!$N114/1000)+測地線補正!$N$3</f>
        <v>4.5771330735929899E-2</v>
      </c>
      <c r="U114">
        <f>ATAN(($P$116-$P$114)/ABS($N$116-$N$114))+24/180*PI()</f>
        <v>-2.4152607021932226E-4</v>
      </c>
      <c r="V114">
        <v>0</v>
      </c>
      <c r="W114">
        <f>-ATAN(($Q$116-$Q$114)/ABS($N$116-$N$114))</f>
        <v>1.0096894842266333E-4</v>
      </c>
      <c r="X114">
        <f>$Z$115-($Y$115+$Y$113)/2</f>
        <v>65.026908414025257</v>
      </c>
      <c r="Y114">
        <f>_xlfn.XLOOKUP($F114,設計座標!$E$13:$E$2301,設計座標!$L$13:$L$2301," ",0,1)</f>
        <v>160</v>
      </c>
      <c r="Z114">
        <f>SQRT(($M$115-$M$113)^2+($N$115-$N$113)^2+($P$115-$P$113)^2)</f>
        <v>145.02690841402526</v>
      </c>
      <c r="AA114">
        <f>_xlfn.XLOOKUP($G114,magnet_list!$A$2:$A$592,magnet_list!$AJ$2:$AJ$592,"n/a",0,1)</f>
        <v>0.18614150287840159</v>
      </c>
      <c r="AB114">
        <f>_xlfn.XLOOKUP($G114,magnet_list!$A$2:$A$592,magnet_list!$L$2:$L$592,"n/a",0,1)</f>
        <v>44</v>
      </c>
    </row>
    <row r="115" spans="1:33">
      <c r="A115" t="s">
        <v>798</v>
      </c>
      <c r="B115" t="s">
        <v>3810</v>
      </c>
      <c r="C115" t="s">
        <v>805</v>
      </c>
      <c r="D115" t="s">
        <v>1152</v>
      </c>
      <c r="E115" t="s">
        <v>804</v>
      </c>
      <c r="F115" t="s">
        <v>1873</v>
      </c>
      <c r="G115" t="s">
        <v>2373</v>
      </c>
      <c r="I115">
        <f>_xlfn.XLOOKUP($F115,設計座標!$E$13:$E$2301,設計座標!$G$13:$G$2301,"n/a",0,1)</f>
        <v>5.0850728853539255</v>
      </c>
      <c r="J115">
        <f>_xlfn.XLOOKUP($F115,設計座標!$E$13:$E$2301,設計座標!$H$13:$H$2301,"n/a",0,1)</f>
        <v>0</v>
      </c>
      <c r="K115">
        <f>_xlfn.XLOOKUP($F115,設計座標!$E$13:$E$2301,設計座標!$I$13:$I$2301,"n/a",0,1)</f>
        <v>-2198.369039874402</v>
      </c>
      <c r="L115">
        <f>_xlfn.XLOOKUP($F115,設計座標!$E$13:$E$2301,設計座標!$J$13:$J$2301,"n/a",0,1)</f>
        <v>288.03200000000004</v>
      </c>
      <c r="M115" s="2">
        <f t="shared" si="108"/>
        <v>4.2198596542417449E-2</v>
      </c>
      <c r="N115" s="2">
        <f>K115</f>
        <v>-2198.369039874402</v>
      </c>
      <c r="O115" s="23">
        <f t="shared" si="109"/>
        <v>287.85336914912756</v>
      </c>
      <c r="P115" s="1">
        <f t="shared" si="72"/>
        <v>288.08664369582493</v>
      </c>
      <c r="Q115" s="1">
        <f>(Q$116-Q$114)/($N$116-$N$114)*($N115-$N$114)+Q$114</f>
        <v>4.2198596542417449E-2</v>
      </c>
      <c r="R115">
        <f t="shared" si="98"/>
        <v>0</v>
      </c>
      <c r="S115" s="23">
        <f>(S$116-S$114)/($N$116-$N$114)*($N115-$N$114)+S$114</f>
        <v>-0.17863085087246205</v>
      </c>
      <c r="T115">
        <f>$S115+測地線補正!$Q$3*(lattice!$N115/1000)^3+測地線補正!$P$3*(lattice!$N115/1000)^2+測地線補正!$O$3*(lattice!$N115/1000)+測地線補正!$N$3</f>
        <v>5.4643695824891508E-2</v>
      </c>
      <c r="U115">
        <f t="shared" ref="U115:U116" si="110">ATAN(($P$116-$P$114)/ABS($N$116-$N$114))+24/180*PI()</f>
        <v>-2.4152607021932226E-4</v>
      </c>
      <c r="V115">
        <v>0</v>
      </c>
      <c r="W115">
        <f t="shared" ref="W115:W116" si="111">-ATAN(($Q$116-$Q$114)/ABS($N$116-$N$114))</f>
        <v>1.0096894842266333E-4</v>
      </c>
      <c r="X115">
        <f>$Z$115-($Y$115+$Y$113)/2</f>
        <v>65.026908414025257</v>
      </c>
      <c r="Y115">
        <f>_xlfn.XLOOKUP($F115,設計座標!$E$13:$E$2301,設計座標!$L$13:$L$2301," ",0,1)</f>
        <v>160</v>
      </c>
      <c r="Z115">
        <f>SQRT(($M$115-$M$113)^2+($N$115-$N$113)^2+($P$115-$P$113)^2)</f>
        <v>145.02690841402526</v>
      </c>
      <c r="AA115">
        <f>_xlfn.XLOOKUP($G115,magnet_list!$A$2:$A$592,magnet_list!$AJ$2:$AJ$592,"n/a",0,1)</f>
        <v>0.18614150287840159</v>
      </c>
      <c r="AB115">
        <f>_xlfn.XLOOKUP($G115,magnet_list!$A$2:$A$592,magnet_list!$L$2:$L$592,"n/a",0,1)</f>
        <v>44</v>
      </c>
    </row>
    <row r="116" spans="1:33">
      <c r="A116" t="s">
        <v>798</v>
      </c>
      <c r="B116" t="s">
        <v>3810</v>
      </c>
      <c r="C116" t="s">
        <v>805</v>
      </c>
      <c r="D116" t="s">
        <v>806</v>
      </c>
      <c r="F116" t="s">
        <v>511</v>
      </c>
      <c r="G116" t="s">
        <v>2373</v>
      </c>
      <c r="I116">
        <f>_xlfn.XLOOKUP($F116,設計座標!$E$13:$E$2301,設計座標!$G$13:$G$2301,"n/a",0,1)</f>
        <v>5.2080284741183274</v>
      </c>
      <c r="J116">
        <f>_xlfn.XLOOKUP($F116,設計座標!$E$13:$E$2301,設計座標!$H$13:$H$2301,"n/a",0,1)</f>
        <v>50</v>
      </c>
      <c r="K116">
        <f>_xlfn.XLOOKUP($F116,設計座標!$E$13:$E$2301,設計座標!$I$13:$I$2301,"n/a",0,1)</f>
        <v>-2075.4134511100001</v>
      </c>
      <c r="L116">
        <f>_xlfn.XLOOKUP($F116,設計座標!$E$13:$E$2301,設計座標!$J$13:$J$2301,"n/a",0,1)</f>
        <v>441.27</v>
      </c>
      <c r="M116" s="2">
        <f>_xlfn.XLOOKUP($F116,survey_data!$A$2:$A$833,survey_data!$B$2:$B$833,"n/a",0,1)</f>
        <v>50.029783899999998</v>
      </c>
      <c r="N116" s="2">
        <f>_xlfn.XLOOKUP($F116,survey_data!$A$2:$A$833,survey_data!$C$2:$C$833,"n/a",0,1)</f>
        <v>-2075.4134511100001</v>
      </c>
      <c r="O116" s="23">
        <f>_xlfn.XLOOKUP($F116,survey_data!$A$2:$A$833,survey_data!$D$2:$D$833,"n/a",0,1)</f>
        <v>441.06853453000002</v>
      </c>
      <c r="P116" s="1">
        <f t="shared" si="72"/>
        <v>441.29013277430158</v>
      </c>
      <c r="Q116" s="1">
        <f t="shared" si="97"/>
        <v>2.9783899999998198E-2</v>
      </c>
      <c r="R116">
        <f t="shared" si="98"/>
        <v>0</v>
      </c>
      <c r="S116" s="23">
        <f t="shared" si="99"/>
        <v>-0.20146546999995962</v>
      </c>
      <c r="T116">
        <f>$S116+測地線補正!$Q$3*(lattice!$N116/1000)^3+測地線補正!$P$3*(lattice!$N116/1000)^2+測地線補正!$O$3*(lattice!$N116/1000)+測地線補正!$N$3</f>
        <v>2.0132774301574372E-2</v>
      </c>
      <c r="U116">
        <f t="shared" si="110"/>
        <v>-2.4152607021932226E-4</v>
      </c>
      <c r="V116">
        <v>0</v>
      </c>
      <c r="W116">
        <f t="shared" si="111"/>
        <v>1.0096894842266333E-4</v>
      </c>
      <c r="X116">
        <f>$Z$115-($Y$115+$Y$113)/2</f>
        <v>65.026908414025257</v>
      </c>
      <c r="Y116">
        <f>_xlfn.XLOOKUP($F116,設計座標!$E$13:$E$2301,設計座標!$L$13:$L$2301," ",0,1)</f>
        <v>160</v>
      </c>
      <c r="Z116">
        <f>SQRT(($M$115-$M$113)^2+($N$115-$N$113)^2+($P$115-$P$113)^2)</f>
        <v>145.02690841402526</v>
      </c>
      <c r="AA116">
        <f>_xlfn.XLOOKUP($G116,magnet_list!$A$2:$A$592,magnet_list!$AJ$2:$AJ$592,"n/a",0,1)</f>
        <v>0.18614150287840159</v>
      </c>
      <c r="AB116">
        <f>_xlfn.XLOOKUP($G116,magnet_list!$A$2:$A$592,magnet_list!$L$2:$L$592,"n/a",0,1)</f>
        <v>44</v>
      </c>
    </row>
    <row r="117" spans="1:33">
      <c r="A117" t="s">
        <v>798</v>
      </c>
      <c r="B117" t="s">
        <v>3810</v>
      </c>
      <c r="C117" t="s">
        <v>1152</v>
      </c>
      <c r="D117" t="s">
        <v>1152</v>
      </c>
      <c r="E117" t="s">
        <v>804</v>
      </c>
      <c r="F117" t="s">
        <v>3714</v>
      </c>
      <c r="G117" t="s">
        <v>1935</v>
      </c>
      <c r="I117">
        <f>_xlfn.XLOOKUP($F117,設計座標!$E$13:$E$2301,設計座標!$G$13:$G$2301,"n/a",0,1)</f>
        <v>5.3900417772060605</v>
      </c>
      <c r="J117">
        <f>_xlfn.XLOOKUP($F117,設計座標!$E$13:$E$2301,設計座標!$H$13:$H$2301,"n/a",0,1)</f>
        <v>0</v>
      </c>
      <c r="K117">
        <f>_xlfn.XLOOKUP($F117,設計座標!$E$13:$E$2301,設計座標!$I$13:$I$2301,"n/a",0,1)</f>
        <v>-1919.7723165699999</v>
      </c>
      <c r="L117">
        <f>_xlfn.XLOOKUP($F117,設計座標!$E$13:$E$2301,設計座標!$J$13:$J$2301,"n/a",0,1)</f>
        <v>163.976</v>
      </c>
      <c r="M117" s="2">
        <f t="shared" si="108"/>
        <v>1.7348036054178652E-2</v>
      </c>
      <c r="N117" s="2">
        <f>K117</f>
        <v>-1919.7723165699999</v>
      </c>
      <c r="O117" s="23">
        <f t="shared" si="109"/>
        <v>163.82254455417745</v>
      </c>
      <c r="P117" s="1">
        <f t="shared" si="72"/>
        <v>164.02938842658972</v>
      </c>
      <c r="Q117" s="1">
        <f>(Q$118-Q$116)/($N$118-$N$116)*($N117-$N$116)+Q$116</f>
        <v>1.7348036054178652E-2</v>
      </c>
      <c r="R117">
        <f t="shared" si="98"/>
        <v>0</v>
      </c>
      <c r="S117" s="23">
        <f>(S$118-S$116)/($N$118-$N$116)*($N117-$N$116)+S$116</f>
        <v>-0.15345544582253953</v>
      </c>
      <c r="T117">
        <f>$S117+測地線補正!$Q$3*(lattice!$N117/1000)^3+測地線補正!$P$3*(lattice!$N117/1000)^2+測地線補正!$O$3*(lattice!$N117/1000)+測地線補正!$N$3</f>
        <v>5.3388426589708882E-2</v>
      </c>
      <c r="U117">
        <v>0</v>
      </c>
      <c r="V117">
        <v>0</v>
      </c>
      <c r="W117">
        <v>0</v>
      </c>
      <c r="X117">
        <f>$Z$117-($Y$117+$Y$115)/2</f>
        <v>224.96940410217564</v>
      </c>
      <c r="Y117">
        <f>_xlfn.XLOOKUP($F117,設計座標!$E$13:$E$2301,設計座標!$L$13:$L$2301," ",0,1)</f>
        <v>0</v>
      </c>
      <c r="Z117">
        <f>SQRT(($M$117-$M$115)^2+($N$117-$N$115)^2+($P$117-$P$115)^2)</f>
        <v>304.96940410217564</v>
      </c>
    </row>
    <row r="118" spans="1:33">
      <c r="A118" t="s">
        <v>798</v>
      </c>
      <c r="B118" t="s">
        <v>3810</v>
      </c>
      <c r="C118" t="s">
        <v>805</v>
      </c>
      <c r="D118" t="s">
        <v>806</v>
      </c>
      <c r="F118" t="s">
        <v>512</v>
      </c>
      <c r="G118" t="s">
        <v>2374</v>
      </c>
      <c r="I118">
        <f>_xlfn.XLOOKUP($F118,設計座標!$E$13:$E$2301,設計座標!$G$13:$G$2301,"n/a",0,1)</f>
        <v>5.5666404744256761</v>
      </c>
      <c r="J118">
        <f>_xlfn.XLOOKUP($F118,設計座標!$E$13:$E$2301,設計座標!$H$13:$H$2301,"n/a",0,1)</f>
        <v>-50</v>
      </c>
      <c r="K118">
        <f>_xlfn.XLOOKUP($F118,設計座標!$E$13:$E$2301,設計座標!$I$13:$I$2301,"n/a",0,1)</f>
        <v>-1755.7084701599999</v>
      </c>
      <c r="L118">
        <f>_xlfn.XLOOKUP($F118,設計座標!$E$13:$E$2301,設計座標!$J$13:$J$2301,"n/a",0,1)</f>
        <v>298.91200000000003</v>
      </c>
      <c r="M118" s="2">
        <f>_xlfn.XLOOKUP($F118,survey_data!$A$2:$A$833,survey_data!$B$2:$B$833,"n/a",0,1)</f>
        <v>-49.99576081</v>
      </c>
      <c r="N118" s="2">
        <f>_xlfn.XLOOKUP($F118,survey_data!$A$2:$A$833,survey_data!$C$2:$C$833,"n/a",0,1)</f>
        <v>-1755.7084701599999</v>
      </c>
      <c r="O118" s="23">
        <f>_xlfn.XLOOKUP($F118,survey_data!$A$2:$A$833,survey_data!$D$2:$D$833,"n/a",0,1)</f>
        <v>298.80915270000003</v>
      </c>
      <c r="P118" s="1">
        <f t="shared" si="72"/>
        <v>299.00047494320222</v>
      </c>
      <c r="Q118" s="1">
        <f t="shared" si="97"/>
        <v>4.2391899999998373E-3</v>
      </c>
      <c r="R118">
        <f t="shared" si="98"/>
        <v>0</v>
      </c>
      <c r="S118" s="23">
        <f t="shared" si="99"/>
        <v>-0.10284730000000764</v>
      </c>
      <c r="T118">
        <f>$S118+測地線補正!$Q$3*(lattice!$N118/1000)^3+測地線補正!$P$3*(lattice!$N118/1000)^2+測地線補正!$O$3*(lattice!$N118/1000)+測地線補正!$N$3</f>
        <v>8.8474943202168962E-2</v>
      </c>
      <c r="U118">
        <f>ATAN(($P$120-$P$118)/ABS($N$120-$N$118))+24/180*PI()</f>
        <v>2.7684521714710364E-4</v>
      </c>
      <c r="V118">
        <v>0</v>
      </c>
      <c r="W118">
        <f>-ATAN(($Q$120-$Q$118)/ABS($N$120-$N$118))</f>
        <v>1.0655936358900634E-5</v>
      </c>
      <c r="X118">
        <f>$Z$119-($Y$119+$Y$117)/2</f>
        <v>64.995972747959627</v>
      </c>
      <c r="Y118">
        <f>_xlfn.XLOOKUP($F118,設計座標!$E$13:$E$2301,設計座標!$L$13:$L$2301," ",0,1)</f>
        <v>160</v>
      </c>
      <c r="Z118">
        <f>SQRT(($M$119-$M$117)^2+($N$119-$N$117)^2+($P$119-$P$117)^2)</f>
        <v>144.99597274795963</v>
      </c>
      <c r="AA118">
        <f>_xlfn.XLOOKUP($G118,magnet_list!$A$2:$A$592,magnet_list!$AJ$2:$AJ$592,"n/a",0,1)</f>
        <v>0.18614150287840159</v>
      </c>
      <c r="AB118">
        <f>_xlfn.XLOOKUP($G118,magnet_list!$A$2:$A$592,magnet_list!$L$2:$L$592,"n/a",0,1)</f>
        <v>44</v>
      </c>
    </row>
    <row r="119" spans="1:33">
      <c r="A119" t="s">
        <v>798</v>
      </c>
      <c r="B119" t="s">
        <v>3810</v>
      </c>
      <c r="C119" t="s">
        <v>805</v>
      </c>
      <c r="D119" t="s">
        <v>1152</v>
      </c>
      <c r="E119" t="s">
        <v>804</v>
      </c>
      <c r="F119" t="s">
        <v>1874</v>
      </c>
      <c r="G119" t="s">
        <v>2374</v>
      </c>
      <c r="I119">
        <f>_xlfn.XLOOKUP($F119,設計座標!$E$13:$E$2301,設計座標!$G$13:$G$2301,"n/a",0,1)</f>
        <v>5.5350491297012745</v>
      </c>
      <c r="J119">
        <f>_xlfn.XLOOKUP($F119,設計座標!$E$13:$E$2301,設計座標!$H$13:$H$2301,"n/a",0,1)</f>
        <v>0</v>
      </c>
      <c r="K119">
        <f>_xlfn.XLOOKUP($F119,設計座標!$E$13:$E$2301,設計座標!$I$13:$I$2301,"n/a",0,1)</f>
        <v>-1787.2998148844019</v>
      </c>
      <c r="L119">
        <f>_xlfn.XLOOKUP($F119,設計座標!$E$13:$E$2301,設計座標!$J$13:$J$2301,"n/a",0,1)</f>
        <v>105</v>
      </c>
      <c r="M119" s="2">
        <f t="shared" si="108"/>
        <v>4.5758253588878981E-3</v>
      </c>
      <c r="N119" s="2">
        <f>K119</f>
        <v>-1787.2998148844019</v>
      </c>
      <c r="O119" s="23">
        <f t="shared" si="109"/>
        <v>104.88706680787782</v>
      </c>
      <c r="P119" s="1">
        <f t="shared" si="72"/>
        <v>105.08137533745396</v>
      </c>
      <c r="Q119" s="1">
        <f>(Q$120-Q$118)/($N$120-$N$118)*($N119-$N$118)+Q$118</f>
        <v>4.5758253588878981E-3</v>
      </c>
      <c r="R119">
        <f t="shared" si="98"/>
        <v>0</v>
      </c>
      <c r="S119" s="23">
        <f>(S$120-S$118)/($N$120-$N$118)*($N119-$N$118)+S$118</f>
        <v>-0.1129331921221842</v>
      </c>
      <c r="T119">
        <f>$S119+測地線補正!$Q$3*(lattice!$N119/1000)^3+測地線補正!$P$3*(lattice!$N119/1000)^2+測地線補正!$O$3*(lattice!$N119/1000)+測地線補正!$N$3</f>
        <v>8.1375337453958432E-2</v>
      </c>
      <c r="U119">
        <f t="shared" ref="U119:U120" si="112">ATAN(($P$120-$P$118)/ABS($N$120-$N$118))+24/180*PI()</f>
        <v>2.7684521714710364E-4</v>
      </c>
      <c r="V119">
        <v>0</v>
      </c>
      <c r="W119">
        <f t="shared" ref="W119:W120" si="113">-ATAN(($Q$120-$Q$118)/ABS($N$120-$N$118))</f>
        <v>1.0655936358900634E-5</v>
      </c>
      <c r="X119">
        <f>$Z$119-($Y$119+$Y$117)/2</f>
        <v>64.995972747959627</v>
      </c>
      <c r="Y119">
        <f>_xlfn.XLOOKUP($F119,設計座標!$E$13:$E$2301,設計座標!$L$13:$L$2301," ",0,1)</f>
        <v>160</v>
      </c>
      <c r="Z119">
        <f>SQRT(($M$119-$M$117)^2+($N$119-$N$117)^2+($P$119-$P$117)^2)</f>
        <v>144.99597274795963</v>
      </c>
      <c r="AA119">
        <f>_xlfn.XLOOKUP($G119,magnet_list!$A$2:$A$592,magnet_list!$AJ$2:$AJ$592,"n/a",0,1)</f>
        <v>0.18614150287840159</v>
      </c>
      <c r="AB119">
        <f>_xlfn.XLOOKUP($G119,magnet_list!$A$2:$A$592,magnet_list!$L$2:$L$592,"n/a",0,1)</f>
        <v>44</v>
      </c>
    </row>
    <row r="120" spans="1:33">
      <c r="A120" t="s">
        <v>798</v>
      </c>
      <c r="B120" t="s">
        <v>3810</v>
      </c>
      <c r="C120" t="s">
        <v>805</v>
      </c>
      <c r="D120" t="s">
        <v>806</v>
      </c>
      <c r="F120" t="s">
        <v>513</v>
      </c>
      <c r="G120" t="s">
        <v>2374</v>
      </c>
      <c r="I120">
        <f>_xlfn.XLOOKUP($F120,設計座標!$E$13:$E$2301,設計座標!$G$13:$G$2301,"n/a",0,1)</f>
        <v>5.6580177093456765</v>
      </c>
      <c r="J120">
        <f>_xlfn.XLOOKUP($F120,設計座標!$E$13:$E$2301,設計座標!$H$13:$H$2301,"n/a",0,1)</f>
        <v>50</v>
      </c>
      <c r="K120">
        <f>_xlfn.XLOOKUP($F120,設計座標!$E$13:$E$2301,設計座標!$I$13:$I$2301,"n/a",0,1)</f>
        <v>-1664.3312352400001</v>
      </c>
      <c r="L120">
        <f>_xlfn.XLOOKUP($F120,設計座標!$E$13:$E$2301,設計座標!$J$13:$J$2301,"n/a",0,1)</f>
        <v>258.23800000000006</v>
      </c>
      <c r="M120" s="2">
        <f>_xlfn.XLOOKUP($F120,survey_data!$A$2:$A$833,survey_data!$B$2:$B$833,"n/a",0,1)</f>
        <v>50.003265480000003</v>
      </c>
      <c r="N120" s="2">
        <f>_xlfn.XLOOKUP($F120,survey_data!$A$2:$A$833,survey_data!$C$2:$C$833,"n/a",0,1)</f>
        <v>-1664.3312352400001</v>
      </c>
      <c r="O120" s="23">
        <f>_xlfn.XLOOKUP($F120,survey_data!$A$2:$A$833,survey_data!$D$2:$D$833,"n/a",0,1)</f>
        <v>258.16432591</v>
      </c>
      <c r="P120" s="1">
        <f t="shared" si="72"/>
        <v>258.34701704599132</v>
      </c>
      <c r="Q120" s="1">
        <f t="shared" si="97"/>
        <v>3.2654800000031514E-3</v>
      </c>
      <c r="R120">
        <f t="shared" si="98"/>
        <v>0</v>
      </c>
      <c r="S120" s="23">
        <f t="shared" si="99"/>
        <v>-7.3674090000054093E-2</v>
      </c>
      <c r="T120">
        <f>$S120+測地線補正!$Q$3*(lattice!$N120/1000)^3+測地線補正!$P$3*(lattice!$N120/1000)^2+測地線補正!$O$3*(lattice!$N120/1000)+測地線補正!$N$3</f>
        <v>0.10901704599124891</v>
      </c>
      <c r="U120">
        <f t="shared" si="112"/>
        <v>2.7684521714710364E-4</v>
      </c>
      <c r="V120">
        <v>0</v>
      </c>
      <c r="W120">
        <f t="shared" si="113"/>
        <v>1.0655936358900634E-5</v>
      </c>
      <c r="X120">
        <f>$Z$119-($Y$119+$Y$117)/2</f>
        <v>64.995972747959627</v>
      </c>
      <c r="Y120">
        <f>_xlfn.XLOOKUP($F120,設計座標!$E$13:$E$2301,設計座標!$L$13:$L$2301," ",0,1)</f>
        <v>160</v>
      </c>
      <c r="Z120">
        <f>SQRT(($M$119-$M$117)^2+($N$119-$N$117)^2+($P$119-$P$117)^2)</f>
        <v>144.99597274795963</v>
      </c>
      <c r="AA120">
        <f>_xlfn.XLOOKUP($G120,magnet_list!$A$2:$A$592,magnet_list!$AJ$2:$AJ$592,"n/a",0,1)</f>
        <v>0.18614150287840159</v>
      </c>
      <c r="AB120">
        <f>_xlfn.XLOOKUP($G120,magnet_list!$A$2:$A$592,magnet_list!$L$2:$L$592,"n/a",0,1)</f>
        <v>44</v>
      </c>
    </row>
    <row r="121" spans="1:33">
      <c r="A121" t="s">
        <v>798</v>
      </c>
      <c r="B121" t="s">
        <v>3810</v>
      </c>
      <c r="C121" t="s">
        <v>1152</v>
      </c>
      <c r="D121" t="s">
        <v>1152</v>
      </c>
      <c r="E121" t="s">
        <v>804</v>
      </c>
      <c r="F121" t="s">
        <v>3861</v>
      </c>
      <c r="G121" t="s">
        <v>1936</v>
      </c>
      <c r="I121">
        <f>_xlfn.XLOOKUP($F121,設計座標!$E$13:$E$2301,設計座標!$G$13:$G$2301,"n/a",0,1)</f>
        <v>5.7475382123097889</v>
      </c>
      <c r="J121">
        <f>_xlfn.XLOOKUP($F121,設計座標!$E$13:$E$2301,設計座標!$H$13:$H$2301,"n/a",0,1)</f>
        <v>0</v>
      </c>
      <c r="K121">
        <f>_xlfn.XLOOKUP($F121,設計座標!$E$13:$E$2301,設計座標!$I$13:$I$2301,"n/a",0,1)</f>
        <v>-1593.18311657</v>
      </c>
      <c r="L121">
        <f>_xlfn.XLOOKUP($F121,設計座標!$E$13:$E$2301,設計座標!$J$13:$J$2301,"n/a",0,1)</f>
        <v>18.569000000000017</v>
      </c>
      <c r="M121" s="2">
        <f t="shared" si="108"/>
        <v>7.2400132248250587E-3</v>
      </c>
      <c r="N121" s="2">
        <f>K121</f>
        <v>-1593.18311657</v>
      </c>
      <c r="O121" s="23">
        <f t="shared" si="109"/>
        <v>18.490471476601048</v>
      </c>
      <c r="P121" s="1">
        <f t="shared" si="72"/>
        <v>18.666449103646087</v>
      </c>
      <c r="Q121" s="1">
        <f>(Q$122-Q$120)/($N$122-$N$120)*($N121-$N$120)+Q$120</f>
        <v>7.2400132248250587E-3</v>
      </c>
      <c r="R121">
        <f t="shared" si="98"/>
        <v>0</v>
      </c>
      <c r="S121" s="23">
        <f>(S$122-S$120)/($N$122-$N$120)*($N121-$N$120)+S$120</f>
        <v>-7.8528523398970485E-2</v>
      </c>
      <c r="T121">
        <f>$S121+測地線補正!$Q$3*(lattice!$N121/1000)^3+測地線補正!$P$3*(lattice!$N121/1000)^2+測地線補正!$O$3*(lattice!$N121/1000)+測地線補正!$N$3</f>
        <v>9.7449103646071997E-2</v>
      </c>
      <c r="U121">
        <v>0</v>
      </c>
      <c r="V121">
        <v>0</v>
      </c>
      <c r="W121">
        <v>0</v>
      </c>
      <c r="X121">
        <f>$Z$121-($Y$121+$Y$119)/2</f>
        <v>132.48254527743421</v>
      </c>
      <c r="Y121">
        <f>_xlfn.XLOOKUP($F121,設計座標!$E$13:$E$2301,設計座標!$L$13:$L$2301," ",0,1)</f>
        <v>0</v>
      </c>
      <c r="Z121">
        <f>SQRT(($M$121-$M$119)^2+($N$121-$N$119)^2+($P$121-$P$119)^2)</f>
        <v>212.48254527743421</v>
      </c>
    </row>
    <row r="122" spans="1:33">
      <c r="A122" t="s">
        <v>798</v>
      </c>
      <c r="B122" t="s">
        <v>3810</v>
      </c>
      <c r="C122" t="s">
        <v>805</v>
      </c>
      <c r="D122" t="s">
        <v>806</v>
      </c>
      <c r="F122" t="s">
        <v>514</v>
      </c>
      <c r="G122" t="s">
        <v>2375</v>
      </c>
      <c r="I122">
        <f>_xlfn.XLOOKUP($F122,設計座標!$E$13:$E$2301,設計座標!$G$13:$G$2301,"n/a",0,1)</f>
        <v>6.0166105658240818</v>
      </c>
      <c r="J122">
        <f>_xlfn.XLOOKUP($F122,設計座標!$E$13:$E$2301,設計座標!$H$13:$H$2301,"n/a",0,1)</f>
        <v>-50</v>
      </c>
      <c r="K122">
        <f>_xlfn.XLOOKUP($F122,設計座標!$E$13:$E$2301,設計座標!$I$13:$I$2301,"n/a",0,1)</f>
        <v>-1344.6442602699999</v>
      </c>
      <c r="L122">
        <f>_xlfn.XLOOKUP($F122,設計座標!$E$13:$E$2301,設計座標!$J$13:$J$2301,"n/a",0,1)</f>
        <v>115.88</v>
      </c>
      <c r="M122" s="2">
        <f>_xlfn.XLOOKUP($F122,survey_data!$A$2:$A$833,survey_data!$B$2:$B$833,"n/a",0,1)</f>
        <v>-49.978875909999999</v>
      </c>
      <c r="N122" s="2">
        <f>_xlfn.XLOOKUP($F122,survey_data!$A$2:$A$833,survey_data!$C$2:$C$833,"n/a",0,1)</f>
        <v>-1344.6442602699999</v>
      </c>
      <c r="O122" s="23">
        <f>_xlfn.XLOOKUP($F122,survey_data!$A$2:$A$833,survey_data!$D$2:$D$833,"n/a",0,1)</f>
        <v>115.78451368</v>
      </c>
      <c r="P122" s="1">
        <f t="shared" si="72"/>
        <v>115.93708615078876</v>
      </c>
      <c r="Q122" s="1">
        <f t="shared" si="97"/>
        <v>2.1124090000000706E-2</v>
      </c>
      <c r="R122">
        <f t="shared" si="98"/>
        <v>0</v>
      </c>
      <c r="S122" s="23">
        <f t="shared" si="99"/>
        <v>-9.548631999999202E-2</v>
      </c>
      <c r="T122">
        <f>$S122+測地線補正!$Q$3*(lattice!$N122/1000)^3+測地線補正!$P$3*(lattice!$N122/1000)^2+測地線補正!$O$3*(lattice!$N122/1000)+測地線補正!$N$3</f>
        <v>5.7086150788756382E-2</v>
      </c>
      <c r="U122">
        <f>ATAN(($P$124-$P$122)/ABS($N$124-$N$122))+24/180*PI()</f>
        <v>6.9063818660897169E-5</v>
      </c>
      <c r="V122">
        <v>0</v>
      </c>
      <c r="W122">
        <f>-ATAN(($Q$124-$Q$122)/ABS($N$124-$N$122))</f>
        <v>4.1494714901952896E-5</v>
      </c>
      <c r="X122">
        <f>$Z$123-($Y$123+$Y$121)/2</f>
        <v>157.50876095827897</v>
      </c>
      <c r="Y122">
        <f>_xlfn.XLOOKUP($F122,設計座標!$E$13:$E$2301,設計座標!$L$13:$L$2301," ",0,1)</f>
        <v>160</v>
      </c>
      <c r="Z122">
        <f>SQRT(($M$123-$M$121)^2+($N$123-$N$121)^2+($P$123-$P$121)^2)</f>
        <v>237.50876095827897</v>
      </c>
      <c r="AA122">
        <f>_xlfn.XLOOKUP($G122,magnet_list!$A$2:$A$592,magnet_list!$AJ$2:$AJ$592,"n/a",0,1)</f>
        <v>0.18614150287840159</v>
      </c>
      <c r="AB122">
        <f>_xlfn.XLOOKUP($G122,magnet_list!$A$2:$A$592,magnet_list!$L$2:$L$592,"n/a",0,1)</f>
        <v>44</v>
      </c>
    </row>
    <row r="123" spans="1:33">
      <c r="A123" t="s">
        <v>798</v>
      </c>
      <c r="B123" t="s">
        <v>3810</v>
      </c>
      <c r="C123" t="s">
        <v>805</v>
      </c>
      <c r="D123" t="s">
        <v>1152</v>
      </c>
      <c r="E123" t="s">
        <v>804</v>
      </c>
      <c r="F123" t="s">
        <v>1875</v>
      </c>
      <c r="G123" t="s">
        <v>2375</v>
      </c>
      <c r="I123">
        <f>_xlfn.XLOOKUP($F123,設計座標!$E$13:$E$2301,設計座標!$G$13:$G$2301,"n/a",0,1)</f>
        <v>5.9850326889146794</v>
      </c>
      <c r="J123">
        <f>_xlfn.XLOOKUP($F123,設計座標!$E$13:$E$2301,設計座標!$H$13:$H$2301,"n/a",0,1)</f>
        <v>0</v>
      </c>
      <c r="K123">
        <f>_xlfn.XLOOKUP($F123,設計座標!$E$13:$E$2301,設計座標!$I$13:$I$2301,"n/a",0,1)</f>
        <v>-1376.2221371794019</v>
      </c>
      <c r="L123">
        <f>_xlfn.XLOOKUP($F123,設計座標!$E$13:$E$2301,設計座標!$J$13:$J$2301,"n/a",0,1)</f>
        <v>-78.031000000000006</v>
      </c>
      <c r="M123" s="2">
        <f t="shared" si="108"/>
        <v>2.2434405000317341E-2</v>
      </c>
      <c r="N123" s="2">
        <f>K123</f>
        <v>-1376.2221371794019</v>
      </c>
      <c r="O123" s="23">
        <f t="shared" si="109"/>
        <v>-78.124204286818241</v>
      </c>
      <c r="P123" s="1">
        <f t="shared" si="72"/>
        <v>-77.968662128968546</v>
      </c>
      <c r="Q123" s="1">
        <f>(Q$124-Q$122)/($N$124-$N$122)*($N123-$N$122)+Q$122</f>
        <v>2.2434405000317341E-2</v>
      </c>
      <c r="R123">
        <f t="shared" si="98"/>
        <v>0</v>
      </c>
      <c r="S123" s="23">
        <f>(S$124-S$122)/($N$124-$N$122)*($N123-$N$122)+S$122</f>
        <v>-9.3204286818233298E-2</v>
      </c>
      <c r="T123">
        <f>$S123+測地線補正!$Q$3*(lattice!$N123/1000)^3+測地線補正!$P$3*(lattice!$N123/1000)^2+測地線補正!$O$3*(lattice!$N123/1000)+測地線補正!$N$3</f>
        <v>6.2337871031457645E-2</v>
      </c>
      <c r="U123">
        <f t="shared" ref="U123:U124" si="114">ATAN(($P$124-$P$122)/ABS($N$124-$N$122))+24/180*PI()</f>
        <v>6.9063818660897169E-5</v>
      </c>
      <c r="V123">
        <v>0</v>
      </c>
      <c r="W123">
        <f t="shared" ref="W123:W124" si="115">-ATAN(($Q$124-$Q$122)/ABS($N$124-$N$122))</f>
        <v>4.1494714901952896E-5</v>
      </c>
      <c r="X123">
        <f>$Z$123-($Y$123+$Y$121)/2</f>
        <v>157.50876095827897</v>
      </c>
      <c r="Y123">
        <f>_xlfn.XLOOKUP($F123,設計座標!$E$13:$E$2301,設計座標!$L$13:$L$2301," ",0,1)</f>
        <v>160</v>
      </c>
      <c r="Z123">
        <f>SQRT(($M$123-$M$121)^2+($N$123-$N$121)^2+($P$123-$P$121)^2)</f>
        <v>237.50876095827897</v>
      </c>
      <c r="AA123">
        <f>_xlfn.XLOOKUP($G123,magnet_list!$A$2:$A$592,magnet_list!$AJ$2:$AJ$592,"n/a",0,1)</f>
        <v>0.18614150287840159</v>
      </c>
      <c r="AB123">
        <f>_xlfn.XLOOKUP($G123,magnet_list!$A$2:$A$592,magnet_list!$L$2:$L$592,"n/a",0,1)</f>
        <v>44</v>
      </c>
    </row>
    <row r="124" spans="1:33">
      <c r="A124" t="s">
        <v>798</v>
      </c>
      <c r="B124" t="s">
        <v>3810</v>
      </c>
      <c r="C124" t="s">
        <v>805</v>
      </c>
      <c r="D124" t="s">
        <v>806</v>
      </c>
      <c r="F124" t="s">
        <v>515</v>
      </c>
      <c r="G124" t="s">
        <v>2375</v>
      </c>
      <c r="I124">
        <f>_xlfn.XLOOKUP($F124,設計座標!$E$13:$E$2301,設計座標!$G$13:$G$2301,"n/a",0,1)</f>
        <v>6.1080147363740815</v>
      </c>
      <c r="J124">
        <f>_xlfn.XLOOKUP($F124,設計座標!$E$13:$E$2301,設計座標!$H$13:$H$2301,"n/a",0,1)</f>
        <v>50</v>
      </c>
      <c r="K124">
        <f>_xlfn.XLOOKUP($F124,設計座標!$E$13:$E$2301,設計座標!$I$13:$I$2301,"n/a",0,1)</f>
        <v>-1253.24008972</v>
      </c>
      <c r="L124">
        <f>_xlfn.XLOOKUP($F124,設計座標!$E$13:$E$2301,設計座標!$J$13:$J$2301,"n/a",0,1)</f>
        <v>75.206999999999994</v>
      </c>
      <c r="M124" s="2">
        <f>_xlfn.XLOOKUP($F124,survey_data!$A$2:$A$833,survey_data!$B$2:$B$833,"n/a",0,1)</f>
        <v>50.017331300000002</v>
      </c>
      <c r="N124" s="2">
        <f>_xlfn.XLOOKUP($F124,survey_data!$A$2:$A$833,survey_data!$C$2:$C$833,"n/a",0,1)</f>
        <v>-1253.24008972</v>
      </c>
      <c r="O124" s="23">
        <f>_xlfn.XLOOKUP($F124,survey_data!$A$2:$A$833,survey_data!$D$2:$D$833,"n/a",0,1)</f>
        <v>75.104908190000003</v>
      </c>
      <c r="P124" s="1">
        <f t="shared" si="72"/>
        <v>75.24889131533017</v>
      </c>
      <c r="Q124" s="1">
        <f t="shared" si="97"/>
        <v>1.7331300000002159E-2</v>
      </c>
      <c r="R124">
        <f t="shared" si="98"/>
        <v>0</v>
      </c>
      <c r="S124" s="23">
        <f t="shared" si="99"/>
        <v>-0.10209180999999035</v>
      </c>
      <c r="T124">
        <f>$S124+測地線補正!$Q$3*(lattice!$N124/1000)^3+測地線補正!$P$3*(lattice!$N124/1000)^2+測地線補正!$O$3*(lattice!$N124/1000)+測地線補正!$N$3</f>
        <v>4.1891315330175358E-2</v>
      </c>
      <c r="U124">
        <f t="shared" si="114"/>
        <v>6.9063818660897169E-5</v>
      </c>
      <c r="V124">
        <v>0</v>
      </c>
      <c r="W124">
        <f t="shared" si="115"/>
        <v>4.1494714901952896E-5</v>
      </c>
      <c r="X124">
        <f>$Z$123-($Y$123+$Y$121)/2</f>
        <v>157.50876095827897</v>
      </c>
      <c r="Y124">
        <f>_xlfn.XLOOKUP($F124,設計座標!$E$13:$E$2301,設計座標!$L$13:$L$2301," ",0,1)</f>
        <v>160</v>
      </c>
      <c r="Z124">
        <f>SQRT(($M$123-$M$121)^2+($N$123-$N$121)^2+($P$123-$P$121)^2)</f>
        <v>237.50876095827897</v>
      </c>
      <c r="AA124">
        <f>_xlfn.XLOOKUP($G124,magnet_list!$A$2:$A$592,magnet_list!$AJ$2:$AJ$592,"n/a",0,1)</f>
        <v>0.18614150287840159</v>
      </c>
      <c r="AB124">
        <f>_xlfn.XLOOKUP($G124,magnet_list!$A$2:$A$592,magnet_list!$L$2:$L$592,"n/a",0,1)</f>
        <v>44</v>
      </c>
    </row>
    <row r="125" spans="1:33">
      <c r="A125" t="s">
        <v>798</v>
      </c>
      <c r="B125" t="s">
        <v>3810</v>
      </c>
      <c r="C125" t="s">
        <v>805</v>
      </c>
      <c r="D125" t="s">
        <v>806</v>
      </c>
      <c r="F125" t="s">
        <v>516</v>
      </c>
      <c r="G125" t="s">
        <v>2376</v>
      </c>
      <c r="I125">
        <f>_xlfn.XLOOKUP($F125,設計座標!$E$13:$E$2301,設計座標!$G$13:$G$2301,"n/a",0,1)</f>
        <v>6.4570644793099996</v>
      </c>
      <c r="J125">
        <f>_xlfn.XLOOKUP($F125,設計座標!$E$13:$E$2301,設計座標!$H$13:$H$2301,"n/a",0,1)</f>
        <v>-170</v>
      </c>
      <c r="K125">
        <f>_xlfn.XLOOKUP($F125,設計座標!$E$13:$E$2301,設計座標!$I$13:$I$2301,"n/a",0,1)</f>
        <v>-944.99406352999995</v>
      </c>
      <c r="L125">
        <f>_xlfn.XLOOKUP($F125,設計座標!$E$13:$E$2301,設計座標!$J$13:$J$2301,"n/a",0,1)</f>
        <v>-370</v>
      </c>
      <c r="M125" s="2">
        <f>_xlfn.XLOOKUP($F125,survey_data!$A$2:$A$833,survey_data!$B$2:$B$833,"n/a",0,1)</f>
        <v>-170.01522144</v>
      </c>
      <c r="N125" s="2">
        <f>_xlfn.XLOOKUP($F125,survey_data!$A$2:$A$833,survey_data!$C$2:$C$833,"n/a",0,1)</f>
        <v>-944.99406352999995</v>
      </c>
      <c r="O125" s="23">
        <f>_xlfn.XLOOKUP($F125,survey_data!$A$2:$A$833,survey_data!$D$2:$D$833,"n/a",0,1)</f>
        <v>-370.04099323000003</v>
      </c>
      <c r="P125" s="1">
        <f t="shared" si="72"/>
        <v>-369.92590417096244</v>
      </c>
      <c r="Q125" s="1">
        <f t="shared" si="97"/>
        <v>-1.5221440000004804E-2</v>
      </c>
      <c r="R125">
        <f t="shared" si="98"/>
        <v>0</v>
      </c>
      <c r="S125" s="23">
        <f t="shared" si="99"/>
        <v>-4.0993230000026415E-2</v>
      </c>
      <c r="T125">
        <f>$S125+測地線補正!$Q$3*(lattice!$N125/1000)^3+測地線補正!$P$3*(lattice!$N125/1000)^2+測地線補正!$O$3*(lattice!$N125/1000)+測地線補正!$N$3</f>
        <v>7.4095829037547467E-2</v>
      </c>
      <c r="U125">
        <f>ATAN(($P$132-$P$127)/ABS($N$132-$N$127))</f>
        <v>-5.2111493759652342E-5</v>
      </c>
      <c r="V125">
        <v>0</v>
      </c>
      <c r="W125">
        <f>-ATAN(($M$132-$M$127)/ABS($N$132-$N$127))</f>
        <v>3.3200840935382163E-4</v>
      </c>
      <c r="X125">
        <f t="shared" ref="X125:X128" si="116">472.0236-($Y$129+$Y$123)/2</f>
        <v>311.02359999999999</v>
      </c>
      <c r="Y125">
        <f>_xlfn.XLOOKUP($F125,設計座標!$E$13:$E$2301,設計座標!$L$13:$L$2301," ",0,1)</f>
        <v>162</v>
      </c>
      <c r="Z125" t="s">
        <v>3843</v>
      </c>
      <c r="AA125">
        <f>_xlfn.XLOOKUP($G125,magnet_list!$A$2:$A$592,magnet_list!$AJ$2:$AJ$592,"n/a",0,1)</f>
        <v>0.19639999999999999</v>
      </c>
      <c r="AB125">
        <f>_xlfn.XLOOKUP($G125,magnet_list!$A$2:$A$592,magnet_list!$L$2:$L$592,"n/a",0,1)</f>
        <v>25</v>
      </c>
      <c r="AD125" t="s">
        <v>3862</v>
      </c>
      <c r="AG125" t="s">
        <v>3863</v>
      </c>
    </row>
    <row r="126" spans="1:33">
      <c r="A126" t="s">
        <v>798</v>
      </c>
      <c r="B126" t="s">
        <v>3810</v>
      </c>
      <c r="C126" t="s">
        <v>805</v>
      </c>
      <c r="D126" t="s">
        <v>806</v>
      </c>
      <c r="F126" t="s">
        <v>517</v>
      </c>
      <c r="G126" t="s">
        <v>2376</v>
      </c>
      <c r="I126">
        <f>_xlfn.XLOOKUP($F126,設計座標!$E$13:$E$2301,設計座標!$G$13:$G$2301,"n/a",0,1)</f>
        <v>6.4570644793099996</v>
      </c>
      <c r="J126">
        <f>_xlfn.XLOOKUP($F126,設計座標!$E$13:$E$2301,設計座標!$H$13:$H$2301,"n/a",0,1)</f>
        <v>-170</v>
      </c>
      <c r="K126">
        <f>_xlfn.XLOOKUP($F126,設計座標!$E$13:$E$2301,設計座標!$I$13:$I$2301,"n/a",0,1)</f>
        <v>-985.67010755000001</v>
      </c>
      <c r="L126">
        <f>_xlfn.XLOOKUP($F126,設計座標!$E$13:$E$2301,設計座標!$J$13:$J$2301,"n/a",0,1)</f>
        <v>-361.35399999999998</v>
      </c>
      <c r="M126" s="2">
        <f>_xlfn.XLOOKUP($F126,survey_data!$A$2:$A$833,survey_data!$B$2:$B$833,"n/a",0,1)</f>
        <v>-169.99232447</v>
      </c>
      <c r="N126" s="2">
        <f>_xlfn.XLOOKUP($F126,survey_data!$A$2:$A$833,survey_data!$C$2:$C$833,"n/a",0,1)</f>
        <v>-985.67010755000001</v>
      </c>
      <c r="O126" s="23">
        <f>_xlfn.XLOOKUP($F126,survey_data!$A$2:$A$833,survey_data!$D$2:$D$833,"n/a",0,1)</f>
        <v>-361.36529745000001</v>
      </c>
      <c r="P126" s="1">
        <f t="shared" si="72"/>
        <v>-361.24640189631447</v>
      </c>
      <c r="Q126" s="1">
        <f t="shared" si="97"/>
        <v>7.675530000000208E-3</v>
      </c>
      <c r="R126">
        <f t="shared" si="98"/>
        <v>0</v>
      </c>
      <c r="S126" s="23">
        <f t="shared" si="99"/>
        <v>-1.129745000002913E-2</v>
      </c>
      <c r="T126">
        <f>$S126+測地線補正!$Q$3*(lattice!$N126/1000)^3+測地線補正!$P$3*(lattice!$N126/1000)^2+測地線補正!$O$3*(lattice!$N126/1000)+測地線補正!$N$3</f>
        <v>0.1075981036855104</v>
      </c>
      <c r="U126">
        <f t="shared" ref="U126:U132" si="117">ATAN(($P$132-$P$127)/ABS($N$132-$N$127))</f>
        <v>-5.2111493759652342E-5</v>
      </c>
      <c r="V126">
        <v>0</v>
      </c>
      <c r="W126">
        <f t="shared" ref="W126:W132" si="118">-ATAN(($M$132-$M$127)/ABS($N$132-$N$127))</f>
        <v>3.3200840935382163E-4</v>
      </c>
      <c r="X126">
        <f t="shared" si="116"/>
        <v>311.02359999999999</v>
      </c>
      <c r="Y126">
        <f>_xlfn.XLOOKUP($F126,設計座標!$E$13:$E$2301,設計座標!$L$13:$L$2301," ",0,1)</f>
        <v>162</v>
      </c>
      <c r="Z126" t="s">
        <v>3843</v>
      </c>
      <c r="AA126">
        <f>_xlfn.XLOOKUP($G126,magnet_list!$A$2:$A$592,magnet_list!$AJ$2:$AJ$592,"n/a",0,1)</f>
        <v>0.19639999999999999</v>
      </c>
      <c r="AB126">
        <f>_xlfn.XLOOKUP($G126,magnet_list!$A$2:$A$592,magnet_list!$L$2:$L$592,"n/a",0,1)</f>
        <v>25</v>
      </c>
      <c r="AD126" t="s">
        <v>3862</v>
      </c>
    </row>
    <row r="127" spans="1:33">
      <c r="A127" t="s">
        <v>798</v>
      </c>
      <c r="B127" t="s">
        <v>3810</v>
      </c>
      <c r="C127" t="s">
        <v>805</v>
      </c>
      <c r="D127" t="s">
        <v>806</v>
      </c>
      <c r="F127" t="s">
        <v>520</v>
      </c>
      <c r="G127" t="s">
        <v>2376</v>
      </c>
      <c r="I127">
        <f>_xlfn.XLOOKUP($F127,設計座標!$E$13:$E$2301,設計座標!$G$13:$G$2301,"n/a",0,1)</f>
        <v>6.4070715098899997</v>
      </c>
      <c r="J127">
        <f>_xlfn.XLOOKUP($F127,設計座標!$E$13:$E$2301,設計座標!$H$13:$H$2301,"n/a",0,1)</f>
        <v>-170</v>
      </c>
      <c r="K127">
        <f>_xlfn.XLOOKUP($F127,設計座標!$E$13:$E$2301,設計座標!$I$13:$I$2301,"n/a",0,1)</f>
        <v>-994.98209049000002</v>
      </c>
      <c r="L127">
        <f>_xlfn.XLOOKUP($F127,設計座標!$E$13:$E$2301,設計座標!$J$13:$J$2301,"n/a",0,1)</f>
        <v>-270</v>
      </c>
      <c r="M127" s="2">
        <f>_xlfn.XLOOKUP($F127,survey_data!$A$2:$A$833,survey_data!$B$2:$B$833,"n/a",0,1)</f>
        <v>-170.00326808</v>
      </c>
      <c r="N127" s="2">
        <f>_xlfn.XLOOKUP($F127,survey_data!$A$2:$A$833,survey_data!$C$2:$C$833,"n/a",0,1)</f>
        <v>-994.98209049000002</v>
      </c>
      <c r="O127" s="23">
        <f>_xlfn.XLOOKUP($F127,survey_data!$A$2:$A$833,survey_data!$D$2:$D$833,"n/a",0,1)</f>
        <v>-270.02333268000001</v>
      </c>
      <c r="P127" s="1">
        <f t="shared" si="72"/>
        <v>-269.90356543260214</v>
      </c>
      <c r="Q127" s="1">
        <f t="shared" si="97"/>
        <v>-3.2680799999980081E-3</v>
      </c>
      <c r="R127">
        <f t="shared" si="98"/>
        <v>0</v>
      </c>
      <c r="S127" s="23">
        <f t="shared" si="99"/>
        <v>-2.3332680000009987E-2</v>
      </c>
      <c r="T127">
        <f>$S127+測地線補正!$Q$3*(lattice!$N127/1000)^3+測地線補正!$P$3*(lattice!$N127/1000)^2+測地線補正!$O$3*(lattice!$N127/1000)+測地線補正!$N$3</f>
        <v>9.6434567397882087E-2</v>
      </c>
      <c r="U127">
        <f t="shared" si="117"/>
        <v>-5.2111493759652342E-5</v>
      </c>
      <c r="V127">
        <v>0</v>
      </c>
      <c r="W127">
        <f t="shared" si="118"/>
        <v>3.3200840935382163E-4</v>
      </c>
      <c r="X127">
        <f t="shared" si="116"/>
        <v>311.02359999999999</v>
      </c>
      <c r="Y127">
        <f>_xlfn.XLOOKUP($F127,設計座標!$E$13:$E$2301,設計座標!$L$13:$L$2301," ",0,1)</f>
        <v>162</v>
      </c>
      <c r="Z127" t="s">
        <v>3843</v>
      </c>
      <c r="AA127">
        <f>_xlfn.XLOOKUP($G127,magnet_list!$A$2:$A$592,magnet_list!$AJ$2:$AJ$592,"n/a",0,1)</f>
        <v>0.19639999999999999</v>
      </c>
      <c r="AB127">
        <f>_xlfn.XLOOKUP($G127,magnet_list!$A$2:$A$592,magnet_list!$L$2:$L$592,"n/a",0,1)</f>
        <v>25</v>
      </c>
      <c r="AD127" t="s">
        <v>3862</v>
      </c>
    </row>
    <row r="128" spans="1:33">
      <c r="A128" t="s">
        <v>798</v>
      </c>
      <c r="B128" t="s">
        <v>3810</v>
      </c>
      <c r="C128" t="s">
        <v>805</v>
      </c>
      <c r="D128" t="s">
        <v>806</v>
      </c>
      <c r="F128" t="s">
        <v>519</v>
      </c>
      <c r="G128" t="s">
        <v>2376</v>
      </c>
      <c r="I128">
        <f>_xlfn.XLOOKUP($F128,設計座標!$E$13:$E$2301,設計座標!$G$13:$G$2301,"n/a",0,1)</f>
        <v>6.4570644793099996</v>
      </c>
      <c r="J128">
        <f>_xlfn.XLOOKUP($F128,設計座標!$E$13:$E$2301,設計座標!$H$13:$H$2301,"n/a",0,1)</f>
        <v>-170</v>
      </c>
      <c r="K128">
        <f>_xlfn.XLOOKUP($F128,設計座標!$E$13:$E$2301,設計座標!$I$13:$I$2301,"n/a",0,1)</f>
        <v>-944.98912107000001</v>
      </c>
      <c r="L128">
        <f>_xlfn.XLOOKUP($F128,設計座標!$E$13:$E$2301,設計座標!$J$13:$J$2301,"n/a",0,1)</f>
        <v>-270</v>
      </c>
      <c r="M128" s="2">
        <f>_xlfn.XLOOKUP($F128,survey_data!$A$2:$A$833,survey_data!$B$2:$B$833,"n/a",0,1)</f>
        <v>-170.03326478</v>
      </c>
      <c r="N128" s="2">
        <f>_xlfn.XLOOKUP($F128,survey_data!$A$2:$A$833,survey_data!$C$2:$C$833,"n/a",0,1)</f>
        <v>-944.98912107000001</v>
      </c>
      <c r="O128" s="23">
        <f>_xlfn.XLOOKUP($F128,survey_data!$A$2:$A$833,survey_data!$D$2:$D$833,"n/a",0,1)</f>
        <v>-270.03265290000002</v>
      </c>
      <c r="P128" s="1">
        <f t="shared" si="72"/>
        <v>-269.91756430336437</v>
      </c>
      <c r="Q128" s="1">
        <f t="shared" si="97"/>
        <v>-3.3264779999996108E-2</v>
      </c>
      <c r="R128">
        <f t="shared" si="98"/>
        <v>0</v>
      </c>
      <c r="S128" s="23">
        <f t="shared" si="99"/>
        <v>-3.2652900000016416E-2</v>
      </c>
      <c r="T128">
        <f>$S128+測地線補正!$Q$3*(lattice!$N128/1000)^3+測地線補正!$P$3*(lattice!$N128/1000)^2+測地線補正!$O$3*(lattice!$N128/1000)+測地線補正!$N$3</f>
        <v>8.2435696635629205E-2</v>
      </c>
      <c r="U128">
        <f t="shared" si="117"/>
        <v>-5.2111493759652342E-5</v>
      </c>
      <c r="V128">
        <v>0</v>
      </c>
      <c r="W128">
        <f t="shared" si="118"/>
        <v>3.3200840935382163E-4</v>
      </c>
      <c r="X128">
        <f t="shared" si="116"/>
        <v>311.02359999999999</v>
      </c>
      <c r="Y128">
        <f>_xlfn.XLOOKUP($F128,設計座標!$E$13:$E$2301,設計座標!$L$13:$L$2301," ",0,1)</f>
        <v>162</v>
      </c>
      <c r="Z128" t="s">
        <v>3843</v>
      </c>
      <c r="AA128">
        <f>_xlfn.XLOOKUP($G128,magnet_list!$A$2:$A$592,magnet_list!$AJ$2:$AJ$592,"n/a",0,1)</f>
        <v>0.19639999999999999</v>
      </c>
      <c r="AB128">
        <f>_xlfn.XLOOKUP($G128,magnet_list!$A$2:$A$592,magnet_list!$L$2:$L$592,"n/a",0,1)</f>
        <v>25</v>
      </c>
      <c r="AD128" t="s">
        <v>3862</v>
      </c>
    </row>
    <row r="129" spans="1:30">
      <c r="A129" t="s">
        <v>798</v>
      </c>
      <c r="B129" t="s">
        <v>3810</v>
      </c>
      <c r="C129" t="s">
        <v>805</v>
      </c>
      <c r="D129" t="s">
        <v>1152</v>
      </c>
      <c r="E129" t="s">
        <v>804</v>
      </c>
      <c r="F129" t="s">
        <v>1387</v>
      </c>
      <c r="G129" t="s">
        <v>2376</v>
      </c>
      <c r="I129">
        <f>_xlfn.XLOOKUP($F129,設計座標!$E$13:$E$2301,設計座標!$G$13:$G$2301,"n/a",0,1)</f>
        <v>6.4570644793099996</v>
      </c>
      <c r="J129">
        <f>_xlfn.XLOOKUP($F129,設計座標!$E$13:$E$2301,設計座標!$H$13:$H$2301,"n/a",0,1)</f>
        <v>0</v>
      </c>
      <c r="K129">
        <f>_xlfn.XLOOKUP($F129,設計座標!$E$13:$E$2301,設計座標!$I$13:$I$2301,"n/a",0,1)</f>
        <v>-944.98912107000001</v>
      </c>
      <c r="L129">
        <f>_xlfn.XLOOKUP($F129,設計座標!$E$13:$E$2301,設計座標!$J$13:$J$2301,"n/a",0,1)</f>
        <v>-270</v>
      </c>
      <c r="M129" s="2">
        <f t="shared" ref="M129:M130" si="119">$J129+$Q129</f>
        <v>-3.3264779999996108E-2</v>
      </c>
      <c r="N129" s="2">
        <f>K129</f>
        <v>-944.98912107000001</v>
      </c>
      <c r="O129" s="23">
        <f t="shared" ref="O129:O130" si="120">$L129+$S129</f>
        <v>-270.03265290000002</v>
      </c>
      <c r="P129" s="1">
        <f t="shared" si="72"/>
        <v>-269.91756430336437</v>
      </c>
      <c r="Q129" s="1">
        <f>(Q$131-Q$128)/($N$131-$N$128)*($N129-$N$128)+Q$128</f>
        <v>-3.3264779999996108E-2</v>
      </c>
      <c r="R129">
        <f t="shared" si="98"/>
        <v>0</v>
      </c>
      <c r="S129" s="23">
        <f>(S$131-S$128)/($N$131-$N$128)*($N129-$N$128)+S$128</f>
        <v>-3.2652900000016416E-2</v>
      </c>
      <c r="T129">
        <f>$S129+測地線補正!$Q$3*(lattice!$N129/1000)^3+測地線補正!$P$3*(lattice!$N129/1000)^2+測地線補正!$O$3*(lattice!$N129/1000)+測地線補正!$N$3</f>
        <v>8.2435696635629205E-2</v>
      </c>
      <c r="U129">
        <f t="shared" si="117"/>
        <v>-5.2111493759652342E-5</v>
      </c>
      <c r="V129">
        <v>0</v>
      </c>
      <c r="W129">
        <f t="shared" si="118"/>
        <v>3.3200840935382163E-4</v>
      </c>
      <c r="X129">
        <f>472.0236-($Y$129+$Y$123)/2</f>
        <v>311.02359999999999</v>
      </c>
      <c r="Y129">
        <f>_xlfn.XLOOKUP($F129,設計座標!$E$13:$E$2301,設計座標!$L$13:$L$2301," ",0,1)</f>
        <v>162</v>
      </c>
      <c r="Z129" t="s">
        <v>3843</v>
      </c>
      <c r="AA129">
        <f>_xlfn.XLOOKUP($G129,magnet_list!$A$2:$A$592,magnet_list!$AJ$2:$AJ$592,"n/a",0,1)</f>
        <v>0.19639999999999999</v>
      </c>
      <c r="AB129">
        <f>_xlfn.XLOOKUP($G129,magnet_list!$A$2:$A$592,magnet_list!$L$2:$L$592,"n/a",0,1)</f>
        <v>25</v>
      </c>
      <c r="AD129" t="s">
        <v>3862</v>
      </c>
    </row>
    <row r="130" spans="1:30">
      <c r="A130" t="s">
        <v>798</v>
      </c>
      <c r="B130" t="s">
        <v>3810</v>
      </c>
      <c r="C130" t="s">
        <v>805</v>
      </c>
      <c r="D130" t="s">
        <v>1152</v>
      </c>
      <c r="F130" t="s">
        <v>1385</v>
      </c>
      <c r="G130" t="s">
        <v>2376</v>
      </c>
      <c r="I130">
        <f>_xlfn.XLOOKUP($F130,設計座標!$E$13:$E$2301,設計座標!$G$13:$G$2301,"n/a",0,1)</f>
        <v>6.4570644793099996</v>
      </c>
      <c r="J130">
        <f>_xlfn.XLOOKUP($F130,設計座標!$E$13:$E$2301,設計座標!$H$13:$H$2301,"n/a",0,1)</f>
        <v>-170</v>
      </c>
      <c r="K130">
        <f>_xlfn.XLOOKUP($F130,設計座標!$E$13:$E$2301,設計座標!$I$13:$I$2301,"n/a",0,1)</f>
        <v>-944.98912107000001</v>
      </c>
      <c r="L130">
        <f>_xlfn.XLOOKUP($F130,設計座標!$E$13:$E$2301,設計座標!$J$13:$J$2301,"n/a",0,1)</f>
        <v>-170</v>
      </c>
      <c r="M130" s="2">
        <f t="shared" si="119"/>
        <v>-170.03326478</v>
      </c>
      <c r="N130" s="2">
        <f>K130</f>
        <v>-944.98912107000001</v>
      </c>
      <c r="O130" s="23">
        <f t="shared" si="120"/>
        <v>-170.03265290000002</v>
      </c>
      <c r="P130" s="1">
        <f t="shared" si="72"/>
        <v>-169.91756430336437</v>
      </c>
      <c r="Q130" s="1">
        <f>(Q$131-Q$128)/($N$131-$N$128)*($N130-$N$128)+Q$128</f>
        <v>-3.3264779999996108E-2</v>
      </c>
      <c r="R130">
        <f t="shared" si="98"/>
        <v>0</v>
      </c>
      <c r="S130" s="23">
        <f>(S$131-S$128)/($N$131-$N$128)*($N130-$N$128)+S$128</f>
        <v>-3.2652900000016416E-2</v>
      </c>
      <c r="T130">
        <f>$S130+測地線補正!$Q$3*(lattice!$N130/1000)^3+測地線補正!$P$3*(lattice!$N130/1000)^2+測地線補正!$O$3*(lattice!$N130/1000)+測地線補正!$N$3</f>
        <v>8.2435696635629205E-2</v>
      </c>
      <c r="U130">
        <f t="shared" si="117"/>
        <v>-5.2111493759652342E-5</v>
      </c>
      <c r="V130">
        <v>0</v>
      </c>
      <c r="W130">
        <f t="shared" si="118"/>
        <v>3.3200840935382163E-4</v>
      </c>
      <c r="X130">
        <f t="shared" ref="X130:X132" si="121">472.0236-($Y$129+$Y$123)/2</f>
        <v>311.02359999999999</v>
      </c>
      <c r="Y130">
        <f>_xlfn.XLOOKUP($F130,設計座標!$E$13:$E$2301,設計座標!$L$13:$L$2301," ",0,1)</f>
        <v>162</v>
      </c>
      <c r="Z130" t="s">
        <v>3843</v>
      </c>
      <c r="AA130">
        <f>_xlfn.XLOOKUP($G130,magnet_list!$A$2:$A$592,magnet_list!$AJ$2:$AJ$592,"n/a",0,1)</f>
        <v>0.19639999999999999</v>
      </c>
      <c r="AB130">
        <f>_xlfn.XLOOKUP($G130,magnet_list!$A$2:$A$592,magnet_list!$L$2:$L$592,"n/a",0,1)</f>
        <v>25</v>
      </c>
      <c r="AD130" t="s">
        <v>3862</v>
      </c>
    </row>
    <row r="131" spans="1:30">
      <c r="A131" t="s">
        <v>798</v>
      </c>
      <c r="B131" t="s">
        <v>3810</v>
      </c>
      <c r="C131" t="s">
        <v>805</v>
      </c>
      <c r="D131" t="s">
        <v>806</v>
      </c>
      <c r="F131" t="s">
        <v>521</v>
      </c>
      <c r="G131" t="s">
        <v>2376</v>
      </c>
      <c r="I131">
        <f>_xlfn.XLOOKUP($F131,設計座標!$E$13:$E$2301,設計座標!$G$13:$G$2301,"n/a",0,1)</f>
        <v>6.4570644793099996</v>
      </c>
      <c r="J131">
        <f>_xlfn.XLOOKUP($F131,設計座標!$E$13:$E$2301,設計座標!$H$13:$H$2301,"n/a",0,1)</f>
        <v>-170</v>
      </c>
      <c r="K131">
        <f>_xlfn.XLOOKUP($F131,設計座標!$E$13:$E$2301,設計座標!$I$13:$I$2301,"n/a",0,1)</f>
        <v>-904.31562787999997</v>
      </c>
      <c r="L131">
        <f>_xlfn.XLOOKUP($F131,設計座標!$E$13:$E$2301,設計座標!$J$13:$J$2301,"n/a",0,1)</f>
        <v>-178.64600000000002</v>
      </c>
      <c r="M131" s="2">
        <f>_xlfn.XLOOKUP($F131,survey_data!$A$2:$A$833,survey_data!$B$2:$B$833,"n/a",0,1)</f>
        <v>-170.01016568</v>
      </c>
      <c r="N131" s="2">
        <f>_xlfn.XLOOKUP($F131,survey_data!$A$2:$A$833,survey_data!$C$2:$C$833,"n/a",0,1)</f>
        <v>-904.31562787999997</v>
      </c>
      <c r="O131" s="23">
        <f>_xlfn.XLOOKUP($F131,survey_data!$A$2:$A$833,survey_data!$D$2:$D$833,"n/a",0,1)</f>
        <v>-178.66465575000001</v>
      </c>
      <c r="P131" s="1">
        <f t="shared" si="72"/>
        <v>-178.55337148130795</v>
      </c>
      <c r="Q131" s="1">
        <f t="shared" si="97"/>
        <v>-1.0165680000000066E-2</v>
      </c>
      <c r="R131">
        <f t="shared" si="98"/>
        <v>0</v>
      </c>
      <c r="S131" s="23">
        <f t="shared" si="99"/>
        <v>-1.8655749999993532E-2</v>
      </c>
      <c r="T131">
        <f>$S131+測地線補正!$Q$3*(lattice!$N131/1000)^3+測地線補正!$P$3*(lattice!$N131/1000)^2+測地線補正!$O$3*(lattice!$N131/1000)+測地線補正!$N$3</f>
        <v>9.2628518692061623E-2</v>
      </c>
      <c r="U131">
        <f t="shared" si="117"/>
        <v>-5.2111493759652342E-5</v>
      </c>
      <c r="V131">
        <v>0</v>
      </c>
      <c r="W131">
        <f t="shared" si="118"/>
        <v>3.3200840935382163E-4</v>
      </c>
      <c r="X131">
        <f t="shared" si="121"/>
        <v>311.02359999999999</v>
      </c>
      <c r="Y131">
        <f>_xlfn.XLOOKUP($F131,設計座標!$E$13:$E$2301,設計座標!$L$13:$L$2301," ",0,1)</f>
        <v>162</v>
      </c>
      <c r="Z131" t="s">
        <v>3843</v>
      </c>
      <c r="AA131">
        <f>_xlfn.XLOOKUP($G131,magnet_list!$A$2:$A$592,magnet_list!$AJ$2:$AJ$592,"n/a",0,1)</f>
        <v>0.19639999999999999</v>
      </c>
      <c r="AB131">
        <f>_xlfn.XLOOKUP($G131,magnet_list!$A$2:$A$592,magnet_list!$L$2:$L$592,"n/a",0,1)</f>
        <v>25</v>
      </c>
      <c r="AD131" t="s">
        <v>3862</v>
      </c>
    </row>
    <row r="132" spans="1:30">
      <c r="A132" t="s">
        <v>798</v>
      </c>
      <c r="B132" t="s">
        <v>3810</v>
      </c>
      <c r="C132" t="s">
        <v>805</v>
      </c>
      <c r="D132" t="s">
        <v>806</v>
      </c>
      <c r="F132" t="s">
        <v>518</v>
      </c>
      <c r="G132" t="s">
        <v>2376</v>
      </c>
      <c r="I132">
        <f>_xlfn.XLOOKUP($F132,設計座標!$E$13:$E$2301,設計座標!$G$13:$G$2301,"n/a",0,1)</f>
        <v>6.5070542447999999</v>
      </c>
      <c r="J132">
        <f>_xlfn.XLOOKUP($F132,設計座標!$E$13:$E$2301,設計座標!$H$13:$H$2301,"n/a",0,1)</f>
        <v>-170</v>
      </c>
      <c r="K132">
        <f>_xlfn.XLOOKUP($F132,設計座標!$E$13:$E$2301,設計座標!$I$13:$I$2301,"n/a",0,1)</f>
        <v>-894.99935558000004</v>
      </c>
      <c r="L132">
        <f>_xlfn.XLOOKUP($F132,設計座標!$E$13:$E$2301,設計座標!$J$13:$J$2301,"n/a",0,1)</f>
        <v>-270</v>
      </c>
      <c r="M132" s="2">
        <f>_xlfn.XLOOKUP($F132,survey_data!$A$2:$A$833,survey_data!$B$2:$B$833,"n/a",0,1)</f>
        <v>-170.03646319000001</v>
      </c>
      <c r="N132" s="2">
        <f>_xlfn.XLOOKUP($F132,survey_data!$A$2:$A$833,survey_data!$C$2:$C$833,"n/a",0,1)</f>
        <v>-894.99935558000004</v>
      </c>
      <c r="O132" s="23">
        <f>_xlfn.XLOOKUP($F132,survey_data!$A$2:$A$833,survey_data!$D$2:$D$833,"n/a",0,1)</f>
        <v>-270.01918884000003</v>
      </c>
      <c r="P132" s="1">
        <f t="shared" si="72"/>
        <v>-269.90877568227319</v>
      </c>
      <c r="Q132" s="1">
        <f t="shared" si="97"/>
        <v>-3.6463190000006307E-2</v>
      </c>
      <c r="R132">
        <f t="shared" si="98"/>
        <v>0</v>
      </c>
      <c r="S132" s="23">
        <f t="shared" si="99"/>
        <v>-1.918884000002663E-2</v>
      </c>
      <c r="T132">
        <f>$S132+測地線補正!$Q$3*(lattice!$N132/1000)^3+測地線補正!$P$3*(lattice!$N132/1000)^2+測地線補正!$O$3*(lattice!$N132/1000)+測地線補正!$N$3</f>
        <v>9.1224317726809404E-2</v>
      </c>
      <c r="U132">
        <f t="shared" si="117"/>
        <v>-5.2111493759652342E-5</v>
      </c>
      <c r="V132">
        <v>0</v>
      </c>
      <c r="W132">
        <f t="shared" si="118"/>
        <v>3.3200840935382163E-4</v>
      </c>
      <c r="X132">
        <f t="shared" si="121"/>
        <v>311.02359999999999</v>
      </c>
      <c r="Y132">
        <f>_xlfn.XLOOKUP($F132,設計座標!$E$13:$E$2301,設計座標!$L$13:$L$2301," ",0,1)</f>
        <v>162</v>
      </c>
      <c r="Z132" t="s">
        <v>3843</v>
      </c>
      <c r="AA132">
        <f>_xlfn.XLOOKUP($G132,magnet_list!$A$2:$A$592,magnet_list!$AJ$2:$AJ$592,"n/a",0,1)</f>
        <v>0.19639999999999999</v>
      </c>
      <c r="AB132">
        <f>_xlfn.XLOOKUP($G132,magnet_list!$A$2:$A$592,magnet_list!$L$2:$L$592,"n/a",0,1)</f>
        <v>25</v>
      </c>
      <c r="AD132" t="s">
        <v>3862</v>
      </c>
    </row>
    <row r="133" spans="1:30">
      <c r="A133" t="s">
        <v>797</v>
      </c>
      <c r="B133" t="s">
        <v>3810</v>
      </c>
      <c r="C133" t="s">
        <v>1152</v>
      </c>
      <c r="D133" t="s">
        <v>1152</v>
      </c>
      <c r="E133" t="s">
        <v>804</v>
      </c>
      <c r="F133" t="s">
        <v>1937</v>
      </c>
      <c r="G133" t="s">
        <v>1937</v>
      </c>
      <c r="I133">
        <f>_xlfn.XLOOKUP($F133,設計座標!$E$13:$E$2301,設計座標!$G$13:$G$2301,"n/a",0,1)</f>
        <v>6.7000624793099997</v>
      </c>
      <c r="J133">
        <f>_xlfn.XLOOKUP($F133,設計座標!$E$13:$E$2301,設計座標!$H$13:$H$2301,"n/a",0,1)</f>
        <v>0</v>
      </c>
      <c r="K133">
        <f>_xlfn.XLOOKUP($F133,設計座標!$E$13:$E$2301,設計座標!$I$13:$I$2301,"n/a",0,1)</f>
        <v>-701.99112106999996</v>
      </c>
      <c r="L133">
        <f>_xlfn.XLOOKUP($F133,設計座標!$E$13:$E$2301,設計座標!$J$13:$J$2301,"n/a",0,1)</f>
        <v>-270</v>
      </c>
      <c r="M133" s="2">
        <f>$J133+$Q133</f>
        <v>-1.3677503737160236E-2</v>
      </c>
      <c r="N133" s="2">
        <f>$K133</f>
        <v>-701.99112106999996</v>
      </c>
      <c r="O133" s="23">
        <f>$L133+$S133</f>
        <v>-270.03915464776151</v>
      </c>
      <c r="P133" s="1">
        <f t="shared" si="72"/>
        <v>-269.94676588086094</v>
      </c>
      <c r="Q133" s="1">
        <f>(Q$134-Q$132)/($N$134-$N$132)*($N133-$N$132)+Q$132</f>
        <v>-1.3677503737160236E-2</v>
      </c>
      <c r="R133">
        <f t="shared" si="98"/>
        <v>0</v>
      </c>
      <c r="S133" s="23">
        <f>(S$134-S$132)/($N$134-$N$132)*($N133-$N$132)+S$132</f>
        <v>-3.9154647761508052E-2</v>
      </c>
      <c r="T133">
        <f>$S133+測地線補正!$Q$3*(lattice!$N133/1000)^3+測地線補正!$P$3*(lattice!$N133/1000)^2+測地線補正!$O$3*(lattice!$N133/1000)+測地線補正!$N$3</f>
        <v>5.3234119139043301E-2</v>
      </c>
      <c r="U133">
        <v>0</v>
      </c>
      <c r="V133">
        <v>0</v>
      </c>
      <c r="W133">
        <v>0</v>
      </c>
      <c r="X133">
        <f>$Z$133-($Y$133+$Y$129)/2</f>
        <v>161.99800078943326</v>
      </c>
      <c r="Y133">
        <f>_xlfn.XLOOKUP($F133,設計座標!$E$13:$E$2301,設計座標!$L$13:$L$2301," ",0,1)</f>
        <v>0</v>
      </c>
      <c r="Z133">
        <f>SQRT(($M$133-$M$129)^2+($N$133-$N$129)^2)</f>
        <v>242.99800078943326</v>
      </c>
    </row>
    <row r="134" spans="1:30">
      <c r="A134" t="s">
        <v>797</v>
      </c>
      <c r="B134" t="s">
        <v>3810</v>
      </c>
      <c r="C134" t="s">
        <v>805</v>
      </c>
      <c r="D134" t="s">
        <v>806</v>
      </c>
      <c r="F134" t="s">
        <v>2</v>
      </c>
      <c r="G134" t="s">
        <v>2377</v>
      </c>
      <c r="I134">
        <f>_xlfn.XLOOKUP($F134,設計座標!$E$13:$E$2301,設計座標!$G$13:$G$2301,"n/a",0,1)</f>
        <v>6.8818759590399994</v>
      </c>
      <c r="J134">
        <f>_xlfn.XLOOKUP($F134,設計座標!$E$13:$E$2301,設計座標!$H$13:$H$2301,"n/a",0,1)</f>
        <v>0</v>
      </c>
      <c r="K134">
        <f>_xlfn.XLOOKUP($F134,設計座標!$E$13:$E$2301,設計座標!$I$13:$I$2301,"n/a",0,1)</f>
        <v>-520.17764134000004</v>
      </c>
      <c r="L134">
        <f>_xlfn.XLOOKUP($F134,設計座標!$E$13:$E$2301,設計座標!$J$13:$J$2301,"n/a",0,1)</f>
        <v>0</v>
      </c>
      <c r="M134" s="2">
        <f>_xlfn.XLOOKUP($F134,survey_data!$A$2:$A$833,survey_data!$B$2:$B$833,"n/a",0,1)</f>
        <v>7.7865800000000004E-3</v>
      </c>
      <c r="N134" s="2">
        <f>_xlfn.XLOOKUP($F134,survey_data!$A$2:$A$833,survey_data!$C$2:$C$833,"n/a",0,1)</f>
        <v>-520.17764134000004</v>
      </c>
      <c r="O134" s="23">
        <f>_xlfn.XLOOKUP($F134,survey_data!$A$2:$A$833,survey_data!$D$2:$D$833,"n/a",0,1)</f>
        <v>-5.7962409999999999E-2</v>
      </c>
      <c r="P134" s="1">
        <f t="shared" si="72"/>
        <v>1.7486908154211871E-2</v>
      </c>
      <c r="Q134" s="1">
        <f t="shared" si="97"/>
        <v>7.7865800000000004E-3</v>
      </c>
      <c r="R134">
        <f t="shared" si="98"/>
        <v>0</v>
      </c>
      <c r="S134" s="23">
        <f t="shared" si="99"/>
        <v>-5.7962409999999999E-2</v>
      </c>
      <c r="T134">
        <f>$S134+測地線補正!$Q$3*(lattice!$N134/1000)^3+測地線補正!$P$3*(lattice!$N134/1000)^2+測地線補正!$O$3*(lattice!$N134/1000)+測地線補正!$N$3</f>
        <v>1.7486908154211871E-2</v>
      </c>
      <c r="U134">
        <f>ATAN(($P$136-$P$134)/ABS($N$136-$N$134))</f>
        <v>7.2096632081728425E-5</v>
      </c>
      <c r="V134">
        <v>0</v>
      </c>
      <c r="W134">
        <f>-ATAN(($M$136-$M$134)/ABS($N$136-$N$134))</f>
        <v>2.0691939156611928E-4</v>
      </c>
      <c r="X134">
        <f>$Z$135-($Y$135+$Y$133)/2</f>
        <v>171.80274559215854</v>
      </c>
      <c r="Y134">
        <f>_xlfn.XLOOKUP($F134,設計座標!$E$13:$E$2301,設計座標!$L$13:$L$2301," ",0,1)</f>
        <v>100</v>
      </c>
      <c r="Z134">
        <f>SQRT(($M$135-$M$133)^2+($N$135-$N$133)^2)</f>
        <v>221.80274559215854</v>
      </c>
      <c r="AA134">
        <f>_xlfn.XLOOKUP($G134,magnet_list!$A$2:$A$592,magnet_list!$AJ$2:$AJ$592,"n/a",0,1)</f>
        <v>0.122352</v>
      </c>
      <c r="AB134">
        <f>_xlfn.XLOOKUP($G134,magnet_list!$A$2:$A$592,magnet_list!$L$2:$L$592,"n/a",0,1)</f>
        <v>39</v>
      </c>
    </row>
    <row r="135" spans="1:30">
      <c r="A135" t="s">
        <v>797</v>
      </c>
      <c r="B135" t="s">
        <v>3810</v>
      </c>
      <c r="C135" t="s">
        <v>805</v>
      </c>
      <c r="D135" t="s">
        <v>1152</v>
      </c>
      <c r="E135" t="s">
        <v>804</v>
      </c>
      <c r="F135" t="s">
        <v>523</v>
      </c>
      <c r="G135" t="s">
        <v>2377</v>
      </c>
      <c r="I135">
        <f>_xlfn.XLOOKUP($F135,設計座標!$E$13:$E$2301,設計座標!$G$13:$G$2301,"n/a",0,1)</f>
        <v>6.9218652245099994</v>
      </c>
      <c r="J135">
        <f>_xlfn.XLOOKUP($F135,設計座標!$E$13:$E$2301,設計座標!$H$13:$H$2301,"n/a",0,1)</f>
        <v>0</v>
      </c>
      <c r="K135">
        <f>_xlfn.XLOOKUP($F135,設計座標!$E$13:$E$2301,設計座標!$I$13:$I$2301,"n/a",0,1)</f>
        <v>-480.18837586999996</v>
      </c>
      <c r="L135">
        <f>_xlfn.XLOOKUP($F135,設計座標!$E$13:$E$2301,設計座標!$J$13:$J$2301,"n/a",0,1)</f>
        <v>0</v>
      </c>
      <c r="M135" s="2">
        <f>$J135+$Q135</f>
        <v>-4.8797459832187421E-4</v>
      </c>
      <c r="N135" s="2">
        <f>$K135</f>
        <v>-480.18837586999996</v>
      </c>
      <c r="O135" s="23">
        <f>$L135+$S135</f>
        <v>-5.1359592378562004E-2</v>
      </c>
      <c r="P135" s="1">
        <f t="shared" si="72"/>
        <v>2.0369076854844358E-2</v>
      </c>
      <c r="Q135" s="1">
        <f>(Q$136-Q$134)/($N$136-$N$134)*($N135-$N$134)+Q$134</f>
        <v>-4.8797459832187421E-4</v>
      </c>
      <c r="R135">
        <f t="shared" si="98"/>
        <v>0</v>
      </c>
      <c r="S135" s="23">
        <f>(S$136-S$134)/($N$136-$N$134)*($N135-$N$134)+S$134</f>
        <v>-5.1359592378562004E-2</v>
      </c>
      <c r="T135">
        <f>$S135+測地線補正!$Q$3*(lattice!$N135/1000)^3+測地線補正!$P$3*(lattice!$N135/1000)^2+測地線補正!$O$3*(lattice!$N135/1000)+測地線補正!$N$3</f>
        <v>2.0369076854844358E-2</v>
      </c>
      <c r="U135">
        <f t="shared" ref="U135:U136" si="122">ATAN(($P$136-$P$134)/ABS($N$136-$N$134))</f>
        <v>7.2096632081728425E-5</v>
      </c>
      <c r="V135">
        <v>0</v>
      </c>
      <c r="W135">
        <f t="shared" ref="W135:W136" si="123">-ATAN(($M$136-$M$134)/ABS($N$136-$N$134))</f>
        <v>2.0691939156611928E-4</v>
      </c>
      <c r="X135">
        <f>$Z$135-($Y$135+$Y$133)/2</f>
        <v>171.80274559215854</v>
      </c>
      <c r="Y135">
        <f>_xlfn.XLOOKUP($F135,設計座標!$E$13:$E$2301,設計座標!$L$13:$L$2301," ",0,1)</f>
        <v>100</v>
      </c>
      <c r="Z135">
        <f>SQRT(($M$135-$M$133)^2+($N$135-$N$133)^2)</f>
        <v>221.80274559215854</v>
      </c>
      <c r="AA135">
        <f>_xlfn.XLOOKUP($G135,magnet_list!$A$2:$A$592,magnet_list!$AJ$2:$AJ$592,"n/a",0,1)</f>
        <v>0.122352</v>
      </c>
      <c r="AB135">
        <f>_xlfn.XLOOKUP($G135,magnet_list!$A$2:$A$592,magnet_list!$L$2:$L$592,"n/a",0,1)</f>
        <v>39</v>
      </c>
    </row>
    <row r="136" spans="1:30">
      <c r="A136" t="s">
        <v>797</v>
      </c>
      <c r="B136" t="s">
        <v>3810</v>
      </c>
      <c r="C136" t="s">
        <v>805</v>
      </c>
      <c r="D136" t="s">
        <v>806</v>
      </c>
      <c r="F136" t="s">
        <v>3</v>
      </c>
      <c r="G136" t="s">
        <v>2377</v>
      </c>
      <c r="I136">
        <f>_xlfn.XLOOKUP($F136,設計座標!$E$13:$E$2301,設計座標!$G$13:$G$2301,"n/a",0,1)</f>
        <v>6.9618637245099997</v>
      </c>
      <c r="J136">
        <f>_xlfn.XLOOKUP($F136,設計座標!$E$13:$E$2301,設計座標!$H$13:$H$2301,"n/a",0,1)</f>
        <v>0</v>
      </c>
      <c r="K136">
        <f>_xlfn.XLOOKUP($F136,設計座標!$E$13:$E$2301,設計座標!$I$13:$I$2301,"n/a",0,1)</f>
        <v>-440.18987586999998</v>
      </c>
      <c r="L136">
        <f>_xlfn.XLOOKUP($F136,設計座標!$E$13:$E$2301,設計座標!$J$13:$J$2301,"n/a",0,1)</f>
        <v>0</v>
      </c>
      <c r="M136" s="2">
        <f>_xlfn.XLOOKUP($F136,survey_data!$A$2:$A$833,survey_data!$B$2:$B$833,"n/a",0,1)</f>
        <v>-8.7644400000000001E-3</v>
      </c>
      <c r="N136" s="2">
        <f>_xlfn.XLOOKUP($F136,survey_data!$A$2:$A$833,survey_data!$C$2:$C$833,"n/a",0,1)</f>
        <v>-440.18987586999998</v>
      </c>
      <c r="O136" s="23">
        <f>_xlfn.XLOOKUP($F136,survey_data!$A$2:$A$833,survey_data!$D$2:$D$833,"n/a",0,1)</f>
        <v>-4.4755250000000003E-2</v>
      </c>
      <c r="P136" s="1">
        <f t="shared" si="72"/>
        <v>2.3253756662333928E-2</v>
      </c>
      <c r="Q136" s="1">
        <f t="shared" si="97"/>
        <v>-8.7644400000000001E-3</v>
      </c>
      <c r="R136">
        <f t="shared" si="98"/>
        <v>0</v>
      </c>
      <c r="S136" s="23">
        <f t="shared" si="99"/>
        <v>-4.4755250000000003E-2</v>
      </c>
      <c r="T136">
        <f>$S136+測地線補正!$Q$3*(lattice!$N136/1000)^3+測地線補正!$P$3*(lattice!$N136/1000)^2+測地線補正!$O$3*(lattice!$N136/1000)+測地線補正!$N$3</f>
        <v>2.3253756662333928E-2</v>
      </c>
      <c r="U136">
        <f t="shared" si="122"/>
        <v>7.2096632081728425E-5</v>
      </c>
      <c r="V136">
        <v>0</v>
      </c>
      <c r="W136">
        <f t="shared" si="123"/>
        <v>2.0691939156611928E-4</v>
      </c>
      <c r="X136">
        <f>$Z$135-($Y$135+$Y$133)/2</f>
        <v>171.80274559215854</v>
      </c>
      <c r="Y136">
        <f>_xlfn.XLOOKUP($F136,設計座標!$E$13:$E$2301,設計座標!$L$13:$L$2301," ",0,1)</f>
        <v>100</v>
      </c>
      <c r="Z136">
        <f>SQRT(($M$135-$M$133)^2+($N$135-$N$133)^2)</f>
        <v>221.80274559215854</v>
      </c>
      <c r="AA136">
        <f>_xlfn.XLOOKUP($G136,magnet_list!$A$2:$A$592,magnet_list!$AJ$2:$AJ$592,"n/a",0,1)</f>
        <v>0.122352</v>
      </c>
      <c r="AB136">
        <f>_xlfn.XLOOKUP($G136,magnet_list!$A$2:$A$592,magnet_list!$L$2:$L$592,"n/a",0,1)</f>
        <v>39</v>
      </c>
    </row>
    <row r="137" spans="1:30">
      <c r="A137" t="s">
        <v>797</v>
      </c>
      <c r="B137" t="s">
        <v>3810</v>
      </c>
      <c r="C137" t="s">
        <v>805</v>
      </c>
      <c r="D137" t="s">
        <v>806</v>
      </c>
      <c r="F137" t="s">
        <v>4</v>
      </c>
      <c r="G137" t="s">
        <v>2378</v>
      </c>
      <c r="I137">
        <f>_xlfn.XLOOKUP($F137,設計座標!$E$13:$E$2301,設計座標!$G$13:$G$2301,"n/a",0,1)</f>
        <v>7.1220442875199996</v>
      </c>
      <c r="J137">
        <f>_xlfn.XLOOKUP($F137,設計座標!$E$13:$E$2301,設計座標!$H$13:$H$2301,"n/a",0,1)</f>
        <v>0</v>
      </c>
      <c r="K137">
        <f>_xlfn.XLOOKUP($F137,設計座標!$E$13:$E$2301,設計座標!$I$13:$I$2301,"n/a",0,1)</f>
        <v>-280.00931286000002</v>
      </c>
      <c r="L137">
        <f>_xlfn.XLOOKUP($F137,設計座標!$E$13:$E$2301,設計座標!$J$13:$J$2301,"n/a",0,1)</f>
        <v>0</v>
      </c>
      <c r="M137" s="2">
        <f>_xlfn.XLOOKUP($F137,survey_data!$A$2:$A$833,survey_data!$B$2:$B$833,"n/a",0,1)</f>
        <v>0.10666307999999999</v>
      </c>
      <c r="N137" s="2">
        <f>_xlfn.XLOOKUP($F137,survey_data!$A$2:$A$833,survey_data!$C$2:$C$833,"n/a",0,1)</f>
        <v>-280.00931286000002</v>
      </c>
      <c r="O137" s="23">
        <f>_xlfn.XLOOKUP($F137,survey_data!$A$2:$A$833,survey_data!$D$2:$D$833,"n/a",0,1)</f>
        <v>-2.6681119999999999E-2</v>
      </c>
      <c r="P137" s="1">
        <f t="shared" si="72"/>
        <v>2.6450351324182973E-2</v>
      </c>
      <c r="Q137" s="1">
        <f t="shared" si="97"/>
        <v>0.10666307999999999</v>
      </c>
      <c r="R137">
        <f t="shared" si="98"/>
        <v>0</v>
      </c>
      <c r="S137" s="23">
        <f t="shared" si="99"/>
        <v>-2.6681119999999999E-2</v>
      </c>
      <c r="T137">
        <f>$S137+測地線補正!$Q$3*(lattice!$N137/1000)^3+測地線補正!$P$3*(lattice!$N137/1000)^2+測地線補正!$O$3*(lattice!$N137/1000)+測地線補正!$N$3</f>
        <v>2.6450351324182973E-2</v>
      </c>
      <c r="U137">
        <f>ATAN(($P$139-$P$137)/ABS($N$139-$N$137))</f>
        <v>1.0286717622275272E-4</v>
      </c>
      <c r="V137">
        <v>0</v>
      </c>
      <c r="W137">
        <f>-ATAN(($M$139-$M$137)/ABS($N$139-$N$137))</f>
        <v>9.4415995456908087E-4</v>
      </c>
      <c r="X137">
        <f>$Z$138-($Y$138+$Y$135)/2</f>
        <v>140.21275458157729</v>
      </c>
      <c r="Y137">
        <f>_xlfn.XLOOKUP($F137,設計座標!$E$13:$E$2301,設計座標!$L$13:$L$2301," ",0,1)</f>
        <v>100</v>
      </c>
      <c r="Z137">
        <f>SQRT(($M$138-$M$135)^2+($N$138-$N$135)^2)</f>
        <v>240.21275458157729</v>
      </c>
      <c r="AA137">
        <f>_xlfn.XLOOKUP($G137,magnet_list!$A$2:$A$592,magnet_list!$AJ$2:$AJ$592,"n/a",0,1)</f>
        <v>0.122352</v>
      </c>
      <c r="AB137">
        <f>_xlfn.XLOOKUP($G137,magnet_list!$A$2:$A$592,magnet_list!$L$2:$L$592,"n/a",0,1)</f>
        <v>39</v>
      </c>
    </row>
    <row r="138" spans="1:30">
      <c r="A138" t="s">
        <v>797</v>
      </c>
      <c r="B138" t="s">
        <v>3810</v>
      </c>
      <c r="C138" t="s">
        <v>805</v>
      </c>
      <c r="D138" t="s">
        <v>1152</v>
      </c>
      <c r="E138" t="s">
        <v>804</v>
      </c>
      <c r="F138" t="s">
        <v>524</v>
      </c>
      <c r="G138" t="s">
        <v>2378</v>
      </c>
      <c r="I138">
        <f>_xlfn.XLOOKUP($F138,設計座標!$E$13:$E$2301,設計座標!$G$13:$G$2301,"n/a",0,1)</f>
        <v>7.1620779690799994</v>
      </c>
      <c r="J138">
        <f>_xlfn.XLOOKUP($F138,設計座標!$E$13:$E$2301,設計座標!$H$13:$H$2301,"n/a",0,1)</f>
        <v>0</v>
      </c>
      <c r="K138">
        <f>_xlfn.XLOOKUP($F138,設計座標!$E$13:$E$2301,設計座標!$I$13:$I$2301,"n/a",0,1)</f>
        <v>-239.9756313</v>
      </c>
      <c r="L138">
        <f>_xlfn.XLOOKUP($F138,設計座標!$E$13:$E$2301,設計座標!$J$13:$J$2301,"n/a",0,1)</f>
        <v>0</v>
      </c>
      <c r="M138" s="2">
        <f>$J138+$Q138</f>
        <v>6.8864869805489448E-2</v>
      </c>
      <c r="N138" s="2">
        <f>$K138</f>
        <v>-239.9756313</v>
      </c>
      <c r="O138" s="23">
        <f>$L138+$S138</f>
        <v>-1.8850175304564024E-2</v>
      </c>
      <c r="P138" s="1">
        <f t="shared" si="72"/>
        <v>3.0567584116912867E-2</v>
      </c>
      <c r="Q138" s="1">
        <f>(Q$139-Q$137)/($N$139-$N$137)*($N138-$N$137)+Q$137</f>
        <v>6.8864869805489448E-2</v>
      </c>
      <c r="R138">
        <f t="shared" si="98"/>
        <v>0</v>
      </c>
      <c r="S138" s="23">
        <f>(S$139-S$137)/($N$139-$N$137)*($N138-$N$137)+S$137</f>
        <v>-1.8850175304564024E-2</v>
      </c>
      <c r="T138">
        <f>$S138+測地線補正!$Q$3*(lattice!$N138/1000)^3+測地線補正!$P$3*(lattice!$N138/1000)^2+測地線補正!$O$3*(lattice!$N138/1000)+測地線補正!$N$3</f>
        <v>3.0567584116912867E-2</v>
      </c>
      <c r="U138">
        <f t="shared" ref="U138:U139" si="124">ATAN(($P$139-$P$137)/ABS($N$139-$N$137))</f>
        <v>1.0286717622275272E-4</v>
      </c>
      <c r="V138">
        <v>0</v>
      </c>
      <c r="W138">
        <f t="shared" ref="W138:W139" si="125">-ATAN(($M$139-$M$137)/ABS($N$139-$N$137))</f>
        <v>9.4415995456908087E-4</v>
      </c>
      <c r="X138">
        <f>$Z$138-($Y$138+$Y$135)/2</f>
        <v>140.21275458157729</v>
      </c>
      <c r="Y138">
        <f>_xlfn.XLOOKUP($F138,設計座標!$E$13:$E$2301,設計座標!$L$13:$L$2301," ",0,1)</f>
        <v>100</v>
      </c>
      <c r="Z138">
        <f>SQRT(($M$138-$M$135)^2+($N$138-$N$135)^2)</f>
        <v>240.21275458157729</v>
      </c>
      <c r="AA138">
        <f>_xlfn.XLOOKUP($G138,magnet_list!$A$2:$A$592,magnet_list!$AJ$2:$AJ$592,"n/a",0,1)</f>
        <v>0.122352</v>
      </c>
      <c r="AB138">
        <f>_xlfn.XLOOKUP($G138,magnet_list!$A$2:$A$592,magnet_list!$L$2:$L$592,"n/a",0,1)</f>
        <v>39</v>
      </c>
    </row>
    <row r="139" spans="1:30">
      <c r="A139" t="s">
        <v>797</v>
      </c>
      <c r="B139" t="s">
        <v>3810</v>
      </c>
      <c r="C139" t="s">
        <v>805</v>
      </c>
      <c r="D139" t="s">
        <v>806</v>
      </c>
      <c r="F139" t="s">
        <v>5</v>
      </c>
      <c r="G139" t="s">
        <v>2378</v>
      </c>
      <c r="I139">
        <f>_xlfn.XLOOKUP($F139,設計座標!$E$13:$E$2301,設計座標!$G$13:$G$2301,"n/a",0,1)</f>
        <v>7.2020804690799993</v>
      </c>
      <c r="J139">
        <f>_xlfn.XLOOKUP($F139,設計座標!$E$13:$E$2301,設計座標!$H$13:$H$2301,"n/a",0,1)</f>
        <v>0</v>
      </c>
      <c r="K139">
        <f>_xlfn.XLOOKUP($F139,設計座標!$E$13:$E$2301,設計座標!$I$13:$I$2301,"n/a",0,1)</f>
        <v>-199.97313130000001</v>
      </c>
      <c r="L139">
        <f>_xlfn.XLOOKUP($F139,設計座標!$E$13:$E$2301,設計座標!$J$13:$J$2301,"n/a",0,1)</f>
        <v>0</v>
      </c>
      <c r="M139" s="2">
        <f>_xlfn.XLOOKUP($F139,survey_data!$A$2:$A$833,survey_data!$B$2:$B$833,"n/a",0,1)</f>
        <v>3.1096100000000002E-2</v>
      </c>
      <c r="N139" s="2">
        <f>_xlfn.XLOOKUP($F139,survey_data!$A$2:$A$833,survey_data!$C$2:$C$833,"n/a",0,1)</f>
        <v>-199.97313130000001</v>
      </c>
      <c r="O139" s="23">
        <f>_xlfn.XLOOKUP($F139,survey_data!$A$2:$A$833,survey_data!$D$2:$D$833,"n/a",0,1)</f>
        <v>-1.102533E-2</v>
      </c>
      <c r="P139" s="1">
        <f t="shared" si="72"/>
        <v>3.4683447345951655E-2</v>
      </c>
      <c r="Q139" s="1">
        <f t="shared" si="97"/>
        <v>3.1096100000000002E-2</v>
      </c>
      <c r="R139">
        <f t="shared" si="98"/>
        <v>0</v>
      </c>
      <c r="S139" s="23">
        <f t="shared" si="99"/>
        <v>-1.102533E-2</v>
      </c>
      <c r="T139">
        <f>$S139+測地線補正!$Q$3*(lattice!$N139/1000)^3+測地線補正!$P$3*(lattice!$N139/1000)^2+測地線補正!$O$3*(lattice!$N139/1000)+測地線補正!$N$3</f>
        <v>3.4683447345951655E-2</v>
      </c>
      <c r="U139">
        <f t="shared" si="124"/>
        <v>1.0286717622275272E-4</v>
      </c>
      <c r="V139">
        <v>0</v>
      </c>
      <c r="W139">
        <f t="shared" si="125"/>
        <v>9.4415995456908087E-4</v>
      </c>
      <c r="X139">
        <f>$Z$138-($Y$138+$Y$135)/2</f>
        <v>140.21275458157729</v>
      </c>
      <c r="Y139">
        <f>_xlfn.XLOOKUP($F139,設計座標!$E$13:$E$2301,設計座標!$L$13:$L$2301," ",0,1)</f>
        <v>100</v>
      </c>
      <c r="Z139">
        <f>SQRT(($M$138-$M$135)^2+($N$138-$N$135)^2)</f>
        <v>240.21275458157729</v>
      </c>
      <c r="AA139">
        <f>_xlfn.XLOOKUP($G139,magnet_list!$A$2:$A$592,magnet_list!$AJ$2:$AJ$592,"n/a",0,1)</f>
        <v>0.122352</v>
      </c>
      <c r="AB139">
        <f>_xlfn.XLOOKUP($G139,magnet_list!$A$2:$A$592,magnet_list!$L$2:$L$592,"n/a",0,1)</f>
        <v>39</v>
      </c>
    </row>
    <row r="140" spans="1:30">
      <c r="A140" t="s">
        <v>797</v>
      </c>
      <c r="B140" t="s">
        <v>3810</v>
      </c>
      <c r="C140" t="s">
        <v>805</v>
      </c>
      <c r="D140" t="s">
        <v>806</v>
      </c>
      <c r="E140" t="s">
        <v>804</v>
      </c>
      <c r="F140" t="s">
        <v>6</v>
      </c>
      <c r="G140" t="s">
        <v>6</v>
      </c>
      <c r="I140">
        <f>_xlfn.XLOOKUP($F140,設計座標!$E$13:$E$2301,設計座標!$G$13:$G$2301,"n/a",0,1)</f>
        <v>7.4020536003799995</v>
      </c>
      <c r="J140">
        <f>_xlfn.XLOOKUP($F140,設計座標!$E$13:$E$2301,設計座標!$H$13:$H$2301,"n/a",0,1)</f>
        <v>0</v>
      </c>
      <c r="K140">
        <f>_xlfn.XLOOKUP($F140,設計座標!$E$13:$E$2301,設計座標!$I$13:$I$2301,"n/a",0,1)</f>
        <v>0</v>
      </c>
      <c r="L140">
        <f>_xlfn.XLOOKUP($F140,設計座標!$E$13:$E$2301,設計座標!$J$13:$J$2301,"n/a",0,1)</f>
        <v>-70</v>
      </c>
      <c r="M140" s="2">
        <f>_xlfn.XLOOKUP($F140,survey_data!$A$2:$A$833,survey_data!$B$2:$B$833,"n/a",0,1)</f>
        <v>0</v>
      </c>
      <c r="N140" s="2">
        <f>_xlfn.XLOOKUP($F140,survey_data!$A$2:$A$833,survey_data!$C$2:$C$833,"n/a",0,1)</f>
        <v>0</v>
      </c>
      <c r="O140" s="23">
        <f>_xlfn.XLOOKUP($F140,survey_data!$A$2:$A$833,survey_data!$D$2:$D$833,"n/a",0,1)</f>
        <v>-69.99441917</v>
      </c>
      <c r="P140" s="1">
        <f t="shared" si="72"/>
        <v>-69.967224169999994</v>
      </c>
      <c r="Q140" s="1">
        <f t="shared" si="97"/>
        <v>0</v>
      </c>
      <c r="R140">
        <f t="shared" si="98"/>
        <v>0</v>
      </c>
      <c r="S140" s="23">
        <f t="shared" si="99"/>
        <v>5.580829999999537E-3</v>
      </c>
      <c r="T140">
        <f>$S140+測地線補正!$Q$3*(lattice!$N140/1000)^3+測地線補正!$P$3*(lattice!$N140/1000)^2+測地線補正!$O$3*(lattice!$N140/1000)+測地線補正!$N$3</f>
        <v>3.2775829999999534E-2</v>
      </c>
      <c r="U140">
        <v>0</v>
      </c>
      <c r="V140">
        <v>0</v>
      </c>
      <c r="W140">
        <v>0</v>
      </c>
      <c r="X140">
        <f>$Z$140-($Y$140+$Y$138)/2</f>
        <v>164.97564118094118</v>
      </c>
      <c r="Y140">
        <f>_xlfn.XLOOKUP($F140,設計座標!$E$13:$E$2301,設計座標!$L$13:$L$2301," ",0,1)</f>
        <v>50</v>
      </c>
      <c r="Z140">
        <f>SQRT(($M$140-$M$138)^2+($N$140-$N$138)^2)</f>
        <v>239.97564118094118</v>
      </c>
      <c r="AA140">
        <f>_xlfn.XLOOKUP($G140,magnet_list!$A$2:$A$592,magnet_list!$AJ$2:$AJ$592,"n/a",0,1)</f>
        <v>9.1811000000000004E-2</v>
      </c>
      <c r="AB140">
        <f>_xlfn.XLOOKUP($G140,magnet_list!$A$2:$A$592,magnet_list!$L$2:$L$592,"n/a",0,1)</f>
        <v>39</v>
      </c>
    </row>
    <row r="141" spans="1:30">
      <c r="A141" t="s">
        <v>797</v>
      </c>
      <c r="B141" t="s">
        <v>3810</v>
      </c>
      <c r="C141" t="s">
        <v>805</v>
      </c>
      <c r="D141" t="s">
        <v>806</v>
      </c>
      <c r="E141" t="s">
        <v>804</v>
      </c>
      <c r="F141" t="s">
        <v>7</v>
      </c>
      <c r="G141" t="s">
        <v>7</v>
      </c>
      <c r="I141">
        <f>_xlfn.XLOOKUP($F141,設計座標!$E$13:$E$2301,設計座標!$G$13:$G$2301,"n/a",0,1)</f>
        <v>7.5420424586499992</v>
      </c>
      <c r="J141">
        <f>_xlfn.XLOOKUP($F141,設計座標!$E$13:$E$2301,設計座標!$H$13:$H$2301,"n/a",0,1)</f>
        <v>0</v>
      </c>
      <c r="K141">
        <f>_xlfn.XLOOKUP($F141,設計座標!$E$13:$E$2301,設計座標!$I$13:$I$2301,"n/a",0,1)</f>
        <v>139.98885827000001</v>
      </c>
      <c r="L141">
        <f>_xlfn.XLOOKUP($F141,設計座標!$E$13:$E$2301,設計座標!$J$13:$J$2301,"n/a",0,1)</f>
        <v>-70</v>
      </c>
      <c r="M141" s="2">
        <f>_xlfn.XLOOKUP($F141,survey_data!$A$2:$A$833,survey_data!$B$2:$B$833,"n/a",0,1)</f>
        <v>-2.5418619999999999E-2</v>
      </c>
      <c r="N141" s="2">
        <f>_xlfn.XLOOKUP($F141,survey_data!$A$2:$A$833,survey_data!$C$2:$C$833,"n/a",0,1)</f>
        <v>139.98885827000001</v>
      </c>
      <c r="O141" s="23">
        <f>_xlfn.XLOOKUP($F141,survey_data!$A$2:$A$833,survey_data!$D$2:$D$833,"n/a",0,1)</f>
        <v>-69.978301040000005</v>
      </c>
      <c r="P141" s="1">
        <f t="shared" si="72"/>
        <v>-69.964039213858513</v>
      </c>
      <c r="Q141" s="1">
        <f t="shared" si="97"/>
        <v>-2.5418619999999999E-2</v>
      </c>
      <c r="R141">
        <f t="shared" si="98"/>
        <v>0</v>
      </c>
      <c r="S141" s="23">
        <f t="shared" si="99"/>
        <v>2.1698959999994827E-2</v>
      </c>
      <c r="T141">
        <f>$S141+測地線補正!$Q$3*(lattice!$N141/1000)^3+測地線補正!$P$3*(lattice!$N141/1000)^2+測地線補正!$O$3*(lattice!$N141/1000)+測地線補正!$N$3</f>
        <v>3.5960786141491674E-2</v>
      </c>
      <c r="U141">
        <v>0</v>
      </c>
      <c r="V141">
        <v>0</v>
      </c>
      <c r="W141">
        <v>0</v>
      </c>
      <c r="X141">
        <f>$Z$141-($Y$141+$Y$140)/2</f>
        <v>89.988860577705935</v>
      </c>
      <c r="Y141">
        <f>_xlfn.XLOOKUP($F141,設計座標!$E$13:$E$2301,設計座標!$L$13:$L$2301," ",0,1)</f>
        <v>50</v>
      </c>
      <c r="Z141">
        <f>SQRT(($M$141-$M$140)^2+($N$141-$N$140)^2)</f>
        <v>139.98886057770594</v>
      </c>
      <c r="AA141">
        <f>_xlfn.XLOOKUP($G141,magnet_list!$A$2:$A$592,magnet_list!$AJ$2:$AJ$592,"n/a",0,1)</f>
        <v>9.1811000000000004E-2</v>
      </c>
      <c r="AB141">
        <f>_xlfn.XLOOKUP($G141,magnet_list!$A$2:$A$592,magnet_list!$L$2:$L$592,"n/a",0,1)</f>
        <v>39</v>
      </c>
    </row>
    <row r="142" spans="1:30">
      <c r="A142" t="s">
        <v>797</v>
      </c>
      <c r="B142" t="s">
        <v>3810</v>
      </c>
      <c r="C142" t="s">
        <v>1152</v>
      </c>
      <c r="D142" t="s">
        <v>1152</v>
      </c>
      <c r="E142" t="s">
        <v>804</v>
      </c>
      <c r="F142" t="s">
        <v>1953</v>
      </c>
      <c r="G142" t="s">
        <v>1953</v>
      </c>
      <c r="I142">
        <f>_xlfn.XLOOKUP($F142,設計座標!$E$13:$E$2301,設計座標!$G$13:$G$2301,"n/a",0,1)</f>
        <v>7.7870624793099994</v>
      </c>
      <c r="J142">
        <f>_xlfn.XLOOKUP($F142,設計座標!$E$13:$E$2301,設計座標!$H$13:$H$2301,"n/a",0,1)</f>
        <v>0</v>
      </c>
      <c r="K142">
        <f>_xlfn.XLOOKUP($F142,設計座標!$E$13:$E$2301,設計座標!$I$13:$I$2301,"n/a",0,1)</f>
        <v>385.00887893000004</v>
      </c>
      <c r="L142">
        <f>_xlfn.XLOOKUP($F142,設計座標!$E$13:$E$2301,設計座標!$J$13:$J$2301,"n/a",0,1)</f>
        <v>0</v>
      </c>
      <c r="M142" s="2">
        <f t="shared" ref="M142:M153" si="126">$J142+$Q142</f>
        <v>-1.2640821798574214E-2</v>
      </c>
      <c r="N142" s="2">
        <f t="shared" ref="N142:N153" si="127">$K142</f>
        <v>385.00887893000004</v>
      </c>
      <c r="O142" s="23">
        <f t="shared" ref="O142:O153" si="128">$L142+$S142</f>
        <v>4.5358471649982107E-2</v>
      </c>
      <c r="P142" s="1">
        <f t="shared" si="72"/>
        <v>3.7037240176019559E-2</v>
      </c>
      <c r="Q142" s="1">
        <f t="shared" ref="Q142:Q151" si="129">(Q$152-Q$141)/($N$152-$N$141)*($N142-$N$141)+Q$141</f>
        <v>-1.2640821798574214E-2</v>
      </c>
      <c r="R142">
        <f t="shared" si="98"/>
        <v>0</v>
      </c>
      <c r="S142" s="23">
        <f>(S$152-S$141)/($N$152-$N$141)*($N142-$N$141)+S$141</f>
        <v>4.5358471649982107E-2</v>
      </c>
      <c r="T142">
        <f>$S142+測地線補正!$Q$3*(lattice!$N142/1000)^3+測地線補正!$P$3*(lattice!$N142/1000)^2+測地線補正!$O$3*(lattice!$N142/1000)+測地線補正!$N$3</f>
        <v>3.7037240176019559E-2</v>
      </c>
      <c r="U142">
        <v>0</v>
      </c>
      <c r="V142">
        <v>0</v>
      </c>
      <c r="W142">
        <v>0</v>
      </c>
      <c r="X142">
        <f>$Z$142-($Y$142+$Y$141)/2</f>
        <v>220.02002099318122</v>
      </c>
      <c r="Y142">
        <f>_xlfn.XLOOKUP($F142,設計座標!$E$13:$E$2301,設計座標!$L$13:$L$2301," ",0,1)</f>
        <v>0</v>
      </c>
      <c r="Z142">
        <f>SQRT(($M$142-$M$141)^2+($N$142-$N$141)^2)</f>
        <v>245.02002099318122</v>
      </c>
    </row>
    <row r="143" spans="1:30">
      <c r="A143" t="s">
        <v>797</v>
      </c>
      <c r="B143" t="s">
        <v>3810</v>
      </c>
      <c r="C143" t="s">
        <v>1152</v>
      </c>
      <c r="D143" t="s">
        <v>1152</v>
      </c>
      <c r="E143" t="s">
        <v>804</v>
      </c>
      <c r="F143" t="s">
        <v>1954</v>
      </c>
      <c r="G143" t="s">
        <v>1954</v>
      </c>
      <c r="I143">
        <f>_xlfn.XLOOKUP($F143,設計座標!$E$13:$E$2301,設計座標!$G$13:$G$2301,"n/a",0,1)</f>
        <v>8.0160624793099995</v>
      </c>
      <c r="J143">
        <f>_xlfn.XLOOKUP($F143,設計座標!$E$13:$E$2301,設計座標!$H$13:$H$2301,"n/a",0,1)</f>
        <v>0</v>
      </c>
      <c r="K143">
        <f>_xlfn.XLOOKUP($F143,設計座標!$E$13:$E$2301,設計座標!$I$13:$I$2301,"n/a",0,1)</f>
        <v>614.00887893000004</v>
      </c>
      <c r="L143">
        <f>_xlfn.XLOOKUP($F143,設計座標!$E$13:$E$2301,設計座標!$J$13:$J$2301,"n/a",0,1)</f>
        <v>0</v>
      </c>
      <c r="M143" s="2">
        <f t="shared" si="126"/>
        <v>-6.9846794420529157E-4</v>
      </c>
      <c r="N143" s="2">
        <f t="shared" si="127"/>
        <v>614.00887893000004</v>
      </c>
      <c r="O143" s="23">
        <f t="shared" si="128"/>
        <v>6.747106536070327E-2</v>
      </c>
      <c r="P143" s="1">
        <f t="shared" si="72"/>
        <v>3.8104768706429606E-2</v>
      </c>
      <c r="Q143" s="1">
        <f t="shared" si="129"/>
        <v>-6.9846794420529157E-4</v>
      </c>
      <c r="R143">
        <f t="shared" si="98"/>
        <v>0</v>
      </c>
      <c r="S143" s="23">
        <f>(S$152-S$141)/($N$152-$N$141)*($N143-$N$141)+S$141</f>
        <v>6.747106536070327E-2</v>
      </c>
      <c r="T143">
        <f>$S143+測地線補正!$Q$3*(lattice!$N143/1000)^3+測地線補正!$P$3*(lattice!$N143/1000)^2+測地線補正!$O$3*(lattice!$N143/1000)+測地線補正!$N$3</f>
        <v>3.8104768706429606E-2</v>
      </c>
      <c r="U143">
        <v>0</v>
      </c>
      <c r="V143">
        <v>0</v>
      </c>
      <c r="W143">
        <v>0</v>
      </c>
      <c r="X143">
        <f>$Z$143-($Y$143+$Y$142)/2</f>
        <v>229.00000031139697</v>
      </c>
      <c r="Y143">
        <f>_xlfn.XLOOKUP($F143,設計座標!$E$13:$E$2301,設計座標!$L$13:$L$2301," ",0,1)</f>
        <v>0</v>
      </c>
      <c r="Z143">
        <f>SQRT(($M$143-$M$142)^2+($N$143-$N$142)^2)</f>
        <v>229.00000031139697</v>
      </c>
    </row>
    <row r="144" spans="1:30">
      <c r="A144" t="s">
        <v>797</v>
      </c>
      <c r="B144" t="s">
        <v>3810</v>
      </c>
      <c r="C144" t="s">
        <v>1152</v>
      </c>
      <c r="D144" t="s">
        <v>1152</v>
      </c>
      <c r="E144" t="s">
        <v>804</v>
      </c>
      <c r="F144" t="s">
        <v>1955</v>
      </c>
      <c r="G144" t="s">
        <v>1955</v>
      </c>
      <c r="I144">
        <f>_xlfn.XLOOKUP($F144,設計座標!$E$13:$E$2301,設計座標!$G$13:$G$2301,"n/a",0,1)</f>
        <v>8.1010624793100003</v>
      </c>
      <c r="J144">
        <f>_xlfn.XLOOKUP($F144,設計座標!$E$13:$E$2301,設計座標!$H$13:$H$2301,"n/a",0,1)</f>
        <v>0</v>
      </c>
      <c r="K144">
        <f>_xlfn.XLOOKUP($F144,設計座標!$E$13:$E$2301,設計座標!$I$13:$I$2301,"n/a",0,1)</f>
        <v>699.00887893000004</v>
      </c>
      <c r="L144">
        <f>_xlfn.XLOOKUP($F144,設計座標!$E$13:$E$2301,設計座標!$J$13:$J$2301,"n/a",0,1)</f>
        <v>0</v>
      </c>
      <c r="M144" s="2">
        <f t="shared" si="126"/>
        <v>3.7342834864556619E-3</v>
      </c>
      <c r="N144" s="2">
        <f t="shared" si="127"/>
        <v>699.00887893000004</v>
      </c>
      <c r="O144" s="23">
        <f t="shared" si="128"/>
        <v>7.5678796650708952E-2</v>
      </c>
      <c r="P144" s="1">
        <f t="shared" si="72"/>
        <v>3.851606157470612E-2</v>
      </c>
      <c r="Q144" s="1">
        <f t="shared" si="129"/>
        <v>3.7342834864556619E-3</v>
      </c>
      <c r="R144">
        <f t="shared" si="98"/>
        <v>0</v>
      </c>
      <c r="S144" s="23">
        <f>(S$152-S$141)/($N$152-$N$141)*($N144-$N$141)+S$141</f>
        <v>7.5678796650708952E-2</v>
      </c>
      <c r="T144">
        <f>$S144+測地線補正!$Q$3*(lattice!$N144/1000)^3+測地線補正!$P$3*(lattice!$N144/1000)^2+測地線補正!$O$3*(lattice!$N144/1000)+測地線補正!$N$3</f>
        <v>3.851606157470612E-2</v>
      </c>
      <c r="U144">
        <v>0</v>
      </c>
      <c r="V144">
        <v>0</v>
      </c>
      <c r="W144">
        <v>0</v>
      </c>
      <c r="X144">
        <f>$Z$144-($Y$144+$Y$143)/2</f>
        <v>85.000000115584029</v>
      </c>
      <c r="Y144">
        <f>_xlfn.XLOOKUP($F144,設計座標!$E$13:$E$2301,設計座標!$L$13:$L$2301," ",0,1)</f>
        <v>0</v>
      </c>
      <c r="Z144">
        <f>SQRT(($M$144-$M$143)^2+($N$144-$N$143)^2)</f>
        <v>85.000000115584029</v>
      </c>
    </row>
    <row r="145" spans="1:28">
      <c r="A145" t="s">
        <v>797</v>
      </c>
      <c r="B145" t="s">
        <v>3810</v>
      </c>
      <c r="C145" t="s">
        <v>2288</v>
      </c>
      <c r="D145" t="s">
        <v>1152</v>
      </c>
      <c r="E145" t="s">
        <v>804</v>
      </c>
      <c r="F145" t="s">
        <v>2323</v>
      </c>
      <c r="G145" t="s">
        <v>2323</v>
      </c>
      <c r="I145">
        <f>_xlfn.XLOOKUP($F145,設計座標!$E$13:$E$2301,設計座標!$G$13:$G$2301,"n/a",0,1)</f>
        <v>8.4580624793099997</v>
      </c>
      <c r="J145">
        <f>_xlfn.XLOOKUP($F145,設計座標!$E$13:$E$2301,設計座標!$H$13:$H$2301,"n/a",0,1)</f>
        <v>0</v>
      </c>
      <c r="K145">
        <f>_xlfn.XLOOKUP($F145,設計座標!$E$13:$E$2301,設計座標!$I$13:$I$2301,"n/a",0,1)</f>
        <v>1056.00887893</v>
      </c>
      <c r="L145">
        <f>_xlfn.XLOOKUP($F145,設計座標!$E$13:$E$2301,設計座標!$J$13:$J$2301,"n/a",0,1)</f>
        <v>0</v>
      </c>
      <c r="M145" s="2">
        <f t="shared" si="126"/>
        <v>2.235183949523167E-2</v>
      </c>
      <c r="N145" s="2">
        <f t="shared" si="127"/>
        <v>1056.00887893</v>
      </c>
      <c r="O145" s="23">
        <f t="shared" si="128"/>
        <v>0.11015126806873278</v>
      </c>
      <c r="P145" s="1">
        <f t="shared" si="72"/>
        <v>4.0332021893708117E-2</v>
      </c>
      <c r="Q145" s="1">
        <f t="shared" si="129"/>
        <v>2.235183949523167E-2</v>
      </c>
      <c r="R145">
        <f t="shared" si="98"/>
        <v>0</v>
      </c>
      <c r="S145" s="23">
        <f t="shared" ref="S145:S151" si="130">(S$152-S$141)/($N$152-$N$141)*($N145-$N$141)+S$141</f>
        <v>0.11015126806873278</v>
      </c>
      <c r="T145">
        <f>$S145+測地線補正!$Q$3*(lattice!$N145/1000)^3+測地線補正!$P$3*(lattice!$N145/1000)^2+測地線補正!$O$3*(lattice!$N145/1000)+測地線補正!$N$3</f>
        <v>4.0332021893708117E-2</v>
      </c>
      <c r="U145">
        <v>0</v>
      </c>
      <c r="V145">
        <v>0</v>
      </c>
      <c r="W145">
        <v>0</v>
      </c>
      <c r="X145">
        <f>$Z$145-($Y$145+$Y$144)/2</f>
        <v>357.00000048545292</v>
      </c>
      <c r="Y145">
        <f>_xlfn.XLOOKUP($F145,設計座標!$E$13:$E$2301,設計座標!$L$13:$L$2301," ",0,1)</f>
        <v>0</v>
      </c>
      <c r="Z145">
        <f>SQRT(($M$145-$M$144)^2+($N$145-$N$144)^2)</f>
        <v>357.00000048545292</v>
      </c>
    </row>
    <row r="146" spans="1:28">
      <c r="A146" t="s">
        <v>797</v>
      </c>
      <c r="B146" t="s">
        <v>3810</v>
      </c>
      <c r="C146" t="s">
        <v>804</v>
      </c>
      <c r="D146" t="s">
        <v>1152</v>
      </c>
      <c r="E146" t="s">
        <v>804</v>
      </c>
      <c r="F146" t="s">
        <v>1404</v>
      </c>
      <c r="G146" t="s">
        <v>2379</v>
      </c>
      <c r="I146">
        <f>_xlfn.XLOOKUP($F146,設計座標!$E$13:$E$2301,設計座標!$G$13:$G$2301,"n/a",0,1)</f>
        <v>8.5920643793099991</v>
      </c>
      <c r="J146">
        <f>_xlfn.XLOOKUP($F146,設計座標!$E$13:$E$2301,設計座標!$H$13:$H$2301,"n/a",0,1)</f>
        <v>0</v>
      </c>
      <c r="K146">
        <f>_xlfn.XLOOKUP($F146,設計座標!$E$13:$E$2301,設計座標!$I$13:$I$2301,"n/a",0,1)</f>
        <v>1190.01077893</v>
      </c>
      <c r="L146">
        <f>_xlfn.XLOOKUP($F146,設計座標!$E$13:$E$2301,設計座標!$J$13:$J$2301,"n/a",0,1)</f>
        <v>-270</v>
      </c>
      <c r="M146" s="2">
        <f t="shared" si="126"/>
        <v>2.9340040835658564E-2</v>
      </c>
      <c r="N146" s="2">
        <f t="shared" si="127"/>
        <v>1190.01077893</v>
      </c>
      <c r="O146" s="23">
        <f t="shared" si="128"/>
        <v>-269.87690930148949</v>
      </c>
      <c r="P146" s="1">
        <f t="shared" ref="P146:P209" si="131">$L146+$T146</f>
        <v>-269.95894959021217</v>
      </c>
      <c r="Q146" s="1">
        <f t="shared" si="129"/>
        <v>2.9340040835658564E-2</v>
      </c>
      <c r="R146">
        <f t="shared" si="98"/>
        <v>0</v>
      </c>
      <c r="S146" s="23">
        <f t="shared" si="130"/>
        <v>0.12309069851049997</v>
      </c>
      <c r="T146">
        <f>$S146+測地線補正!$Q$3*(lattice!$N146/1000)^3+測地線補正!$P$3*(lattice!$N146/1000)^2+測地線補正!$O$3*(lattice!$N146/1000)+測地線補正!$N$3</f>
        <v>4.1050409787834752E-2</v>
      </c>
      <c r="U146">
        <f>ATAN(($P$150-$P$146)/ABS($N$150-$N$146))</f>
        <v>6.4714860811404978E-6</v>
      </c>
      <c r="V146">
        <v>0</v>
      </c>
      <c r="W146">
        <f>-ATAN(($M$150-$M$146)/ABS($N$150-$N$146))</f>
        <v>-5.2150016784029191E-5</v>
      </c>
      <c r="X146">
        <f>SQRT(($M$146-$M$145)^2+($N$146-$N$145)^2)</f>
        <v>134.00190018221738</v>
      </c>
      <c r="Y146">
        <f>_xlfn.XLOOKUP($F146,設計座標!$E$13:$E$2301,設計座標!$L$13:$L$2301," ",0,1)</f>
        <v>1889.4492</v>
      </c>
      <c r="Z146">
        <f>SQRT(($M$149-$M$147)^2+($N$149-$N$147)^2)</f>
        <v>311.22450042320685</v>
      </c>
    </row>
    <row r="147" spans="1:28">
      <c r="A147" t="s">
        <v>797</v>
      </c>
      <c r="B147" t="s">
        <v>3810</v>
      </c>
      <c r="C147" t="s">
        <v>3855</v>
      </c>
      <c r="D147" t="s">
        <v>1152</v>
      </c>
      <c r="E147" t="s">
        <v>804</v>
      </c>
      <c r="F147" t="s">
        <v>2196</v>
      </c>
      <c r="G147" t="s">
        <v>2196</v>
      </c>
      <c r="I147">
        <f>_xlfn.XLOOKUP($F147,設計座標!$E$13:$E$2301,設計座標!$G$13:$G$2301,"n/a",0,1)</f>
        <v>9.22556447931</v>
      </c>
      <c r="J147">
        <f>_xlfn.XLOOKUP($F147,設計座標!$E$13:$E$2301,設計座標!$H$13:$H$2301,"n/a",0,1)</f>
        <v>0</v>
      </c>
      <c r="K147">
        <f>_xlfn.XLOOKUP($F147,設計座標!$E$13:$E$2301,設計座標!$I$13:$I$2301,"n/a",0,1)</f>
        <v>1823.51087893</v>
      </c>
      <c r="L147">
        <f>_xlfn.XLOOKUP($F147,設計座標!$E$13:$E$2301,設計座標!$J$13:$J$2301,"n/a",0,1)</f>
        <v>-270</v>
      </c>
      <c r="M147" s="2">
        <f t="shared" si="126"/>
        <v>6.2377081713292176E-2</v>
      </c>
      <c r="N147" s="2">
        <f t="shared" si="127"/>
        <v>1823.51087893</v>
      </c>
      <c r="O147" s="23">
        <f t="shared" si="128"/>
        <v>-269.81573755333665</v>
      </c>
      <c r="P147" s="1">
        <f t="shared" si="131"/>
        <v>-269.95528401658873</v>
      </c>
      <c r="Q147" s="1">
        <f t="shared" si="129"/>
        <v>6.2377081713292176E-2</v>
      </c>
      <c r="R147">
        <f t="shared" si="98"/>
        <v>0</v>
      </c>
      <c r="S147" s="23">
        <f t="shared" si="130"/>
        <v>0.18426244666334379</v>
      </c>
      <c r="T147">
        <f>$S147+測地線補正!$Q$3*(lattice!$N147/1000)^3+測地線補正!$P$3*(lattice!$N147/1000)^2+測地線補正!$O$3*(lattice!$N147/1000)+測地線補正!$N$3</f>
        <v>4.4715983411287352E-2</v>
      </c>
      <c r="U147">
        <f t="shared" ref="U147:U148" si="132">ATAN(($P$150-$P$146)/ABS($N$150-$N$146))</f>
        <v>6.4714860811404978E-6</v>
      </c>
      <c r="V147">
        <v>0</v>
      </c>
      <c r="W147">
        <f t="shared" ref="W147:W148" si="133">-ATAN(($M$150-$M$146)/ABS($N$150-$N$146))</f>
        <v>-5.2150016784029191E-5</v>
      </c>
      <c r="X147" t="s">
        <v>3860</v>
      </c>
      <c r="Y147">
        <f>_xlfn.XLOOKUP($F147,設計座標!$E$13:$E$2301,設計座標!$L$13:$L$2301," ",0,1)</f>
        <v>1000</v>
      </c>
      <c r="Z147">
        <f>SQRT(($M$147-$M$145)^2+($N$147-$N$145)^2)</f>
        <v>767.50200104365854</v>
      </c>
      <c r="AA147">
        <f>_xlfn.XLOOKUP($G147,magnet_list!$A$2:$A$592,magnet_list!$AJ$2:$AJ$592,"n/a",0,1)</f>
        <v>0.95010000000000006</v>
      </c>
      <c r="AB147">
        <f>_xlfn.XLOOKUP($G147,magnet_list!$A$2:$A$592,magnet_list!$L$2:$L$592,"n/a",0,1)</f>
        <v>120</v>
      </c>
    </row>
    <row r="148" spans="1:28">
      <c r="A148" t="s">
        <v>797</v>
      </c>
      <c r="B148" t="s">
        <v>3810</v>
      </c>
      <c r="C148" t="s">
        <v>3855</v>
      </c>
      <c r="D148" t="s">
        <v>1152</v>
      </c>
      <c r="E148" t="s">
        <v>804</v>
      </c>
      <c r="F148" t="s">
        <v>2197</v>
      </c>
      <c r="G148" t="s">
        <v>2197</v>
      </c>
      <c r="I148">
        <f>_xlfn.XLOOKUP($F148,設計座標!$E$13:$E$2301,設計座標!$G$13:$G$2301,"n/a",0,1)</f>
        <v>9.22556447931</v>
      </c>
      <c r="J148">
        <f>_xlfn.XLOOKUP($F148,設計座標!$E$13:$E$2301,設計座標!$H$13:$H$2301,"n/a",0,1)</f>
        <v>0</v>
      </c>
      <c r="K148">
        <f>_xlfn.XLOOKUP($F148,設計座標!$E$13:$E$2301,設計座標!$I$13:$I$2301,"n/a",0,1)</f>
        <v>1823.51087893</v>
      </c>
      <c r="L148">
        <f>_xlfn.XLOOKUP($F148,設計座標!$E$13:$E$2301,設計座標!$J$13:$J$2301,"n/a",0,1)</f>
        <v>-270</v>
      </c>
      <c r="M148" s="2">
        <f t="shared" si="126"/>
        <v>6.2377081713292176E-2</v>
      </c>
      <c r="N148" s="2">
        <f t="shared" si="127"/>
        <v>1823.51087893</v>
      </c>
      <c r="O148" s="23">
        <f t="shared" si="128"/>
        <v>-269.81573755333665</v>
      </c>
      <c r="P148" s="1">
        <f t="shared" si="131"/>
        <v>-269.95528401658873</v>
      </c>
      <c r="Q148" s="1">
        <f t="shared" si="129"/>
        <v>6.2377081713292176E-2</v>
      </c>
      <c r="R148">
        <f t="shared" si="98"/>
        <v>0</v>
      </c>
      <c r="S148" s="23">
        <f t="shared" si="130"/>
        <v>0.18426244666334379</v>
      </c>
      <c r="T148">
        <f>$S148+測地線補正!$Q$3*(lattice!$N148/1000)^3+測地線補正!$P$3*(lattice!$N148/1000)^2+測地線補正!$O$3*(lattice!$N148/1000)+測地線補正!$N$3</f>
        <v>4.4715983411287352E-2</v>
      </c>
      <c r="U148">
        <f t="shared" si="132"/>
        <v>6.4714860811404978E-6</v>
      </c>
      <c r="V148">
        <v>0</v>
      </c>
      <c r="W148">
        <f t="shared" si="133"/>
        <v>-5.2150016784029191E-5</v>
      </c>
      <c r="X148" t="s">
        <v>3860</v>
      </c>
      <c r="Y148">
        <f>_xlfn.XLOOKUP($F148,設計座標!$E$13:$E$2301,設計座標!$L$13:$L$2301," ",0,1)</f>
        <v>1000</v>
      </c>
      <c r="Z148">
        <f>SQRT(($M$147-$M$145)^2+($N$147-$N$145)^2)</f>
        <v>767.50200104365854</v>
      </c>
      <c r="AA148">
        <f>_xlfn.XLOOKUP($G148,magnet_list!$A$2:$A$592,magnet_list!$AJ$2:$AJ$592,"n/a",0,1)</f>
        <v>0.95010000000000006</v>
      </c>
      <c r="AB148">
        <f>_xlfn.XLOOKUP($G148,magnet_list!$A$2:$A$592,magnet_list!$L$2:$L$592,"n/a",0,1)</f>
        <v>120</v>
      </c>
    </row>
    <row r="149" spans="1:28">
      <c r="A149" t="s">
        <v>797</v>
      </c>
      <c r="B149" t="s">
        <v>3810</v>
      </c>
      <c r="C149" t="s">
        <v>804</v>
      </c>
      <c r="D149" t="s">
        <v>1152</v>
      </c>
      <c r="E149" t="s">
        <v>804</v>
      </c>
      <c r="F149" t="s">
        <v>1166</v>
      </c>
      <c r="G149" t="s">
        <v>2379</v>
      </c>
      <c r="I149">
        <f>_xlfn.XLOOKUP($F149,設計座標!$E$13:$E$2301,設計座標!$G$13:$G$2301,"n/a",0,1)</f>
        <v>9.5367889793099998</v>
      </c>
      <c r="J149">
        <f>_xlfn.XLOOKUP($F149,設計座標!$E$13:$E$2301,設計座標!$H$13:$H$2301,"n/a",0,1)</f>
        <v>0</v>
      </c>
      <c r="K149">
        <f>_xlfn.XLOOKUP($F149,設計座標!$E$13:$E$2301,設計座標!$I$13:$I$2301,"n/a",0,1)</f>
        <v>2134.73537893</v>
      </c>
      <c r="L149">
        <f>_xlfn.XLOOKUP($F149,設計座標!$E$13:$E$2301,設計座標!$J$13:$J$2301,"n/a",0,1)</f>
        <v>-270</v>
      </c>
      <c r="M149" s="2">
        <f t="shared" si="126"/>
        <v>7.8607444626606779E-2</v>
      </c>
      <c r="N149" s="2">
        <f t="shared" si="127"/>
        <v>2134.73537893</v>
      </c>
      <c r="O149" s="23">
        <f t="shared" si="128"/>
        <v>-269.78568523490293</v>
      </c>
      <c r="P149" s="1">
        <f t="shared" si="131"/>
        <v>-269.95332162856016</v>
      </c>
      <c r="Q149" s="1">
        <f t="shared" si="129"/>
        <v>7.8607444626606779E-2</v>
      </c>
      <c r="R149">
        <f t="shared" si="98"/>
        <v>0</v>
      </c>
      <c r="S149" s="23">
        <f t="shared" si="130"/>
        <v>0.21431476509706579</v>
      </c>
      <c r="T149">
        <f>$S149+測地線補正!$Q$3*(lattice!$N149/1000)^3+測地線補正!$P$3*(lattice!$N149/1000)^2+測地線補正!$O$3*(lattice!$N149/1000)+測地線補正!$N$3</f>
        <v>4.6678371439812738E-2</v>
      </c>
      <c r="U149">
        <f t="shared" ref="U149:U150" si="134">ATAN(($P$150-$P$146)/ABS($N$150-$N$146))</f>
        <v>6.4714860811404978E-6</v>
      </c>
      <c r="V149">
        <v>0</v>
      </c>
      <c r="W149">
        <f t="shared" ref="W149:W150" si="135">-ATAN(($M$150-$M$146)/ABS($N$150-$N$146))</f>
        <v>-5.2150016784029191E-5</v>
      </c>
      <c r="X149" t="s">
        <v>3860</v>
      </c>
      <c r="Y149">
        <f>_xlfn.XLOOKUP($F149,設計座標!$E$13:$E$2301,設計座標!$L$13:$L$2301," ",0,1)</f>
        <v>1889.4492</v>
      </c>
      <c r="Z149">
        <f>SQRT(($M$149-$M$147)^2+($N$149-$N$147)^2)</f>
        <v>311.22450042320685</v>
      </c>
    </row>
    <row r="150" spans="1:28">
      <c r="A150" t="s">
        <v>797</v>
      </c>
      <c r="B150" t="s">
        <v>3810</v>
      </c>
      <c r="C150" t="s">
        <v>804</v>
      </c>
      <c r="D150" t="s">
        <v>1152</v>
      </c>
      <c r="E150" t="s">
        <v>804</v>
      </c>
      <c r="F150" t="s">
        <v>1405</v>
      </c>
      <c r="G150" t="s">
        <v>2379</v>
      </c>
      <c r="I150">
        <f>_xlfn.XLOOKUP($F150,設計座標!$E$13:$E$2301,設計座標!$G$13:$G$2301,"n/a",0,1)</f>
        <v>10.48151357931</v>
      </c>
      <c r="J150">
        <f>_xlfn.XLOOKUP($F150,設計座標!$E$13:$E$2301,設計座標!$H$13:$H$2301,"n/a",0,1)</f>
        <v>0</v>
      </c>
      <c r="K150">
        <f>_xlfn.XLOOKUP($F150,設計座標!$E$13:$E$2301,設計座標!$I$13:$I$2301,"n/a",0,1)</f>
        <v>3079.45997893</v>
      </c>
      <c r="L150">
        <f>_xlfn.XLOOKUP($F150,設計座標!$E$13:$E$2301,設計座標!$J$13:$J$2301,"n/a",0,1)</f>
        <v>-270</v>
      </c>
      <c r="M150" s="2">
        <f t="shared" si="126"/>
        <v>0.12787484841755498</v>
      </c>
      <c r="N150" s="2">
        <f t="shared" si="127"/>
        <v>3079.45997893</v>
      </c>
      <c r="O150" s="23">
        <f t="shared" si="128"/>
        <v>-269.69446116831637</v>
      </c>
      <c r="P150" s="1">
        <f t="shared" si="131"/>
        <v>-269.94672204601318</v>
      </c>
      <c r="Q150" s="1">
        <f t="shared" si="129"/>
        <v>0.12787484841755498</v>
      </c>
      <c r="R150">
        <f t="shared" si="98"/>
        <v>0</v>
      </c>
      <c r="S150" s="23">
        <f t="shared" si="130"/>
        <v>0.30553883168363161</v>
      </c>
      <c r="T150">
        <f>$S150+測地線補正!$Q$3*(lattice!$N150/1000)^3+測地線補正!$P$3*(lattice!$N150/1000)^2+測地線補正!$O$3*(lattice!$N150/1000)+測地線補正!$N$3</f>
        <v>5.3277953986808652E-2</v>
      </c>
      <c r="U150">
        <f t="shared" si="134"/>
        <v>6.4714860811404978E-6</v>
      </c>
      <c r="V150">
        <v>0</v>
      </c>
      <c r="W150">
        <f t="shared" si="135"/>
        <v>-5.2150016784029191E-5</v>
      </c>
      <c r="X150" t="s">
        <v>3860</v>
      </c>
      <c r="Y150">
        <f>_xlfn.XLOOKUP($F150,設計座標!$E$13:$E$2301,設計座標!$L$13:$L$2301," ",0,1)</f>
        <v>1889.4492</v>
      </c>
      <c r="Z150">
        <f>SQRT(($M$149-$M$147)^2+($N$149-$N$147)^2)</f>
        <v>311.22450042320685</v>
      </c>
    </row>
    <row r="151" spans="1:28">
      <c r="A151" t="s">
        <v>797</v>
      </c>
      <c r="B151" t="s">
        <v>3810</v>
      </c>
      <c r="C151" t="s">
        <v>1152</v>
      </c>
      <c r="D151" t="s">
        <v>1152</v>
      </c>
      <c r="E151" t="s">
        <v>804</v>
      </c>
      <c r="F151" t="s">
        <v>1956</v>
      </c>
      <c r="G151" t="s">
        <v>1956</v>
      </c>
      <c r="I151">
        <f>_xlfn.XLOOKUP($F151,設計座標!$E$13:$E$2301,設計座標!$G$13:$G$2301,"n/a",0,1)</f>
        <v>10.61601347931</v>
      </c>
      <c r="J151">
        <f>_xlfn.XLOOKUP($F151,設計座標!$E$13:$E$2301,設計座標!$H$13:$H$2301,"n/a",0,1)</f>
        <v>0</v>
      </c>
      <c r="K151">
        <f>_xlfn.XLOOKUP($F151,設計座標!$E$13:$E$2301,設計座標!$I$13:$I$2301,"n/a",0,1)</f>
        <v>3213.9598789299998</v>
      </c>
      <c r="L151">
        <f>_xlfn.XLOOKUP($F151,設計座標!$E$13:$E$2301,設計座標!$J$13:$J$2301,"n/a",0,1)</f>
        <v>-270</v>
      </c>
      <c r="M151" s="2">
        <f t="shared" si="126"/>
        <v>0.13488902046636386</v>
      </c>
      <c r="N151" s="2">
        <f t="shared" si="127"/>
        <v>3213.9598789299998</v>
      </c>
      <c r="O151" s="23">
        <f t="shared" si="128"/>
        <v>-269.68147365022537</v>
      </c>
      <c r="P151" s="1">
        <f t="shared" si="131"/>
        <v>-269.94570467359165</v>
      </c>
      <c r="Q151" s="1">
        <f t="shared" si="129"/>
        <v>0.13488902046636386</v>
      </c>
      <c r="R151">
        <f t="shared" si="98"/>
        <v>0</v>
      </c>
      <c r="S151" s="23">
        <f t="shared" si="130"/>
        <v>0.31852634977460376</v>
      </c>
      <c r="T151">
        <f>$S151+測地線補正!$Q$3*(lattice!$N151/1000)^3+測地線補正!$P$3*(lattice!$N151/1000)^2+測地線補正!$O$3*(lattice!$N151/1000)+測地線補正!$N$3</f>
        <v>5.429532640836085E-2</v>
      </c>
      <c r="U151">
        <v>0</v>
      </c>
      <c r="V151">
        <v>0</v>
      </c>
      <c r="W151">
        <v>0</v>
      </c>
      <c r="X151">
        <f>SQRT(($M$151-$M$150)^2+($N$151-$N$150)^2)</f>
        <v>134.49990018289441</v>
      </c>
      <c r="Y151">
        <f>_xlfn.XLOOKUP($F151,設計座標!$E$13:$E$2301,設計座標!$L$13:$L$2301," ",0,1)</f>
        <v>0</v>
      </c>
      <c r="Z151">
        <f>SQRT(($M$151-$M$149)^2+($N$151-$N$149)^2)</f>
        <v>1079.2245014675423</v>
      </c>
    </row>
    <row r="152" spans="1:28">
      <c r="A152" t="s">
        <v>797</v>
      </c>
      <c r="B152" t="s">
        <v>3810</v>
      </c>
      <c r="C152" t="s">
        <v>805</v>
      </c>
      <c r="D152" t="s">
        <v>806</v>
      </c>
      <c r="F152" t="s">
        <v>8</v>
      </c>
      <c r="G152" t="s">
        <v>2380</v>
      </c>
      <c r="I152">
        <f>_xlfn.XLOOKUP($F152,設計座標!$E$13:$E$2301,設計座標!$G$13:$G$2301,"n/a",0,1)</f>
        <v>10.797681868110001</v>
      </c>
      <c r="J152">
        <f>_xlfn.XLOOKUP($F152,設計座標!$E$13:$E$2301,設計座標!$H$13:$H$2301,"n/a",0,1)</f>
        <v>0</v>
      </c>
      <c r="K152">
        <f>_xlfn.XLOOKUP($F152,設計座標!$E$13:$E$2301,設計座標!$I$13:$I$2301,"n/a",0,1)</f>
        <v>3395.6282677300001</v>
      </c>
      <c r="L152">
        <f>_xlfn.XLOOKUP($F152,設計座標!$E$13:$E$2301,設計座標!$J$13:$J$2301,"n/a",0,1)</f>
        <v>0</v>
      </c>
      <c r="M152" s="2">
        <f>_xlfn.XLOOKUP($F152,survey_data!$A$2:$A$833,survey_data!$B$2:$B$833,"n/a",0,1)</f>
        <v>0.14436303</v>
      </c>
      <c r="N152" s="2">
        <f>_xlfn.XLOOKUP($F152,survey_data!$A$2:$A$833,survey_data!$C$2:$C$833,"n/a",0,1)</f>
        <v>3395.6282677300001</v>
      </c>
      <c r="O152" s="23">
        <f>_xlfn.XLOOKUP($F152,survey_data!$A$2:$A$833,survey_data!$D$2:$D$833,"n/a",0,1)</f>
        <v>0.33606852999999998</v>
      </c>
      <c r="P152" s="1">
        <f t="shared" si="131"/>
        <v>5.5699969177782166E-2</v>
      </c>
      <c r="Q152" s="1">
        <f t="shared" si="97"/>
        <v>0.14436303</v>
      </c>
      <c r="R152">
        <f t="shared" si="98"/>
        <v>0</v>
      </c>
      <c r="S152" s="23">
        <f t="shared" si="99"/>
        <v>0.33606852999999998</v>
      </c>
      <c r="T152">
        <f>$S152+測地線補正!$Q$3*(lattice!$N152/1000)^3+測地線補正!$P$3*(lattice!$N152/1000)^2+測地線補正!$O$3*(lattice!$N152/1000)+測地線補正!$N$3</f>
        <v>5.5699969177782166E-2</v>
      </c>
      <c r="U152">
        <f>ATAN(($P$154-$P$152)/ABS($N$154-$N$152))</f>
        <v>4.5850821291237376E-4</v>
      </c>
      <c r="V152">
        <v>0</v>
      </c>
      <c r="W152">
        <f>-ATAN(($M$154-$M$152)/ABS($N$154-$N$152))</f>
        <v>-1.612720339832197E-4</v>
      </c>
      <c r="X152">
        <f>$Z$153-($Y$153+$Y$151)/2</f>
        <v>171.70498248236029</v>
      </c>
      <c r="Y152">
        <f>_xlfn.XLOOKUP($F152,設計座標!$E$13:$E$2301,設計座標!$L$13:$L$2301," ",0,1)</f>
        <v>100</v>
      </c>
      <c r="Z152">
        <f>SQRT(($M$153-$M$151)^2+($N$153-$N$151)^2)</f>
        <v>221.70498248236029</v>
      </c>
      <c r="AA152">
        <f>_xlfn.XLOOKUP($G152,magnet_list!$A$2:$A$592,magnet_list!$AJ$2:$AJ$592,"n/a",0,1)</f>
        <v>0.122352</v>
      </c>
      <c r="AB152">
        <f>_xlfn.XLOOKUP($G152,magnet_list!$A$2:$A$592,magnet_list!$L$2:$L$592,"n/a",0,1)</f>
        <v>39</v>
      </c>
    </row>
    <row r="153" spans="1:28">
      <c r="A153" t="s">
        <v>797</v>
      </c>
      <c r="B153" t="s">
        <v>3810</v>
      </c>
      <c r="C153" t="s">
        <v>805</v>
      </c>
      <c r="D153" t="s">
        <v>1152</v>
      </c>
      <c r="E153" t="s">
        <v>804</v>
      </c>
      <c r="F153" t="s">
        <v>531</v>
      </c>
      <c r="G153" t="s">
        <v>2380</v>
      </c>
      <c r="I153">
        <f>_xlfn.XLOOKUP($F153,設計座標!$E$13:$E$2301,設計座標!$G$13:$G$2301,"n/a",0,1)</f>
        <v>10.837718461220001</v>
      </c>
      <c r="J153">
        <f>_xlfn.XLOOKUP($F153,設計座標!$E$13:$E$2301,設計座標!$H$13:$H$2301,"n/a",0,1)</f>
        <v>0</v>
      </c>
      <c r="K153">
        <f>_xlfn.XLOOKUP($F153,設計座標!$E$13:$E$2301,設計座標!$I$13:$I$2301,"n/a",0,1)</f>
        <v>3435.6648608400001</v>
      </c>
      <c r="L153">
        <f>_xlfn.XLOOKUP($F153,設計座標!$E$13:$E$2301,設計座標!$J$13:$J$2301,"n/a",0,1)</f>
        <v>0</v>
      </c>
      <c r="M153" s="2">
        <f t="shared" si="126"/>
        <v>0.15081981286058571</v>
      </c>
      <c r="N153" s="2">
        <f t="shared" si="127"/>
        <v>3435.6648608400001</v>
      </c>
      <c r="O153" s="23">
        <f t="shared" si="128"/>
        <v>0.35797653066564394</v>
      </c>
      <c r="P153" s="1">
        <f t="shared" si="131"/>
        <v>7.4056231322663285E-2</v>
      </c>
      <c r="Q153" s="1">
        <f>(Q$154-Q$152)/($N$154-$N$152)*($N153-$N$152)+Q$152</f>
        <v>0.15081981286058571</v>
      </c>
      <c r="R153">
        <f t="shared" si="98"/>
        <v>0</v>
      </c>
      <c r="S153" s="23">
        <f>(S$154-S$152)/($N$154-$N$152)*($N153-$N$152)+S$152</f>
        <v>0.35797653066564394</v>
      </c>
      <c r="T153">
        <f>$S153+測地線補正!$Q$3*(lattice!$N153/1000)^3+測地線補正!$P$3*(lattice!$N153/1000)^2+測地線補正!$O$3*(lattice!$N153/1000)+測地線補正!$N$3</f>
        <v>7.4056231322663285E-2</v>
      </c>
      <c r="U153">
        <f t="shared" ref="U153:U154" si="136">ATAN(($P$154-$P$152)/ABS($N$154-$N$152))</f>
        <v>4.5850821291237376E-4</v>
      </c>
      <c r="V153">
        <v>0</v>
      </c>
      <c r="W153">
        <f t="shared" ref="W153:W154" si="137">-ATAN(($M$154-$M$152)/ABS($N$154-$N$152))</f>
        <v>-1.612720339832197E-4</v>
      </c>
      <c r="X153">
        <f>$Z$153-($Y$153+$Y$151)/2</f>
        <v>171.70498248236029</v>
      </c>
      <c r="Y153">
        <f>_xlfn.XLOOKUP($F153,設計座標!$E$13:$E$2301,設計座標!$L$13:$L$2301," ",0,1)</f>
        <v>100</v>
      </c>
      <c r="Z153">
        <f>SQRT(($M$153-$M$151)^2+($N$153-$N$151)^2)</f>
        <v>221.70498248236029</v>
      </c>
      <c r="AA153">
        <f>_xlfn.XLOOKUP($G153,magnet_list!$A$2:$A$592,magnet_list!$AJ$2:$AJ$592,"n/a",0,1)</f>
        <v>0.122352</v>
      </c>
      <c r="AB153">
        <f>_xlfn.XLOOKUP($G153,magnet_list!$A$2:$A$592,magnet_list!$L$2:$L$592,"n/a",0,1)</f>
        <v>39</v>
      </c>
    </row>
    <row r="154" spans="1:28">
      <c r="A154" t="s">
        <v>797</v>
      </c>
      <c r="B154" t="s">
        <v>3810</v>
      </c>
      <c r="C154" t="s">
        <v>805</v>
      </c>
      <c r="D154" t="s">
        <v>806</v>
      </c>
      <c r="F154" t="s">
        <v>9</v>
      </c>
      <c r="G154" t="s">
        <v>2380</v>
      </c>
      <c r="I154">
        <f>_xlfn.XLOOKUP($F154,設計座標!$E$13:$E$2301,設計座標!$G$13:$G$2301,"n/a",0,1)</f>
        <v>10.877722961220002</v>
      </c>
      <c r="J154">
        <f>_xlfn.XLOOKUP($F154,設計座標!$E$13:$E$2301,設計座標!$H$13:$H$2301,"n/a",0,1)</f>
        <v>0</v>
      </c>
      <c r="K154">
        <f>_xlfn.XLOOKUP($F154,設計座標!$E$13:$E$2301,設計座標!$I$13:$I$2301,"n/a",0,1)</f>
        <v>3475.6693608400001</v>
      </c>
      <c r="L154">
        <f>_xlfn.XLOOKUP($F154,設計座標!$E$13:$E$2301,設計座標!$J$13:$J$2301,"n/a",0,1)</f>
        <v>0</v>
      </c>
      <c r="M154" s="2">
        <f>_xlfn.XLOOKUP($F154,survey_data!$A$2:$A$833,survey_data!$B$2:$B$833,"n/a",0,1)</f>
        <v>0.15727142</v>
      </c>
      <c r="N154" s="2">
        <f>_xlfn.XLOOKUP($F154,survey_data!$A$2:$A$833,survey_data!$C$2:$C$833,"n/a",0,1)</f>
        <v>3475.6693608400001</v>
      </c>
      <c r="O154" s="23">
        <f>_xlfn.XLOOKUP($F154,survey_data!$A$2:$A$833,survey_data!$D$2:$D$833,"n/a",0,1)</f>
        <v>0.37986697000000003</v>
      </c>
      <c r="P154" s="1">
        <f t="shared" si="131"/>
        <v>9.2399470310977255E-2</v>
      </c>
      <c r="Q154" s="1">
        <f t="shared" si="97"/>
        <v>0.15727142</v>
      </c>
      <c r="R154">
        <f t="shared" si="98"/>
        <v>0</v>
      </c>
      <c r="S154" s="23">
        <f t="shared" si="99"/>
        <v>0.37986697000000003</v>
      </c>
      <c r="T154">
        <f>$S154+測地線補正!$Q$3*(lattice!$N154/1000)^3+測地線補正!$P$3*(lattice!$N154/1000)^2+測地線補正!$O$3*(lattice!$N154/1000)+測地線補正!$N$3</f>
        <v>9.2399470310977255E-2</v>
      </c>
      <c r="U154">
        <f t="shared" si="136"/>
        <v>4.5850821291237376E-4</v>
      </c>
      <c r="V154">
        <v>0</v>
      </c>
      <c r="W154">
        <f t="shared" si="137"/>
        <v>-1.612720339832197E-4</v>
      </c>
      <c r="X154">
        <f>$Z$153-($Y$153+$Y$151)/2</f>
        <v>171.70498248236029</v>
      </c>
      <c r="Y154">
        <f>_xlfn.XLOOKUP($F154,設計座標!$E$13:$E$2301,設計座標!$L$13:$L$2301," ",0,1)</f>
        <v>100</v>
      </c>
      <c r="Z154">
        <f>SQRT(($M$153-$M$151)^2+($N$153-$N$151)^2)</f>
        <v>221.70498248236029</v>
      </c>
      <c r="AA154">
        <f>_xlfn.XLOOKUP($G154,magnet_list!$A$2:$A$592,magnet_list!$AJ$2:$AJ$592,"n/a",0,1)</f>
        <v>0.122352</v>
      </c>
      <c r="AB154">
        <f>_xlfn.XLOOKUP($G154,magnet_list!$A$2:$A$592,magnet_list!$L$2:$L$592,"n/a",0,1)</f>
        <v>39</v>
      </c>
    </row>
    <row r="155" spans="1:28">
      <c r="A155" t="s">
        <v>797</v>
      </c>
      <c r="B155" t="s">
        <v>3810</v>
      </c>
      <c r="C155" t="s">
        <v>805</v>
      </c>
      <c r="D155" t="s">
        <v>806</v>
      </c>
      <c r="F155" t="s">
        <v>10</v>
      </c>
      <c r="G155" t="s">
        <v>2381</v>
      </c>
      <c r="I155">
        <f>_xlfn.XLOOKUP($F155,設計座標!$E$13:$E$2301,設計座標!$G$13:$G$2301,"n/a",0,1)</f>
        <v>11.037745828700002</v>
      </c>
      <c r="J155">
        <f>_xlfn.XLOOKUP($F155,設計座標!$E$13:$E$2301,設計座標!$H$13:$H$2301,"n/a",0,1)</f>
        <v>0</v>
      </c>
      <c r="K155">
        <f>_xlfn.XLOOKUP($F155,設計座標!$E$13:$E$2301,設計座標!$I$13:$I$2301,"n/a",0,1)</f>
        <v>3635.6922283200001</v>
      </c>
      <c r="L155">
        <f>_xlfn.XLOOKUP($F155,設計座標!$E$13:$E$2301,設計座標!$J$13:$J$2301,"n/a",0,1)</f>
        <v>0</v>
      </c>
      <c r="M155" s="2">
        <f>_xlfn.XLOOKUP($F155,survey_data!$A$2:$A$833,survey_data!$B$2:$B$833,"n/a",0,1)</f>
        <v>0.24559385</v>
      </c>
      <c r="N155" s="2">
        <f>_xlfn.XLOOKUP($F155,survey_data!$A$2:$A$833,survey_data!$C$2:$C$833,"n/a",0,1)</f>
        <v>3635.6922283200001</v>
      </c>
      <c r="O155" s="23">
        <f>_xlfn.XLOOKUP($F155,survey_data!$A$2:$A$833,survey_data!$D$2:$D$833,"n/a",0,1)</f>
        <v>0.54667368999999999</v>
      </c>
      <c r="P155" s="1">
        <f t="shared" si="131"/>
        <v>0.2450338308278813</v>
      </c>
      <c r="Q155" s="1">
        <f t="shared" si="97"/>
        <v>0.24559385</v>
      </c>
      <c r="R155">
        <f t="shared" si="98"/>
        <v>0</v>
      </c>
      <c r="S155" s="23">
        <f t="shared" si="99"/>
        <v>0.54667368999999999</v>
      </c>
      <c r="T155">
        <f>$S155+測地線補正!$Q$3*(lattice!$N155/1000)^3+測地線補正!$P$3*(lattice!$N155/1000)^2+測地線補正!$O$3*(lattice!$N155/1000)+測地線補正!$N$3</f>
        <v>0.2450338308278813</v>
      </c>
      <c r="U155">
        <f>ATAN(($P$157-$P$155)/ABS($N$157-$N$155))</f>
        <v>-1.6594251577845662E-4</v>
      </c>
      <c r="V155">
        <v>0</v>
      </c>
      <c r="W155">
        <f>-ATAN(($M$157-$M$155)/ABS($N$157-$N$155))</f>
        <v>3.9254564045225715E-4</v>
      </c>
      <c r="X155">
        <f>$Z$156-($Y$156+$Y$153)/2</f>
        <v>140.01312290699539</v>
      </c>
      <c r="Y155">
        <f>_xlfn.XLOOKUP($F155,設計座標!$E$13:$E$2301,設計座標!$L$13:$L$2301," ",0,1)</f>
        <v>100</v>
      </c>
      <c r="Z155">
        <f>SQRT(($M$156-$M$153)^2+($N$156-$N$153)^2)</f>
        <v>240.01312290699539</v>
      </c>
      <c r="AA155">
        <f>_xlfn.XLOOKUP($G155,magnet_list!$A$2:$A$592,magnet_list!$AJ$2:$AJ$592,"n/a",0,1)</f>
        <v>0.122352</v>
      </c>
      <c r="AB155">
        <f>_xlfn.XLOOKUP($G155,magnet_list!$A$2:$A$592,magnet_list!$L$2:$L$592,"n/a",0,1)</f>
        <v>39</v>
      </c>
    </row>
    <row r="156" spans="1:28">
      <c r="A156" t="s">
        <v>797</v>
      </c>
      <c r="B156" t="s">
        <v>3810</v>
      </c>
      <c r="C156" t="s">
        <v>805</v>
      </c>
      <c r="D156" t="s">
        <v>1152</v>
      </c>
      <c r="E156" t="s">
        <v>804</v>
      </c>
      <c r="F156" t="s">
        <v>532</v>
      </c>
      <c r="G156" t="s">
        <v>2381</v>
      </c>
      <c r="I156">
        <f>_xlfn.XLOOKUP($F156,設計座標!$E$13:$E$2301,設計座標!$G$13:$G$2301,"n/a",0,1)</f>
        <v>11.077731571100001</v>
      </c>
      <c r="J156">
        <f>_xlfn.XLOOKUP($F156,設計座標!$E$13:$E$2301,設計座標!$H$13:$H$2301,"n/a",0,1)</f>
        <v>0</v>
      </c>
      <c r="K156">
        <f>_xlfn.XLOOKUP($F156,設計座標!$E$13:$E$2301,設計座標!$I$13:$I$2301,"n/a",0,1)</f>
        <v>3675.6779707199998</v>
      </c>
      <c r="L156">
        <f>_xlfn.XLOOKUP($F156,設計座標!$E$13:$E$2301,設計座標!$J$13:$J$2301,"n/a",0,1)</f>
        <v>0</v>
      </c>
      <c r="M156" s="2">
        <f t="shared" ref="M156:M219" si="138">$J156+$Q156</f>
        <v>0.22989762033441158</v>
      </c>
      <c r="N156" s="2">
        <f t="shared" ref="N156:N219" si="139">$K156</f>
        <v>3675.6779707199998</v>
      </c>
      <c r="O156" s="23">
        <f t="shared" ref="O156:O219" si="140">$L156+$S156</f>
        <v>0.54357462814404223</v>
      </c>
      <c r="P156" s="1">
        <f t="shared" si="131"/>
        <v>0.23839765604855465</v>
      </c>
      <c r="Q156" s="1">
        <f>(Q$157-Q$155)/($N$157-$N$155)*($N156-$N$155)+Q$155</f>
        <v>0.22989762033441158</v>
      </c>
      <c r="R156">
        <f t="shared" si="98"/>
        <v>0</v>
      </c>
      <c r="S156" s="23">
        <f>(S$157-S$155)/($N$157-$N$155)*($N156-$N$155)+S$155</f>
        <v>0.54357462814404223</v>
      </c>
      <c r="T156">
        <f>$S156+測地線補正!$Q$3*(lattice!$N156/1000)^3+測地線補正!$P$3*(lattice!$N156/1000)^2+測地線補正!$O$3*(lattice!$N156/1000)+測地線補正!$N$3</f>
        <v>0.23839765604855465</v>
      </c>
      <c r="U156">
        <f t="shared" ref="U156:U157" si="141">ATAN(($P$157-$P$155)/ABS($N$157-$N$155))</f>
        <v>-1.6594251577845662E-4</v>
      </c>
      <c r="V156">
        <v>0</v>
      </c>
      <c r="W156">
        <f t="shared" ref="W156:W157" si="142">-ATAN(($M$157-$M$155)/ABS($N$157-$N$155))</f>
        <v>3.9254564045225715E-4</v>
      </c>
      <c r="X156">
        <f>$Z$156-($Y$156+$Y$153)/2</f>
        <v>140.01312290699539</v>
      </c>
      <c r="Y156">
        <f>_xlfn.XLOOKUP($F156,設計座標!$E$13:$E$2301,設計座標!$L$13:$L$2301," ",0,1)</f>
        <v>100</v>
      </c>
      <c r="Z156">
        <f>SQRT(($M$156-$M$153)^2+($N$156-$N$153)^2)</f>
        <v>240.01312290699539</v>
      </c>
      <c r="AA156">
        <f>_xlfn.XLOOKUP($G156,magnet_list!$A$2:$A$592,magnet_list!$AJ$2:$AJ$592,"n/a",0,1)</f>
        <v>0.122352</v>
      </c>
      <c r="AB156">
        <f>_xlfn.XLOOKUP($G156,magnet_list!$A$2:$A$592,magnet_list!$L$2:$L$592,"n/a",0,1)</f>
        <v>39</v>
      </c>
    </row>
    <row r="157" spans="1:28">
      <c r="A157" t="s">
        <v>797</v>
      </c>
      <c r="B157" t="s">
        <v>3810</v>
      </c>
      <c r="C157" t="s">
        <v>805</v>
      </c>
      <c r="D157" t="s">
        <v>806</v>
      </c>
      <c r="F157" t="s">
        <v>11</v>
      </c>
      <c r="G157" t="s">
        <v>2381</v>
      </c>
      <c r="I157">
        <f>_xlfn.XLOOKUP($F157,設計座標!$E$13:$E$2301,設計座標!$G$13:$G$2301,"n/a",0,1)</f>
        <v>11.117735071100002</v>
      </c>
      <c r="J157">
        <f>_xlfn.XLOOKUP($F157,設計座標!$E$13:$E$2301,設計座標!$H$13:$H$2301,"n/a",0,1)</f>
        <v>0</v>
      </c>
      <c r="K157">
        <f>_xlfn.XLOOKUP($F157,設計座標!$E$13:$E$2301,設計座標!$I$13:$I$2301,"n/a",0,1)</f>
        <v>3715.6814707200001</v>
      </c>
      <c r="L157">
        <f>_xlfn.XLOOKUP($F157,設計座標!$E$13:$E$2301,設計座標!$J$13:$J$2301,"n/a",0,1)</f>
        <v>0</v>
      </c>
      <c r="M157" s="2">
        <f>_xlfn.XLOOKUP($F157,survey_data!$A$2:$A$833,survey_data!$B$2:$B$833,"n/a",0,1)</f>
        <v>0.21419442</v>
      </c>
      <c r="N157" s="2">
        <f>_xlfn.XLOOKUP($F157,survey_data!$A$2:$A$833,survey_data!$C$2:$C$833,"n/a",0,1)</f>
        <v>3715.6814707200001</v>
      </c>
      <c r="O157" s="23">
        <f>_xlfn.XLOOKUP($F157,survey_data!$A$2:$A$833,survey_data!$D$2:$D$833,"n/a",0,1)</f>
        <v>0.54047418999999997</v>
      </c>
      <c r="P157" s="1">
        <f t="shared" si="131"/>
        <v>0.23176021458697435</v>
      </c>
      <c r="Q157" s="1">
        <f t="shared" si="97"/>
        <v>0.21419442</v>
      </c>
      <c r="R157">
        <f t="shared" si="98"/>
        <v>0</v>
      </c>
      <c r="S157" s="23">
        <f t="shared" si="99"/>
        <v>0.54047418999999997</v>
      </c>
      <c r="T157">
        <f>$S157+測地線補正!$Q$3*(lattice!$N157/1000)^3+測地線補正!$P$3*(lattice!$N157/1000)^2+測地線補正!$O$3*(lattice!$N157/1000)+測地線補正!$N$3</f>
        <v>0.23176021458697435</v>
      </c>
      <c r="U157">
        <f t="shared" si="141"/>
        <v>-1.6594251577845662E-4</v>
      </c>
      <c r="V157">
        <v>0</v>
      </c>
      <c r="W157">
        <f t="shared" si="142"/>
        <v>3.9254564045225715E-4</v>
      </c>
      <c r="X157">
        <f>$Z$156-($Y$156+$Y$153)/2</f>
        <v>140.01312290699539</v>
      </c>
      <c r="Y157">
        <f>_xlfn.XLOOKUP($F157,設計座標!$E$13:$E$2301,設計座標!$L$13:$L$2301," ",0,1)</f>
        <v>100</v>
      </c>
      <c r="Z157">
        <f>SQRT(($M$156-$M$153)^2+($N$156-$N$153)^2)</f>
        <v>240.01312290699539</v>
      </c>
      <c r="AA157">
        <f>_xlfn.XLOOKUP($G157,magnet_list!$A$2:$A$592,magnet_list!$AJ$2:$AJ$592,"n/a",0,1)</f>
        <v>0.122352</v>
      </c>
      <c r="AB157">
        <f>_xlfn.XLOOKUP($G157,magnet_list!$A$2:$A$592,magnet_list!$L$2:$L$592,"n/a",0,1)</f>
        <v>39</v>
      </c>
    </row>
    <row r="158" spans="1:28">
      <c r="A158" t="s">
        <v>797</v>
      </c>
      <c r="B158" t="s">
        <v>3810</v>
      </c>
      <c r="C158" t="s">
        <v>1152</v>
      </c>
      <c r="D158" t="s">
        <v>1152</v>
      </c>
      <c r="E158" t="s">
        <v>804</v>
      </c>
      <c r="F158" t="s">
        <v>1957</v>
      </c>
      <c r="G158" t="s">
        <v>1957</v>
      </c>
      <c r="I158">
        <f>_xlfn.XLOOKUP($F158,設計座標!$E$13:$E$2301,設計座標!$G$13:$G$2301,"n/a",0,1)</f>
        <v>11.26599547931</v>
      </c>
      <c r="J158">
        <f>_xlfn.XLOOKUP($F158,設計座標!$E$13:$E$2301,設計座標!$H$13:$H$2301,"n/a",0,1)</f>
        <v>0</v>
      </c>
      <c r="K158">
        <f>_xlfn.XLOOKUP($F158,設計座標!$E$13:$E$2301,設計座標!$I$13:$I$2301,"n/a",0,1)</f>
        <v>3863.9418789299998</v>
      </c>
      <c r="L158">
        <f>_xlfn.XLOOKUP($F158,設計座標!$E$13:$E$2301,設計座標!$J$13:$J$2301,"n/a",0,1)</f>
        <v>0</v>
      </c>
      <c r="M158" s="2">
        <f t="shared" si="138"/>
        <v>0.21371680451806435</v>
      </c>
      <c r="N158" s="2">
        <f t="shared" si="139"/>
        <v>3863.9418789299998</v>
      </c>
      <c r="O158" s="23">
        <f t="shared" si="140"/>
        <v>0.55599301042230376</v>
      </c>
      <c r="P158" s="1">
        <f t="shared" si="131"/>
        <v>0.23418487502448701</v>
      </c>
      <c r="Q158" s="1">
        <f>(Q$171-Q$157)/($N$171-$N$157)*($N158-$N$157)+Q$157</f>
        <v>0.21371680451806435</v>
      </c>
      <c r="R158">
        <f t="shared" si="98"/>
        <v>0</v>
      </c>
      <c r="S158" s="23">
        <f t="shared" ref="S158:S170" si="143">(S$171-S$157)/($N$171-$N$157)*($N158-$N$157)+S$157</f>
        <v>0.55599301042230376</v>
      </c>
      <c r="T158">
        <f>$S158+測地線補正!$Q$3*(lattice!$N158/1000)^3+測地線補正!$P$3*(lattice!$N158/1000)^2+測地線補正!$O$3*(lattice!$N158/1000)+測地線補正!$N$3</f>
        <v>0.23418487502448701</v>
      </c>
      <c r="U158">
        <v>0</v>
      </c>
      <c r="V158">
        <v>0</v>
      </c>
      <c r="W158">
        <v>0</v>
      </c>
      <c r="X158">
        <f>$Z$158-($Y$158+$Y$156)/2</f>
        <v>138.26390890535043</v>
      </c>
      <c r="Y158">
        <f>_xlfn.XLOOKUP($F158,設計座標!$E$13:$E$2301,設計座標!$L$13:$L$2301," ",0,1)</f>
        <v>0</v>
      </c>
      <c r="Z158">
        <f>SQRT(($M$158-$M$156)^2+($N$158-$N$156)^2)</f>
        <v>188.26390890535043</v>
      </c>
    </row>
    <row r="159" spans="1:28">
      <c r="A159" t="s">
        <v>797</v>
      </c>
      <c r="B159" t="s">
        <v>3810</v>
      </c>
      <c r="C159" t="s">
        <v>804</v>
      </c>
      <c r="D159" t="s">
        <v>1152</v>
      </c>
      <c r="E159" t="s">
        <v>804</v>
      </c>
      <c r="F159" t="s">
        <v>1406</v>
      </c>
      <c r="G159" t="s">
        <v>2382</v>
      </c>
      <c r="I159">
        <f>_xlfn.XLOOKUP($F159,設計座標!$E$13:$E$2301,設計座標!$G$13:$G$2301,"n/a",0,1)</f>
        <v>11.399995379309999</v>
      </c>
      <c r="J159">
        <f>_xlfn.XLOOKUP($F159,設計座標!$E$13:$E$2301,設計座標!$H$13:$H$2301,"n/a",0,1)</f>
        <v>0</v>
      </c>
      <c r="K159">
        <f>_xlfn.XLOOKUP($F159,設計座標!$E$13:$E$2301,設計座標!$I$13:$I$2301,"n/a",0,1)</f>
        <v>3997.9417789300001</v>
      </c>
      <c r="L159">
        <f>_xlfn.XLOOKUP($F159,設計座標!$E$13:$E$2301,設計座標!$J$13:$J$2301,"n/a",0,1)</f>
        <v>-270</v>
      </c>
      <c r="M159" s="2">
        <f t="shared" si="138"/>
        <v>0.21328512874170216</v>
      </c>
      <c r="N159" s="2">
        <f t="shared" si="139"/>
        <v>3997.9417789300001</v>
      </c>
      <c r="O159" s="23">
        <f t="shared" si="140"/>
        <v>-269.4299808553601</v>
      </c>
      <c r="P159" s="1">
        <f t="shared" si="131"/>
        <v>-269.76360390510479</v>
      </c>
      <c r="Q159" s="1">
        <f t="shared" ref="Q159:Q170" si="144">(Q$171-Q$157)/($N$171-$N$157)*($N159-$N$157)+Q$157</f>
        <v>0.21328512874170216</v>
      </c>
      <c r="R159">
        <f t="shared" si="98"/>
        <v>0</v>
      </c>
      <c r="S159" s="23">
        <f t="shared" si="143"/>
        <v>0.57001914463988379</v>
      </c>
      <c r="T159">
        <f>$S159+測地線補正!$Q$3*(lattice!$N159/1000)^3+測地線補正!$P$3*(lattice!$N159/1000)^2+測地線補正!$O$3*(lattice!$N159/1000)+測地線補正!$N$3</f>
        <v>0.23639609489523847</v>
      </c>
      <c r="U159">
        <f>ATAN(($P$163-$P$159)/ABS($N$163-$N$159))</f>
        <v>1.7541453312435088E-5</v>
      </c>
      <c r="V159">
        <v>0</v>
      </c>
      <c r="W159">
        <f>-ATAN(($M$163-$M$159)/ABS($N$163-$N$159))</f>
        <v>3.2214634216942932E-6</v>
      </c>
      <c r="X159">
        <f>SQRT(($M$159-$M$158)^2+($N$159-$N$158)^2)</f>
        <v>133.99990000069556</v>
      </c>
      <c r="Y159">
        <f>_xlfn.XLOOKUP($F159,設計座標!$E$13:$E$2301,設計座標!$L$13:$L$2301," ",0,1)</f>
        <v>1889.4492</v>
      </c>
      <c r="Z159">
        <f>SQRT(($M$162-$M$160)^2+($N$162-$N$160)^2)</f>
        <v>311.22450000161518</v>
      </c>
    </row>
    <row r="160" spans="1:28">
      <c r="A160" t="s">
        <v>797</v>
      </c>
      <c r="B160" t="s">
        <v>3810</v>
      </c>
      <c r="C160" t="s">
        <v>3855</v>
      </c>
      <c r="D160" t="s">
        <v>1152</v>
      </c>
      <c r="E160" t="s">
        <v>804</v>
      </c>
      <c r="F160" t="s">
        <v>2198</v>
      </c>
      <c r="G160" t="s">
        <v>2198</v>
      </c>
      <c r="I160">
        <f>_xlfn.XLOOKUP($F160,設計座標!$E$13:$E$2301,設計座標!$G$13:$G$2301,"n/a",0,1)</f>
        <v>12.03349547931</v>
      </c>
      <c r="J160">
        <f>_xlfn.XLOOKUP($F160,設計座標!$E$13:$E$2301,設計座標!$H$13:$H$2301,"n/a",0,1)</f>
        <v>0</v>
      </c>
      <c r="K160">
        <f>_xlfn.XLOOKUP($F160,設計座標!$E$13:$E$2301,設計座標!$I$13:$I$2301,"n/a",0,1)</f>
        <v>4631.4418789299998</v>
      </c>
      <c r="L160">
        <f>_xlfn.XLOOKUP($F160,設計座標!$E$13:$E$2301,設計座標!$J$13:$J$2301,"n/a",0,1)</f>
        <v>-270</v>
      </c>
      <c r="M160" s="2">
        <f t="shared" si="138"/>
        <v>0.21124433134190543</v>
      </c>
      <c r="N160" s="2">
        <f t="shared" si="139"/>
        <v>4631.4418789299998</v>
      </c>
      <c r="O160" s="23">
        <f t="shared" si="140"/>
        <v>-269.36367067580437</v>
      </c>
      <c r="P160" s="1">
        <f t="shared" si="131"/>
        <v>-269.7528977229249</v>
      </c>
      <c r="Q160" s="1">
        <f t="shared" si="144"/>
        <v>0.21124433134190543</v>
      </c>
      <c r="R160">
        <f t="shared" si="98"/>
        <v>0</v>
      </c>
      <c r="S160" s="23">
        <f t="shared" si="143"/>
        <v>0.63632932419561772</v>
      </c>
      <c r="T160">
        <f>$S160+測地線補正!$Q$3*(lattice!$N160/1000)^3+測地線補正!$P$3*(lattice!$N160/1000)^2+測地線補正!$O$3*(lattice!$N160/1000)+測地線補正!$N$3</f>
        <v>0.24710227707510349</v>
      </c>
      <c r="U160">
        <f t="shared" ref="U160:U161" si="145">ATAN(($P$163-$P$159)/ABS($N$163-$N$159))</f>
        <v>1.7541453312435088E-5</v>
      </c>
      <c r="V160">
        <v>0</v>
      </c>
      <c r="W160">
        <f t="shared" ref="W160:W161" si="146">-ATAN(($M$163-$M$159)/ABS($N$163-$N$159))</f>
        <v>3.2214634216942932E-6</v>
      </c>
      <c r="X160" t="s">
        <v>3860</v>
      </c>
      <c r="Y160">
        <f>_xlfn.XLOOKUP($F160,設計座標!$E$13:$E$2301,設計座標!$L$13:$L$2301," ",0,1)</f>
        <v>1000</v>
      </c>
      <c r="Z160">
        <f>SQRT(($M$160-$M$158)^2+($N$160-$N$158)^2)</f>
        <v>767.50000000398245</v>
      </c>
      <c r="AA160">
        <f>_xlfn.XLOOKUP($G160,magnet_list!$A$2:$A$592,magnet_list!$AJ$2:$AJ$592,"n/a",0,1)</f>
        <v>0.95010000000000006</v>
      </c>
      <c r="AB160">
        <f>_xlfn.XLOOKUP($G160,magnet_list!$A$2:$A$592,magnet_list!$L$2:$L$592,"n/a",0,1)</f>
        <v>120</v>
      </c>
    </row>
    <row r="161" spans="1:28">
      <c r="A161" t="s">
        <v>797</v>
      </c>
      <c r="B161" t="s">
        <v>3810</v>
      </c>
      <c r="C161" t="s">
        <v>3855</v>
      </c>
      <c r="D161" t="s">
        <v>1152</v>
      </c>
      <c r="E161" t="s">
        <v>804</v>
      </c>
      <c r="F161" t="s">
        <v>2199</v>
      </c>
      <c r="G161" t="s">
        <v>2199</v>
      </c>
      <c r="I161">
        <f>_xlfn.XLOOKUP($F161,設計座標!$E$13:$E$2301,設計座標!$G$13:$G$2301,"n/a",0,1)</f>
        <v>12.03349547931</v>
      </c>
      <c r="J161">
        <f>_xlfn.XLOOKUP($F161,設計座標!$E$13:$E$2301,設計座標!$H$13:$H$2301,"n/a",0,1)</f>
        <v>0</v>
      </c>
      <c r="K161">
        <f>_xlfn.XLOOKUP($F161,設計座標!$E$13:$E$2301,設計座標!$I$13:$I$2301,"n/a",0,1)</f>
        <v>4631.4418789299998</v>
      </c>
      <c r="L161">
        <f>_xlfn.XLOOKUP($F161,設計座標!$E$13:$E$2301,設計座標!$J$13:$J$2301,"n/a",0,1)</f>
        <v>-270</v>
      </c>
      <c r="M161" s="2">
        <f t="shared" si="138"/>
        <v>0.21124433134190543</v>
      </c>
      <c r="N161" s="2">
        <f t="shared" si="139"/>
        <v>4631.4418789299998</v>
      </c>
      <c r="O161" s="23">
        <f t="shared" si="140"/>
        <v>-269.36367067580437</v>
      </c>
      <c r="P161" s="1">
        <f t="shared" si="131"/>
        <v>-269.7528977229249</v>
      </c>
      <c r="Q161" s="1">
        <f t="shared" si="144"/>
        <v>0.21124433134190543</v>
      </c>
      <c r="R161">
        <f t="shared" si="98"/>
        <v>0</v>
      </c>
      <c r="S161" s="23">
        <f t="shared" si="143"/>
        <v>0.63632932419561772</v>
      </c>
      <c r="T161">
        <f>$S161+測地線補正!$Q$3*(lattice!$N161/1000)^3+測地線補正!$P$3*(lattice!$N161/1000)^2+測地線補正!$O$3*(lattice!$N161/1000)+測地線補正!$N$3</f>
        <v>0.24710227707510349</v>
      </c>
      <c r="U161">
        <f t="shared" si="145"/>
        <v>1.7541453312435088E-5</v>
      </c>
      <c r="V161">
        <v>0</v>
      </c>
      <c r="W161">
        <f t="shared" si="146"/>
        <v>3.2214634216942932E-6</v>
      </c>
      <c r="X161" t="s">
        <v>3860</v>
      </c>
      <c r="Y161">
        <f>_xlfn.XLOOKUP($F161,設計座標!$E$13:$E$2301,設計座標!$L$13:$L$2301," ",0,1)</f>
        <v>1000</v>
      </c>
      <c r="Z161">
        <f>SQRT(($M$160-$M$158)^2+($N$160-$N$158)^2)</f>
        <v>767.50000000398245</v>
      </c>
      <c r="AA161">
        <f>_xlfn.XLOOKUP($G161,magnet_list!$A$2:$A$592,magnet_list!$AJ$2:$AJ$592,"n/a",0,1)</f>
        <v>0.95010000000000006</v>
      </c>
      <c r="AB161">
        <f>_xlfn.XLOOKUP($G161,magnet_list!$A$2:$A$592,magnet_list!$L$2:$L$592,"n/a",0,1)</f>
        <v>120</v>
      </c>
    </row>
    <row r="162" spans="1:28">
      <c r="A162" t="s">
        <v>797</v>
      </c>
      <c r="B162" t="s">
        <v>3810</v>
      </c>
      <c r="C162" t="s">
        <v>804</v>
      </c>
      <c r="D162" t="s">
        <v>1152</v>
      </c>
      <c r="E162" t="s">
        <v>804</v>
      </c>
      <c r="F162" t="s">
        <v>1222</v>
      </c>
      <c r="G162" t="s">
        <v>2382</v>
      </c>
      <c r="I162">
        <f>_xlfn.XLOOKUP($F162,設計座標!$E$13:$E$2301,設計座標!$G$13:$G$2301,"n/a",0,1)</f>
        <v>12.34471997931</v>
      </c>
      <c r="J162">
        <f>_xlfn.XLOOKUP($F162,設計座標!$E$13:$E$2301,設計座標!$H$13:$H$2301,"n/a",0,1)</f>
        <v>0</v>
      </c>
      <c r="K162">
        <f>_xlfn.XLOOKUP($F162,設計座標!$E$13:$E$2301,設計座標!$I$13:$I$2301,"n/a",0,1)</f>
        <v>4942.6663789300001</v>
      </c>
      <c r="L162">
        <f>_xlfn.XLOOKUP($F162,設計座標!$E$13:$E$2301,設計座標!$J$13:$J$2301,"n/a",0,1)</f>
        <v>-270</v>
      </c>
      <c r="M162" s="2">
        <f t="shared" si="138"/>
        <v>0.21024173299921686</v>
      </c>
      <c r="N162" s="2">
        <f t="shared" si="139"/>
        <v>4942.6663789300001</v>
      </c>
      <c r="O162" s="23">
        <f t="shared" si="140"/>
        <v>-269.33109396038299</v>
      </c>
      <c r="P162" s="1">
        <f t="shared" si="131"/>
        <v>-269.7474867075864</v>
      </c>
      <c r="Q162" s="1">
        <f t="shared" si="144"/>
        <v>0.21024173299921686</v>
      </c>
      <c r="R162">
        <f t="shared" si="98"/>
        <v>0</v>
      </c>
      <c r="S162" s="23">
        <f t="shared" si="143"/>
        <v>0.66890603961704143</v>
      </c>
      <c r="T162">
        <f>$S162+測地線補正!$Q$3*(lattice!$N162/1000)^3+測地線補正!$P$3*(lattice!$N162/1000)^2+測地線補正!$O$3*(lattice!$N162/1000)+測地線補正!$N$3</f>
        <v>0.25251329241359305</v>
      </c>
      <c r="U162">
        <f t="shared" ref="U162:U163" si="147">ATAN(($P$163-$P$159)/ABS($N$163-$N$159))</f>
        <v>1.7541453312435088E-5</v>
      </c>
      <c r="V162">
        <v>0</v>
      </c>
      <c r="W162">
        <f t="shared" ref="W162:W163" si="148">-ATAN(($M$163-$M$159)/ABS($N$163-$N$159))</f>
        <v>3.2214634216942932E-6</v>
      </c>
      <c r="X162" t="s">
        <v>3860</v>
      </c>
      <c r="Y162">
        <f>_xlfn.XLOOKUP($F162,設計座標!$E$13:$E$2301,設計座標!$L$13:$L$2301," ",0,1)</f>
        <v>1889.4492</v>
      </c>
      <c r="Z162">
        <f>SQRT(($M$162-$M$160)^2+($N$162-$N$160)^2)</f>
        <v>311.22450000161518</v>
      </c>
    </row>
    <row r="163" spans="1:28">
      <c r="A163" t="s">
        <v>797</v>
      </c>
      <c r="B163" t="s">
        <v>3810</v>
      </c>
      <c r="C163" t="s">
        <v>804</v>
      </c>
      <c r="D163" t="s">
        <v>1152</v>
      </c>
      <c r="E163" t="s">
        <v>804</v>
      </c>
      <c r="F163" t="s">
        <v>1407</v>
      </c>
      <c r="G163" t="s">
        <v>2382</v>
      </c>
      <c r="I163">
        <f>_xlfn.XLOOKUP($F163,設計座標!$E$13:$E$2301,設計座標!$G$13:$G$2301,"n/a",0,1)</f>
        <v>13.289444579309999</v>
      </c>
      <c r="J163">
        <f>_xlfn.XLOOKUP($F163,設計座標!$E$13:$E$2301,設計座標!$H$13:$H$2301,"n/a",0,1)</f>
        <v>0</v>
      </c>
      <c r="K163">
        <f>_xlfn.XLOOKUP($F163,設計座標!$E$13:$E$2301,設計座標!$I$13:$I$2301,"n/a",0,1)</f>
        <v>5887.3909789299996</v>
      </c>
      <c r="L163">
        <f>_xlfn.XLOOKUP($F163,設計座標!$E$13:$E$2301,設計座標!$J$13:$J$2301,"n/a",0,1)</f>
        <v>-270</v>
      </c>
      <c r="M163" s="2">
        <f t="shared" si="138"/>
        <v>0.20719833725673156</v>
      </c>
      <c r="N163" s="2">
        <f t="shared" si="139"/>
        <v>5887.3909789299996</v>
      </c>
      <c r="O163" s="23">
        <f t="shared" si="140"/>
        <v>-269.23220706540582</v>
      </c>
      <c r="P163" s="1">
        <f t="shared" si="131"/>
        <v>-269.73046022017337</v>
      </c>
      <c r="Q163" s="1">
        <f t="shared" si="144"/>
        <v>0.20719833725673156</v>
      </c>
      <c r="R163">
        <f t="shared" si="98"/>
        <v>0</v>
      </c>
      <c r="S163" s="23">
        <f t="shared" si="143"/>
        <v>0.76779293459419917</v>
      </c>
      <c r="T163">
        <f>$S163+測地線補正!$Q$3*(lattice!$N163/1000)^3+測地線補正!$P$3*(lattice!$N163/1000)^2+測地線補正!$O$3*(lattice!$N163/1000)+測地線補正!$N$3</f>
        <v>0.2695397798266313</v>
      </c>
      <c r="U163">
        <f t="shared" si="147"/>
        <v>1.7541453312435088E-5</v>
      </c>
      <c r="V163">
        <v>0</v>
      </c>
      <c r="W163">
        <f t="shared" si="148"/>
        <v>3.2214634216942932E-6</v>
      </c>
      <c r="X163" t="s">
        <v>3860</v>
      </c>
      <c r="Y163">
        <f>_xlfn.XLOOKUP($F163,設計座標!$E$13:$E$2301,設計座標!$L$13:$L$2301," ",0,1)</f>
        <v>1889.4492</v>
      </c>
      <c r="Z163">
        <f>SQRT(($M$162-$M$160)^2+($N$162-$N$160)^2)</f>
        <v>311.22450000161518</v>
      </c>
    </row>
    <row r="164" spans="1:28">
      <c r="A164" t="s">
        <v>797</v>
      </c>
      <c r="B164" t="s">
        <v>3810</v>
      </c>
      <c r="C164" t="s">
        <v>1152</v>
      </c>
      <c r="D164" t="s">
        <v>1152</v>
      </c>
      <c r="E164" t="s">
        <v>804</v>
      </c>
      <c r="F164" t="s">
        <v>1958</v>
      </c>
      <c r="G164" t="s">
        <v>1958</v>
      </c>
      <c r="I164">
        <f>_xlfn.XLOOKUP($F164,設計座標!$E$13:$E$2301,設計座標!$G$13:$G$2301,"n/a",0,1)</f>
        <v>14.15265447931</v>
      </c>
      <c r="J164">
        <f>_xlfn.XLOOKUP($F164,設計座標!$E$13:$E$2301,設計座標!$H$13:$H$2301,"n/a",0,1)</f>
        <v>0</v>
      </c>
      <c r="K164">
        <f>_xlfn.XLOOKUP($F164,設計座標!$E$13:$E$2301,設計座標!$I$13:$I$2301,"n/a",0,1)</f>
        <v>6750.6008789300004</v>
      </c>
      <c r="L164">
        <f>_xlfn.XLOOKUP($F164,設計座標!$E$13:$E$2301,設計座標!$J$13:$J$2301,"n/a",0,1)</f>
        <v>-270</v>
      </c>
      <c r="M164" s="2">
        <f t="shared" si="138"/>
        <v>0.20441753813862754</v>
      </c>
      <c r="N164" s="2">
        <f t="shared" si="139"/>
        <v>6750.6008789300004</v>
      </c>
      <c r="O164" s="23">
        <f t="shared" si="140"/>
        <v>-269.14185253592223</v>
      </c>
      <c r="P164" s="1">
        <f t="shared" si="131"/>
        <v>-269.71412566654811</v>
      </c>
      <c r="Q164" s="1">
        <f t="shared" si="144"/>
        <v>0.20441753813862754</v>
      </c>
      <c r="R164">
        <f t="shared" si="98"/>
        <v>0</v>
      </c>
      <c r="S164" s="23">
        <f t="shared" si="143"/>
        <v>0.85814746407775744</v>
      </c>
      <c r="T164">
        <f>$S164+測地線補正!$Q$3*(lattice!$N164/1000)^3+測地線補正!$P$3*(lattice!$N164/1000)^2+測地線補正!$O$3*(lattice!$N164/1000)+測地線補正!$N$3</f>
        <v>0.28587433345186869</v>
      </c>
      <c r="U164">
        <v>0</v>
      </c>
      <c r="V164">
        <v>0</v>
      </c>
      <c r="W164">
        <v>0</v>
      </c>
      <c r="X164">
        <f>SQRT(($M$164-$M$163)^2+($N$164-$N$163)^2)</f>
        <v>863.20990000447989</v>
      </c>
      <c r="Y164">
        <f>_xlfn.XLOOKUP($F164,設計座標!$E$13:$E$2301,設計座標!$L$13:$L$2301," ",0,1)</f>
        <v>0</v>
      </c>
      <c r="Z164">
        <f>SQRT(($M$164-$M$162)^2+($N$164-$N$162)^2)</f>
        <v>1807.9345000093815</v>
      </c>
    </row>
    <row r="165" spans="1:28">
      <c r="A165" t="s">
        <v>797</v>
      </c>
      <c r="B165" t="s">
        <v>3810</v>
      </c>
      <c r="C165" t="s">
        <v>804</v>
      </c>
      <c r="D165" t="s">
        <v>1152</v>
      </c>
      <c r="E165" t="s">
        <v>804</v>
      </c>
      <c r="F165" t="s">
        <v>1408</v>
      </c>
      <c r="G165" t="s">
        <v>2383</v>
      </c>
      <c r="I165">
        <f>_xlfn.XLOOKUP($F165,設計座標!$E$13:$E$2301,設計座標!$G$13:$G$2301,"n/a",0,1)</f>
        <v>14.286654379309999</v>
      </c>
      <c r="J165">
        <f>_xlfn.XLOOKUP($F165,設計座標!$E$13:$E$2301,設計座標!$H$13:$H$2301,"n/a",0,1)</f>
        <v>0</v>
      </c>
      <c r="K165">
        <f>_xlfn.XLOOKUP($F165,設計座標!$E$13:$E$2301,設計座標!$I$13:$I$2301,"n/a",0,1)</f>
        <v>6884.6007789300002</v>
      </c>
      <c r="L165">
        <f>_xlfn.XLOOKUP($F165,設計座標!$E$13:$E$2301,設計座標!$J$13:$J$2301,"n/a",0,1)</f>
        <v>-270</v>
      </c>
      <c r="M165" s="2">
        <f t="shared" si="138"/>
        <v>0.20398586236226535</v>
      </c>
      <c r="N165" s="2">
        <f t="shared" si="139"/>
        <v>6884.6007789300002</v>
      </c>
      <c r="O165" s="23">
        <f t="shared" si="140"/>
        <v>-269.12782640170468</v>
      </c>
      <c r="P165" s="1">
        <f t="shared" si="131"/>
        <v>-269.71152451223674</v>
      </c>
      <c r="Q165" s="1">
        <f t="shared" si="144"/>
        <v>0.20398586236226535</v>
      </c>
      <c r="R165">
        <f t="shared" si="98"/>
        <v>0</v>
      </c>
      <c r="S165" s="23">
        <f t="shared" si="143"/>
        <v>0.87217359829533747</v>
      </c>
      <c r="T165">
        <f>$S165+測地線補正!$Q$3*(lattice!$N165/1000)^3+測地線補正!$P$3*(lattice!$N165/1000)^2+測地線補正!$O$3*(lattice!$N165/1000)+測地線補正!$N$3</f>
        <v>0.28847548776328663</v>
      </c>
      <c r="U165">
        <f>ATAN(($P$169-$P$165)/ABS($N$169-$N$165))</f>
        <v>2.037877580958821E-5</v>
      </c>
      <c r="V165">
        <v>0</v>
      </c>
      <c r="W165">
        <f>-ATAN(($M$169-$M$165)/ABS($N$169-$N$165))</f>
        <v>3.2214634216943055E-6</v>
      </c>
      <c r="X165">
        <f>SQRT(($M$165-$M$164)^2+($N$165-$N$164)^2)</f>
        <v>133.99990000069511</v>
      </c>
      <c r="Y165">
        <f>_xlfn.XLOOKUP($F165,設計座標!$E$13:$E$2301,設計座標!$L$13:$L$2301," ",0,1)</f>
        <v>1889.4492</v>
      </c>
      <c r="Z165">
        <f>SQRT(($M$168-$M$166)^2+($N$168-$N$166)^2)</f>
        <v>311.22450000161518</v>
      </c>
    </row>
    <row r="166" spans="1:28">
      <c r="A166" t="s">
        <v>797</v>
      </c>
      <c r="B166" t="s">
        <v>3810</v>
      </c>
      <c r="C166" t="s">
        <v>3855</v>
      </c>
      <c r="D166" t="s">
        <v>1152</v>
      </c>
      <c r="E166" t="s">
        <v>804</v>
      </c>
      <c r="F166" t="s">
        <v>2200</v>
      </c>
      <c r="G166" t="s">
        <v>2200</v>
      </c>
      <c r="I166">
        <f>_xlfn.XLOOKUP($F166,設計座標!$E$13:$E$2301,設計座標!$G$13:$G$2301,"n/a",0,1)</f>
        <v>14.92015447931</v>
      </c>
      <c r="J166">
        <f>_xlfn.XLOOKUP($F166,設計座標!$E$13:$E$2301,設計座標!$H$13:$H$2301,"n/a",0,1)</f>
        <v>0</v>
      </c>
      <c r="K166">
        <f>_xlfn.XLOOKUP($F166,設計座標!$E$13:$E$2301,設計座標!$I$13:$I$2301,"n/a",0,1)</f>
        <v>7518.1008789300004</v>
      </c>
      <c r="L166">
        <f>_xlfn.XLOOKUP($F166,設計座標!$E$13:$E$2301,設計座標!$J$13:$J$2301,"n/a",0,1)</f>
        <v>-270</v>
      </c>
      <c r="M166" s="2">
        <f t="shared" si="138"/>
        <v>0.20194506496246861</v>
      </c>
      <c r="N166" s="2">
        <f t="shared" si="139"/>
        <v>7518.1008789300004</v>
      </c>
      <c r="O166" s="23">
        <f t="shared" si="140"/>
        <v>-269.06151622214895</v>
      </c>
      <c r="P166" s="1">
        <f t="shared" si="131"/>
        <v>-269.69899232378526</v>
      </c>
      <c r="Q166" s="1">
        <f t="shared" si="144"/>
        <v>0.20194506496246861</v>
      </c>
      <c r="R166">
        <f t="shared" si="98"/>
        <v>0</v>
      </c>
      <c r="S166" s="23">
        <f t="shared" si="143"/>
        <v>0.9384837778510714</v>
      </c>
      <c r="T166">
        <f>$S166+測地線補正!$Q$3*(lattice!$N166/1000)^3+測地線補正!$P$3*(lattice!$N166/1000)^2+測地線補正!$O$3*(lattice!$N166/1000)+測地線補正!$N$3</f>
        <v>0.3010076762147505</v>
      </c>
      <c r="U166">
        <f t="shared" ref="U166:U167" si="149">ATAN(($P$169-$P$165)/ABS($N$169-$N$165))</f>
        <v>2.037877580958821E-5</v>
      </c>
      <c r="V166">
        <v>0</v>
      </c>
      <c r="W166">
        <f t="shared" ref="W166:W167" si="150">-ATAN(($M$169-$M$165)/ABS($N$169-$N$165))</f>
        <v>3.2214634216943055E-6</v>
      </c>
      <c r="X166" t="s">
        <v>3860</v>
      </c>
      <c r="Y166">
        <f>_xlfn.XLOOKUP($F166,設計座標!$E$13:$E$2301,設計座標!$L$13:$L$2301," ",0,1)</f>
        <v>1000</v>
      </c>
      <c r="Z166">
        <f>SQRT(($M$166-$M$164)^2+($N$166-$N$164)^2)</f>
        <v>767.50000000398245</v>
      </c>
      <c r="AA166">
        <f>_xlfn.XLOOKUP($G166,magnet_list!$A$2:$A$592,magnet_list!$AJ$2:$AJ$592,"n/a",0,1)</f>
        <v>0.95010000000000006</v>
      </c>
      <c r="AB166">
        <f>_xlfn.XLOOKUP($G166,magnet_list!$A$2:$A$592,magnet_list!$L$2:$L$592,"n/a",0,1)</f>
        <v>120</v>
      </c>
    </row>
    <row r="167" spans="1:28">
      <c r="A167" t="s">
        <v>797</v>
      </c>
      <c r="B167" t="s">
        <v>3810</v>
      </c>
      <c r="C167" t="s">
        <v>3855</v>
      </c>
      <c r="D167" t="s">
        <v>1152</v>
      </c>
      <c r="E167" t="s">
        <v>804</v>
      </c>
      <c r="F167" t="s">
        <v>2201</v>
      </c>
      <c r="G167" t="s">
        <v>2201</v>
      </c>
      <c r="I167">
        <f>_xlfn.XLOOKUP($F167,設計座標!$E$13:$E$2301,設計座標!$G$13:$G$2301,"n/a",0,1)</f>
        <v>14.92015447931</v>
      </c>
      <c r="J167">
        <f>_xlfn.XLOOKUP($F167,設計座標!$E$13:$E$2301,設計座標!$H$13:$H$2301,"n/a",0,1)</f>
        <v>0</v>
      </c>
      <c r="K167">
        <f>_xlfn.XLOOKUP($F167,設計座標!$E$13:$E$2301,設計座標!$I$13:$I$2301,"n/a",0,1)</f>
        <v>7518.1008789300004</v>
      </c>
      <c r="L167">
        <f>_xlfn.XLOOKUP($F167,設計座標!$E$13:$E$2301,設計座標!$J$13:$J$2301,"n/a",0,1)</f>
        <v>-270</v>
      </c>
      <c r="M167" s="2">
        <f t="shared" si="138"/>
        <v>0.20194506496246861</v>
      </c>
      <c r="N167" s="2">
        <f t="shared" si="139"/>
        <v>7518.1008789300004</v>
      </c>
      <c r="O167" s="23">
        <f t="shared" si="140"/>
        <v>-269.06151622214895</v>
      </c>
      <c r="P167" s="1">
        <f t="shared" si="131"/>
        <v>-269.69899232378526</v>
      </c>
      <c r="Q167" s="1">
        <f t="shared" si="144"/>
        <v>0.20194506496246861</v>
      </c>
      <c r="R167">
        <f t="shared" si="98"/>
        <v>0</v>
      </c>
      <c r="S167" s="23">
        <f t="shared" si="143"/>
        <v>0.9384837778510714</v>
      </c>
      <c r="T167">
        <f>$S167+測地線補正!$Q$3*(lattice!$N167/1000)^3+測地線補正!$P$3*(lattice!$N167/1000)^2+測地線補正!$O$3*(lattice!$N167/1000)+測地線補正!$N$3</f>
        <v>0.3010076762147505</v>
      </c>
      <c r="U167">
        <f t="shared" si="149"/>
        <v>2.037877580958821E-5</v>
      </c>
      <c r="V167">
        <v>0</v>
      </c>
      <c r="W167">
        <f t="shared" si="150"/>
        <v>3.2214634216943055E-6</v>
      </c>
      <c r="X167" t="s">
        <v>3860</v>
      </c>
      <c r="Y167">
        <f>_xlfn.XLOOKUP($F167,設計座標!$E$13:$E$2301,設計座標!$L$13:$L$2301," ",0,1)</f>
        <v>1000</v>
      </c>
      <c r="Z167">
        <f>SQRT(($M$166-$M$164)^2+($N$166-$N$164)^2)</f>
        <v>767.50000000398245</v>
      </c>
      <c r="AA167">
        <f>_xlfn.XLOOKUP($G167,magnet_list!$A$2:$A$592,magnet_list!$AJ$2:$AJ$592,"n/a",0,1)</f>
        <v>0.95010000000000006</v>
      </c>
      <c r="AB167">
        <f>_xlfn.XLOOKUP($G167,magnet_list!$A$2:$A$592,magnet_list!$L$2:$L$592,"n/a",0,1)</f>
        <v>120</v>
      </c>
    </row>
    <row r="168" spans="1:28">
      <c r="A168" t="s">
        <v>797</v>
      </c>
      <c r="B168" t="s">
        <v>3810</v>
      </c>
      <c r="C168" t="s">
        <v>804</v>
      </c>
      <c r="D168" t="s">
        <v>1152</v>
      </c>
      <c r="E168" t="s">
        <v>804</v>
      </c>
      <c r="F168" t="s">
        <v>1277</v>
      </c>
      <c r="G168" t="s">
        <v>2383</v>
      </c>
      <c r="I168">
        <f>_xlfn.XLOOKUP($F168,設計座標!$E$13:$E$2301,設計座標!$G$13:$G$2301,"n/a",0,1)</f>
        <v>15.23137897931</v>
      </c>
      <c r="J168">
        <f>_xlfn.XLOOKUP($F168,設計座標!$E$13:$E$2301,設計座標!$H$13:$H$2301,"n/a",0,1)</f>
        <v>0</v>
      </c>
      <c r="K168">
        <f>_xlfn.XLOOKUP($F168,設計座標!$E$13:$E$2301,設計座標!$I$13:$I$2301,"n/a",0,1)</f>
        <v>7829.3253789300006</v>
      </c>
      <c r="L168">
        <f>_xlfn.XLOOKUP($F168,設計座標!$E$13:$E$2301,設計座標!$J$13:$J$2301,"n/a",0,1)</f>
        <v>-270</v>
      </c>
      <c r="M168" s="2">
        <f t="shared" si="138"/>
        <v>0.20094246661978005</v>
      </c>
      <c r="N168" s="2">
        <f t="shared" si="139"/>
        <v>7829.3253789300006</v>
      </c>
      <c r="O168" s="23">
        <f t="shared" si="140"/>
        <v>-269.02893950672751</v>
      </c>
      <c r="P168" s="1">
        <f t="shared" si="131"/>
        <v>-269.69269478704626</v>
      </c>
      <c r="Q168" s="1">
        <f t="shared" si="144"/>
        <v>0.20094246661978005</v>
      </c>
      <c r="R168">
        <f t="shared" si="98"/>
        <v>0</v>
      </c>
      <c r="S168" s="23">
        <f t="shared" si="143"/>
        <v>0.97106049327249522</v>
      </c>
      <c r="T168">
        <f>$S168+測地線補正!$Q$3*(lattice!$N168/1000)^3+測地線補正!$P$3*(lattice!$N168/1000)^2+測地線補正!$O$3*(lattice!$N168/1000)+測地線補正!$N$3</f>
        <v>0.30730521295373531</v>
      </c>
      <c r="U168">
        <f t="shared" ref="U168:U169" si="151">ATAN(($P$169-$P$165)/ABS($N$169-$N$165))</f>
        <v>2.037877580958821E-5</v>
      </c>
      <c r="V168">
        <v>0</v>
      </c>
      <c r="W168">
        <f t="shared" ref="W168:W169" si="152">-ATAN(($M$169-$M$165)/ABS($N$169-$N$165))</f>
        <v>3.2214634216943055E-6</v>
      </c>
      <c r="X168" t="s">
        <v>3860</v>
      </c>
      <c r="Y168">
        <f>_xlfn.XLOOKUP($F168,設計座標!$E$13:$E$2301,設計座標!$L$13:$L$2301," ",0,1)</f>
        <v>1889.4492</v>
      </c>
      <c r="Z168">
        <f>SQRT(($M$168-$M$166)^2+($N$168-$N$166)^2)</f>
        <v>311.22450000161518</v>
      </c>
    </row>
    <row r="169" spans="1:28">
      <c r="A169" t="s">
        <v>797</v>
      </c>
      <c r="B169" t="s">
        <v>3810</v>
      </c>
      <c r="C169" t="s">
        <v>804</v>
      </c>
      <c r="D169" t="s">
        <v>1152</v>
      </c>
      <c r="E169" t="s">
        <v>804</v>
      </c>
      <c r="F169" t="s">
        <v>1409</v>
      </c>
      <c r="G169" t="s">
        <v>2383</v>
      </c>
      <c r="I169">
        <f>_xlfn.XLOOKUP($F169,設計座標!$E$13:$E$2301,設計座標!$G$13:$G$2301,"n/a",0,1)</f>
        <v>16.176103579309999</v>
      </c>
      <c r="J169">
        <f>_xlfn.XLOOKUP($F169,設計座標!$E$13:$E$2301,設計座標!$H$13:$H$2301,"n/a",0,1)</f>
        <v>0</v>
      </c>
      <c r="K169">
        <f>_xlfn.XLOOKUP($F169,設計座標!$E$13:$E$2301,設計座標!$I$13:$I$2301,"n/a",0,1)</f>
        <v>8774.0499789300011</v>
      </c>
      <c r="L169">
        <f>_xlfn.XLOOKUP($F169,設計座標!$E$13:$E$2301,設計座標!$J$13:$J$2301,"n/a",0,1)</f>
        <v>-270</v>
      </c>
      <c r="M169" s="2">
        <f t="shared" si="138"/>
        <v>0.19789907087729472</v>
      </c>
      <c r="N169" s="2">
        <f t="shared" si="139"/>
        <v>8774.0499789300011</v>
      </c>
      <c r="O169" s="23">
        <f t="shared" si="140"/>
        <v>-268.93005261175034</v>
      </c>
      <c r="P169" s="1">
        <f t="shared" si="131"/>
        <v>-269.673019850581</v>
      </c>
      <c r="Q169" s="1">
        <f t="shared" si="144"/>
        <v>0.19789907087729472</v>
      </c>
      <c r="R169">
        <f t="shared" ref="R169:R232" si="153">$N169-$K169</f>
        <v>0</v>
      </c>
      <c r="S169" s="23">
        <f t="shared" si="143"/>
        <v>1.0699473882496529</v>
      </c>
      <c r="T169">
        <f>$S169+測地線補正!$Q$3*(lattice!$N169/1000)^3+測地線補正!$P$3*(lattice!$N169/1000)^2+測地線補正!$O$3*(lattice!$N169/1000)+測地線補正!$N$3</f>
        <v>0.32698014941902415</v>
      </c>
      <c r="U169">
        <f t="shared" si="151"/>
        <v>2.037877580958821E-5</v>
      </c>
      <c r="V169">
        <v>0</v>
      </c>
      <c r="W169">
        <f t="shared" si="152"/>
        <v>3.2214634216943055E-6</v>
      </c>
      <c r="X169" t="s">
        <v>3860</v>
      </c>
      <c r="Y169">
        <f>_xlfn.XLOOKUP($F169,設計座標!$E$13:$E$2301,設計座標!$L$13:$L$2301," ",0,1)</f>
        <v>1889.4492</v>
      </c>
      <c r="Z169">
        <f>SQRT(($M$168-$M$166)^2+($N$168-$N$166)^2)</f>
        <v>311.22450000161518</v>
      </c>
    </row>
    <row r="170" spans="1:28">
      <c r="A170" t="s">
        <v>797</v>
      </c>
      <c r="B170" t="s">
        <v>3810</v>
      </c>
      <c r="C170" t="s">
        <v>1152</v>
      </c>
      <c r="D170" t="s">
        <v>1152</v>
      </c>
      <c r="E170" t="s">
        <v>804</v>
      </c>
      <c r="F170" t="s">
        <v>1959</v>
      </c>
      <c r="G170" t="s">
        <v>1959</v>
      </c>
      <c r="I170">
        <f>_xlfn.XLOOKUP($F170,設計座標!$E$13:$E$2301,設計座標!$G$13:$G$2301,"n/a",0,1)</f>
        <v>16.310104479309999</v>
      </c>
      <c r="J170">
        <f>_xlfn.XLOOKUP($F170,設計座標!$E$13:$E$2301,設計座標!$H$13:$H$2301,"n/a",0,1)</f>
        <v>0</v>
      </c>
      <c r="K170">
        <f>_xlfn.XLOOKUP($F170,設計座標!$E$13:$E$2301,設計座標!$I$13:$I$2301,"n/a",0,1)</f>
        <v>8908.0508789300002</v>
      </c>
      <c r="L170">
        <f>_xlfn.XLOOKUP($F170,設計座標!$E$13:$E$2301,設計座標!$J$13:$J$2301,"n/a",0,1)</f>
        <v>-270</v>
      </c>
      <c r="M170" s="2">
        <f t="shared" si="138"/>
        <v>0.19746739187946913</v>
      </c>
      <c r="N170" s="2">
        <f t="shared" si="139"/>
        <v>8908.0508789300002</v>
      </c>
      <c r="O170" s="23">
        <f t="shared" si="140"/>
        <v>-268.91602637286007</v>
      </c>
      <c r="P170" s="1">
        <f t="shared" si="131"/>
        <v>-269.67016190055767</v>
      </c>
      <c r="Q170" s="1">
        <f t="shared" si="144"/>
        <v>0.19746739187946913</v>
      </c>
      <c r="R170">
        <f t="shared" si="153"/>
        <v>0</v>
      </c>
      <c r="S170" s="23">
        <f t="shared" si="143"/>
        <v>1.0839736271399545</v>
      </c>
      <c r="T170">
        <f>$S170+測地線補正!$Q$3*(lattice!$N170/1000)^3+測地線補正!$P$3*(lattice!$N170/1000)^2+測地線補正!$O$3*(lattice!$N170/1000)+測地線補正!$N$3</f>
        <v>0.32983809944233061</v>
      </c>
      <c r="U170">
        <v>0</v>
      </c>
      <c r="V170">
        <v>0</v>
      </c>
      <c r="W170">
        <v>0</v>
      </c>
      <c r="X170">
        <f>SQRT(($M$170-$M$169)^2+($N$170-$N$169)^2)</f>
        <v>134.00090000069443</v>
      </c>
      <c r="Y170">
        <f>_xlfn.XLOOKUP($F170,設計座標!$E$13:$E$2301,設計座標!$L$13:$L$2301," ",0,1)</f>
        <v>0</v>
      </c>
      <c r="Z170">
        <f>SQRT(($M$170-$M$168)^2+($N$170-$N$168)^2)</f>
        <v>1078.725500005597</v>
      </c>
    </row>
    <row r="171" spans="1:28">
      <c r="A171" t="s">
        <v>797</v>
      </c>
      <c r="B171" t="s">
        <v>3810</v>
      </c>
      <c r="C171" t="s">
        <v>805</v>
      </c>
      <c r="D171" t="s">
        <v>806</v>
      </c>
      <c r="F171" t="s">
        <v>12</v>
      </c>
      <c r="G171" t="s">
        <v>2384</v>
      </c>
      <c r="I171">
        <f>_xlfn.XLOOKUP($F171,設計座標!$E$13:$E$2301,設計座標!$G$13:$G$2301,"n/a",0,1)</f>
        <v>16.427989375009997</v>
      </c>
      <c r="J171">
        <f>_xlfn.XLOOKUP($F171,設計座標!$E$13:$E$2301,設計座標!$H$13:$H$2301,"n/a",0,1)</f>
        <v>0</v>
      </c>
      <c r="K171">
        <f>_xlfn.XLOOKUP($F171,設計座標!$E$13:$E$2301,設計座標!$I$13:$I$2301,"n/a",0,1)</f>
        <v>9025.9357746299993</v>
      </c>
      <c r="L171">
        <f>_xlfn.XLOOKUP($F171,設計座標!$E$13:$E$2301,設計座標!$J$13:$J$2301,"n/a",0,1)</f>
        <v>-70</v>
      </c>
      <c r="M171" s="2">
        <f>_xlfn.XLOOKUP($F171,survey_data!$A$2:$A$833,survey_data!$B$2:$B$833,"n/a",0,1)</f>
        <v>0.19708763000000001</v>
      </c>
      <c r="N171" s="2">
        <f>_xlfn.XLOOKUP($F171,survey_data!$A$2:$A$833,survey_data!$C$2:$C$833,"n/a",0,1)</f>
        <v>9025.9357746299993</v>
      </c>
      <c r="O171" s="23">
        <f>_xlfn.XLOOKUP($F171,survey_data!$A$2:$A$833,survey_data!$D$2:$D$833,"n/a",0,1)</f>
        <v>-68.903687039999994</v>
      </c>
      <c r="P171" s="1">
        <f t="shared" si="131"/>
        <v>-69.667634006436529</v>
      </c>
      <c r="Q171" s="1">
        <f t="shared" ref="Q171:Q226" si="154">$M171-$J171</f>
        <v>0.19708763000000001</v>
      </c>
      <c r="R171">
        <f t="shared" si="153"/>
        <v>0</v>
      </c>
      <c r="S171" s="23">
        <f t="shared" ref="S171:S226" si="155">$O171-$L171</f>
        <v>1.0963129600000059</v>
      </c>
      <c r="T171">
        <f>$S171+測地線補正!$Q$3*(lattice!$N171/1000)^3+測地線補正!$P$3*(lattice!$N171/1000)^2+測地線補正!$O$3*(lattice!$N171/1000)+測地線補正!$N$3</f>
        <v>0.33236599356347524</v>
      </c>
      <c r="U171">
        <f>ATAN(($P$172-$P$171)/ABS($N$172-$N$171))</f>
        <v>2.5684999190475459E-4</v>
      </c>
      <c r="V171">
        <v>0</v>
      </c>
      <c r="W171">
        <f>-ATAN(($M$172-$M$171)/ABS($N$172-$N$171))</f>
        <v>-4.3963290070152679E-4</v>
      </c>
      <c r="Y171">
        <f>_xlfn.XLOOKUP($F171,設計座標!$E$13:$E$2301,設計座標!$L$13:$L$2301," ",0,1)</f>
        <v>50</v>
      </c>
      <c r="Z171">
        <f>SQRT(($M$172-$M$170)^2+($N$172-$N$170)^2)</f>
        <v>122.90651942359116</v>
      </c>
      <c r="AA171">
        <f>_xlfn.XLOOKUP($G171,magnet_list!$A$2:$A$592,magnet_list!$AJ$2:$AJ$592,"n/a",0,1)</f>
        <v>7.4999999999999997E-2</v>
      </c>
      <c r="AB171">
        <f>_xlfn.XLOOKUP($G171,magnet_list!$A$2:$A$592,magnet_list!$L$2:$L$592,"n/a",0,1)</f>
        <v>44</v>
      </c>
    </row>
    <row r="172" spans="1:28">
      <c r="A172" t="s">
        <v>797</v>
      </c>
      <c r="B172" t="s">
        <v>3810</v>
      </c>
      <c r="C172" t="s">
        <v>805</v>
      </c>
      <c r="D172" t="s">
        <v>1152</v>
      </c>
      <c r="E172" t="s">
        <v>804</v>
      </c>
      <c r="F172" t="s">
        <v>533</v>
      </c>
      <c r="G172" t="s">
        <v>2384</v>
      </c>
      <c r="I172">
        <f>_xlfn.XLOOKUP($F172,設計座標!$E$13:$E$2301,設計座標!$G$13:$G$2301,"n/a",0,1)</f>
        <v>16.433010998719997</v>
      </c>
      <c r="J172">
        <f>_xlfn.XLOOKUP($F172,設計座標!$E$13:$E$2301,設計座標!$H$13:$H$2301,"n/a",0,1)</f>
        <v>0</v>
      </c>
      <c r="K172">
        <f>_xlfn.XLOOKUP($F172,設計座標!$E$13:$E$2301,設計座標!$I$13:$I$2301,"n/a",0,1)</f>
        <v>9030.9573983399987</v>
      </c>
      <c r="L172">
        <f>_xlfn.XLOOKUP($F172,設計座標!$E$13:$E$2301,設計座標!$J$13:$J$2301,"n/a",0,1)</f>
        <v>-70</v>
      </c>
      <c r="M172" s="2">
        <f t="shared" si="138"/>
        <v>0.19929530114008936</v>
      </c>
      <c r="N172" s="2">
        <f t="shared" si="139"/>
        <v>9030.9573983399987</v>
      </c>
      <c r="O172" s="23">
        <f t="shared" si="140"/>
        <v>-68.901979574728117</v>
      </c>
      <c r="P172" s="1">
        <f t="shared" si="131"/>
        <v>-69.666344202398903</v>
      </c>
      <c r="Q172" s="1">
        <f>(Q$173-Q$171)/($N$173-$N$171)*($N172-$N$171)+Q$171</f>
        <v>0.19929530114008936</v>
      </c>
      <c r="R172">
        <f t="shared" si="153"/>
        <v>0</v>
      </c>
      <c r="S172" s="23">
        <f>(S$173-S$171)/($N$173-$N$171)*($N172-$N$171)+S$171</f>
        <v>1.098020425271887</v>
      </c>
      <c r="T172">
        <f>$S172+測地線補正!$Q$3*(lattice!$N172/1000)^3+測地線補正!$P$3*(lattice!$N172/1000)^2+測地線補正!$O$3*(lattice!$N172/1000)+測地線補正!$N$3</f>
        <v>0.33365579760109948</v>
      </c>
      <c r="U172">
        <f>ATAN(($P$172-$P$171)/ABS($N$172-$N$171))</f>
        <v>2.5684999190475459E-4</v>
      </c>
      <c r="V172">
        <v>0</v>
      </c>
      <c r="W172">
        <f>-ATAN(($M$172-$M$171)/ABS($N$172-$N$171))</f>
        <v>-4.3963290070152679E-4</v>
      </c>
      <c r="X172">
        <f>$Z$172-($Y$172+$Y$170)/2</f>
        <v>97.906519423591163</v>
      </c>
      <c r="Y172">
        <f>_xlfn.XLOOKUP($F172,設計座標!$E$13:$E$2301,設計座標!$L$13:$L$2301," ",0,1)</f>
        <v>50</v>
      </c>
      <c r="Z172">
        <f>SQRT(($M$172-$M$170)^2+($N$172-$N$170)^2)</f>
        <v>122.90651942359116</v>
      </c>
      <c r="AA172">
        <f>_xlfn.XLOOKUP($G172,magnet_list!$A$2:$A$592,magnet_list!$AJ$2:$AJ$592,"n/a",0,1)</f>
        <v>7.4999999999999997E-2</v>
      </c>
      <c r="AB172">
        <f>_xlfn.XLOOKUP($G172,magnet_list!$A$2:$A$592,magnet_list!$L$2:$L$592,"n/a",0,1)</f>
        <v>44</v>
      </c>
    </row>
    <row r="173" spans="1:28">
      <c r="A173" t="s">
        <v>797</v>
      </c>
      <c r="B173" t="s">
        <v>3810</v>
      </c>
      <c r="C173" t="s">
        <v>805</v>
      </c>
      <c r="D173" t="s">
        <v>806</v>
      </c>
      <c r="F173" t="s">
        <v>13</v>
      </c>
      <c r="G173" t="s">
        <v>13</v>
      </c>
      <c r="I173">
        <f>_xlfn.XLOOKUP($F173,設計座標!$E$13:$E$2301,設計座標!$G$13:$G$2301,"n/a",0,1)</f>
        <v>16.588024998719998</v>
      </c>
      <c r="J173">
        <f>_xlfn.XLOOKUP($F173,設計座標!$E$13:$E$2301,設計座標!$H$13:$H$2301,"n/a",0,1)</f>
        <v>0</v>
      </c>
      <c r="K173">
        <f>_xlfn.XLOOKUP($F173,設計座標!$E$13:$E$2301,設計座標!$I$13:$I$2301,"n/a",0,1)</f>
        <v>9185.9713983399997</v>
      </c>
      <c r="L173">
        <f>_xlfn.XLOOKUP($F173,設計座標!$E$13:$E$2301,設計座標!$J$13:$J$2301,"n/a",0,1)</f>
        <v>-70</v>
      </c>
      <c r="M173" s="2">
        <f>_xlfn.XLOOKUP($F173,survey_data!$A$2:$A$833,survey_data!$B$2:$B$833,"n/a",0,1)</f>
        <v>0.26744456</v>
      </c>
      <c r="N173" s="2">
        <f>_xlfn.XLOOKUP($F173,survey_data!$A$2:$A$833,survey_data!$C$2:$C$833,"n/a",0,1)</f>
        <v>9185.9713983399997</v>
      </c>
      <c r="O173" s="23">
        <f>_xlfn.XLOOKUP($F173,survey_data!$A$2:$A$833,survey_data!$D$2:$D$833,"n/a",0,1)</f>
        <v>-68.84927132</v>
      </c>
      <c r="P173" s="1">
        <f t="shared" si="131"/>
        <v>-69.626517496407843</v>
      </c>
      <c r="Q173" s="1">
        <f t="shared" si="154"/>
        <v>0.26744456</v>
      </c>
      <c r="R173">
        <f t="shared" si="153"/>
        <v>0</v>
      </c>
      <c r="S173" s="23">
        <f t="shared" si="155"/>
        <v>1.1507286800000003</v>
      </c>
      <c r="T173">
        <f>$S173+測地線補正!$Q$3*(lattice!$N173/1000)^3+測地線補正!$P$3*(lattice!$N173/1000)^2+測地線補正!$O$3*(lattice!$N173/1000)+測地線補正!$N$3</f>
        <v>0.37348250359215157</v>
      </c>
      <c r="U173">
        <f>ATAN(($P$174-$P$173)/ABS($N$174-$N$173))</f>
        <v>-3.650562367435011E-4</v>
      </c>
      <c r="V173">
        <v>0</v>
      </c>
      <c r="W173">
        <f>-ATAN(($M$174-$M$173)/ABS($N$174-$N$173))</f>
        <v>1.5861232536190152E-4</v>
      </c>
      <c r="X173">
        <f>$Z$174-($Y$174+$Y$172)/2</f>
        <v>110.03539763731453</v>
      </c>
      <c r="Y173">
        <f>_xlfn.XLOOKUP($F173,設計座標!$E$13:$E$2301,設計座標!$L$13:$L$2301," ",0,1)</f>
        <v>100</v>
      </c>
      <c r="Z173">
        <f>SQRT(($M$174-$M$172)^2+($N$174-$N$172)^2)</f>
        <v>185.03539763731453</v>
      </c>
      <c r="AA173">
        <f>_xlfn.XLOOKUP($G173,magnet_list!$A$2:$A$592,magnet_list!$AJ$2:$AJ$592,"n/a",0,1)</f>
        <v>0.121</v>
      </c>
      <c r="AB173">
        <f>_xlfn.XLOOKUP($G173,magnet_list!$A$2:$A$592,magnet_list!$L$2:$L$592,"n/a",0,1)</f>
        <v>44</v>
      </c>
    </row>
    <row r="174" spans="1:28">
      <c r="A174" t="s">
        <v>797</v>
      </c>
      <c r="B174" t="s">
        <v>3810</v>
      </c>
      <c r="C174" t="s">
        <v>805</v>
      </c>
      <c r="D174" t="s">
        <v>1152</v>
      </c>
      <c r="E174" t="s">
        <v>804</v>
      </c>
      <c r="F174" t="s">
        <v>534</v>
      </c>
      <c r="G174" t="s">
        <v>13</v>
      </c>
      <c r="I174">
        <f>_xlfn.XLOOKUP($F174,設計座標!$E$13:$E$2301,設計座標!$G$13:$G$2301,"n/a",0,1)</f>
        <v>16.618046385499998</v>
      </c>
      <c r="J174">
        <f>_xlfn.XLOOKUP($F174,設計座標!$E$13:$E$2301,設計座標!$H$13:$H$2301,"n/a",0,1)</f>
        <v>0</v>
      </c>
      <c r="K174">
        <f>_xlfn.XLOOKUP($F174,設計座標!$E$13:$E$2301,設計座標!$I$13:$I$2301,"n/a",0,1)</f>
        <v>9215.9927851199991</v>
      </c>
      <c r="L174">
        <f>_xlfn.XLOOKUP($F174,設計座標!$E$13:$E$2301,設計座標!$J$13:$J$2301,"n/a",0,1)</f>
        <v>-70</v>
      </c>
      <c r="M174" s="2">
        <f t="shared" si="138"/>
        <v>0.26268279799230332</v>
      </c>
      <c r="N174" s="2">
        <f t="shared" si="139"/>
        <v>9215.9927851199991</v>
      </c>
      <c r="O174" s="23">
        <f t="shared" si="140"/>
        <v>-68.857738599421523</v>
      </c>
      <c r="P174" s="1">
        <f t="shared" si="131"/>
        <v>-69.637476991374413</v>
      </c>
      <c r="Q174" s="1">
        <f>(Q$176-Q$173)/($N$176-$N$173)*($N174-$N$173)+Q$173</f>
        <v>0.26268279799230332</v>
      </c>
      <c r="R174">
        <f t="shared" si="153"/>
        <v>0</v>
      </c>
      <c r="S174" s="23">
        <f>(S$176-S$173)/($N$176-$N$173)*($N174-$N$173)+S$173</f>
        <v>1.142261400578483</v>
      </c>
      <c r="T174">
        <f>$S174+測地線補正!$Q$3*(lattice!$N174/1000)^3+測地線補正!$P$3*(lattice!$N174/1000)^2+測地線補正!$O$3*(lattice!$N174/1000)+測地線補正!$N$3</f>
        <v>0.36252300862558845</v>
      </c>
      <c r="U174">
        <f>ATAN(($P$174-$P$173)/ABS($N$174-$N$173))</f>
        <v>-3.650562367435011E-4</v>
      </c>
      <c r="V174">
        <v>0</v>
      </c>
      <c r="W174">
        <f>-ATAN(($M$174-$M$173)/ABS($N$174-$N$173))</f>
        <v>1.5861232536190152E-4</v>
      </c>
      <c r="X174">
        <f>$Z$174-($Y$174+$Y$172)/2</f>
        <v>110.03539763731453</v>
      </c>
      <c r="Y174">
        <f>_xlfn.XLOOKUP($F174,設計座標!$E$13:$E$2301,設計座標!$L$13:$L$2301," ",0,1)</f>
        <v>100</v>
      </c>
      <c r="Z174">
        <f>SQRT(($M$174-$M$172)^2+($N$174-$N$172)^2)</f>
        <v>185.03539763731453</v>
      </c>
      <c r="AA174">
        <f>_xlfn.XLOOKUP($G174,magnet_list!$A$2:$A$592,magnet_list!$AJ$2:$AJ$592,"n/a",0,1)</f>
        <v>0.121</v>
      </c>
      <c r="AB174">
        <f>_xlfn.XLOOKUP($G174,magnet_list!$A$2:$A$592,magnet_list!$L$2:$L$592,"n/a",0,1)</f>
        <v>44</v>
      </c>
    </row>
    <row r="175" spans="1:28">
      <c r="A175" t="s">
        <v>797</v>
      </c>
      <c r="B175" t="s">
        <v>3810</v>
      </c>
      <c r="C175" t="s">
        <v>805</v>
      </c>
      <c r="D175" t="s">
        <v>806</v>
      </c>
      <c r="E175" t="s">
        <v>804</v>
      </c>
      <c r="F175" t="s">
        <v>535</v>
      </c>
      <c r="G175" t="s">
        <v>2384</v>
      </c>
      <c r="I175">
        <f>_xlfn.XLOOKUP($F175,設計座標!$E$13:$E$2301,設計座標!$G$13:$G$2301,"n/a",0,1)</f>
        <v>16.803575385499997</v>
      </c>
      <c r="J175">
        <f>_xlfn.XLOOKUP($F175,設計座標!$E$13:$E$2301,設計座標!$H$13:$H$2301,"n/a",0,1)</f>
        <v>0</v>
      </c>
      <c r="K175">
        <f>_xlfn.XLOOKUP($F175,設計座標!$E$13:$E$2301,設計座標!$I$13:$I$2301,"n/a",0,1)</f>
        <v>9401.5217851199995</v>
      </c>
      <c r="L175">
        <f>_xlfn.XLOOKUP($F175,設計座標!$E$13:$E$2301,設計座標!$J$13:$J$2301,"n/a",0,1)</f>
        <v>-70</v>
      </c>
      <c r="M175" s="2">
        <f t="shared" si="138"/>
        <v>0.23325561163346006</v>
      </c>
      <c r="N175" s="2">
        <f t="shared" si="139"/>
        <v>9401.5217851199995</v>
      </c>
      <c r="O175" s="23">
        <f t="shared" si="140"/>
        <v>-68.910065492089956</v>
      </c>
      <c r="P175" s="1">
        <f t="shared" si="131"/>
        <v>-69.705187292451342</v>
      </c>
      <c r="Q175" s="1">
        <f>(Q$176-Q$173)/($N$176-$N$173)*($N175-$N$173)+Q$173</f>
        <v>0.23325561163346006</v>
      </c>
      <c r="R175">
        <f t="shared" si="153"/>
        <v>0</v>
      </c>
      <c r="S175" s="23">
        <f>(S$176-S$173)/($N$176-$N$173)*($N175-$N$173)+S$173</f>
        <v>1.0899345079100451</v>
      </c>
      <c r="T175">
        <f>$S175+測地線補正!$Q$3*(lattice!$N175/1000)^3+測地線補正!$P$3*(lattice!$N175/1000)^2+測地線補正!$O$3*(lattice!$N175/1000)+測地線補正!$N$3</f>
        <v>0.29481270754866312</v>
      </c>
      <c r="U175">
        <f>ATAN(($P$176-$P$175)/ABS($N$176-$N$175))</f>
        <v>-3.6487139460625811E-4</v>
      </c>
      <c r="V175">
        <v>0</v>
      </c>
      <c r="W175">
        <f>-ATAN(($M$176-$M$175)/ABS($N$176-$N$175))</f>
        <v>1.5861232536189867E-4</v>
      </c>
      <c r="X175">
        <f>$Z$175-($Y$175+$Y$174)/2</f>
        <v>110.52900233375769</v>
      </c>
      <c r="Y175">
        <f>_xlfn.XLOOKUP($F175,設計座標!$E$13:$E$2301,設計座標!$L$13:$L$2301," ",0,1)</f>
        <v>50</v>
      </c>
      <c r="Z175">
        <f>SQRT(($M$175-$M$174)^2+($N$175-$N$174)^2)</f>
        <v>185.52900233375769</v>
      </c>
      <c r="AA175">
        <f>_xlfn.XLOOKUP($G175,magnet_list!$A$2:$A$592,magnet_list!$AJ$2:$AJ$592,"n/a",0,1)</f>
        <v>7.4999999999999997E-2</v>
      </c>
      <c r="AB175">
        <f>_xlfn.XLOOKUP($G175,magnet_list!$A$2:$A$592,magnet_list!$L$2:$L$592,"n/a",0,1)</f>
        <v>44</v>
      </c>
    </row>
    <row r="176" spans="1:28">
      <c r="A176" t="s">
        <v>797</v>
      </c>
      <c r="B176" t="s">
        <v>3810</v>
      </c>
      <c r="C176" t="s">
        <v>805</v>
      </c>
      <c r="D176" t="s">
        <v>1152</v>
      </c>
      <c r="F176" t="s">
        <v>14</v>
      </c>
      <c r="G176" t="s">
        <v>2384</v>
      </c>
      <c r="I176">
        <f>_xlfn.XLOOKUP($F176,設計座標!$E$13:$E$2301,設計座標!$G$13:$G$2301,"n/a",0,1)</f>
        <v>16.808575385499996</v>
      </c>
      <c r="J176">
        <f>_xlfn.XLOOKUP($F176,設計座標!$E$13:$E$2301,設計座標!$H$13:$H$2301,"n/a",0,1)</f>
        <v>0</v>
      </c>
      <c r="K176">
        <f>_xlfn.XLOOKUP($F176,設計座標!$E$13:$E$2301,設計座標!$I$13:$I$2301,"n/a",0,1)</f>
        <v>9406.5217851199995</v>
      </c>
      <c r="L176">
        <f>_xlfn.XLOOKUP($F176,設計座標!$E$13:$E$2301,設計座標!$J$13:$J$2301,"n/a",0,1)</f>
        <v>-70</v>
      </c>
      <c r="M176" s="2">
        <f>_xlfn.XLOOKUP($F176,survey_data!$A$2:$A$833,survey_data!$B$2:$B$833,"n/a",0,1)</f>
        <v>0.23246254999999999</v>
      </c>
      <c r="N176" s="2">
        <f>_xlfn.XLOOKUP($F176,survey_data!$A$2:$A$833,survey_data!$C$2:$C$833,"n/a",0,1)</f>
        <v>9406.5217851199995</v>
      </c>
      <c r="O176" s="23">
        <f>_xlfn.XLOOKUP($F176,survey_data!$A$2:$A$833,survey_data!$D$2:$D$833,"n/a",0,1)</f>
        <v>-68.911475699999997</v>
      </c>
      <c r="P176" s="1">
        <f t="shared" si="131"/>
        <v>-69.707011649505333</v>
      </c>
      <c r="Q176" s="1">
        <f t="shared" si="154"/>
        <v>0.23246254999999999</v>
      </c>
      <c r="R176">
        <f t="shared" si="153"/>
        <v>0</v>
      </c>
      <c r="S176" s="23">
        <f t="shared" si="155"/>
        <v>1.0885243000000031</v>
      </c>
      <c r="T176">
        <f>$S176+測地線補正!$Q$3*(lattice!$N176/1000)^3+測地線補正!$P$3*(lattice!$N176/1000)^2+測地線補正!$O$3*(lattice!$N176/1000)+測地線補正!$N$3</f>
        <v>0.29298835049466626</v>
      </c>
      <c r="U176">
        <f>ATAN(($P$176-$P$175)/ABS($N$176-$N$175))</f>
        <v>-3.6487139460625811E-4</v>
      </c>
      <c r="V176">
        <v>0</v>
      </c>
      <c r="W176">
        <f>-ATAN(($M$176-$M$175)/ABS($N$176-$N$175))</f>
        <v>1.5861232536189867E-4</v>
      </c>
      <c r="X176">
        <f>$Z$175-($Y$175+$Y$174)/2</f>
        <v>110.52900233375769</v>
      </c>
      <c r="Y176">
        <f>_xlfn.XLOOKUP($F176,設計座標!$E$13:$E$2301,設計座標!$L$13:$L$2301," ",0,1)</f>
        <v>50</v>
      </c>
      <c r="Z176">
        <f>SQRT(($M$175-$M$174)^2+($N$175-$N$174)^2)</f>
        <v>185.52900233375769</v>
      </c>
      <c r="AA176">
        <f>_xlfn.XLOOKUP($G176,magnet_list!$A$2:$A$592,magnet_list!$AJ$2:$AJ$592,"n/a",0,1)</f>
        <v>7.4999999999999997E-2</v>
      </c>
      <c r="AB176">
        <f>_xlfn.XLOOKUP($G176,magnet_list!$A$2:$A$592,magnet_list!$L$2:$L$592,"n/a",0,1)</f>
        <v>44</v>
      </c>
    </row>
    <row r="177" spans="1:28">
      <c r="A177" t="s">
        <v>797</v>
      </c>
      <c r="B177" t="s">
        <v>3810</v>
      </c>
      <c r="C177" t="s">
        <v>1152</v>
      </c>
      <c r="D177" t="s">
        <v>1152</v>
      </c>
      <c r="E177" t="s">
        <v>804</v>
      </c>
      <c r="F177" t="s">
        <v>1960</v>
      </c>
      <c r="G177" t="s">
        <v>1960</v>
      </c>
      <c r="I177">
        <f>_xlfn.XLOOKUP($F177,設計座標!$E$13:$E$2301,設計座標!$G$13:$G$2301,"n/a",0,1)</f>
        <v>16.960586479309999</v>
      </c>
      <c r="J177">
        <f>_xlfn.XLOOKUP($F177,設計座標!$E$13:$E$2301,設計座標!$H$13:$H$2301,"n/a",0,1)</f>
        <v>0</v>
      </c>
      <c r="K177">
        <f>_xlfn.XLOOKUP($F177,設計座標!$E$13:$E$2301,設計座標!$I$13:$I$2301,"n/a",0,1)</f>
        <v>9558.5328789300002</v>
      </c>
      <c r="L177">
        <f>_xlfn.XLOOKUP($F177,設計座標!$E$13:$E$2301,設計座標!$J$13:$J$2301,"n/a",0,1)</f>
        <v>-270</v>
      </c>
      <c r="M177" s="2">
        <f t="shared" si="138"/>
        <v>0.23004404540028581</v>
      </c>
      <c r="N177" s="2">
        <f t="shared" si="139"/>
        <v>9558.5328789300002</v>
      </c>
      <c r="O177" s="23">
        <f t="shared" si="140"/>
        <v>-268.91320947960821</v>
      </c>
      <c r="P177" s="1">
        <f t="shared" si="131"/>
        <v>-269.72132566331186</v>
      </c>
      <c r="Q177" s="1">
        <f>(Q$184-Q$176)/($N$184-$N$176)*($N177-$N$176)+Q$176</f>
        <v>0.23004404540028581</v>
      </c>
      <c r="R177">
        <f t="shared" si="153"/>
        <v>0</v>
      </c>
      <c r="S177" s="23">
        <f t="shared" ref="S177:S183" si="156">(S$184-S$176)/($N$184-$N$176)*($N177-$N$176)+S$176</f>
        <v>1.0867905203918145</v>
      </c>
      <c r="T177">
        <f>$S177+測地線補正!$Q$3*(lattice!$N177/1000)^3+測地線補正!$P$3*(lattice!$N177/1000)^2+測地線補正!$O$3*(lattice!$N177/1000)+測地線補正!$N$3</f>
        <v>0.27867433668813596</v>
      </c>
      <c r="U177">
        <v>0</v>
      </c>
      <c r="V177">
        <v>0</v>
      </c>
      <c r="W177">
        <v>0</v>
      </c>
      <c r="X177">
        <f>$Z$177-($Y$177+$Y$175)/2</f>
        <v>132.01109384284592</v>
      </c>
      <c r="Y177">
        <f>_xlfn.XLOOKUP($F177,設計座標!$E$13:$E$2301,設計座標!$L$13:$L$2301," ",0,1)</f>
        <v>0</v>
      </c>
      <c r="Z177">
        <f>SQRT(($M$177-$M$175)^2+($N$177-$N$175)^2)</f>
        <v>157.01109384284592</v>
      </c>
    </row>
    <row r="178" spans="1:28">
      <c r="A178" t="s">
        <v>797</v>
      </c>
      <c r="B178" t="s">
        <v>3810</v>
      </c>
      <c r="C178" t="s">
        <v>804</v>
      </c>
      <c r="D178" t="s">
        <v>1152</v>
      </c>
      <c r="E178" t="s">
        <v>804</v>
      </c>
      <c r="F178" t="s">
        <v>1410</v>
      </c>
      <c r="G178" t="s">
        <v>2385</v>
      </c>
      <c r="I178">
        <f>_xlfn.XLOOKUP($F178,設計座標!$E$13:$E$2301,設計座標!$G$13:$G$2301,"n/a",0,1)</f>
        <v>17.094586379309998</v>
      </c>
      <c r="J178">
        <f>_xlfn.XLOOKUP($F178,設計座標!$E$13:$E$2301,設計座標!$H$13:$H$2301,"n/a",0,1)</f>
        <v>0</v>
      </c>
      <c r="K178">
        <f>_xlfn.XLOOKUP($F178,設計座標!$E$13:$E$2301,設計座標!$I$13:$I$2301,"n/a",0,1)</f>
        <v>9692.5327789300009</v>
      </c>
      <c r="L178">
        <f>_xlfn.XLOOKUP($F178,設計座標!$E$13:$E$2301,設計座標!$J$13:$J$2301,"n/a",0,1)</f>
        <v>-270</v>
      </c>
      <c r="M178" s="2">
        <f t="shared" si="138"/>
        <v>0.22791209985349362</v>
      </c>
      <c r="N178" s="2">
        <f t="shared" si="139"/>
        <v>9692.5327789300009</v>
      </c>
      <c r="O178" s="23">
        <f t="shared" si="140"/>
        <v>-268.91473783052191</v>
      </c>
      <c r="P178" s="1">
        <f t="shared" si="131"/>
        <v>-269.73392634018421</v>
      </c>
      <c r="Q178" s="1">
        <f t="shared" ref="Q178:Q183" si="157">(Q$184-Q$176)/($N$184-$N$176)*($N178-$N$176)+Q$176</f>
        <v>0.22791209985349362</v>
      </c>
      <c r="R178">
        <f t="shared" si="153"/>
        <v>0</v>
      </c>
      <c r="S178" s="23">
        <f t="shared" si="156"/>
        <v>1.0852621694780995</v>
      </c>
      <c r="T178">
        <f>$S178+測地線補正!$Q$3*(lattice!$N178/1000)^3+測地線補正!$P$3*(lattice!$N178/1000)^2+測地線補正!$O$3*(lattice!$N178/1000)+測地線補正!$N$3</f>
        <v>0.26607365981577119</v>
      </c>
      <c r="U178">
        <f>ATAN(($P$182-$P$178)/ABS($N$182-$N$178))</f>
        <v>-9.3138467097466623E-5</v>
      </c>
      <c r="V178">
        <v>0</v>
      </c>
      <c r="W178">
        <f>-ATAN(($M$182-$M$178)/ABS($N$182-$N$178))</f>
        <v>1.5910053265803201E-5</v>
      </c>
      <c r="X178">
        <f>SQRT(($M$178-$M$177)^2+($N$178-$N$177)^2)</f>
        <v>133.9999000169604</v>
      </c>
      <c r="Y178">
        <f>_xlfn.XLOOKUP($F178,設計座標!$E$13:$E$2301,設計座標!$L$13:$L$2301," ",0,1)</f>
        <v>1889.4492</v>
      </c>
      <c r="Z178">
        <f>SQRT(($M$181-$M$179)^2+($N$181-$N$179)^2)</f>
        <v>311.22450003939036</v>
      </c>
    </row>
    <row r="179" spans="1:28">
      <c r="A179" t="s">
        <v>797</v>
      </c>
      <c r="B179" t="s">
        <v>3810</v>
      </c>
      <c r="C179" t="s">
        <v>3855</v>
      </c>
      <c r="D179" t="s">
        <v>1152</v>
      </c>
      <c r="E179" t="s">
        <v>804</v>
      </c>
      <c r="F179" t="s">
        <v>2202</v>
      </c>
      <c r="G179" t="s">
        <v>2202</v>
      </c>
      <c r="I179">
        <f>_xlfn.XLOOKUP($F179,設計座標!$E$13:$E$2301,設計座標!$G$13:$G$2301,"n/a",0,1)</f>
        <v>17.728086479309997</v>
      </c>
      <c r="J179">
        <f>_xlfn.XLOOKUP($F179,設計座標!$E$13:$E$2301,設計座標!$H$13:$H$2301,"n/a",0,1)</f>
        <v>0</v>
      </c>
      <c r="K179">
        <f>_xlfn.XLOOKUP($F179,設計座標!$E$13:$E$2301,設計座標!$I$13:$I$2301,"n/a",0,1)</f>
        <v>10326.03287893</v>
      </c>
      <c r="L179">
        <f>_xlfn.XLOOKUP($F179,設計座標!$E$13:$E$2301,設計座標!$J$13:$J$2301,"n/a",0,1)</f>
        <v>-270</v>
      </c>
      <c r="M179" s="2">
        <f t="shared" si="138"/>
        <v>0.21783307951775152</v>
      </c>
      <c r="N179" s="2">
        <f t="shared" si="139"/>
        <v>10326.03287893</v>
      </c>
      <c r="O179" s="23">
        <f t="shared" si="140"/>
        <v>-268.92196328708326</v>
      </c>
      <c r="P179" s="1">
        <f t="shared" si="131"/>
        <v>-269.79327955342131</v>
      </c>
      <c r="Q179" s="1">
        <f t="shared" si="157"/>
        <v>0.21783307951775152</v>
      </c>
      <c r="R179">
        <f t="shared" si="153"/>
        <v>0</v>
      </c>
      <c r="S179" s="23">
        <f t="shared" si="156"/>
        <v>1.0780367129167627</v>
      </c>
      <c r="T179">
        <f>$S179+測地線補正!$Q$3*(lattice!$N179/1000)^3+測地線補正!$P$3*(lattice!$N179/1000)^2+測地線補正!$O$3*(lattice!$N179/1000)+測地線補正!$N$3</f>
        <v>0.20672044657870961</v>
      </c>
      <c r="U179">
        <f t="shared" ref="U179:U180" si="158">ATAN(($P$182-$P$178)/ABS($N$182-$N$178))</f>
        <v>-9.3138467097466623E-5</v>
      </c>
      <c r="V179">
        <v>0</v>
      </c>
      <c r="W179">
        <f t="shared" ref="W179:W180" si="159">-ATAN(($M$182-$M$178)/ABS($N$182-$N$178))</f>
        <v>1.5910053265803201E-5</v>
      </c>
      <c r="X179" t="s">
        <v>3860</v>
      </c>
      <c r="Y179">
        <f>_xlfn.XLOOKUP($F179,設計座標!$E$13:$E$2301,設計座標!$L$13:$L$2301," ",0,1)</f>
        <v>1000</v>
      </c>
      <c r="Z179">
        <f>SQRT(($M$179-$M$177)^2+($N$179-$N$177)^2)</f>
        <v>767.50000009713858</v>
      </c>
      <c r="AA179">
        <f>_xlfn.XLOOKUP($G179,magnet_list!$A$2:$A$592,magnet_list!$AJ$2:$AJ$592,"n/a",0,1)</f>
        <v>0.95010000000000006</v>
      </c>
      <c r="AB179">
        <f>_xlfn.XLOOKUP($G179,magnet_list!$A$2:$A$592,magnet_list!$L$2:$L$592,"n/a",0,1)</f>
        <v>120</v>
      </c>
    </row>
    <row r="180" spans="1:28">
      <c r="A180" t="s">
        <v>797</v>
      </c>
      <c r="B180" t="s">
        <v>3810</v>
      </c>
      <c r="C180" t="s">
        <v>3855</v>
      </c>
      <c r="D180" t="s">
        <v>1152</v>
      </c>
      <c r="E180" t="s">
        <v>804</v>
      </c>
      <c r="F180" t="s">
        <v>2203</v>
      </c>
      <c r="G180" t="s">
        <v>2203</v>
      </c>
      <c r="I180">
        <f>_xlfn.XLOOKUP($F180,設計座標!$E$13:$E$2301,設計座標!$G$13:$G$2301,"n/a",0,1)</f>
        <v>17.728086479309997</v>
      </c>
      <c r="J180">
        <f>_xlfn.XLOOKUP($F180,設計座標!$E$13:$E$2301,設計座標!$H$13:$H$2301,"n/a",0,1)</f>
        <v>0</v>
      </c>
      <c r="K180">
        <f>_xlfn.XLOOKUP($F180,設計座標!$E$13:$E$2301,設計座標!$I$13:$I$2301,"n/a",0,1)</f>
        <v>10326.03287893</v>
      </c>
      <c r="L180">
        <f>_xlfn.XLOOKUP($F180,設計座標!$E$13:$E$2301,設計座標!$J$13:$J$2301,"n/a",0,1)</f>
        <v>-270</v>
      </c>
      <c r="M180" s="2">
        <f t="shared" si="138"/>
        <v>0.21783307951775152</v>
      </c>
      <c r="N180" s="2">
        <f t="shared" si="139"/>
        <v>10326.03287893</v>
      </c>
      <c r="O180" s="23">
        <f t="shared" si="140"/>
        <v>-268.92196328708326</v>
      </c>
      <c r="P180" s="1">
        <f t="shared" si="131"/>
        <v>-269.79327955342131</v>
      </c>
      <c r="Q180" s="1">
        <f t="shared" si="157"/>
        <v>0.21783307951775152</v>
      </c>
      <c r="R180">
        <f t="shared" si="153"/>
        <v>0</v>
      </c>
      <c r="S180" s="23">
        <f t="shared" si="156"/>
        <v>1.0780367129167627</v>
      </c>
      <c r="T180">
        <f>$S180+測地線補正!$Q$3*(lattice!$N180/1000)^3+測地線補正!$P$3*(lattice!$N180/1000)^2+測地線補正!$O$3*(lattice!$N180/1000)+測地線補正!$N$3</f>
        <v>0.20672044657870961</v>
      </c>
      <c r="U180">
        <f t="shared" si="158"/>
        <v>-9.3138467097466623E-5</v>
      </c>
      <c r="V180">
        <v>0</v>
      </c>
      <c r="W180">
        <f t="shared" si="159"/>
        <v>1.5910053265803201E-5</v>
      </c>
      <c r="X180" t="s">
        <v>3860</v>
      </c>
      <c r="Y180">
        <f>_xlfn.XLOOKUP($F180,設計座標!$E$13:$E$2301,設計座標!$L$13:$L$2301," ",0,1)</f>
        <v>1000</v>
      </c>
      <c r="Z180">
        <f>SQRT(($M$179-$M$177)^2+($N$179-$N$177)^2)</f>
        <v>767.50000009713858</v>
      </c>
      <c r="AA180">
        <f>_xlfn.XLOOKUP($G180,magnet_list!$A$2:$A$592,magnet_list!$AJ$2:$AJ$592,"n/a",0,1)</f>
        <v>0.95010000000000006</v>
      </c>
      <c r="AB180">
        <f>_xlfn.XLOOKUP($G180,magnet_list!$A$2:$A$592,magnet_list!$L$2:$L$592,"n/a",0,1)</f>
        <v>120</v>
      </c>
    </row>
    <row r="181" spans="1:28">
      <c r="A181" t="s">
        <v>797</v>
      </c>
      <c r="B181" t="s">
        <v>3810</v>
      </c>
      <c r="C181" t="s">
        <v>804</v>
      </c>
      <c r="D181" t="s">
        <v>1152</v>
      </c>
      <c r="E181" t="s">
        <v>804</v>
      </c>
      <c r="F181" t="s">
        <v>1331</v>
      </c>
      <c r="G181" t="s">
        <v>2385</v>
      </c>
      <c r="I181">
        <f>_xlfn.XLOOKUP($F181,設計座標!$E$13:$E$2301,設計座標!$G$13:$G$2301,"n/a",0,1)</f>
        <v>18.039310979309999</v>
      </c>
      <c r="J181">
        <f>_xlfn.XLOOKUP($F181,設計座標!$E$13:$E$2301,設計座標!$H$13:$H$2301,"n/a",0,1)</f>
        <v>0</v>
      </c>
      <c r="K181">
        <f>_xlfn.XLOOKUP($F181,設計座標!$E$13:$E$2301,設計座標!$I$13:$I$2301,"n/a",0,1)</f>
        <v>10637.25737893</v>
      </c>
      <c r="L181">
        <f>_xlfn.XLOOKUP($F181,設計座標!$E$13:$E$2301,設計座標!$J$13:$J$2301,"n/a",0,1)</f>
        <v>-270</v>
      </c>
      <c r="M181" s="2">
        <f t="shared" si="138"/>
        <v>0.21288148114471075</v>
      </c>
      <c r="N181" s="2">
        <f t="shared" si="139"/>
        <v>10637.25737893</v>
      </c>
      <c r="O181" s="23">
        <f t="shared" si="140"/>
        <v>-268.92551299308263</v>
      </c>
      <c r="P181" s="1">
        <f t="shared" si="131"/>
        <v>-269.82230798163806</v>
      </c>
      <c r="Q181" s="1">
        <f t="shared" si="157"/>
        <v>0.21288148114471075</v>
      </c>
      <c r="R181">
        <f t="shared" si="153"/>
        <v>0</v>
      </c>
      <c r="S181" s="23">
        <f t="shared" si="156"/>
        <v>1.0744870069173891</v>
      </c>
      <c r="T181">
        <f>$S181+測地線補正!$Q$3*(lattice!$N181/1000)^3+測地線補正!$P$3*(lattice!$N181/1000)^2+測地線補正!$O$3*(lattice!$N181/1000)+測地線補正!$N$3</f>
        <v>0.17769201836193974</v>
      </c>
      <c r="U181">
        <f t="shared" ref="U181:U182" si="160">ATAN(($P$182-$P$178)/ABS($N$182-$N$178))</f>
        <v>-9.3138467097466623E-5</v>
      </c>
      <c r="V181">
        <v>0</v>
      </c>
      <c r="W181">
        <f t="shared" ref="W181:W182" si="161">-ATAN(($M$182-$M$178)/ABS($N$182-$N$178))</f>
        <v>1.5910053265803201E-5</v>
      </c>
      <c r="X181" t="s">
        <v>3860</v>
      </c>
      <c r="Y181">
        <f>_xlfn.XLOOKUP($F181,設計座標!$E$13:$E$2301,設計座標!$L$13:$L$2301," ",0,1)</f>
        <v>1889.4492</v>
      </c>
      <c r="Z181">
        <f>SQRT(($M$181-$M$179)^2+($N$181-$N$179)^2)</f>
        <v>311.22450003939036</v>
      </c>
    </row>
    <row r="182" spans="1:28">
      <c r="A182" t="s">
        <v>797</v>
      </c>
      <c r="B182" t="s">
        <v>3810</v>
      </c>
      <c r="C182" t="s">
        <v>804</v>
      </c>
      <c r="D182" t="s">
        <v>1152</v>
      </c>
      <c r="E182" t="s">
        <v>804</v>
      </c>
      <c r="F182" t="s">
        <v>1411</v>
      </c>
      <c r="G182" t="s">
        <v>2385</v>
      </c>
      <c r="I182">
        <f>_xlfn.XLOOKUP($F182,設計座標!$E$13:$E$2301,設計座標!$G$13:$G$2301,"n/a",0,1)</f>
        <v>18.98403557931</v>
      </c>
      <c r="J182">
        <f>_xlfn.XLOOKUP($F182,設計座標!$E$13:$E$2301,設計座標!$H$13:$H$2301,"n/a",0,1)</f>
        <v>0</v>
      </c>
      <c r="K182">
        <f>_xlfn.XLOOKUP($F182,設計座標!$E$13:$E$2301,設計座標!$I$13:$I$2301,"n/a",0,1)</f>
        <v>11581.98197893</v>
      </c>
      <c r="L182">
        <f>_xlfn.XLOOKUP($F182,設計座標!$E$13:$E$2301,設計座標!$J$13:$J$2301,"n/a",0,1)</f>
        <v>-270</v>
      </c>
      <c r="M182" s="2">
        <f t="shared" si="138"/>
        <v>0.19785086243592792</v>
      </c>
      <c r="N182" s="2">
        <f t="shared" si="139"/>
        <v>11581.98197893</v>
      </c>
      <c r="O182" s="23">
        <f t="shared" si="140"/>
        <v>-268.9362881556433</v>
      </c>
      <c r="P182" s="1">
        <f t="shared" si="131"/>
        <v>-269.90990674283961</v>
      </c>
      <c r="Q182" s="1">
        <f t="shared" si="157"/>
        <v>0.19785086243592792</v>
      </c>
      <c r="R182">
        <f t="shared" si="153"/>
        <v>0</v>
      </c>
      <c r="S182" s="23">
        <f t="shared" si="156"/>
        <v>1.0637118443566786</v>
      </c>
      <c r="T182">
        <f>$S182+測地線補正!$Q$3*(lattice!$N182/1000)^3+測地線補正!$P$3*(lattice!$N182/1000)^2+測地線補正!$O$3*(lattice!$N182/1000)+測地線補正!$N$3</f>
        <v>9.0093257160415524E-2</v>
      </c>
      <c r="U182">
        <f t="shared" si="160"/>
        <v>-9.3138467097466623E-5</v>
      </c>
      <c r="V182">
        <v>0</v>
      </c>
      <c r="W182">
        <f t="shared" si="161"/>
        <v>1.5910053265803201E-5</v>
      </c>
      <c r="X182" t="s">
        <v>3860</v>
      </c>
      <c r="Y182">
        <f>_xlfn.XLOOKUP($F182,設計座標!$E$13:$E$2301,設計座標!$L$13:$L$2301," ",0,1)</f>
        <v>1889.4492</v>
      </c>
      <c r="Z182">
        <f>SQRT(($M$181-$M$179)^2+($N$181-$N$179)^2)</f>
        <v>311.22450003939036</v>
      </c>
    </row>
    <row r="183" spans="1:28">
      <c r="A183" t="s">
        <v>797</v>
      </c>
      <c r="B183" t="s">
        <v>3810</v>
      </c>
      <c r="C183" t="s">
        <v>1152</v>
      </c>
      <c r="D183" t="s">
        <v>1152</v>
      </c>
      <c r="E183" t="s">
        <v>804</v>
      </c>
      <c r="F183" t="s">
        <v>1961</v>
      </c>
      <c r="G183" t="s">
        <v>1961</v>
      </c>
      <c r="I183">
        <f>_xlfn.XLOOKUP($F183,設計座標!$E$13:$E$2301,設計座標!$G$13:$G$2301,"n/a",0,1)</f>
        <v>19.11803347931</v>
      </c>
      <c r="J183">
        <f>_xlfn.XLOOKUP($F183,設計座標!$E$13:$E$2301,設計座標!$H$13:$H$2301,"n/a",0,1)</f>
        <v>0</v>
      </c>
      <c r="K183">
        <f>_xlfn.XLOOKUP($F183,設計座標!$E$13:$E$2301,設計座標!$I$13:$I$2301,"n/a",0,1)</f>
        <v>11715.97987893</v>
      </c>
      <c r="L183">
        <f>_xlfn.XLOOKUP($F183,設計座標!$E$13:$E$2301,設計座標!$J$13:$J$2301,"n/a",0,1)</f>
        <v>-270</v>
      </c>
      <c r="M183" s="2">
        <f t="shared" si="138"/>
        <v>0.19571894870924225</v>
      </c>
      <c r="N183" s="2">
        <f t="shared" si="139"/>
        <v>11715.97987893</v>
      </c>
      <c r="O183" s="23">
        <f t="shared" si="140"/>
        <v>-268.93781648374579</v>
      </c>
      <c r="P183" s="1">
        <f t="shared" si="131"/>
        <v>-269.92226939708462</v>
      </c>
      <c r="Q183" s="1">
        <f t="shared" si="157"/>
        <v>0.19571894870924225</v>
      </c>
      <c r="R183">
        <f t="shared" si="153"/>
        <v>0</v>
      </c>
      <c r="S183" s="23">
        <f t="shared" si="156"/>
        <v>1.0621835162541884</v>
      </c>
      <c r="T183">
        <f>$S183+測地線補正!$Q$3*(lattice!$N183/1000)^3+測地線補正!$P$3*(lattice!$N183/1000)^2+測地線補正!$O$3*(lattice!$N183/1000)+測地線補正!$N$3</f>
        <v>7.7730602915390939E-2</v>
      </c>
      <c r="U183">
        <v>0</v>
      </c>
      <c r="V183">
        <v>0</v>
      </c>
      <c r="W183">
        <v>0</v>
      </c>
      <c r="X183">
        <f>SQRT(($M$183-$M$182)^2+($N$183-$N$182)^2)</f>
        <v>133.99790001695973</v>
      </c>
      <c r="Y183">
        <f>_xlfn.XLOOKUP($F183,設計座標!$E$13:$E$2301,設計座標!$L$13:$L$2301," ",0,1)</f>
        <v>0</v>
      </c>
      <c r="Z183">
        <f>SQRT(($M$183-$M$181)^2+($N$183-$N$181)^2)</f>
        <v>1078.7225001365282</v>
      </c>
    </row>
    <row r="184" spans="1:28">
      <c r="A184" t="s">
        <v>797</v>
      </c>
      <c r="B184" t="s">
        <v>3810</v>
      </c>
      <c r="C184" t="s">
        <v>805</v>
      </c>
      <c r="D184" t="s">
        <v>806</v>
      </c>
      <c r="F184" t="s">
        <v>15</v>
      </c>
      <c r="G184" t="s">
        <v>2388</v>
      </c>
      <c r="I184">
        <f>_xlfn.XLOOKUP($F184,設計座標!$E$13:$E$2301,設計座標!$G$13:$G$2301,"n/a",0,1)</f>
        <v>19.236745760000002</v>
      </c>
      <c r="J184">
        <f>_xlfn.XLOOKUP($F184,設計座標!$E$13:$E$2301,設計座標!$H$13:$H$2301,"n/a",0,1)</f>
        <v>0</v>
      </c>
      <c r="K184">
        <f>_xlfn.XLOOKUP($F184,設計座標!$E$13:$E$2301,設計座標!$I$13:$I$2301,"n/a",0,1)</f>
        <v>11834.692159620001</v>
      </c>
      <c r="L184">
        <f>_xlfn.XLOOKUP($F184,設計座標!$E$13:$E$2301,設計座標!$J$13:$J$2301,"n/a",0,1)</f>
        <v>-70</v>
      </c>
      <c r="M184" s="2">
        <f>_xlfn.XLOOKUP($F184,survey_data!$A$2:$A$833,survey_data!$B$2:$B$833,"n/a",0,1)</f>
        <v>0.19383022999999999</v>
      </c>
      <c r="N184" s="2">
        <f>_xlfn.XLOOKUP($F184,survey_data!$A$2:$A$833,survey_data!$C$2:$C$833,"n/a",0,1)</f>
        <v>11834.692159620001</v>
      </c>
      <c r="O184" s="23">
        <f>_xlfn.XLOOKUP($F184,survey_data!$A$2:$A$833,survey_data!$D$2:$D$833,"n/a",0,1)</f>
        <v>-68.939170469999993</v>
      </c>
      <c r="P184" s="1">
        <f t="shared" si="131"/>
        <v>-69.93320904222648</v>
      </c>
      <c r="Q184" s="1">
        <f t="shared" si="154"/>
        <v>0.19383022999999999</v>
      </c>
      <c r="R184">
        <f t="shared" si="153"/>
        <v>0</v>
      </c>
      <c r="S184" s="23">
        <f t="shared" si="155"/>
        <v>1.0608295300000066</v>
      </c>
      <c r="T184">
        <f>$S184+測地線補正!$Q$3*(lattice!$N184/1000)^3+測地線補正!$P$3*(lattice!$N184/1000)^2+測地線補正!$O$3*(lattice!$N184/1000)+測地線補正!$N$3</f>
        <v>6.679095777351321E-2</v>
      </c>
      <c r="U184">
        <f>ATAN(($P$185-$P$184)/ABS($N$185-$N$184))</f>
        <v>-6.0216790384903817E-4</v>
      </c>
      <c r="V184">
        <v>0</v>
      </c>
      <c r="W184">
        <f>-ATAN(($M$185-$M$184)/ABS($N$185-$N$184))</f>
        <v>-3.8026543641638206E-4</v>
      </c>
      <c r="X184">
        <f>$Z$185-($Y$185+$Y$183)/2</f>
        <v>98.741536505320653</v>
      </c>
      <c r="Y184">
        <f>_xlfn.XLOOKUP($F184,設計座標!$E$13:$E$2301,設計座標!$L$13:$L$2301," ",0,1)</f>
        <v>100</v>
      </c>
      <c r="Z184">
        <f>SQRT(($M$185-$M$183)^2+($N$185-$N$183)^2)</f>
        <v>148.74153650532065</v>
      </c>
      <c r="AA184">
        <f>_xlfn.XLOOKUP($G184,magnet_list!$A$2:$A$592,magnet_list!$AJ$2:$AJ$592,"n/a",0,1)</f>
        <v>0.121</v>
      </c>
      <c r="AB184">
        <f>_xlfn.XLOOKUP($G184,magnet_list!$A$2:$A$592,magnet_list!$L$2:$L$592,"n/a",0,1)</f>
        <v>44</v>
      </c>
    </row>
    <row r="185" spans="1:28">
      <c r="A185" t="s">
        <v>797</v>
      </c>
      <c r="B185" t="s">
        <v>3810</v>
      </c>
      <c r="C185" t="s">
        <v>805</v>
      </c>
      <c r="D185" t="s">
        <v>1152</v>
      </c>
      <c r="E185" t="s">
        <v>804</v>
      </c>
      <c r="F185" t="s">
        <v>536</v>
      </c>
      <c r="G185" t="s">
        <v>2388</v>
      </c>
      <c r="I185">
        <f>_xlfn.XLOOKUP($F185,設計座標!$E$13:$E$2301,設計座標!$G$13:$G$2301,"n/a",0,1)</f>
        <v>19.266775015509999</v>
      </c>
      <c r="J185">
        <f>_xlfn.XLOOKUP($F185,設計座標!$E$13:$E$2301,設計座標!$H$13:$H$2301,"n/a",0,1)</f>
        <v>0</v>
      </c>
      <c r="K185">
        <f>_xlfn.XLOOKUP($F185,設計座標!$E$13:$E$2301,設計座標!$I$13:$I$2301,"n/a",0,1)</f>
        <v>11864.72141513</v>
      </c>
      <c r="L185">
        <f>_xlfn.XLOOKUP($F185,設計座標!$E$13:$E$2301,設計座標!$J$13:$J$2301,"n/a",0,1)</f>
        <v>-70</v>
      </c>
      <c r="M185" s="2">
        <f t="shared" si="138"/>
        <v>0.20524931850217559</v>
      </c>
      <c r="N185" s="2">
        <f t="shared" si="139"/>
        <v>11864.72141513</v>
      </c>
      <c r="O185" s="23">
        <f t="shared" si="140"/>
        <v>-68.954830248267555</v>
      </c>
      <c r="P185" s="1">
        <f t="shared" si="131"/>
        <v>-69.951291698256711</v>
      </c>
      <c r="Q185" s="1">
        <f>(Q$186-Q$184)/($N$186-$N$184)*($N185-$N$184)+Q$184</f>
        <v>0.20524931850217559</v>
      </c>
      <c r="R185">
        <f t="shared" si="153"/>
        <v>0</v>
      </c>
      <c r="S185" s="23">
        <f>(S$186-S$184)/($N$186-$N$184)*($N185-$N$184)+S$184</f>
        <v>1.0451697517324383</v>
      </c>
      <c r="T185">
        <f>$S185+測地線補正!$Q$3*(lattice!$N185/1000)^3+測地線補正!$P$3*(lattice!$N185/1000)^2+測地線補正!$O$3*(lattice!$N185/1000)+測地線補正!$N$3</f>
        <v>4.8708301743282473E-2</v>
      </c>
      <c r="U185">
        <f>ATAN(($P$185-$P$184)/ABS($N$185-$N$184))</f>
        <v>-6.0216790384903817E-4</v>
      </c>
      <c r="V185">
        <v>0</v>
      </c>
      <c r="W185">
        <f>-ATAN(($M$185-$M$184)/ABS($N$185-$N$184))</f>
        <v>-3.8026543641638206E-4</v>
      </c>
      <c r="X185">
        <f>$Z$185-($Y$185+$Y$183)/2</f>
        <v>98.741536505320653</v>
      </c>
      <c r="Y185">
        <f>_xlfn.XLOOKUP($F185,設計座標!$E$13:$E$2301,設計座標!$L$13:$L$2301," ",0,1)</f>
        <v>100</v>
      </c>
      <c r="Z185">
        <f>SQRT(($M$185-$M$183)^2+($N$185-$N$183)^2)</f>
        <v>148.74153650532065</v>
      </c>
      <c r="AA185">
        <f>_xlfn.XLOOKUP($G185,magnet_list!$A$2:$A$592,magnet_list!$AJ$2:$AJ$592,"n/a",0,1)</f>
        <v>0.121</v>
      </c>
      <c r="AB185">
        <f>_xlfn.XLOOKUP($G185,magnet_list!$A$2:$A$592,magnet_list!$L$2:$L$592,"n/a",0,1)</f>
        <v>44</v>
      </c>
    </row>
    <row r="186" spans="1:28">
      <c r="A186" t="s">
        <v>797</v>
      </c>
      <c r="B186" t="s">
        <v>3810</v>
      </c>
      <c r="C186" t="s">
        <v>805</v>
      </c>
      <c r="D186" t="s">
        <v>806</v>
      </c>
      <c r="F186" t="s">
        <v>16</v>
      </c>
      <c r="G186" t="s">
        <v>16</v>
      </c>
      <c r="I186">
        <f>_xlfn.XLOOKUP($F186,設計座標!$E$13:$E$2301,設計座標!$G$13:$G$2301,"n/a",0,1)</f>
        <v>19.446849015510001</v>
      </c>
      <c r="J186">
        <f>_xlfn.XLOOKUP($F186,設計座標!$E$13:$E$2301,設計座標!$H$13:$H$2301,"n/a",0,1)</f>
        <v>0</v>
      </c>
      <c r="K186">
        <f>_xlfn.XLOOKUP($F186,設計座標!$E$13:$E$2301,設計座標!$I$13:$I$2301,"n/a",0,1)</f>
        <v>12044.79541513</v>
      </c>
      <c r="L186">
        <f>_xlfn.XLOOKUP($F186,設計座標!$E$13:$E$2301,設計座標!$J$13:$J$2301,"n/a",0,1)</f>
        <v>-70</v>
      </c>
      <c r="M186" s="2">
        <f>_xlfn.XLOOKUP($F186,survey_data!$A$2:$A$833,survey_data!$B$2:$B$833,"n/a",0,1)</f>
        <v>0.27372523999999998</v>
      </c>
      <c r="N186" s="2">
        <f>_xlfn.XLOOKUP($F186,survey_data!$A$2:$A$833,survey_data!$C$2:$C$833,"n/a",0,1)</f>
        <v>12044.79541513</v>
      </c>
      <c r="O186" s="23">
        <f>_xlfn.XLOOKUP($F186,survey_data!$A$2:$A$833,survey_data!$D$2:$D$833,"n/a",0,1)</f>
        <v>-69.048735969999996</v>
      </c>
      <c r="P186" s="1">
        <f t="shared" si="131"/>
        <v>-70.05971050201029</v>
      </c>
      <c r="Q186" s="1">
        <f t="shared" si="154"/>
        <v>0.27372523999999998</v>
      </c>
      <c r="R186">
        <f t="shared" si="153"/>
        <v>0</v>
      </c>
      <c r="S186" s="23">
        <f t="shared" si="155"/>
        <v>0.95126403000000437</v>
      </c>
      <c r="T186">
        <f>$S186+測地線補正!$Q$3*(lattice!$N186/1000)^3+測地線補正!$P$3*(lattice!$N186/1000)^2+測地線補正!$O$3*(lattice!$N186/1000)+測地線補正!$N$3</f>
        <v>-5.9710502010283356E-2</v>
      </c>
      <c r="U186">
        <f>ATAN(($P$187-$P$186)/ABS($N$187-$N$186))</f>
        <v>-2.1654635722607665E-4</v>
      </c>
      <c r="V186">
        <v>0</v>
      </c>
      <c r="W186">
        <f>-ATAN(($M$187-$M$186)/ABS($N$187-$N$186))</f>
        <v>1.8057427626038086E-4</v>
      </c>
      <c r="X186">
        <f>$Z$187-($Y$187+$Y$185)/2</f>
        <v>110.05883287321956</v>
      </c>
      <c r="Y186">
        <f>_xlfn.XLOOKUP($F186,設計座標!$E$13:$E$2301,設計座標!$L$13:$L$2301," ",0,1)</f>
        <v>200</v>
      </c>
      <c r="Z186">
        <f>SQRT(($M$187-$M$185)^2+($N$187-$N$185)^2)</f>
        <v>260.05883287321956</v>
      </c>
      <c r="AA186">
        <f>_xlfn.XLOOKUP($G186,magnet_list!$A$2:$A$592,magnet_list!$AJ$2:$AJ$592,"n/a",0,1)</f>
        <v>0.222</v>
      </c>
      <c r="AB186">
        <f>_xlfn.XLOOKUP($G186,magnet_list!$A$2:$A$592,magnet_list!$L$2:$L$592,"n/a",0,1)</f>
        <v>44</v>
      </c>
    </row>
    <row r="187" spans="1:28">
      <c r="A187" t="s">
        <v>797</v>
      </c>
      <c r="B187" t="s">
        <v>3810</v>
      </c>
      <c r="C187" t="s">
        <v>805</v>
      </c>
      <c r="D187" t="s">
        <v>1152</v>
      </c>
      <c r="E187" t="s">
        <v>804</v>
      </c>
      <c r="F187" t="s">
        <v>537</v>
      </c>
      <c r="G187" t="s">
        <v>16</v>
      </c>
      <c r="I187">
        <f>_xlfn.XLOOKUP($F187,設計座標!$E$13:$E$2301,設計座標!$G$13:$G$2301,"n/a",0,1)</f>
        <v>19.526833842769999</v>
      </c>
      <c r="J187">
        <f>_xlfn.XLOOKUP($F187,設計座標!$E$13:$E$2301,設計座標!$H$13:$H$2301,"n/a",0,1)</f>
        <v>0</v>
      </c>
      <c r="K187">
        <f>_xlfn.XLOOKUP($F187,設計座標!$E$13:$E$2301,設計座標!$I$13:$I$2301,"n/a",0,1)</f>
        <v>12124.780242389999</v>
      </c>
      <c r="L187">
        <f>_xlfn.XLOOKUP($F187,設計座標!$E$13:$E$2301,設計座標!$J$13:$J$2301,"n/a",0,1)</f>
        <v>-70</v>
      </c>
      <c r="M187" s="2">
        <f t="shared" si="138"/>
        <v>0.25928203754873053</v>
      </c>
      <c r="N187" s="2">
        <f t="shared" si="139"/>
        <v>12124.780242389999</v>
      </c>
      <c r="O187" s="23">
        <f t="shared" si="140"/>
        <v>-69.05961877556166</v>
      </c>
      <c r="P187" s="1">
        <f t="shared" si="131"/>
        <v>-70.077030925257532</v>
      </c>
      <c r="Q187" s="1">
        <f>(Q$189-Q$186)/($N$189-$N$186)*($N187-$N$186)+Q$186</f>
        <v>0.25928203754873053</v>
      </c>
      <c r="R187">
        <f t="shared" si="153"/>
        <v>0</v>
      </c>
      <c r="S187" s="23">
        <f t="shared" ref="S187:S188" si="162">(S$189-S$186)/($N$189-$N$186)*($N187-$N$186)+S$186</f>
        <v>0.94038122443834549</v>
      </c>
      <c r="T187">
        <f>$S187+測地線補正!$Q$3*(lattice!$N187/1000)^3+測地線補正!$P$3*(lattice!$N187/1000)^2+測地線補正!$O$3*(lattice!$N187/1000)+測地線補正!$N$3</f>
        <v>-7.7030925257532828E-2</v>
      </c>
      <c r="U187">
        <f>ATAN(($P$187-$P$186)/ABS($N$187-$N$186))</f>
        <v>-2.1654635722607665E-4</v>
      </c>
      <c r="V187">
        <v>0</v>
      </c>
      <c r="W187">
        <f>-ATAN(($M$187-$M$186)/ABS($N$187-$N$186))</f>
        <v>1.8057427626038086E-4</v>
      </c>
      <c r="X187">
        <f>$Z$187-($Y$187+$Y$185)/2</f>
        <v>110.05883287321956</v>
      </c>
      <c r="Y187">
        <f>_xlfn.XLOOKUP($F187,設計座標!$E$13:$E$2301,設計座標!$L$13:$L$2301," ",0,1)</f>
        <v>200</v>
      </c>
      <c r="Z187">
        <f>SQRT(($M$187-$M$185)^2+($N$187-$N$185)^2)</f>
        <v>260.05883287321956</v>
      </c>
      <c r="AA187">
        <f>_xlfn.XLOOKUP($G187,magnet_list!$A$2:$A$592,magnet_list!$AJ$2:$AJ$592,"n/a",0,1)</f>
        <v>0.222</v>
      </c>
      <c r="AB187">
        <f>_xlfn.XLOOKUP($G187,magnet_list!$A$2:$A$592,magnet_list!$L$2:$L$592,"n/a",0,1)</f>
        <v>44</v>
      </c>
    </row>
    <row r="188" spans="1:28">
      <c r="A188" t="s">
        <v>797</v>
      </c>
      <c r="B188" t="s">
        <v>3810</v>
      </c>
      <c r="C188" t="s">
        <v>805</v>
      </c>
      <c r="D188" t="s">
        <v>1152</v>
      </c>
      <c r="E188" t="s">
        <v>804</v>
      </c>
      <c r="F188" t="s">
        <v>538</v>
      </c>
      <c r="G188" t="s">
        <v>2388</v>
      </c>
      <c r="I188">
        <f>_xlfn.XLOOKUP($F188,設計座標!$E$13:$E$2301,設計座標!$G$13:$G$2301,"n/a",0,1)</f>
        <v>19.78743784277</v>
      </c>
      <c r="J188">
        <f>_xlfn.XLOOKUP($F188,設計座標!$E$13:$E$2301,設計座標!$H$13:$H$2301,"n/a",0,1)</f>
        <v>0</v>
      </c>
      <c r="K188">
        <f>_xlfn.XLOOKUP($F188,設計座標!$E$13:$E$2301,設計座標!$I$13:$I$2301,"n/a",0,1)</f>
        <v>12385.384242390001</v>
      </c>
      <c r="L188">
        <f>_xlfn.XLOOKUP($F188,設計座標!$E$13:$E$2301,設計座標!$J$13:$J$2301,"n/a",0,1)</f>
        <v>-70</v>
      </c>
      <c r="M188" s="2">
        <f t="shared" si="138"/>
        <v>0.21222365834669141</v>
      </c>
      <c r="N188" s="2">
        <f t="shared" si="139"/>
        <v>12385.384242390001</v>
      </c>
      <c r="O188" s="23">
        <f t="shared" si="140"/>
        <v>-69.095076783758273</v>
      </c>
      <c r="P188" s="1">
        <f t="shared" si="131"/>
        <v>-70.133426553011688</v>
      </c>
      <c r="Q188" s="1">
        <f>(Q$189-Q$186)/($N$189-$N$186)*($N188-$N$186)+Q$186</f>
        <v>0.21222365834669141</v>
      </c>
      <c r="R188">
        <f t="shared" si="153"/>
        <v>0</v>
      </c>
      <c r="S188" s="23">
        <f t="shared" si="162"/>
        <v>0.90492321624172223</v>
      </c>
      <c r="T188">
        <f>$S188+測地線補正!$Q$3*(lattice!$N188/1000)^3+測地線補正!$P$3*(lattice!$N188/1000)^2+測地線補正!$O$3*(lattice!$N188/1000)+測地線補正!$N$3</f>
        <v>-0.13342655301168924</v>
      </c>
      <c r="U188">
        <f>ATAN(($P$189-$P$188)/ABS($N$189-$N$188))</f>
        <v>-2.1628212006970121E-4</v>
      </c>
      <c r="V188">
        <v>0</v>
      </c>
      <c r="W188">
        <f>-ATAN(($M$189-$M$188)/ABS($N$189-$N$188))</f>
        <v>1.8057427626038045E-4</v>
      </c>
      <c r="X188">
        <f>$Z$188-($Y$188+$Y$187)/2</f>
        <v>110.60400424876758</v>
      </c>
      <c r="Y188">
        <f>_xlfn.XLOOKUP($F188,設計座標!$E$13:$E$2301,設計座標!$L$13:$L$2301," ",0,1)</f>
        <v>100</v>
      </c>
      <c r="Z188">
        <f>SQRT(($M$188-$M$187)^2+($N$188-$N$187)^2)</f>
        <v>260.60400424876758</v>
      </c>
      <c r="AA188">
        <f>_xlfn.XLOOKUP($G188,magnet_list!$A$2:$A$592,magnet_list!$AJ$2:$AJ$592,"n/a",0,1)</f>
        <v>0.121</v>
      </c>
      <c r="AB188">
        <f>_xlfn.XLOOKUP($G188,magnet_list!$A$2:$A$592,magnet_list!$L$2:$L$592,"n/a",0,1)</f>
        <v>44</v>
      </c>
    </row>
    <row r="189" spans="1:28">
      <c r="A189" t="s">
        <v>797</v>
      </c>
      <c r="B189" t="s">
        <v>3810</v>
      </c>
      <c r="C189" t="s">
        <v>805</v>
      </c>
      <c r="D189" t="s">
        <v>806</v>
      </c>
      <c r="F189" t="s">
        <v>17</v>
      </c>
      <c r="G189" t="s">
        <v>2388</v>
      </c>
      <c r="I189">
        <f>_xlfn.XLOOKUP($F189,設計座標!$E$13:$E$2301,設計座標!$G$13:$G$2301,"n/a",0,1)</f>
        <v>19.817437842770001</v>
      </c>
      <c r="J189">
        <f>_xlfn.XLOOKUP($F189,設計座標!$E$13:$E$2301,設計座標!$H$13:$H$2301,"n/a",0,1)</f>
        <v>0</v>
      </c>
      <c r="K189">
        <f>_xlfn.XLOOKUP($F189,設計座標!$E$13:$E$2301,設計座標!$I$13:$I$2301,"n/a",0,1)</f>
        <v>12415.384242390001</v>
      </c>
      <c r="L189">
        <f>_xlfn.XLOOKUP($F189,設計座標!$E$13:$E$2301,設計座標!$J$13:$J$2301,"n/a",0,1)</f>
        <v>-70</v>
      </c>
      <c r="M189" s="2">
        <f>_xlfn.XLOOKUP($F189,survey_data!$A$2:$A$833,survey_data!$B$2:$B$833,"n/a",0,1)</f>
        <v>0.20680643000000001</v>
      </c>
      <c r="N189" s="2">
        <f>_xlfn.XLOOKUP($F189,survey_data!$A$2:$A$833,survey_data!$C$2:$C$833,"n/a",0,1)</f>
        <v>12415.384242390001</v>
      </c>
      <c r="O189" s="23">
        <f>_xlfn.XLOOKUP($F189,survey_data!$A$2:$A$833,survey_data!$D$2:$D$833,"n/a",0,1)</f>
        <v>-69.099158610000003</v>
      </c>
      <c r="P189" s="1">
        <f t="shared" si="131"/>
        <v>-70.139915016714951</v>
      </c>
      <c r="Q189" s="1">
        <f t="shared" si="154"/>
        <v>0.20680643000000001</v>
      </c>
      <c r="R189">
        <f t="shared" si="153"/>
        <v>0</v>
      </c>
      <c r="S189" s="23">
        <f t="shared" si="155"/>
        <v>0.90084138999999652</v>
      </c>
      <c r="T189">
        <f>$S189+測地線補正!$Q$3*(lattice!$N189/1000)^3+測地線補正!$P$3*(lattice!$N189/1000)^2+測地線補正!$O$3*(lattice!$N189/1000)+測地線補正!$N$3</f>
        <v>-0.13991501671495329</v>
      </c>
      <c r="U189">
        <f>ATAN(($P$189-$P$188)/ABS($N$189-$N$188))</f>
        <v>-2.1628212006970121E-4</v>
      </c>
      <c r="V189">
        <v>0</v>
      </c>
      <c r="W189">
        <f t="shared" ref="W189" si="163">-ATAN(($M$189-$M$188)/ABS($N$189-$N$188))</f>
        <v>1.8057427626038045E-4</v>
      </c>
      <c r="X189">
        <f>$Z$188-($Y$188+$Y$187)/2</f>
        <v>110.60400424876758</v>
      </c>
      <c r="Y189">
        <f>_xlfn.XLOOKUP($F189,設計座標!$E$13:$E$2301,設計座標!$L$13:$L$2301," ",0,1)</f>
        <v>100</v>
      </c>
      <c r="Z189">
        <f>SQRT(($M$188-$M$187)^2+($N$188-$N$187)^2)</f>
        <v>260.60400424876758</v>
      </c>
      <c r="AA189">
        <f>_xlfn.XLOOKUP($G189,magnet_list!$A$2:$A$592,magnet_list!$AJ$2:$AJ$592,"n/a",0,1)</f>
        <v>0.121</v>
      </c>
      <c r="AB189">
        <f>_xlfn.XLOOKUP($G189,magnet_list!$A$2:$A$592,magnet_list!$L$2:$L$592,"n/a",0,1)</f>
        <v>44</v>
      </c>
    </row>
    <row r="190" spans="1:28">
      <c r="A190" t="s">
        <v>797</v>
      </c>
      <c r="B190" t="s">
        <v>3810</v>
      </c>
      <c r="C190" t="s">
        <v>1152</v>
      </c>
      <c r="D190" t="s">
        <v>1152</v>
      </c>
      <c r="E190" t="s">
        <v>804</v>
      </c>
      <c r="F190" t="s">
        <v>1962</v>
      </c>
      <c r="G190" t="s">
        <v>1962</v>
      </c>
      <c r="I190">
        <f>_xlfn.XLOOKUP($F190,設計座標!$E$13:$E$2301,設計座標!$G$13:$G$2301,"n/a",0,1)</f>
        <v>20.107183479309999</v>
      </c>
      <c r="J190">
        <f>_xlfn.XLOOKUP($F190,設計座標!$E$13:$E$2301,設計座標!$H$13:$H$2301,"n/a",0,1)</f>
        <v>0</v>
      </c>
      <c r="K190">
        <f>_xlfn.XLOOKUP($F190,設計座標!$E$13:$E$2301,設計座標!$I$13:$I$2301,"n/a",0,1)</f>
        <v>12705.12987893</v>
      </c>
      <c r="L190">
        <f>_xlfn.XLOOKUP($F190,設計座標!$E$13:$E$2301,設計座標!$J$13:$J$2301,"n/a",0,1)</f>
        <v>-270</v>
      </c>
      <c r="M190" s="2">
        <f t="shared" si="138"/>
        <v>0.20345293665346645</v>
      </c>
      <c r="N190" s="2">
        <f t="shared" si="139"/>
        <v>12705.12987893</v>
      </c>
      <c r="O190" s="23">
        <f t="shared" si="140"/>
        <v>-269.07069437454362</v>
      </c>
      <c r="P190" s="1">
        <f t="shared" si="131"/>
        <v>-270.13465605363615</v>
      </c>
      <c r="Q190" s="1">
        <f>(Q$203-Q$189)/($N$203-$N$189)*($N190-$N$189)+Q$189</f>
        <v>0.20345293665346645</v>
      </c>
      <c r="R190">
        <f t="shared" si="153"/>
        <v>0</v>
      </c>
      <c r="S190" s="23">
        <f t="shared" ref="S190:S202" si="164">(S$203-S$189)/($N$203-$N$189)*($N190-$N$189)+S$189</f>
        <v>0.92930562545639617</v>
      </c>
      <c r="T190">
        <f>$S190+測地線補正!$Q$3*(lattice!$N190/1000)^3+測地線補正!$P$3*(lattice!$N190/1000)^2+測地線補正!$O$3*(lattice!$N190/1000)+測地線補正!$N$3</f>
        <v>-0.13465605363617392</v>
      </c>
      <c r="U190">
        <v>0</v>
      </c>
      <c r="V190">
        <v>0</v>
      </c>
      <c r="W190">
        <v>0</v>
      </c>
      <c r="X190">
        <f>$Z$190-($Y$190+$Y$188)/2</f>
        <v>269.74563666029121</v>
      </c>
      <c r="Y190">
        <f>_xlfn.XLOOKUP($F190,設計座標!$E$13:$E$2301,設計座標!$L$13:$L$2301," ",0,1)</f>
        <v>0</v>
      </c>
      <c r="Z190">
        <f>SQRT(($M$190-$M$188)^2+($N$190-$N$188)^2)</f>
        <v>319.74563666029121</v>
      </c>
    </row>
    <row r="191" spans="1:28">
      <c r="A191" t="s">
        <v>797</v>
      </c>
      <c r="B191" t="s">
        <v>3810</v>
      </c>
      <c r="C191" t="s">
        <v>2288</v>
      </c>
      <c r="D191" t="s">
        <v>1152</v>
      </c>
      <c r="E191" t="s">
        <v>804</v>
      </c>
      <c r="F191" t="s">
        <v>2324</v>
      </c>
      <c r="G191" t="s">
        <v>2324</v>
      </c>
      <c r="I191">
        <f>_xlfn.XLOOKUP($F191,設計座標!$E$13:$E$2301,設計座標!$G$13:$G$2301,"n/a",0,1)</f>
        <v>20.318064479309999</v>
      </c>
      <c r="J191">
        <f>_xlfn.XLOOKUP($F191,設計座標!$E$13:$E$2301,設計座標!$H$13:$H$2301,"n/a",0,1)</f>
        <v>0</v>
      </c>
      <c r="K191">
        <f>_xlfn.XLOOKUP($F191,設計座標!$E$13:$E$2301,設計座標!$I$13:$I$2301,"n/a",0,1)</f>
        <v>12916.010878929999</v>
      </c>
      <c r="L191">
        <f>_xlfn.XLOOKUP($F191,設計座標!$E$13:$E$2301,設計座標!$J$13:$J$2301,"n/a",0,1)</f>
        <v>-270</v>
      </c>
      <c r="M191" s="2">
        <f t="shared" si="138"/>
        <v>0.20101221644502695</v>
      </c>
      <c r="N191" s="2">
        <f t="shared" si="139"/>
        <v>12916.010878929999</v>
      </c>
      <c r="O191" s="23">
        <f t="shared" si="140"/>
        <v>-269.04997769867242</v>
      </c>
      <c r="P191" s="1">
        <f t="shared" si="131"/>
        <v>-270.1307848831035</v>
      </c>
      <c r="Q191" s="1">
        <f t="shared" ref="Q191:Q202" si="165">(Q$203-Q$189)/($N$203-$N$189)*($N191-$N$189)+Q$189</f>
        <v>0.20101221644502695</v>
      </c>
      <c r="R191">
        <f t="shared" si="153"/>
        <v>0</v>
      </c>
      <c r="S191" s="23">
        <f t="shared" si="164"/>
        <v>0.95002230132755228</v>
      </c>
      <c r="T191">
        <f>$S191+測地線補正!$Q$3*(lattice!$N191/1000)^3+測地線補正!$P$3*(lattice!$N191/1000)^2+測地線補正!$O$3*(lattice!$N191/1000)+測地線補正!$N$3</f>
        <v>-0.13078488310350309</v>
      </c>
      <c r="U191">
        <v>0</v>
      </c>
      <c r="V191">
        <v>0</v>
      </c>
      <c r="W191">
        <v>0</v>
      </c>
      <c r="X191">
        <f>$Z$191-($Y$191+$Y$190)/2</f>
        <v>210.88100001412377</v>
      </c>
      <c r="Y191">
        <f>_xlfn.XLOOKUP($F191,設計座標!$E$13:$E$2301,設計座標!$L$13:$L$2301," ",0,1)</f>
        <v>0</v>
      </c>
      <c r="Z191">
        <f>SQRT(($M$191-$M$190)^2+($N$191-$N$190)^2)</f>
        <v>210.88100001412377</v>
      </c>
    </row>
    <row r="192" spans="1:28">
      <c r="A192" t="s">
        <v>797</v>
      </c>
      <c r="B192" t="s">
        <v>3810</v>
      </c>
      <c r="C192" t="s">
        <v>804</v>
      </c>
      <c r="D192" t="s">
        <v>1152</v>
      </c>
      <c r="E192" t="s">
        <v>804</v>
      </c>
      <c r="F192" t="s">
        <v>1412</v>
      </c>
      <c r="G192" t="s">
        <v>2386</v>
      </c>
      <c r="I192">
        <f>_xlfn.XLOOKUP($F192,設計座標!$E$13:$E$2301,設計座標!$G$13:$G$2301,"n/a",0,1)</f>
        <v>20.452064379309999</v>
      </c>
      <c r="J192">
        <f>_xlfn.XLOOKUP($F192,設計座標!$E$13:$E$2301,設計座標!$H$13:$H$2301,"n/a",0,1)</f>
        <v>0</v>
      </c>
      <c r="K192">
        <f>_xlfn.XLOOKUP($F192,設計座標!$E$13:$E$2301,設計座標!$I$13:$I$2301,"n/a",0,1)</f>
        <v>13050.01077893</v>
      </c>
      <c r="L192">
        <f>_xlfn.XLOOKUP($F192,設計座標!$E$13:$E$2301,設計座標!$J$13:$J$2301,"n/a",0,1)</f>
        <v>-270</v>
      </c>
      <c r="M192" s="2">
        <f t="shared" si="138"/>
        <v>0.19946131207782994</v>
      </c>
      <c r="N192" s="2">
        <f t="shared" si="139"/>
        <v>13050.01077893</v>
      </c>
      <c r="O192" s="23">
        <f t="shared" si="140"/>
        <v>-269.03681372233001</v>
      </c>
      <c r="P192" s="1">
        <f t="shared" si="131"/>
        <v>-270.1283060552156</v>
      </c>
      <c r="Q192" s="1">
        <f t="shared" si="165"/>
        <v>0.19946131207782994</v>
      </c>
      <c r="R192">
        <f t="shared" si="153"/>
        <v>0</v>
      </c>
      <c r="S192" s="23">
        <f t="shared" si="164"/>
        <v>0.96318627766997933</v>
      </c>
      <c r="T192">
        <f>$S192+測地線補正!$Q$3*(lattice!$N192/1000)^3+測地線補正!$P$3*(lattice!$N192/1000)^2+測地線補正!$O$3*(lattice!$N192/1000)+測地線補正!$N$3</f>
        <v>-0.12830605521562441</v>
      </c>
      <c r="U192">
        <f>ATAN(($P$196-$P$192)/ABS($N$196-$N$192))</f>
        <v>1.9310748627249442E-5</v>
      </c>
      <c r="V192">
        <v>0</v>
      </c>
      <c r="W192">
        <f>-ATAN(($M$196-$M$192)/ABS($N$196-$N$192))</f>
        <v>1.1573921824775676E-5</v>
      </c>
      <c r="X192">
        <f>SQRT(($M$192-$M$191)^2+($N$192-$N$191)^2)</f>
        <v>133.99990000897574</v>
      </c>
      <c r="Y192">
        <f>_xlfn.XLOOKUP($F192,設計座標!$E$13:$E$2301,設計座標!$L$13:$L$2301," ",0,1)</f>
        <v>1889.4492</v>
      </c>
      <c r="Z192">
        <f>SQRT(($M$195-$M$193)^2+($N$195-$N$193)^2)</f>
        <v>311.22450002084543</v>
      </c>
    </row>
    <row r="193" spans="1:28">
      <c r="A193" t="s">
        <v>797</v>
      </c>
      <c r="B193" t="s">
        <v>3810</v>
      </c>
      <c r="C193" t="s">
        <v>3855</v>
      </c>
      <c r="D193" t="s">
        <v>1152</v>
      </c>
      <c r="E193" t="s">
        <v>804</v>
      </c>
      <c r="F193" t="s">
        <v>2204</v>
      </c>
      <c r="G193" t="s">
        <v>2204</v>
      </c>
      <c r="I193">
        <f>_xlfn.XLOOKUP($F193,設計座標!$E$13:$E$2301,設計座標!$G$13:$G$2301,"n/a",0,1)</f>
        <v>21.085564479309998</v>
      </c>
      <c r="J193">
        <f>_xlfn.XLOOKUP($F193,設計座標!$E$13:$E$2301,設計座標!$H$13:$H$2301,"n/a",0,1)</f>
        <v>0</v>
      </c>
      <c r="K193">
        <f>_xlfn.XLOOKUP($F193,設計座標!$E$13:$E$2301,設計座標!$I$13:$I$2301,"n/a",0,1)</f>
        <v>13683.510878929999</v>
      </c>
      <c r="L193">
        <f>_xlfn.XLOOKUP($F193,設計座標!$E$13:$E$2301,設計座標!$J$13:$J$2301,"n/a",0,1)</f>
        <v>-270</v>
      </c>
      <c r="M193" s="2">
        <f t="shared" si="138"/>
        <v>0.19212923144411498</v>
      </c>
      <c r="N193" s="2">
        <f t="shared" si="139"/>
        <v>13683.510878929999</v>
      </c>
      <c r="O193" s="23">
        <f t="shared" si="140"/>
        <v>-268.97457949432442</v>
      </c>
      <c r="P193" s="1">
        <f t="shared" si="131"/>
        <v>-270.11638945814769</v>
      </c>
      <c r="Q193" s="1">
        <f t="shared" si="165"/>
        <v>0.19212923144411498</v>
      </c>
      <c r="R193">
        <f t="shared" si="153"/>
        <v>0</v>
      </c>
      <c r="S193" s="23">
        <f t="shared" si="164"/>
        <v>1.0254205056755608</v>
      </c>
      <c r="T193">
        <f>$S193+測地線補正!$Q$3*(lattice!$N193/1000)^3+測地線補正!$P$3*(lattice!$N193/1000)^2+測地線補正!$O$3*(lattice!$N193/1000)+測地線補正!$N$3</f>
        <v>-0.1163894581476955</v>
      </c>
      <c r="U193">
        <f t="shared" ref="U193:U194" si="166">ATAN(($P$196-$P$192)/ABS($N$196-$N$192))</f>
        <v>1.9310748627249442E-5</v>
      </c>
      <c r="V193">
        <v>0</v>
      </c>
      <c r="W193">
        <f t="shared" ref="W193:W194" si="167">-ATAN(($M$196-$M$192)/ABS($N$196-$N$192))</f>
        <v>1.1573921824775676E-5</v>
      </c>
      <c r="X193" t="s">
        <v>3860</v>
      </c>
      <c r="Y193">
        <f>_xlfn.XLOOKUP($F193,設計座標!$E$13:$E$2301,設計座標!$L$13:$L$2301," ",0,1)</f>
        <v>1000</v>
      </c>
      <c r="Z193">
        <f>SQRT(($M$193-$M$191)^2+($N$193-$N$191)^2)</f>
        <v>767.50000005140555</v>
      </c>
      <c r="AA193">
        <f>_xlfn.XLOOKUP($G193,magnet_list!$A$2:$A$592,magnet_list!$AJ$2:$AJ$592,"n/a",0,1)</f>
        <v>0.95010000000000006</v>
      </c>
      <c r="AB193">
        <f>_xlfn.XLOOKUP($G193,magnet_list!$A$2:$A$592,magnet_list!$L$2:$L$592,"n/a",0,1)</f>
        <v>120</v>
      </c>
    </row>
    <row r="194" spans="1:28">
      <c r="A194" t="s">
        <v>797</v>
      </c>
      <c r="B194" t="s">
        <v>3810</v>
      </c>
      <c r="C194" t="s">
        <v>3855</v>
      </c>
      <c r="D194" t="s">
        <v>1152</v>
      </c>
      <c r="E194" t="s">
        <v>804</v>
      </c>
      <c r="F194" t="s">
        <v>2205</v>
      </c>
      <c r="G194" t="s">
        <v>2205</v>
      </c>
      <c r="I194">
        <f>_xlfn.XLOOKUP($F194,設計座標!$E$13:$E$2301,設計座標!$G$13:$G$2301,"n/a",0,1)</f>
        <v>21.085564479309998</v>
      </c>
      <c r="J194">
        <f>_xlfn.XLOOKUP($F194,設計座標!$E$13:$E$2301,設計座標!$H$13:$H$2301,"n/a",0,1)</f>
        <v>0</v>
      </c>
      <c r="K194">
        <f>_xlfn.XLOOKUP($F194,設計座標!$E$13:$E$2301,設計座標!$I$13:$I$2301,"n/a",0,1)</f>
        <v>13683.510878929999</v>
      </c>
      <c r="L194">
        <f>_xlfn.XLOOKUP($F194,設計座標!$E$13:$E$2301,設計座標!$J$13:$J$2301,"n/a",0,1)</f>
        <v>-270</v>
      </c>
      <c r="M194" s="2">
        <f t="shared" si="138"/>
        <v>0.19212923144411498</v>
      </c>
      <c r="N194" s="2">
        <f t="shared" si="139"/>
        <v>13683.510878929999</v>
      </c>
      <c r="O194" s="23">
        <f t="shared" si="140"/>
        <v>-268.97457949432442</v>
      </c>
      <c r="P194" s="1">
        <f t="shared" si="131"/>
        <v>-270.11638945814769</v>
      </c>
      <c r="Q194" s="1">
        <f t="shared" si="165"/>
        <v>0.19212923144411498</v>
      </c>
      <c r="R194">
        <f t="shared" si="153"/>
        <v>0</v>
      </c>
      <c r="S194" s="23">
        <f t="shared" si="164"/>
        <v>1.0254205056755608</v>
      </c>
      <c r="T194">
        <f>$S194+測地線補正!$Q$3*(lattice!$N194/1000)^3+測地線補正!$P$3*(lattice!$N194/1000)^2+測地線補正!$O$3*(lattice!$N194/1000)+測地線補正!$N$3</f>
        <v>-0.1163894581476955</v>
      </c>
      <c r="U194">
        <f t="shared" si="166"/>
        <v>1.9310748627249442E-5</v>
      </c>
      <c r="V194">
        <v>0</v>
      </c>
      <c r="W194">
        <f t="shared" si="167"/>
        <v>1.1573921824775676E-5</v>
      </c>
      <c r="X194" t="s">
        <v>3860</v>
      </c>
      <c r="Y194">
        <f>_xlfn.XLOOKUP($F194,設計座標!$E$13:$E$2301,設計座標!$L$13:$L$2301," ",0,1)</f>
        <v>1000</v>
      </c>
      <c r="Z194">
        <f>SQRT(($M$193-$M$191)^2+($N$193-$N$191)^2)</f>
        <v>767.50000005140555</v>
      </c>
      <c r="AA194">
        <f>_xlfn.XLOOKUP($G194,magnet_list!$A$2:$A$592,magnet_list!$AJ$2:$AJ$592,"n/a",0,1)</f>
        <v>0.95010000000000006</v>
      </c>
      <c r="AB194">
        <f>_xlfn.XLOOKUP($G194,magnet_list!$A$2:$A$592,magnet_list!$L$2:$L$592,"n/a",0,1)</f>
        <v>120</v>
      </c>
    </row>
    <row r="195" spans="1:28">
      <c r="A195" t="s">
        <v>797</v>
      </c>
      <c r="B195" t="s">
        <v>3810</v>
      </c>
      <c r="C195" t="s">
        <v>804</v>
      </c>
      <c r="D195" t="s">
        <v>1152</v>
      </c>
      <c r="E195" t="s">
        <v>804</v>
      </c>
      <c r="F195" t="s">
        <v>1167</v>
      </c>
      <c r="G195" t="s">
        <v>2386</v>
      </c>
      <c r="I195">
        <f>_xlfn.XLOOKUP($F195,設計座標!$E$13:$E$2301,設計座標!$G$13:$G$2301,"n/a",0,1)</f>
        <v>21.396788979309999</v>
      </c>
      <c r="J195">
        <f>_xlfn.XLOOKUP($F195,設計座標!$E$13:$E$2301,設計座標!$H$13:$H$2301,"n/a",0,1)</f>
        <v>0</v>
      </c>
      <c r="K195">
        <f>_xlfn.XLOOKUP($F195,設計座標!$E$13:$E$2301,設計座標!$I$13:$I$2301,"n/a",0,1)</f>
        <v>13994.73537893</v>
      </c>
      <c r="L195">
        <f>_xlfn.XLOOKUP($F195,設計座標!$E$13:$E$2301,設計座標!$J$13:$J$2301,"n/a",0,1)</f>
        <v>-270</v>
      </c>
      <c r="M195" s="2">
        <f t="shared" si="138"/>
        <v>0.18852714341099924</v>
      </c>
      <c r="N195" s="2">
        <f t="shared" si="139"/>
        <v>13994.73537893</v>
      </c>
      <c r="O195" s="23">
        <f t="shared" si="140"/>
        <v>-268.94400520318555</v>
      </c>
      <c r="P195" s="1">
        <f t="shared" si="131"/>
        <v>-270.11041689109095</v>
      </c>
      <c r="Q195" s="1">
        <f t="shared" si="165"/>
        <v>0.18852714341099924</v>
      </c>
      <c r="R195">
        <f t="shared" si="153"/>
        <v>0</v>
      </c>
      <c r="S195" s="23">
        <f t="shared" si="164"/>
        <v>1.0559947968144623</v>
      </c>
      <c r="T195">
        <f>$S195+測地線補正!$Q$3*(lattice!$N195/1000)^3+測地線補正!$P$3*(lattice!$N195/1000)^2+測地線補正!$O$3*(lattice!$N195/1000)+測地線補正!$N$3</f>
        <v>-0.11041689109097294</v>
      </c>
      <c r="U195">
        <f t="shared" ref="U195:U196" si="168">ATAN(($P$196-$P$192)/ABS($N$196-$N$192))</f>
        <v>1.9310748627249442E-5</v>
      </c>
      <c r="V195">
        <v>0</v>
      </c>
      <c r="W195">
        <f t="shared" ref="W195:W196" si="169">-ATAN(($M$196-$M$192)/ABS($N$196-$N$192))</f>
        <v>1.1573921824775676E-5</v>
      </c>
      <c r="X195" t="s">
        <v>3860</v>
      </c>
      <c r="Y195">
        <f>_xlfn.XLOOKUP($F195,設計座標!$E$13:$E$2301,設計座標!$L$13:$L$2301," ",0,1)</f>
        <v>1889.4492</v>
      </c>
      <c r="Z195">
        <f>SQRT(($M$195-$M$193)^2+($N$195-$N$193)^2)</f>
        <v>311.22450002084543</v>
      </c>
    </row>
    <row r="196" spans="1:28">
      <c r="A196" t="s">
        <v>797</v>
      </c>
      <c r="B196" t="s">
        <v>3810</v>
      </c>
      <c r="C196" t="s">
        <v>804</v>
      </c>
      <c r="D196" t="s">
        <v>1152</v>
      </c>
      <c r="E196" t="s">
        <v>804</v>
      </c>
      <c r="F196" t="s">
        <v>1413</v>
      </c>
      <c r="G196" t="s">
        <v>2386</v>
      </c>
      <c r="I196">
        <f>_xlfn.XLOOKUP($F196,設計座標!$E$13:$E$2301,設計座標!$G$13:$G$2301,"n/a",0,1)</f>
        <v>22.34151357931</v>
      </c>
      <c r="J196">
        <f>_xlfn.XLOOKUP($F196,設計座標!$E$13:$E$2301,設計座標!$H$13:$H$2301,"n/a",0,1)</f>
        <v>0</v>
      </c>
      <c r="K196">
        <f>_xlfn.XLOOKUP($F196,設計座標!$E$13:$E$2301,設計座標!$I$13:$I$2301,"n/a",0,1)</f>
        <v>14939.459978929999</v>
      </c>
      <c r="L196">
        <f>_xlfn.XLOOKUP($F196,設計座標!$E$13:$E$2301,設計座標!$J$13:$J$2301,"n/a",0,1)</f>
        <v>-270</v>
      </c>
      <c r="M196" s="2">
        <f t="shared" si="138"/>
        <v>0.17759297474416855</v>
      </c>
      <c r="N196" s="2">
        <f t="shared" si="139"/>
        <v>14939.459978929999</v>
      </c>
      <c r="O196" s="23">
        <f t="shared" si="140"/>
        <v>-268.85119668404104</v>
      </c>
      <c r="P196" s="1">
        <f t="shared" si="131"/>
        <v>-270.09181937666591</v>
      </c>
      <c r="Q196" s="1">
        <f t="shared" si="165"/>
        <v>0.17759297474416855</v>
      </c>
      <c r="R196">
        <f t="shared" si="153"/>
        <v>0</v>
      </c>
      <c r="S196" s="23">
        <f t="shared" si="164"/>
        <v>1.148803315958945</v>
      </c>
      <c r="T196">
        <f>$S196+測地線補正!$Q$3*(lattice!$N196/1000)^3+測地線補正!$P$3*(lattice!$N196/1000)^2+測地線補正!$O$3*(lattice!$N196/1000)+測地線補正!$N$3</f>
        <v>-9.1819376665904423E-2</v>
      </c>
      <c r="U196">
        <f t="shared" si="168"/>
        <v>1.9310748627249442E-5</v>
      </c>
      <c r="V196">
        <v>0</v>
      </c>
      <c r="W196">
        <f t="shared" si="169"/>
        <v>1.1573921824775676E-5</v>
      </c>
      <c r="X196" t="s">
        <v>3860</v>
      </c>
      <c r="Y196">
        <f>_xlfn.XLOOKUP($F196,設計座標!$E$13:$E$2301,設計座標!$L$13:$L$2301," ",0,1)</f>
        <v>1889.4492</v>
      </c>
      <c r="Z196">
        <f>SQRT(($M$195-$M$193)^2+($N$195-$N$193)^2)</f>
        <v>311.22450002084543</v>
      </c>
    </row>
    <row r="197" spans="1:28">
      <c r="A197" t="s">
        <v>797</v>
      </c>
      <c r="B197" t="s">
        <v>3810</v>
      </c>
      <c r="C197" t="s">
        <v>804</v>
      </c>
      <c r="D197" t="s">
        <v>1152</v>
      </c>
      <c r="E197" t="s">
        <v>804</v>
      </c>
      <c r="F197" t="s">
        <v>1414</v>
      </c>
      <c r="G197" t="s">
        <v>2387</v>
      </c>
      <c r="I197">
        <f>_xlfn.XLOOKUP($F197,設計座標!$E$13:$E$2301,設計座標!$G$13:$G$2301,"n/a",0,1)</f>
        <v>24.414659579310001</v>
      </c>
      <c r="J197">
        <f>_xlfn.XLOOKUP($F197,設計座標!$E$13:$E$2301,設計座標!$H$13:$H$2301,"n/a",0,1)</f>
        <v>0</v>
      </c>
      <c r="K197">
        <f>_xlfn.XLOOKUP($F197,設計座標!$E$13:$E$2301,設計座標!$I$13:$I$2301,"n/a",0,1)</f>
        <v>15123.156778930001</v>
      </c>
      <c r="L197">
        <f>_xlfn.XLOOKUP($F197,設計座標!$E$13:$E$2301,設計座標!$J$13:$J$2301,"n/a",0,1)</f>
        <v>-270</v>
      </c>
      <c r="M197" s="2">
        <f t="shared" si="138"/>
        <v>0.17546688234141217</v>
      </c>
      <c r="N197" s="2">
        <f t="shared" si="139"/>
        <v>15123.156778930001</v>
      </c>
      <c r="O197" s="23">
        <f t="shared" si="140"/>
        <v>-268.83315054871275</v>
      </c>
      <c r="P197" s="1">
        <f t="shared" si="131"/>
        <v>-270.08812270935044</v>
      </c>
      <c r="Q197" s="1">
        <f t="shared" si="165"/>
        <v>0.17546688234141217</v>
      </c>
      <c r="R197">
        <f t="shared" si="153"/>
        <v>0</v>
      </c>
      <c r="S197" s="23">
        <f t="shared" si="164"/>
        <v>1.1668494512872518</v>
      </c>
      <c r="T197">
        <f>$S197+測地線補正!$Q$3*(lattice!$N197/1000)^3+測地線補正!$P$3*(lattice!$N197/1000)^2+測地線補正!$O$3*(lattice!$N197/1000)+測地線補正!$N$3</f>
        <v>-8.8122709350458045E-2</v>
      </c>
      <c r="U197">
        <f>ATAN(($P$201-$P$197)/ABS($N$201-$N$197))</f>
        <v>2.0902684900461995E-5</v>
      </c>
      <c r="V197">
        <v>0</v>
      </c>
      <c r="W197">
        <f>-ATAN(($M$201-$M$197)/ABS($N$201-$N$197))</f>
        <v>1.157392182477568E-5</v>
      </c>
      <c r="X197">
        <f>SQRT(($M$197-$M$196)^2+($N$197-$N$196)^2)</f>
        <v>183.69680001230515</v>
      </c>
      <c r="Y197">
        <f>_xlfn.XLOOKUP($F197,設計座標!$E$13:$E$2301,設計座標!$L$13:$L$2301," ",0,1)</f>
        <v>1889.4492</v>
      </c>
      <c r="Z197">
        <f>SQRT(($M$200-$M$198)^2+($N$200-$N$198)^2)</f>
        <v>311.22450002084543</v>
      </c>
    </row>
    <row r="198" spans="1:28">
      <c r="A198" t="s">
        <v>797</v>
      </c>
      <c r="B198" t="s">
        <v>3810</v>
      </c>
      <c r="C198" t="s">
        <v>3855</v>
      </c>
      <c r="D198" t="s">
        <v>1152</v>
      </c>
      <c r="E198" t="s">
        <v>804</v>
      </c>
      <c r="F198" t="s">
        <v>2206</v>
      </c>
      <c r="G198" t="s">
        <v>2206</v>
      </c>
      <c r="I198">
        <f>_xlfn.XLOOKUP($F198,設計座標!$E$13:$E$2301,設計座標!$G$13:$G$2301,"n/a",0,1)</f>
        <v>23.158710479309999</v>
      </c>
      <c r="J198">
        <f>_xlfn.XLOOKUP($F198,設計座標!$E$13:$E$2301,設計座標!$H$13:$H$2301,"n/a",0,1)</f>
        <v>0</v>
      </c>
      <c r="K198">
        <f>_xlfn.XLOOKUP($F198,設計座標!$E$13:$E$2301,設計座標!$I$13:$I$2301,"n/a",0,1)</f>
        <v>15756.65687893</v>
      </c>
      <c r="L198">
        <f>_xlfn.XLOOKUP($F198,設計座標!$E$13:$E$2301,設計座標!$J$13:$J$2301,"n/a",0,1)</f>
        <v>-270</v>
      </c>
      <c r="M198" s="2">
        <f t="shared" si="138"/>
        <v>0.16813480170769718</v>
      </c>
      <c r="N198" s="2">
        <f t="shared" si="139"/>
        <v>15756.65687893</v>
      </c>
      <c r="O198" s="23">
        <f t="shared" si="140"/>
        <v>-268.77091632070716</v>
      </c>
      <c r="P198" s="1">
        <f t="shared" si="131"/>
        <v>-270.07517710765183</v>
      </c>
      <c r="Q198" s="1">
        <f t="shared" si="165"/>
        <v>0.16813480170769718</v>
      </c>
      <c r="R198">
        <f t="shared" si="153"/>
        <v>0</v>
      </c>
      <c r="S198" s="23">
        <f t="shared" si="164"/>
        <v>1.2290836792928332</v>
      </c>
      <c r="T198">
        <f>$S198+測地線補正!$Q$3*(lattice!$N198/1000)^3+測地線補正!$P$3*(lattice!$N198/1000)^2+測地線補正!$O$3*(lattice!$N198/1000)+測地線補正!$N$3</f>
        <v>-7.5177107651802938E-2</v>
      </c>
      <c r="U198">
        <f t="shared" ref="U198:U199" si="170">ATAN(($P$201-$P$197)/ABS($N$201-$N$197))</f>
        <v>2.0902684900461995E-5</v>
      </c>
      <c r="V198">
        <v>0</v>
      </c>
      <c r="W198">
        <f t="shared" ref="W198:W199" si="171">-ATAN(($M$201-$M$197)/ABS($N$201-$N$197))</f>
        <v>1.157392182477568E-5</v>
      </c>
      <c r="X198" t="s">
        <v>3860</v>
      </c>
      <c r="Y198">
        <f>_xlfn.XLOOKUP($F198,設計座標!$E$13:$E$2301,設計座標!$L$13:$L$2301," ",0,1)</f>
        <v>1000</v>
      </c>
      <c r="Z198">
        <f>SQRT(($M$198-$M$195)^2+($N$198-$N$195)^2)</f>
        <v>1761.92150011801</v>
      </c>
      <c r="AA198">
        <f>_xlfn.XLOOKUP($G198,magnet_list!$A$2:$A$592,magnet_list!$AJ$2:$AJ$592,"n/a",0,1)</f>
        <v>0.95010000000000006</v>
      </c>
      <c r="AB198">
        <f>_xlfn.XLOOKUP($G198,magnet_list!$A$2:$A$592,magnet_list!$L$2:$L$592,"n/a",0,1)</f>
        <v>120</v>
      </c>
    </row>
    <row r="199" spans="1:28">
      <c r="A199" t="s">
        <v>797</v>
      </c>
      <c r="B199" t="s">
        <v>3810</v>
      </c>
      <c r="C199" t="s">
        <v>3855</v>
      </c>
      <c r="D199" t="s">
        <v>1152</v>
      </c>
      <c r="E199" t="s">
        <v>804</v>
      </c>
      <c r="F199" t="s">
        <v>2207</v>
      </c>
      <c r="G199" t="s">
        <v>2207</v>
      </c>
      <c r="I199">
        <f>_xlfn.XLOOKUP($F199,設計座標!$E$13:$E$2301,設計座標!$G$13:$G$2301,"n/a",0,1)</f>
        <v>23.158710479309999</v>
      </c>
      <c r="J199">
        <f>_xlfn.XLOOKUP($F199,設計座標!$E$13:$E$2301,設計座標!$H$13:$H$2301,"n/a",0,1)</f>
        <v>0</v>
      </c>
      <c r="K199">
        <f>_xlfn.XLOOKUP($F199,設計座標!$E$13:$E$2301,設計座標!$I$13:$I$2301,"n/a",0,1)</f>
        <v>15756.65687893</v>
      </c>
      <c r="L199">
        <f>_xlfn.XLOOKUP($F199,設計座標!$E$13:$E$2301,設計座標!$J$13:$J$2301,"n/a",0,1)</f>
        <v>-270</v>
      </c>
      <c r="M199" s="2">
        <f t="shared" si="138"/>
        <v>0.16813480170769718</v>
      </c>
      <c r="N199" s="2">
        <f t="shared" si="139"/>
        <v>15756.65687893</v>
      </c>
      <c r="O199" s="23">
        <f t="shared" si="140"/>
        <v>-268.77091632070716</v>
      </c>
      <c r="P199" s="1">
        <f t="shared" si="131"/>
        <v>-270.07517710765183</v>
      </c>
      <c r="Q199" s="1">
        <f t="shared" si="165"/>
        <v>0.16813480170769718</v>
      </c>
      <c r="R199">
        <f t="shared" si="153"/>
        <v>0</v>
      </c>
      <c r="S199" s="23">
        <f t="shared" si="164"/>
        <v>1.2290836792928332</v>
      </c>
      <c r="T199">
        <f>$S199+測地線補正!$Q$3*(lattice!$N199/1000)^3+測地線補正!$P$3*(lattice!$N199/1000)^2+測地線補正!$O$3*(lattice!$N199/1000)+測地線補正!$N$3</f>
        <v>-7.5177107651802938E-2</v>
      </c>
      <c r="U199">
        <f t="shared" si="170"/>
        <v>2.0902684900461995E-5</v>
      </c>
      <c r="V199">
        <v>0</v>
      </c>
      <c r="W199">
        <f t="shared" si="171"/>
        <v>1.157392182477568E-5</v>
      </c>
      <c r="X199" t="s">
        <v>3860</v>
      </c>
      <c r="Y199">
        <f>_xlfn.XLOOKUP($F199,設計座標!$E$13:$E$2301,設計座標!$L$13:$L$2301," ",0,1)</f>
        <v>1000</v>
      </c>
      <c r="Z199">
        <f>SQRT(($M$198-$M$195)^2+($N$198-$N$195)^2)</f>
        <v>1761.92150011801</v>
      </c>
      <c r="AA199">
        <f>_xlfn.XLOOKUP($G199,magnet_list!$A$2:$A$592,magnet_list!$AJ$2:$AJ$592,"n/a",0,1)</f>
        <v>0.95010000000000006</v>
      </c>
      <c r="AB199">
        <f>_xlfn.XLOOKUP($G199,magnet_list!$A$2:$A$592,magnet_list!$L$2:$L$592,"n/a",0,1)</f>
        <v>120</v>
      </c>
    </row>
    <row r="200" spans="1:28">
      <c r="A200" t="s">
        <v>797</v>
      </c>
      <c r="B200" t="s">
        <v>3810</v>
      </c>
      <c r="C200" t="s">
        <v>804</v>
      </c>
      <c r="D200" t="s">
        <v>1152</v>
      </c>
      <c r="E200" t="s">
        <v>804</v>
      </c>
      <c r="F200" t="s">
        <v>1223</v>
      </c>
      <c r="G200" t="s">
        <v>2387</v>
      </c>
      <c r="I200">
        <f>_xlfn.XLOOKUP($F200,設計座標!$E$13:$E$2301,設計座標!$G$13:$G$2301,"n/a",0,1)</f>
        <v>23.469934979310001</v>
      </c>
      <c r="J200">
        <f>_xlfn.XLOOKUP($F200,設計座標!$E$13:$E$2301,設計座標!$H$13:$H$2301,"n/a",0,1)</f>
        <v>0</v>
      </c>
      <c r="K200">
        <f>_xlfn.XLOOKUP($F200,設計座標!$E$13:$E$2301,設計座標!$I$13:$I$2301,"n/a",0,1)</f>
        <v>16067.88137893</v>
      </c>
      <c r="L200">
        <f>_xlfn.XLOOKUP($F200,設計座標!$E$13:$E$2301,設計座標!$J$13:$J$2301,"n/a",0,1)</f>
        <v>-270</v>
      </c>
      <c r="M200" s="2">
        <f t="shared" si="138"/>
        <v>0.16453271367458144</v>
      </c>
      <c r="N200" s="2">
        <f t="shared" si="139"/>
        <v>16067.88137893</v>
      </c>
      <c r="O200" s="23">
        <f t="shared" si="140"/>
        <v>-268.74034202956824</v>
      </c>
      <c r="P200" s="1">
        <f t="shared" si="131"/>
        <v>-270.0687065938165</v>
      </c>
      <c r="Q200" s="1">
        <f t="shared" si="165"/>
        <v>0.16453271367458144</v>
      </c>
      <c r="R200">
        <f t="shared" si="153"/>
        <v>0</v>
      </c>
      <c r="S200" s="23">
        <f t="shared" si="164"/>
        <v>1.2596579704317348</v>
      </c>
      <c r="T200">
        <f>$S200+測地線補正!$Q$3*(lattice!$N200/1000)^3+測地線補正!$P$3*(lattice!$N200/1000)^2+測地線補正!$O$3*(lattice!$N200/1000)+測地線補正!$N$3</f>
        <v>-6.8706593816524414E-2</v>
      </c>
      <c r="U200">
        <f t="shared" ref="U200:U201" si="172">ATAN(($P$201-$P$197)/ABS($N$201-$N$197))</f>
        <v>2.0902684900461995E-5</v>
      </c>
      <c r="V200">
        <v>0</v>
      </c>
      <c r="W200">
        <f t="shared" ref="W200:W201" si="173">-ATAN(($M$201-$M$197)/ABS($N$201-$N$197))</f>
        <v>1.157392182477568E-5</v>
      </c>
      <c r="X200" t="s">
        <v>3860</v>
      </c>
      <c r="Y200">
        <f>_xlfn.XLOOKUP($F200,設計座標!$E$13:$E$2301,設計座標!$L$13:$L$2301," ",0,1)</f>
        <v>1889.4492</v>
      </c>
      <c r="Z200">
        <f>SQRT(($M$200-$M$198)^2+($N$200-$N$198)^2)</f>
        <v>311.22450002084543</v>
      </c>
    </row>
    <row r="201" spans="1:28">
      <c r="A201" t="s">
        <v>797</v>
      </c>
      <c r="B201" t="s">
        <v>3810</v>
      </c>
      <c r="C201" t="s">
        <v>804</v>
      </c>
      <c r="D201" t="s">
        <v>1152</v>
      </c>
      <c r="E201" t="s">
        <v>804</v>
      </c>
      <c r="F201" t="s">
        <v>1415</v>
      </c>
      <c r="G201" t="s">
        <v>2387</v>
      </c>
      <c r="I201">
        <f>_xlfn.XLOOKUP($F201,設計座標!$E$13:$E$2301,設計座標!$G$13:$G$2301,"n/a",0,1)</f>
        <v>24.414659579310001</v>
      </c>
      <c r="J201">
        <f>_xlfn.XLOOKUP($F201,設計座標!$E$13:$E$2301,設計座標!$H$13:$H$2301,"n/a",0,1)</f>
        <v>0</v>
      </c>
      <c r="K201">
        <f>_xlfn.XLOOKUP($F201,設計座標!$E$13:$E$2301,設計座標!$I$13:$I$2301,"n/a",0,1)</f>
        <v>17012.605978930002</v>
      </c>
      <c r="L201">
        <f>_xlfn.XLOOKUP($F201,設計座標!$E$13:$E$2301,設計座標!$J$13:$J$2301,"n/a",0,1)</f>
        <v>-270</v>
      </c>
      <c r="M201" s="2">
        <f t="shared" si="138"/>
        <v>0.15359854500775075</v>
      </c>
      <c r="N201" s="2">
        <f t="shared" si="139"/>
        <v>17012.605978930002</v>
      </c>
      <c r="O201" s="23">
        <f t="shared" si="140"/>
        <v>-268.64753351042378</v>
      </c>
      <c r="P201" s="1">
        <f t="shared" si="131"/>
        <v>-270.04862814808166</v>
      </c>
      <c r="Q201" s="1">
        <f t="shared" si="165"/>
        <v>0.15359854500775075</v>
      </c>
      <c r="R201">
        <f t="shared" si="153"/>
        <v>0</v>
      </c>
      <c r="S201" s="23">
        <f t="shared" si="164"/>
        <v>1.3524664895762177</v>
      </c>
      <c r="T201">
        <f>$S201+測地線補正!$Q$3*(lattice!$N201/1000)^3+測地線補正!$P$3*(lattice!$N201/1000)^2+測地線補正!$O$3*(lattice!$N201/1000)+測地線補正!$N$3</f>
        <v>-4.8628148081677564E-2</v>
      </c>
      <c r="U201">
        <f t="shared" si="172"/>
        <v>2.0902684900461995E-5</v>
      </c>
      <c r="V201">
        <v>0</v>
      </c>
      <c r="W201">
        <f t="shared" si="173"/>
        <v>1.157392182477568E-5</v>
      </c>
      <c r="X201" t="s">
        <v>3860</v>
      </c>
      <c r="Y201">
        <f>_xlfn.XLOOKUP($F201,設計座標!$E$13:$E$2301,設計座標!$L$13:$L$2301," ",0,1)</f>
        <v>1889.4492</v>
      </c>
      <c r="Z201">
        <f>SQRT(($M$200-$M$198)^2+($N$200-$N$198)^2)</f>
        <v>311.22450002084543</v>
      </c>
    </row>
    <row r="202" spans="1:28">
      <c r="A202" t="s">
        <v>797</v>
      </c>
      <c r="B202" t="s">
        <v>3810</v>
      </c>
      <c r="C202" t="s">
        <v>1152</v>
      </c>
      <c r="D202" t="s">
        <v>1152</v>
      </c>
      <c r="E202" t="s">
        <v>804</v>
      </c>
      <c r="F202" t="s">
        <v>1963</v>
      </c>
      <c r="G202" t="s">
        <v>1963</v>
      </c>
      <c r="I202">
        <f>_xlfn.XLOOKUP($F202,設計座標!$E$13:$E$2301,設計座標!$G$13:$G$2301,"n/a",0,1)</f>
        <v>24.548661479310002</v>
      </c>
      <c r="J202">
        <f>_xlfn.XLOOKUP($F202,設計座標!$E$13:$E$2301,設計座標!$H$13:$H$2301,"n/a",0,1)</f>
        <v>0</v>
      </c>
      <c r="K202">
        <f>_xlfn.XLOOKUP($F202,設計座標!$E$13:$E$2301,設計座標!$I$13:$I$2301,"n/a",0,1)</f>
        <v>17146.607878930001</v>
      </c>
      <c r="L202">
        <f>_xlfn.XLOOKUP($F202,設計座標!$E$13:$E$2301,設計座標!$J$13:$J$2301,"n/a",0,1)</f>
        <v>-270</v>
      </c>
      <c r="M202" s="2">
        <f t="shared" si="138"/>
        <v>0.15204761749271009</v>
      </c>
      <c r="N202" s="2">
        <f t="shared" si="139"/>
        <v>17146.607878930001</v>
      </c>
      <c r="O202" s="23">
        <f t="shared" si="140"/>
        <v>-268.63436933760397</v>
      </c>
      <c r="P202" s="1">
        <f t="shared" si="131"/>
        <v>-270.04572775183902</v>
      </c>
      <c r="Q202" s="1">
        <f t="shared" si="165"/>
        <v>0.15204761749271009</v>
      </c>
      <c r="R202">
        <f t="shared" si="153"/>
        <v>0</v>
      </c>
      <c r="S202" s="23">
        <f t="shared" si="164"/>
        <v>1.3656306623960501</v>
      </c>
      <c r="T202">
        <f>$S202+測地線補正!$Q$3*(lattice!$N202/1000)^3+測地線補正!$P$3*(lattice!$N202/1000)^2+測地線補正!$O$3*(lattice!$N202/1000)+測地線補正!$N$3</f>
        <v>-4.5727751839013203E-2</v>
      </c>
      <c r="U202">
        <v>0</v>
      </c>
      <c r="V202">
        <v>0</v>
      </c>
      <c r="W202">
        <v>0</v>
      </c>
      <c r="X202">
        <f>SQRT(($M$202-$M$201)^2+($N$202-$N$201)^2)</f>
        <v>134.00190000897445</v>
      </c>
      <c r="Y202">
        <f>_xlfn.XLOOKUP($F202,設計座標!$E$13:$E$2301,設計座標!$L$13:$L$2301," ",0,1)</f>
        <v>0</v>
      </c>
      <c r="Z202">
        <f>SQRT(($M$202-$M$200)^2+($N$202-$N$200)^2)</f>
        <v>1078.7265000722514</v>
      </c>
    </row>
    <row r="203" spans="1:28">
      <c r="A203" t="s">
        <v>797</v>
      </c>
      <c r="B203" t="s">
        <v>3810</v>
      </c>
      <c r="C203" t="s">
        <v>805</v>
      </c>
      <c r="D203" t="s">
        <v>806</v>
      </c>
      <c r="F203" t="s">
        <v>18</v>
      </c>
      <c r="G203" t="s">
        <v>2389</v>
      </c>
      <c r="I203">
        <f>_xlfn.XLOOKUP($F203,設計座標!$E$13:$E$2301,設計座標!$G$13:$G$2301,"n/a",0,1)</f>
        <v>24.669020637919999</v>
      </c>
      <c r="J203">
        <f>_xlfn.XLOOKUP($F203,設計座標!$E$13:$E$2301,設計座標!$H$13:$H$2301,"n/a",0,1)</f>
        <v>0</v>
      </c>
      <c r="K203">
        <f>_xlfn.XLOOKUP($F203,設計座標!$E$13:$E$2301,設計座標!$I$13:$I$2301,"n/a",0,1)</f>
        <v>17266.967037539998</v>
      </c>
      <c r="L203">
        <f>_xlfn.XLOOKUP($F203,設計座標!$E$13:$E$2301,設計座標!$J$13:$J$2301,"n/a",0,1)</f>
        <v>-70</v>
      </c>
      <c r="M203" s="2">
        <f>_xlfn.XLOOKUP($F203,survey_data!$A$2:$A$833,survey_data!$B$2:$B$833,"n/a",0,1)</f>
        <v>0.15065459</v>
      </c>
      <c r="N203" s="2">
        <f>_xlfn.XLOOKUP($F203,survey_data!$A$2:$A$833,survey_data!$C$2:$C$833,"n/a",0,1)</f>
        <v>17266.967037539998</v>
      </c>
      <c r="O203" s="23">
        <f>_xlfn.XLOOKUP($F203,survey_data!$A$2:$A$833,survey_data!$D$2:$D$833,"n/a",0,1)</f>
        <v>-68.622545410000001</v>
      </c>
      <c r="P203" s="1">
        <f t="shared" si="131"/>
        <v>-70.043111694450502</v>
      </c>
      <c r="Q203" s="1">
        <f t="shared" si="154"/>
        <v>0.15065459</v>
      </c>
      <c r="R203">
        <f t="shared" si="153"/>
        <v>0</v>
      </c>
      <c r="S203" s="23">
        <f t="shared" si="155"/>
        <v>1.3774545899999993</v>
      </c>
      <c r="T203">
        <f>$S203+測地線補正!$Q$3*(lattice!$N203/1000)^3+測地線補正!$P$3*(lattice!$N203/1000)^2+測地線補正!$O$3*(lattice!$N203/1000)+測地線補正!$N$3</f>
        <v>-4.3111694450501531E-2</v>
      </c>
      <c r="U203">
        <f>ATAN(($P$204-$P$203)/ABS($N$204-$N$203))</f>
        <v>-1.9546077286390333E-5</v>
      </c>
      <c r="V203">
        <v>0</v>
      </c>
      <c r="W203">
        <f>-ATAN(($M$204-$M$203)/ABS($N$204-$N$203))</f>
        <v>4.6077338445171573E-4</v>
      </c>
      <c r="X203">
        <f>$Z$204-($Y$204+$Y$202)/2</f>
        <v>100.36209406005472</v>
      </c>
      <c r="Y203">
        <f>_xlfn.XLOOKUP($F203,設計座標!$E$13:$E$2301,設計座標!$L$13:$L$2301," ",0,1)</f>
        <v>100</v>
      </c>
      <c r="Z203">
        <f>SQRT(($M$204-$M$202)^2+($N$204-$N$202)^2)</f>
        <v>150.36209406005472</v>
      </c>
      <c r="AA203">
        <f>_xlfn.XLOOKUP($G203,magnet_list!$A$2:$A$592,magnet_list!$AJ$2:$AJ$592,"n/a",0,1)</f>
        <v>0.121</v>
      </c>
      <c r="AB203">
        <f>_xlfn.XLOOKUP($G203,magnet_list!$A$2:$A$592,magnet_list!$L$2:$L$592,"n/a",0,1)</f>
        <v>44</v>
      </c>
    </row>
    <row r="204" spans="1:28">
      <c r="A204" t="s">
        <v>797</v>
      </c>
      <c r="B204" t="s">
        <v>3810</v>
      </c>
      <c r="C204" t="s">
        <v>805</v>
      </c>
      <c r="D204" t="s">
        <v>1152</v>
      </c>
      <c r="E204" t="s">
        <v>804</v>
      </c>
      <c r="F204" t="s">
        <v>539</v>
      </c>
      <c r="G204" t="s">
        <v>2389</v>
      </c>
      <c r="I204">
        <f>_xlfn.XLOOKUP($F204,設計座標!$E$13:$E$2301,設計座標!$G$13:$G$2301,"n/a",0,1)</f>
        <v>24.699023572599998</v>
      </c>
      <c r="J204">
        <f>_xlfn.XLOOKUP($F204,設計座標!$E$13:$E$2301,設計座標!$H$13:$H$2301,"n/a",0,1)</f>
        <v>0</v>
      </c>
      <c r="K204">
        <f>_xlfn.XLOOKUP($F204,設計座標!$E$13:$E$2301,設計座標!$I$13:$I$2301,"n/a",0,1)</f>
        <v>17296.969972219998</v>
      </c>
      <c r="L204">
        <f>_xlfn.XLOOKUP($F204,設計座標!$E$13:$E$2301,設計座標!$J$13:$J$2301,"n/a",0,1)</f>
        <v>-70</v>
      </c>
      <c r="M204" s="2">
        <f t="shared" si="138"/>
        <v>0.13683003526563908</v>
      </c>
      <c r="N204" s="2">
        <f t="shared" si="139"/>
        <v>17296.969972219998</v>
      </c>
      <c r="O204" s="23">
        <f t="shared" si="140"/>
        <v>-68.620838135160753</v>
      </c>
      <c r="P204" s="1">
        <f t="shared" si="131"/>
        <v>-70.043698134130651</v>
      </c>
      <c r="Q204" s="1">
        <f>(Q$205-Q$203)/($N$205-$N$203)*($N204-$N$203)+Q$203</f>
        <v>0.13683003526563908</v>
      </c>
      <c r="R204">
        <f t="shared" si="153"/>
        <v>0</v>
      </c>
      <c r="S204" s="23">
        <f>(S$205-S$203)/($N$205-$N$203)*($N204-$N$203)+S$203</f>
        <v>1.3791618648392534</v>
      </c>
      <c r="T204">
        <f>$S204+測地線補正!$Q$3*(lattice!$N204/1000)^3+測地線補正!$P$3*(lattice!$N204/1000)^2+測地線補正!$O$3*(lattice!$N204/1000)+測地線補正!$N$3</f>
        <v>-4.3698134130655569E-2</v>
      </c>
      <c r="U204">
        <f>ATAN(($P$204-$P$203)/ABS($N$204-$N$203))</f>
        <v>-1.9546077286390333E-5</v>
      </c>
      <c r="V204">
        <v>0</v>
      </c>
      <c r="W204">
        <f>-ATAN(($M$204-$M$203)/ABS($N$204-$N$203))</f>
        <v>4.6077338445171573E-4</v>
      </c>
      <c r="X204">
        <f>$Z$204-($Y$204+$Y$202)/2</f>
        <v>100.36209406005472</v>
      </c>
      <c r="Y204">
        <f>_xlfn.XLOOKUP($F204,設計座標!$E$13:$E$2301,設計座標!$L$13:$L$2301," ",0,1)</f>
        <v>100</v>
      </c>
      <c r="Z204">
        <f>SQRT(($M$204-$M$202)^2+($N$204-$N$202)^2)</f>
        <v>150.36209406005472</v>
      </c>
      <c r="AA204">
        <f>_xlfn.XLOOKUP($G204,magnet_list!$A$2:$A$592,magnet_list!$AJ$2:$AJ$592,"n/a",0,1)</f>
        <v>0.121</v>
      </c>
      <c r="AB204">
        <f>_xlfn.XLOOKUP($G204,magnet_list!$A$2:$A$592,magnet_list!$L$2:$L$592,"n/a",0,1)</f>
        <v>44</v>
      </c>
    </row>
    <row r="205" spans="1:28">
      <c r="A205" t="s">
        <v>797</v>
      </c>
      <c r="B205" t="s">
        <v>3810</v>
      </c>
      <c r="C205" t="s">
        <v>805</v>
      </c>
      <c r="D205" t="s">
        <v>806</v>
      </c>
      <c r="F205" t="s">
        <v>19</v>
      </c>
      <c r="G205" t="s">
        <v>19</v>
      </c>
      <c r="I205">
        <f>_xlfn.XLOOKUP($F205,設計座標!$E$13:$E$2301,設計座標!$G$13:$G$2301,"n/a",0,1)</f>
        <v>24.879437572599997</v>
      </c>
      <c r="J205">
        <f>_xlfn.XLOOKUP($F205,設計座標!$E$13:$E$2301,設計座標!$H$13:$H$2301,"n/a",0,1)</f>
        <v>0</v>
      </c>
      <c r="K205">
        <f>_xlfn.XLOOKUP($F205,設計座標!$E$13:$E$2301,設計座標!$I$13:$I$2301,"n/a",0,1)</f>
        <v>17477.383972219999</v>
      </c>
      <c r="L205">
        <f>_xlfn.XLOOKUP($F205,設計座標!$E$13:$E$2301,設計座標!$J$13:$J$2301,"n/a",0,1)</f>
        <v>-70</v>
      </c>
      <c r="M205" s="2">
        <f>_xlfn.XLOOKUP($F205,survey_data!$A$2:$A$833,survey_data!$B$2:$B$833,"n/a",0,1)</f>
        <v>5.3700060000000001E-2</v>
      </c>
      <c r="N205" s="2">
        <f>_xlfn.XLOOKUP($F205,survey_data!$A$2:$A$833,survey_data!$C$2:$C$833,"n/a",0,1)</f>
        <v>17477.383972219999</v>
      </c>
      <c r="O205" s="23">
        <f>_xlfn.XLOOKUP($F205,survey_data!$A$2:$A$833,survey_data!$D$2:$D$833,"n/a",0,1)</f>
        <v>-68.610571930000006</v>
      </c>
      <c r="P205" s="1">
        <f t="shared" si="131"/>
        <v>-70.047211038118732</v>
      </c>
      <c r="Q205" s="1">
        <f t="shared" si="154"/>
        <v>5.3700060000000001E-2</v>
      </c>
      <c r="R205">
        <f t="shared" si="153"/>
        <v>0</v>
      </c>
      <c r="S205" s="23">
        <f t="shared" si="155"/>
        <v>1.3894280699999939</v>
      </c>
      <c r="T205">
        <f>$S205+測地線補正!$Q$3*(lattice!$N205/1000)^3+測地線補正!$P$3*(lattice!$N205/1000)^2+測地線補正!$O$3*(lattice!$N205/1000)+測地線補正!$N$3</f>
        <v>-4.7211038118737919E-2</v>
      </c>
      <c r="U205">
        <f>ATAN(($P$206-$P$205)/ABS($N$206-$N$205))</f>
        <v>8.460139970349715E-6</v>
      </c>
      <c r="V205">
        <v>0</v>
      </c>
      <c r="W205">
        <f>-ATAN(($M$206-$M$205)/ABS($N$206-$N$205))</f>
        <v>-1.1109660538826725E-4</v>
      </c>
      <c r="X205">
        <f>$Z$206-($Y$206+$Y$204)/2</f>
        <v>110.41203836312326</v>
      </c>
      <c r="Y205">
        <f>_xlfn.XLOOKUP($F205,設計座標!$E$13:$E$2301,設計座標!$L$13:$L$2301," ",0,1)</f>
        <v>200</v>
      </c>
      <c r="Z205">
        <f>SQRT(($M$206-$M$204)^2+($N$206-$N$204)^2)</f>
        <v>260.41203836312326</v>
      </c>
      <c r="AA205">
        <f>_xlfn.XLOOKUP($G205,magnet_list!$A$2:$A$592,magnet_list!$AJ$2:$AJ$592,"n/a",0,1)</f>
        <v>0.222</v>
      </c>
      <c r="AB205">
        <f>_xlfn.XLOOKUP($G205,magnet_list!$A$2:$A$592,magnet_list!$L$2:$L$592,"n/a",0,1)</f>
        <v>44</v>
      </c>
    </row>
    <row r="206" spans="1:28">
      <c r="A206" t="s">
        <v>797</v>
      </c>
      <c r="B206" t="s">
        <v>3810</v>
      </c>
      <c r="C206" t="s">
        <v>805</v>
      </c>
      <c r="D206" t="s">
        <v>1152</v>
      </c>
      <c r="E206" t="s">
        <v>804</v>
      </c>
      <c r="F206" t="s">
        <v>540</v>
      </c>
      <c r="G206" t="s">
        <v>19</v>
      </c>
      <c r="I206">
        <f>_xlfn.XLOOKUP($F206,設計座標!$E$13:$E$2301,設計座標!$G$13:$G$2301,"n/a",0,1)</f>
        <v>24.959435600380001</v>
      </c>
      <c r="J206">
        <f>_xlfn.XLOOKUP($F206,設計座標!$E$13:$E$2301,設計座標!$H$13:$H$2301,"n/a",0,1)</f>
        <v>0</v>
      </c>
      <c r="K206">
        <f>_xlfn.XLOOKUP($F206,設計座標!$E$13:$E$2301,設計座標!$I$13:$I$2301,"n/a",0,1)</f>
        <v>17557.382000000001</v>
      </c>
      <c r="L206">
        <f>_xlfn.XLOOKUP($F206,設計座標!$E$13:$E$2301,設計座標!$J$13:$J$2301,"n/a",0,1)</f>
        <v>-70</v>
      </c>
      <c r="M206" s="2">
        <f t="shared" si="138"/>
        <v>6.2587569360679121E-2</v>
      </c>
      <c r="N206" s="2">
        <f t="shared" si="139"/>
        <v>17557.382000000001</v>
      </c>
      <c r="O206" s="23">
        <f t="shared" si="140"/>
        <v>-68.603792664016268</v>
      </c>
      <c r="P206" s="1">
        <f t="shared" si="131"/>
        <v>-70.046534243606345</v>
      </c>
      <c r="Q206" s="1">
        <f>(Q$208-Q$205)/($N$208-$N$205)*($N206-$N$205)+Q$205</f>
        <v>6.2587569360679121E-2</v>
      </c>
      <c r="R206">
        <f t="shared" si="153"/>
        <v>0</v>
      </c>
      <c r="S206" s="23">
        <f t="shared" ref="S206:S207" si="174">(S$208-S$205)/($N$208-$N$205)*($N206-$N$205)+S$205</f>
        <v>1.3962073359837324</v>
      </c>
      <c r="T206">
        <f>$S206+測地線補正!$Q$3*(lattice!$N206/1000)^3+測地線補正!$P$3*(lattice!$N206/1000)^2+測地線補正!$O$3*(lattice!$N206/1000)+測地線補正!$N$3</f>
        <v>-4.6534243606348585E-2</v>
      </c>
      <c r="U206">
        <f>ATAN(($P$206-$P$205)/ABS($N$206-$N$205))</f>
        <v>8.460139970349715E-6</v>
      </c>
      <c r="V206">
        <v>0</v>
      </c>
      <c r="W206">
        <f>-ATAN(($M$206-$M$205)/ABS($N$206-$N$205))</f>
        <v>-1.1109660538826725E-4</v>
      </c>
      <c r="X206">
        <f>$Z$206-($Y$206+$Y$204)/2</f>
        <v>110.41203836312326</v>
      </c>
      <c r="Y206">
        <f>_xlfn.XLOOKUP($F206,設計座標!$E$13:$E$2301,設計座標!$L$13:$L$2301," ",0,1)</f>
        <v>200</v>
      </c>
      <c r="Z206">
        <f>SQRT(($M$206-$M$204)^2+($N$206-$N$204)^2)</f>
        <v>260.41203836312326</v>
      </c>
      <c r="AA206">
        <f>_xlfn.XLOOKUP($G206,magnet_list!$A$2:$A$592,magnet_list!$AJ$2:$AJ$592,"n/a",0,1)</f>
        <v>0.222</v>
      </c>
      <c r="AB206">
        <f>_xlfn.XLOOKUP($G206,magnet_list!$A$2:$A$592,magnet_list!$L$2:$L$592,"n/a",0,1)</f>
        <v>44</v>
      </c>
    </row>
    <row r="207" spans="1:28">
      <c r="A207" t="s">
        <v>797</v>
      </c>
      <c r="B207" t="s">
        <v>3810</v>
      </c>
      <c r="C207" t="s">
        <v>805</v>
      </c>
      <c r="D207" t="s">
        <v>1152</v>
      </c>
      <c r="E207" t="s">
        <v>804</v>
      </c>
      <c r="F207" t="s">
        <v>541</v>
      </c>
      <c r="G207" t="s">
        <v>2389</v>
      </c>
      <c r="I207">
        <f>_xlfn.XLOOKUP($F207,設計座標!$E$13:$E$2301,設計座標!$G$13:$G$2301,"n/a",0,1)</f>
        <v>25.21944986674</v>
      </c>
      <c r="J207">
        <f>_xlfn.XLOOKUP($F207,設計座標!$E$13:$E$2301,設計座標!$H$13:$H$2301,"n/a",0,1)</f>
        <v>0</v>
      </c>
      <c r="K207">
        <f>_xlfn.XLOOKUP($F207,設計座標!$E$13:$E$2301,設計座標!$I$13:$I$2301,"n/a",0,1)</f>
        <v>17817.39626636</v>
      </c>
      <c r="L207">
        <f>_xlfn.XLOOKUP($F207,設計座標!$E$13:$E$2301,設計座標!$J$13:$J$2301,"n/a",0,1)</f>
        <v>-70</v>
      </c>
      <c r="M207" s="2">
        <f t="shared" si="138"/>
        <v>9.1474271824639936E-2</v>
      </c>
      <c r="N207" s="2">
        <f t="shared" si="139"/>
        <v>17817.39626636</v>
      </c>
      <c r="O207" s="23">
        <f t="shared" si="140"/>
        <v>-68.581758297418276</v>
      </c>
      <c r="P207" s="1">
        <f t="shared" si="131"/>
        <v>-70.044303386164955</v>
      </c>
      <c r="Q207" s="1">
        <f>(Q$208-Q$205)/($N$208-$N$205)*($N207-$N$205)+Q$205</f>
        <v>9.1474271824639936E-2</v>
      </c>
      <c r="R207">
        <f t="shared" si="153"/>
        <v>0</v>
      </c>
      <c r="S207" s="23">
        <f t="shared" si="174"/>
        <v>1.418241702581726</v>
      </c>
      <c r="T207">
        <f>$S207+測地線補正!$Q$3*(lattice!$N207/1000)^3+測地線補正!$P$3*(lattice!$N207/1000)^2+測地線補正!$O$3*(lattice!$N207/1000)+測地線補正!$N$3</f>
        <v>-4.4303386164952968E-2</v>
      </c>
      <c r="U207">
        <f>ATAN(($P$208-$P$207)/ABS($N$208-$N$207))</f>
        <v>8.6813271037251135E-6</v>
      </c>
      <c r="V207">
        <v>0</v>
      </c>
      <c r="W207">
        <f>-ATAN(($M$208-$M$207)/ABS($N$208-$N$207))</f>
        <v>-1.1109660538826703E-4</v>
      </c>
      <c r="X207">
        <f>$Z$207-($Y$207+$Y$206)/2</f>
        <v>110.01426796460544</v>
      </c>
      <c r="Y207">
        <f>_xlfn.XLOOKUP($F207,設計座標!$E$13:$E$2301,設計座標!$L$13:$L$2301," ",0,1)</f>
        <v>100</v>
      </c>
      <c r="Z207">
        <f>SQRT(($M$207-$M$206)^2+($N$207-$N$206)^2)</f>
        <v>260.01426796460544</v>
      </c>
      <c r="AA207">
        <f>_xlfn.XLOOKUP($G207,magnet_list!$A$2:$A$592,magnet_list!$AJ$2:$AJ$592,"n/a",0,1)</f>
        <v>0.121</v>
      </c>
      <c r="AB207">
        <f>_xlfn.XLOOKUP($G207,magnet_list!$A$2:$A$592,magnet_list!$L$2:$L$592,"n/a",0,1)</f>
        <v>44</v>
      </c>
    </row>
    <row r="208" spans="1:28">
      <c r="A208" t="s">
        <v>797</v>
      </c>
      <c r="B208" t="s">
        <v>3810</v>
      </c>
      <c r="C208" t="s">
        <v>805</v>
      </c>
      <c r="D208" t="s">
        <v>806</v>
      </c>
      <c r="F208" t="s">
        <v>20</v>
      </c>
      <c r="G208" t="s">
        <v>2389</v>
      </c>
      <c r="I208">
        <f>_xlfn.XLOOKUP($F208,設計座標!$E$13:$E$2301,設計座標!$G$13:$G$2301,"n/a",0,1)</f>
        <v>25.249449866740001</v>
      </c>
      <c r="J208">
        <f>_xlfn.XLOOKUP($F208,設計座標!$E$13:$E$2301,設計座標!$H$13:$H$2301,"n/a",0,1)</f>
        <v>0</v>
      </c>
      <c r="K208">
        <f>_xlfn.XLOOKUP($F208,設計座標!$E$13:$E$2301,設計座標!$I$13:$I$2301,"n/a",0,1)</f>
        <v>17847.39626636</v>
      </c>
      <c r="L208">
        <f>_xlfn.XLOOKUP($F208,設計座標!$E$13:$E$2301,設計座標!$J$13:$J$2301,"n/a",0,1)</f>
        <v>-70</v>
      </c>
      <c r="M208" s="2">
        <f>_xlfn.XLOOKUP($F208,survey_data!$A$2:$A$833,survey_data!$B$2:$B$833,"n/a",0,1)</f>
        <v>9.4807169999999996E-2</v>
      </c>
      <c r="N208" s="2">
        <f>_xlfn.XLOOKUP($F208,survey_data!$A$2:$A$833,survey_data!$C$2:$C$833,"n/a",0,1)</f>
        <v>17847.39626636</v>
      </c>
      <c r="O208" s="23">
        <f>_xlfn.XLOOKUP($F208,survey_data!$A$2:$A$833,survey_data!$D$2:$D$833,"n/a",0,1)</f>
        <v>-68.579216009999996</v>
      </c>
      <c r="P208" s="1">
        <f t="shared" si="131"/>
        <v>-70.044042946351837</v>
      </c>
      <c r="Q208" s="1">
        <f t="shared" si="154"/>
        <v>9.4807169999999996E-2</v>
      </c>
      <c r="R208">
        <f t="shared" si="153"/>
        <v>0</v>
      </c>
      <c r="S208" s="23">
        <f t="shared" si="155"/>
        <v>1.4207839900000039</v>
      </c>
      <c r="T208">
        <f>$S208+測地線補正!$Q$3*(lattice!$N208/1000)^3+測地線補正!$P$3*(lattice!$N208/1000)^2+測地線補正!$O$3*(lattice!$N208/1000)+測地線補正!$N$3</f>
        <v>-4.4042946351838669E-2</v>
      </c>
      <c r="U208">
        <f>ATAN(($P$208-$P$207)/ABS($N$208-$N$207))</f>
        <v>8.6813271037251135E-6</v>
      </c>
      <c r="V208">
        <v>0</v>
      </c>
      <c r="W208">
        <f>-ATAN(($M$208-$M$207)/ABS($N$208-$N$207))</f>
        <v>-1.1109660538826703E-4</v>
      </c>
      <c r="X208">
        <f>$Z$207-($Y$207+$Y$206)/2</f>
        <v>110.01426796460544</v>
      </c>
      <c r="Y208">
        <f>_xlfn.XLOOKUP($F208,設計座標!$E$13:$E$2301,設計座標!$L$13:$L$2301," ",0,1)</f>
        <v>100</v>
      </c>
      <c r="Z208">
        <f>SQRT(($M$207-$M$206)^2+($N$207-$N$206)^2)</f>
        <v>260.01426796460544</v>
      </c>
      <c r="AA208">
        <f>_xlfn.XLOOKUP($G208,magnet_list!$A$2:$A$592,magnet_list!$AJ$2:$AJ$592,"n/a",0,1)</f>
        <v>0.121</v>
      </c>
      <c r="AB208">
        <f>_xlfn.XLOOKUP($G208,magnet_list!$A$2:$A$592,magnet_list!$L$2:$L$592,"n/a",0,1)</f>
        <v>44</v>
      </c>
    </row>
    <row r="209" spans="1:28">
      <c r="A209" t="s">
        <v>797</v>
      </c>
      <c r="B209" t="s">
        <v>3810</v>
      </c>
      <c r="C209" t="s">
        <v>1152</v>
      </c>
      <c r="D209" t="s">
        <v>1152</v>
      </c>
      <c r="E209" t="s">
        <v>804</v>
      </c>
      <c r="F209" t="s">
        <v>1964</v>
      </c>
      <c r="G209" t="s">
        <v>1964</v>
      </c>
      <c r="I209">
        <f>_xlfn.XLOOKUP($F209,設計座標!$E$13:$E$2301,設計座標!$G$13:$G$2301,"n/a",0,1)</f>
        <v>25.487807479310003</v>
      </c>
      <c r="J209">
        <f>_xlfn.XLOOKUP($F209,設計座標!$E$13:$E$2301,設計座標!$H$13:$H$2301,"n/a",0,1)</f>
        <v>0</v>
      </c>
      <c r="K209">
        <f>_xlfn.XLOOKUP($F209,設計座標!$E$13:$E$2301,設計座標!$I$13:$I$2301,"n/a",0,1)</f>
        <v>18085.753878930002</v>
      </c>
      <c r="L209">
        <f>_xlfn.XLOOKUP($F209,設計座標!$E$13:$E$2301,設計座標!$J$13:$J$2301,"n/a",0,1)</f>
        <v>-270</v>
      </c>
      <c r="M209" s="2">
        <f t="shared" si="138"/>
        <v>9.1144647680716062E-2</v>
      </c>
      <c r="N209" s="2">
        <f t="shared" si="139"/>
        <v>18085.753878930002</v>
      </c>
      <c r="O209" s="23">
        <f t="shared" si="140"/>
        <v>-268.56548958742394</v>
      </c>
      <c r="P209" s="1">
        <f t="shared" si="131"/>
        <v>-270.0484241184742</v>
      </c>
      <c r="Q209" s="1">
        <f>(Q$221-Q$208)/($N$221-$N$208)*($N209-$N$208)+Q$208</f>
        <v>9.1144647680716062E-2</v>
      </c>
      <c r="R209">
        <f t="shared" si="153"/>
        <v>0</v>
      </c>
      <c r="S209" s="23">
        <f t="shared" ref="S209:S220" si="175">(S$221-S$208)/($N$221-$N$208)*($N209-$N$208)+S$208</f>
        <v>1.4345104125760371</v>
      </c>
      <c r="T209">
        <f>$S209+測地線補正!$Q$3*(lattice!$N209/1000)^3+測地線補正!$P$3*(lattice!$N209/1000)^2+測地線補正!$O$3*(lattice!$N209/1000)+測地線補正!$N$3</f>
        <v>-4.8424118474181016E-2</v>
      </c>
      <c r="U209">
        <v>0</v>
      </c>
      <c r="V209">
        <v>0</v>
      </c>
      <c r="W209">
        <v>0</v>
      </c>
      <c r="X209">
        <f>$Z$209-($Y$209+$Y$207)/2</f>
        <v>218.35761257020442</v>
      </c>
      <c r="Y209">
        <f>_xlfn.XLOOKUP($F209,設計座標!$E$13:$E$2301,設計座標!$L$13:$L$2301," ",0,1)</f>
        <v>0</v>
      </c>
      <c r="Z209">
        <f>SQRT(($M$209-$M$207)^2+($N$209-$N$207)^2)</f>
        <v>268.35761257020442</v>
      </c>
    </row>
    <row r="210" spans="1:28">
      <c r="A210" t="s">
        <v>797</v>
      </c>
      <c r="B210" t="s">
        <v>3810</v>
      </c>
      <c r="C210" t="s">
        <v>804</v>
      </c>
      <c r="D210" t="s">
        <v>1152</v>
      </c>
      <c r="E210" t="s">
        <v>804</v>
      </c>
      <c r="F210" t="s">
        <v>1416</v>
      </c>
      <c r="G210" t="s">
        <v>2390</v>
      </c>
      <c r="I210">
        <f>_xlfn.XLOOKUP($F210,設計座標!$E$13:$E$2301,設計座標!$G$13:$G$2301,"n/a",0,1)</f>
        <v>25.621807379310003</v>
      </c>
      <c r="J210">
        <f>_xlfn.XLOOKUP($F210,設計座標!$E$13:$E$2301,設計座標!$H$13:$H$2301,"n/a",0,1)</f>
        <v>0</v>
      </c>
      <c r="K210">
        <f>_xlfn.XLOOKUP($F210,設計座標!$E$13:$E$2301,設計座標!$I$13:$I$2301,"n/a",0,1)</f>
        <v>18219.75377893</v>
      </c>
      <c r="L210">
        <f>_xlfn.XLOOKUP($F210,設計座標!$E$13:$E$2301,設計座標!$J$13:$J$2301,"n/a",0,1)</f>
        <v>-270</v>
      </c>
      <c r="M210" s="2">
        <f t="shared" si="138"/>
        <v>8.9085650616430229E-2</v>
      </c>
      <c r="N210" s="2">
        <f t="shared" si="139"/>
        <v>18219.75377893</v>
      </c>
      <c r="O210" s="23">
        <f t="shared" si="140"/>
        <v>-268.55777286618013</v>
      </c>
      <c r="P210" s="1">
        <f t="shared" ref="P210:P273" si="176">$L210+$T210</f>
        <v>-270.05086984270849</v>
      </c>
      <c r="Q210" s="1">
        <f t="shared" ref="Q210:Q220" si="177">(Q$221-Q$208)/($N$221-$N$208)*($N210-$N$208)+Q$208</f>
        <v>8.9085650616430229E-2</v>
      </c>
      <c r="R210">
        <f t="shared" si="153"/>
        <v>0</v>
      </c>
      <c r="S210" s="23">
        <f t="shared" si="175"/>
        <v>1.4422271338198613</v>
      </c>
      <c r="T210">
        <f>$S210+測地線補正!$Q$3*(lattice!$N210/1000)^3+測地線補正!$P$3*(lattice!$N210/1000)^2+測地線補正!$O$3*(lattice!$N210/1000)+測地線補正!$N$3</f>
        <v>-5.0869842708517105E-2</v>
      </c>
      <c r="U210">
        <f>ATAN(($P$214-$P$210)/ABS($N$214-$N$210))</f>
        <v>-1.7569756132101336E-5</v>
      </c>
      <c r="V210">
        <v>0</v>
      </c>
      <c r="W210">
        <f>-ATAN(($M$214-$M$210)/ABS($N$214-$N$210))</f>
        <v>1.5365661199178467E-5</v>
      </c>
      <c r="X210">
        <f>SQRT(($M$210-$M$209)^2+($N$210-$N$209)^2)</f>
        <v>133.99990001581781</v>
      </c>
      <c r="Y210">
        <f>_xlfn.XLOOKUP($F210,設計座標!$E$13:$E$2301,設計座標!$L$13:$L$2301," ",0,1)</f>
        <v>1889.4492</v>
      </c>
      <c r="Z210">
        <f>SQRT(($M$213-$M$211)^2+($N$213-$N$211)^2)</f>
        <v>311.22450003674089</v>
      </c>
    </row>
    <row r="211" spans="1:28">
      <c r="A211" t="s">
        <v>797</v>
      </c>
      <c r="B211" t="s">
        <v>3810</v>
      </c>
      <c r="C211" t="s">
        <v>3855</v>
      </c>
      <c r="D211" t="s">
        <v>1152</v>
      </c>
      <c r="E211" t="s">
        <v>804</v>
      </c>
      <c r="F211" t="s">
        <v>2208</v>
      </c>
      <c r="G211" t="s">
        <v>2208</v>
      </c>
      <c r="I211">
        <f>_xlfn.XLOOKUP($F211,設計座標!$E$13:$E$2301,設計座標!$G$13:$G$2301,"n/a",0,1)</f>
        <v>26.255307479310002</v>
      </c>
      <c r="J211">
        <f>_xlfn.XLOOKUP($F211,設計座標!$E$13:$E$2301,設計座標!$H$13:$H$2301,"n/a",0,1)</f>
        <v>0</v>
      </c>
      <c r="K211">
        <f>_xlfn.XLOOKUP($F211,設計座標!$E$13:$E$2301,設計座標!$I$13:$I$2301,"n/a",0,1)</f>
        <v>18853.253878930002</v>
      </c>
      <c r="L211">
        <f>_xlfn.XLOOKUP($F211,設計座標!$E$13:$E$2301,設計座標!$J$13:$J$2301,"n/a",0,1)</f>
        <v>-270</v>
      </c>
      <c r="M211" s="2">
        <f t="shared" si="138"/>
        <v>7.9351502709418445E-2</v>
      </c>
      <c r="N211" s="2">
        <f t="shared" si="139"/>
        <v>18853.253878930002</v>
      </c>
      <c r="O211" s="23">
        <f t="shared" si="140"/>
        <v>-268.521291169704</v>
      </c>
      <c r="P211" s="1">
        <f t="shared" si="176"/>
        <v>-270.06226589682745</v>
      </c>
      <c r="Q211" s="1">
        <f t="shared" si="177"/>
        <v>7.9351502709418445E-2</v>
      </c>
      <c r="R211">
        <f t="shared" si="153"/>
        <v>0</v>
      </c>
      <c r="S211" s="23">
        <f t="shared" si="175"/>
        <v>1.4787088302960143</v>
      </c>
      <c r="T211">
        <f>$S211+測地線補正!$Q$3*(lattice!$N211/1000)^3+測地線補正!$P$3*(lattice!$N211/1000)^2+測地線補正!$O$3*(lattice!$N211/1000)+測地線補正!$N$3</f>
        <v>-6.2265896827477712E-2</v>
      </c>
      <c r="U211">
        <f t="shared" ref="U211:U212" si="178">ATAN(($P$214-$P$210)/ABS($N$214-$N$210))</f>
        <v>-1.7569756132101336E-5</v>
      </c>
      <c r="V211">
        <v>0</v>
      </c>
      <c r="W211">
        <f t="shared" ref="W211:W212" si="179">-ATAN(($M$214-$M$210)/ABS($N$214-$N$210))</f>
        <v>1.5365661199178467E-5</v>
      </c>
      <c r="X211" t="s">
        <v>3860</v>
      </c>
      <c r="Y211">
        <f>_xlfn.XLOOKUP($F211,設計座標!$E$13:$E$2301,設計座標!$L$13:$L$2301," ",0,1)</f>
        <v>1000</v>
      </c>
      <c r="Z211">
        <f>SQRT(($M$211-$M$209)^2+($N$211-$N$209)^2)</f>
        <v>767.50000009060477</v>
      </c>
      <c r="AA211">
        <f>_xlfn.XLOOKUP($G211,magnet_list!$A$2:$A$592,magnet_list!$AJ$2:$AJ$592,"n/a",0,1)</f>
        <v>0.95010000000000006</v>
      </c>
      <c r="AB211">
        <f>_xlfn.XLOOKUP($G211,magnet_list!$A$2:$A$592,magnet_list!$L$2:$L$592,"n/a",0,1)</f>
        <v>120</v>
      </c>
    </row>
    <row r="212" spans="1:28">
      <c r="A212" t="s">
        <v>797</v>
      </c>
      <c r="B212" t="s">
        <v>3810</v>
      </c>
      <c r="C212" t="s">
        <v>3855</v>
      </c>
      <c r="D212" t="s">
        <v>1152</v>
      </c>
      <c r="E212" t="s">
        <v>804</v>
      </c>
      <c r="F212" t="s">
        <v>2209</v>
      </c>
      <c r="G212" t="s">
        <v>2209</v>
      </c>
      <c r="I212">
        <f>_xlfn.XLOOKUP($F212,設計座標!$E$13:$E$2301,設計座標!$G$13:$G$2301,"n/a",0,1)</f>
        <v>26.255307479310002</v>
      </c>
      <c r="J212">
        <f>_xlfn.XLOOKUP($F212,設計座標!$E$13:$E$2301,設計座標!$H$13:$H$2301,"n/a",0,1)</f>
        <v>0</v>
      </c>
      <c r="K212">
        <f>_xlfn.XLOOKUP($F212,設計座標!$E$13:$E$2301,設計座標!$I$13:$I$2301,"n/a",0,1)</f>
        <v>18853.253878930002</v>
      </c>
      <c r="L212">
        <f>_xlfn.XLOOKUP($F212,設計座標!$E$13:$E$2301,設計座標!$J$13:$J$2301,"n/a",0,1)</f>
        <v>-270</v>
      </c>
      <c r="M212" s="2">
        <f t="shared" si="138"/>
        <v>7.9351502709418445E-2</v>
      </c>
      <c r="N212" s="2">
        <f t="shared" si="139"/>
        <v>18853.253878930002</v>
      </c>
      <c r="O212" s="23">
        <f t="shared" si="140"/>
        <v>-268.521291169704</v>
      </c>
      <c r="P212" s="1">
        <f t="shared" si="176"/>
        <v>-270.06226589682745</v>
      </c>
      <c r="Q212" s="1">
        <f t="shared" si="177"/>
        <v>7.9351502709418445E-2</v>
      </c>
      <c r="R212">
        <f t="shared" si="153"/>
        <v>0</v>
      </c>
      <c r="S212" s="23">
        <f t="shared" si="175"/>
        <v>1.4787088302960143</v>
      </c>
      <c r="T212">
        <f>$S212+測地線補正!$Q$3*(lattice!$N212/1000)^3+測地線補正!$P$3*(lattice!$N212/1000)^2+測地線補正!$O$3*(lattice!$N212/1000)+測地線補正!$N$3</f>
        <v>-6.2265896827477712E-2</v>
      </c>
      <c r="U212">
        <f t="shared" si="178"/>
        <v>-1.7569756132101336E-5</v>
      </c>
      <c r="V212">
        <v>0</v>
      </c>
      <c r="W212">
        <f t="shared" si="179"/>
        <v>1.5365661199178467E-5</v>
      </c>
      <c r="X212" t="s">
        <v>3860</v>
      </c>
      <c r="Y212">
        <f>_xlfn.XLOOKUP($F212,設計座標!$E$13:$E$2301,設計座標!$L$13:$L$2301," ",0,1)</f>
        <v>1000</v>
      </c>
      <c r="Z212">
        <f>SQRT(($M$211-$M$209)^2+($N$211-$N$209)^2)</f>
        <v>767.50000009060477</v>
      </c>
      <c r="AA212">
        <f>_xlfn.XLOOKUP($G212,magnet_list!$A$2:$A$592,magnet_list!$AJ$2:$AJ$592,"n/a",0,1)</f>
        <v>0.95010000000000006</v>
      </c>
      <c r="AB212">
        <f>_xlfn.XLOOKUP($G212,magnet_list!$A$2:$A$592,magnet_list!$L$2:$L$592,"n/a",0,1)</f>
        <v>120</v>
      </c>
    </row>
    <row r="213" spans="1:28">
      <c r="A213" t="s">
        <v>797</v>
      </c>
      <c r="B213" t="s">
        <v>3810</v>
      </c>
      <c r="C213" t="s">
        <v>804</v>
      </c>
      <c r="D213" t="s">
        <v>1152</v>
      </c>
      <c r="E213" t="s">
        <v>804</v>
      </c>
      <c r="F213" t="s">
        <v>1278</v>
      </c>
      <c r="G213" t="s">
        <v>2390</v>
      </c>
      <c r="I213">
        <f>_xlfn.XLOOKUP($F213,設計座標!$E$13:$E$2301,設計座標!$G$13:$G$2301,"n/a",0,1)</f>
        <v>26.566531979310003</v>
      </c>
      <c r="J213">
        <f>_xlfn.XLOOKUP($F213,設計座標!$E$13:$E$2301,設計座標!$H$13:$H$2301,"n/a",0,1)</f>
        <v>0</v>
      </c>
      <c r="K213">
        <f>_xlfn.XLOOKUP($F213,設計座標!$E$13:$E$2301,設計座標!$I$13:$I$2301,"n/a",0,1)</f>
        <v>19164.478378930002</v>
      </c>
      <c r="L213">
        <f>_xlfn.XLOOKUP($F213,設計座標!$E$13:$E$2301,設計座標!$J$13:$J$2301,"n/a",0,1)</f>
        <v>-270</v>
      </c>
      <c r="M213" s="2">
        <f t="shared" si="138"/>
        <v>7.456933248515836E-2</v>
      </c>
      <c r="N213" s="2">
        <f t="shared" si="139"/>
        <v>19164.478378930002</v>
      </c>
      <c r="O213" s="23">
        <f t="shared" si="140"/>
        <v>-268.5033685241591</v>
      </c>
      <c r="P213" s="1">
        <f t="shared" si="176"/>
        <v>-270.06776521921239</v>
      </c>
      <c r="Q213" s="1">
        <f t="shared" si="177"/>
        <v>7.456933248515836E-2</v>
      </c>
      <c r="R213">
        <f t="shared" si="153"/>
        <v>0</v>
      </c>
      <c r="S213" s="23">
        <f t="shared" si="175"/>
        <v>1.4966314758408887</v>
      </c>
      <c r="T213">
        <f>$S213+測地線補正!$Q$3*(lattice!$N213/1000)^3+測地線補正!$P$3*(lattice!$N213/1000)^2+測地線補正!$O$3*(lattice!$N213/1000)+測地線補正!$N$3</f>
        <v>-6.7765219212402833E-2</v>
      </c>
      <c r="U213">
        <f t="shared" ref="U213:U214" si="180">ATAN(($P$214-$P$210)/ABS($N$214-$N$210))</f>
        <v>-1.7569756132101336E-5</v>
      </c>
      <c r="V213">
        <v>0</v>
      </c>
      <c r="W213">
        <f t="shared" ref="W213:W214" si="181">-ATAN(($M$214-$M$210)/ABS($N$214-$N$210))</f>
        <v>1.5365661199178467E-5</v>
      </c>
      <c r="X213" t="s">
        <v>3860</v>
      </c>
      <c r="Y213">
        <f>_xlfn.XLOOKUP($F213,設計座標!$E$13:$E$2301,設計座標!$L$13:$L$2301," ",0,1)</f>
        <v>1889.4492</v>
      </c>
      <c r="Z213">
        <f>SQRT(($M$213-$M$211)^2+($N$213-$N$211)^2)</f>
        <v>311.22450003674089</v>
      </c>
    </row>
    <row r="214" spans="1:28">
      <c r="A214" t="s">
        <v>797</v>
      </c>
      <c r="B214" t="s">
        <v>3810</v>
      </c>
      <c r="C214" t="s">
        <v>804</v>
      </c>
      <c r="D214" t="s">
        <v>1152</v>
      </c>
      <c r="E214" t="s">
        <v>804</v>
      </c>
      <c r="F214" t="s">
        <v>1417</v>
      </c>
      <c r="G214" t="s">
        <v>2390</v>
      </c>
      <c r="I214">
        <f>_xlfn.XLOOKUP($F214,設計座標!$E$13:$E$2301,設計座標!$G$13:$G$2301,"n/a",0,1)</f>
        <v>27.511256579310004</v>
      </c>
      <c r="J214">
        <f>_xlfn.XLOOKUP($F214,設計座標!$E$13:$E$2301,設計座標!$H$13:$H$2301,"n/a",0,1)</f>
        <v>0</v>
      </c>
      <c r="K214">
        <f>_xlfn.XLOOKUP($F214,設計座標!$E$13:$E$2301,設計座標!$I$13:$I$2301,"n/a",0,1)</f>
        <v>20109.202978930003</v>
      </c>
      <c r="L214">
        <f>_xlfn.XLOOKUP($F214,設計座標!$E$13:$E$2301,設計座標!$J$13:$J$2301,"n/a",0,1)</f>
        <v>-270</v>
      </c>
      <c r="M214" s="2">
        <f t="shared" si="138"/>
        <v>6.0053014353886491E-2</v>
      </c>
      <c r="N214" s="2">
        <f t="shared" si="139"/>
        <v>20109.202978930003</v>
      </c>
      <c r="O214" s="23">
        <f t="shared" si="140"/>
        <v>-268.44896418213807</v>
      </c>
      <c r="P214" s="1">
        <f t="shared" si="176"/>
        <v>-270.0840670043799</v>
      </c>
      <c r="Q214" s="1">
        <f t="shared" si="177"/>
        <v>6.0053014353886491E-2</v>
      </c>
      <c r="R214">
        <f t="shared" si="153"/>
        <v>0</v>
      </c>
      <c r="S214" s="23">
        <f t="shared" si="175"/>
        <v>1.5510358178619161</v>
      </c>
      <c r="T214">
        <f>$S214+測地線補正!$Q$3*(lattice!$N214/1000)^3+測地線補正!$P$3*(lattice!$N214/1000)^2+測地線補正!$O$3*(lattice!$N214/1000)+測地線補正!$N$3</f>
        <v>-8.4067004379913962E-2</v>
      </c>
      <c r="U214">
        <f t="shared" si="180"/>
        <v>-1.7569756132101336E-5</v>
      </c>
      <c r="V214">
        <v>0</v>
      </c>
      <c r="W214">
        <f t="shared" si="181"/>
        <v>1.5365661199178467E-5</v>
      </c>
      <c r="X214" t="s">
        <v>3860</v>
      </c>
      <c r="Y214">
        <f>_xlfn.XLOOKUP($F214,設計座標!$E$13:$E$2301,設計座標!$L$13:$L$2301," ",0,1)</f>
        <v>1889.4492</v>
      </c>
      <c r="Z214">
        <f>SQRT(($M$213-$M$211)^2+($N$213-$N$211)^2)</f>
        <v>311.22450003674089</v>
      </c>
    </row>
    <row r="215" spans="1:28">
      <c r="A215" t="s">
        <v>797</v>
      </c>
      <c r="B215" t="s">
        <v>3810</v>
      </c>
      <c r="C215" t="s">
        <v>804</v>
      </c>
      <c r="D215" t="s">
        <v>1152</v>
      </c>
      <c r="E215" t="s">
        <v>804</v>
      </c>
      <c r="F215" t="s">
        <v>1418</v>
      </c>
      <c r="G215" t="s">
        <v>2391</v>
      </c>
      <c r="I215">
        <f>_xlfn.XLOOKUP($F215,設計座標!$E$13:$E$2301,設計座標!$G$13:$G$2301,"n/a",0,1)</f>
        <v>27.694953379310004</v>
      </c>
      <c r="J215">
        <f>_xlfn.XLOOKUP($F215,設計座標!$E$13:$E$2301,設計座標!$H$13:$H$2301,"n/a",0,1)</f>
        <v>0</v>
      </c>
      <c r="K215">
        <f>_xlfn.XLOOKUP($F215,設計座標!$E$13:$E$2301,設計座標!$I$13:$I$2301,"n/a",0,1)</f>
        <v>20292.899778930001</v>
      </c>
      <c r="L215">
        <f>_xlfn.XLOOKUP($F215,設計座標!$E$13:$E$2301,設計座標!$J$13:$J$2301,"n/a",0,1)</f>
        <v>-270</v>
      </c>
      <c r="M215" s="2">
        <f t="shared" si="138"/>
        <v>5.723039156149113E-2</v>
      </c>
      <c r="N215" s="2">
        <f t="shared" si="139"/>
        <v>20292.899778930001</v>
      </c>
      <c r="O215" s="23">
        <f t="shared" si="140"/>
        <v>-268.43838553992282</v>
      </c>
      <c r="P215" s="1">
        <f t="shared" si="176"/>
        <v>-270.08716965150603</v>
      </c>
      <c r="Q215" s="1">
        <f t="shared" si="177"/>
        <v>5.723039156149113E-2</v>
      </c>
      <c r="R215">
        <f t="shared" si="153"/>
        <v>0</v>
      </c>
      <c r="S215" s="23">
        <f t="shared" si="175"/>
        <v>1.5616144600771906</v>
      </c>
      <c r="T215">
        <f>$S215+測地線補正!$Q$3*(lattice!$N215/1000)^3+測地線補正!$P$3*(lattice!$N215/1000)^2+測地線補正!$O$3*(lattice!$N215/1000)+測地線補正!$N$3</f>
        <v>-8.7169651506002838E-2</v>
      </c>
      <c r="U215">
        <f>ATAN(($P$219-$P$215)/ABS($N$219-$N$215))</f>
        <v>-1.6244386658718548E-5</v>
      </c>
      <c r="V215">
        <v>0</v>
      </c>
      <c r="W215">
        <f>-ATAN(($M$219-$M$215)/ABS($N$219-$N$215))</f>
        <v>1.536566119917847E-5</v>
      </c>
      <c r="X215">
        <f>SQRT(($M$215-$M$214)^2+($N$215-$N$214)^2)</f>
        <v>183.69680002168363</v>
      </c>
      <c r="Y215">
        <f>_xlfn.XLOOKUP($F215,設計座標!$E$13:$E$2301,設計座標!$L$13:$L$2301," ",0,1)</f>
        <v>1889.4492</v>
      </c>
      <c r="Z215">
        <f>SQRT(($M$218-$M$216)^2+($N$218-$N$216)^2)</f>
        <v>311.22450003674089</v>
      </c>
    </row>
    <row r="216" spans="1:28">
      <c r="A216" t="s">
        <v>797</v>
      </c>
      <c r="B216" t="s">
        <v>3810</v>
      </c>
      <c r="C216" t="s">
        <v>3855</v>
      </c>
      <c r="D216" t="s">
        <v>1152</v>
      </c>
      <c r="E216" t="s">
        <v>804</v>
      </c>
      <c r="F216" t="s">
        <v>2210</v>
      </c>
      <c r="G216" t="s">
        <v>2210</v>
      </c>
      <c r="I216">
        <f>_xlfn.XLOOKUP($F216,設計座標!$E$13:$E$2301,設計座標!$G$13:$G$2301,"n/a",0,1)</f>
        <v>28.328453479310003</v>
      </c>
      <c r="J216">
        <f>_xlfn.XLOOKUP($F216,設計座標!$E$13:$E$2301,設計座標!$H$13:$H$2301,"n/a",0,1)</f>
        <v>0</v>
      </c>
      <c r="K216">
        <f>_xlfn.XLOOKUP($F216,設計座標!$E$13:$E$2301,設計座標!$I$13:$I$2301,"n/a",0,1)</f>
        <v>20926.399878930002</v>
      </c>
      <c r="L216">
        <f>_xlfn.XLOOKUP($F216,設計座標!$E$13:$E$2301,設計座標!$J$13:$J$2301,"n/a",0,1)</f>
        <v>-270</v>
      </c>
      <c r="M216" s="2">
        <f t="shared" si="138"/>
        <v>4.7496243654479346E-2</v>
      </c>
      <c r="N216" s="2">
        <f t="shared" si="139"/>
        <v>20926.399878930002</v>
      </c>
      <c r="O216" s="23">
        <f t="shared" si="140"/>
        <v>-268.40190384344663</v>
      </c>
      <c r="P216" s="1">
        <f t="shared" si="176"/>
        <v>-270.09770557108874</v>
      </c>
      <c r="Q216" s="1">
        <f t="shared" si="177"/>
        <v>4.7496243654479346E-2</v>
      </c>
      <c r="R216">
        <f t="shared" si="153"/>
        <v>0</v>
      </c>
      <c r="S216" s="23">
        <f t="shared" si="175"/>
        <v>1.5980961565533436</v>
      </c>
      <c r="T216">
        <f>$S216+測地線補正!$Q$3*(lattice!$N216/1000)^3+測地線補正!$P$3*(lattice!$N216/1000)^2+測地線補正!$O$3*(lattice!$N216/1000)+測地線補正!$N$3</f>
        <v>-9.7705571088765181E-2</v>
      </c>
      <c r="U216">
        <f t="shared" ref="U216:U217" si="182">ATAN(($P$219-$P$215)/ABS($N$219-$N$215))</f>
        <v>-1.6244386658718548E-5</v>
      </c>
      <c r="V216">
        <v>0</v>
      </c>
      <c r="W216">
        <f t="shared" ref="W216:W217" si="183">-ATAN(($M$219-$M$215)/ABS($N$219-$N$215))</f>
        <v>1.536566119917847E-5</v>
      </c>
      <c r="X216" t="s">
        <v>3860</v>
      </c>
      <c r="Y216">
        <f>_xlfn.XLOOKUP($F216,設計座標!$E$13:$E$2301,設計座標!$L$13:$L$2301," ",0,1)</f>
        <v>1000</v>
      </c>
      <c r="Z216">
        <f>SQRT(($M$216-$M$213)^2+($N$216-$N$213)^2)</f>
        <v>1761.9215002079984</v>
      </c>
      <c r="AA216">
        <f>_xlfn.XLOOKUP($G216,magnet_list!$A$2:$A$592,magnet_list!$AJ$2:$AJ$592,"n/a",0,1)</f>
        <v>0.95010000000000006</v>
      </c>
      <c r="AB216">
        <f>_xlfn.XLOOKUP($G216,magnet_list!$A$2:$A$592,magnet_list!$L$2:$L$592,"n/a",0,1)</f>
        <v>120</v>
      </c>
    </row>
    <row r="217" spans="1:28">
      <c r="A217" t="s">
        <v>797</v>
      </c>
      <c r="B217" t="s">
        <v>3810</v>
      </c>
      <c r="C217" t="s">
        <v>3855</v>
      </c>
      <c r="D217" t="s">
        <v>1152</v>
      </c>
      <c r="E217" t="s">
        <v>804</v>
      </c>
      <c r="F217" t="s">
        <v>2211</v>
      </c>
      <c r="G217" t="s">
        <v>2211</v>
      </c>
      <c r="I217">
        <f>_xlfn.XLOOKUP($F217,設計座標!$E$13:$E$2301,設計座標!$G$13:$G$2301,"n/a",0,1)</f>
        <v>28.328453479310003</v>
      </c>
      <c r="J217">
        <f>_xlfn.XLOOKUP($F217,設計座標!$E$13:$E$2301,設計座標!$H$13:$H$2301,"n/a",0,1)</f>
        <v>0</v>
      </c>
      <c r="K217">
        <f>_xlfn.XLOOKUP($F217,設計座標!$E$13:$E$2301,設計座標!$I$13:$I$2301,"n/a",0,1)</f>
        <v>20926.399878930002</v>
      </c>
      <c r="L217">
        <f>_xlfn.XLOOKUP($F217,設計座標!$E$13:$E$2301,設計座標!$J$13:$J$2301,"n/a",0,1)</f>
        <v>-270</v>
      </c>
      <c r="M217" s="2">
        <f t="shared" si="138"/>
        <v>4.7496243654479346E-2</v>
      </c>
      <c r="N217" s="2">
        <f t="shared" si="139"/>
        <v>20926.399878930002</v>
      </c>
      <c r="O217" s="23">
        <f t="shared" si="140"/>
        <v>-268.40190384344663</v>
      </c>
      <c r="P217" s="1">
        <f t="shared" si="176"/>
        <v>-270.09770557108874</v>
      </c>
      <c r="Q217" s="1">
        <f t="shared" si="177"/>
        <v>4.7496243654479346E-2</v>
      </c>
      <c r="R217">
        <f t="shared" si="153"/>
        <v>0</v>
      </c>
      <c r="S217" s="23">
        <f t="shared" si="175"/>
        <v>1.5980961565533436</v>
      </c>
      <c r="T217">
        <f>$S217+測地線補正!$Q$3*(lattice!$N217/1000)^3+測地線補正!$P$3*(lattice!$N217/1000)^2+測地線補正!$O$3*(lattice!$N217/1000)+測地線補正!$N$3</f>
        <v>-9.7705571088765181E-2</v>
      </c>
      <c r="U217">
        <f t="shared" si="182"/>
        <v>-1.6244386658718548E-5</v>
      </c>
      <c r="V217">
        <v>0</v>
      </c>
      <c r="W217">
        <f t="shared" si="183"/>
        <v>1.536566119917847E-5</v>
      </c>
      <c r="X217" t="s">
        <v>3860</v>
      </c>
      <c r="Y217">
        <f>_xlfn.XLOOKUP($F217,設計座標!$E$13:$E$2301,設計座標!$L$13:$L$2301," ",0,1)</f>
        <v>1000</v>
      </c>
      <c r="Z217">
        <f>SQRT(($M$216-$M$213)^2+($N$216-$N$213)^2)</f>
        <v>1761.9215002079984</v>
      </c>
      <c r="AA217">
        <f>_xlfn.XLOOKUP($G217,magnet_list!$A$2:$A$592,magnet_list!$AJ$2:$AJ$592,"n/a",0,1)</f>
        <v>0.95010000000000006</v>
      </c>
      <c r="AB217">
        <f>_xlfn.XLOOKUP($G217,magnet_list!$A$2:$A$592,magnet_list!$L$2:$L$592,"n/a",0,1)</f>
        <v>120</v>
      </c>
    </row>
    <row r="218" spans="1:28">
      <c r="A218" t="s">
        <v>797</v>
      </c>
      <c r="B218" t="s">
        <v>3810</v>
      </c>
      <c r="C218" t="s">
        <v>804</v>
      </c>
      <c r="D218" t="s">
        <v>1152</v>
      </c>
      <c r="E218" t="s">
        <v>804</v>
      </c>
      <c r="F218" t="s">
        <v>1332</v>
      </c>
      <c r="G218" t="s">
        <v>2391</v>
      </c>
      <c r="I218">
        <f>_xlfn.XLOOKUP($F218,設計座標!$E$13:$E$2301,設計座標!$G$13:$G$2301,"n/a",0,1)</f>
        <v>28.639677979310004</v>
      </c>
      <c r="J218">
        <f>_xlfn.XLOOKUP($F218,設計座標!$E$13:$E$2301,設計座標!$H$13:$H$2301,"n/a",0,1)</f>
        <v>0</v>
      </c>
      <c r="K218">
        <f>_xlfn.XLOOKUP($F218,設計座標!$E$13:$E$2301,設計座標!$I$13:$I$2301,"n/a",0,1)</f>
        <v>21237.624378930002</v>
      </c>
      <c r="L218">
        <f>_xlfn.XLOOKUP($F218,設計座標!$E$13:$E$2301,設計座標!$J$13:$J$2301,"n/a",0,1)</f>
        <v>-270</v>
      </c>
      <c r="M218" s="2">
        <f t="shared" si="138"/>
        <v>4.2714073430219254E-2</v>
      </c>
      <c r="N218" s="2">
        <f t="shared" si="139"/>
        <v>21237.624378930002</v>
      </c>
      <c r="O218" s="23">
        <f t="shared" si="140"/>
        <v>-268.38398119790179</v>
      </c>
      <c r="P218" s="1">
        <f t="shared" si="176"/>
        <v>-270.1027899088142</v>
      </c>
      <c r="Q218" s="1">
        <f t="shared" si="177"/>
        <v>4.2714073430219254E-2</v>
      </c>
      <c r="R218">
        <f t="shared" si="153"/>
        <v>0</v>
      </c>
      <c r="S218" s="23">
        <f t="shared" si="175"/>
        <v>1.616018802098218</v>
      </c>
      <c r="T218">
        <f>$S218+測地線補正!$Q$3*(lattice!$N218/1000)^3+測地線補正!$P$3*(lattice!$N218/1000)^2+測地線補正!$O$3*(lattice!$N218/1000)+測地線補正!$N$3</f>
        <v>-0.10278990881421554</v>
      </c>
      <c r="U218">
        <f t="shared" ref="U218:U219" si="184">ATAN(($P$219-$P$215)/ABS($N$219-$N$215))</f>
        <v>-1.6244386658718548E-5</v>
      </c>
      <c r="V218">
        <v>0</v>
      </c>
      <c r="W218">
        <f t="shared" ref="W218:W219" si="185">-ATAN(($M$219-$M$215)/ABS($N$219-$N$215))</f>
        <v>1.536566119917847E-5</v>
      </c>
      <c r="X218" t="s">
        <v>3860</v>
      </c>
      <c r="Y218">
        <f>_xlfn.XLOOKUP($F218,設計座標!$E$13:$E$2301,設計座標!$L$13:$L$2301," ",0,1)</f>
        <v>1889.4492</v>
      </c>
      <c r="Z218">
        <f>SQRT(($M$218-$M$216)^2+($N$218-$N$216)^2)</f>
        <v>311.22450003674089</v>
      </c>
    </row>
    <row r="219" spans="1:28">
      <c r="A219" t="s">
        <v>797</v>
      </c>
      <c r="B219" t="s">
        <v>3810</v>
      </c>
      <c r="C219" t="s">
        <v>804</v>
      </c>
      <c r="D219" t="s">
        <v>1152</v>
      </c>
      <c r="E219" t="s">
        <v>804</v>
      </c>
      <c r="F219" t="s">
        <v>1419</v>
      </c>
      <c r="G219" t="s">
        <v>2391</v>
      </c>
      <c r="I219">
        <f>_xlfn.XLOOKUP($F219,設計座標!$E$13:$E$2301,設計座標!$G$13:$G$2301,"n/a",0,1)</f>
        <v>29.584402579310005</v>
      </c>
      <c r="J219">
        <f>_xlfn.XLOOKUP($F219,設計座標!$E$13:$E$2301,設計座標!$H$13:$H$2301,"n/a",0,1)</f>
        <v>0</v>
      </c>
      <c r="K219">
        <f>_xlfn.XLOOKUP($F219,設計座標!$E$13:$E$2301,設計座標!$I$13:$I$2301,"n/a",0,1)</f>
        <v>22182.348978930004</v>
      </c>
      <c r="L219">
        <f>_xlfn.XLOOKUP($F219,設計座標!$E$13:$E$2301,設計座標!$J$13:$J$2301,"n/a",0,1)</f>
        <v>-270</v>
      </c>
      <c r="M219" s="2">
        <f t="shared" si="138"/>
        <v>2.8197755298947386E-2</v>
      </c>
      <c r="N219" s="2">
        <f t="shared" si="139"/>
        <v>22182.348978930004</v>
      </c>
      <c r="O219" s="23">
        <f t="shared" si="140"/>
        <v>-268.32957685588076</v>
      </c>
      <c r="P219" s="1">
        <f t="shared" si="176"/>
        <v>-270.11786259488554</v>
      </c>
      <c r="Q219" s="1">
        <f t="shared" si="177"/>
        <v>2.8197755298947386E-2</v>
      </c>
      <c r="R219">
        <f t="shared" si="153"/>
        <v>0</v>
      </c>
      <c r="S219" s="23">
        <f t="shared" si="175"/>
        <v>1.6704231441192454</v>
      </c>
      <c r="T219">
        <f>$S219+測地線補正!$Q$3*(lattice!$N219/1000)^3+測地線補正!$P$3*(lattice!$N219/1000)^2+測地線補正!$O$3*(lattice!$N219/1000)+測地線補正!$N$3</f>
        <v>-0.11786259488555725</v>
      </c>
      <c r="U219">
        <f t="shared" si="184"/>
        <v>-1.6244386658718548E-5</v>
      </c>
      <c r="V219">
        <v>0</v>
      </c>
      <c r="W219">
        <f t="shared" si="185"/>
        <v>1.536566119917847E-5</v>
      </c>
      <c r="X219" t="s">
        <v>3860</v>
      </c>
      <c r="Y219">
        <f>_xlfn.XLOOKUP($F219,設計座標!$E$13:$E$2301,設計座標!$L$13:$L$2301," ",0,1)</f>
        <v>1889.4492</v>
      </c>
      <c r="Z219">
        <f>SQRT(($M$218-$M$216)^2+($N$218-$N$216)^2)</f>
        <v>311.22450003674089</v>
      </c>
    </row>
    <row r="220" spans="1:28">
      <c r="A220" t="s">
        <v>797</v>
      </c>
      <c r="B220" t="s">
        <v>3810</v>
      </c>
      <c r="C220" t="s">
        <v>1152</v>
      </c>
      <c r="D220" t="s">
        <v>1152</v>
      </c>
      <c r="E220" t="s">
        <v>804</v>
      </c>
      <c r="F220" t="s">
        <v>1965</v>
      </c>
      <c r="G220" t="s">
        <v>1965</v>
      </c>
      <c r="I220">
        <f>_xlfn.XLOOKUP($F220,設計座標!$E$13:$E$2301,設計座標!$G$13:$G$2301,"n/a",0,1)</f>
        <v>29.718404479310006</v>
      </c>
      <c r="J220">
        <f>_xlfn.XLOOKUP($F220,設計座標!$E$13:$E$2301,設計座標!$H$13:$H$2301,"n/a",0,1)</f>
        <v>0</v>
      </c>
      <c r="K220">
        <f>_xlfn.XLOOKUP($F220,設計座標!$E$13:$E$2301,設計座標!$I$13:$I$2301,"n/a",0,1)</f>
        <v>22316.350878930003</v>
      </c>
      <c r="L220">
        <f>_xlfn.XLOOKUP($F220,設計座標!$E$13:$E$2301,設計座標!$J$13:$J$2301,"n/a",0,1)</f>
        <v>-270</v>
      </c>
      <c r="M220" s="2">
        <f t="shared" ref="M220:M267" si="186">$J220+$Q220</f>
        <v>2.6138727503339149E-2</v>
      </c>
      <c r="N220" s="2">
        <f t="shared" ref="N220:N267" si="187">$K220</f>
        <v>22316.350878930003</v>
      </c>
      <c r="O220" s="23">
        <f t="shared" ref="O220:O267" si="188">$L220+$S220</f>
        <v>-268.32186001946189</v>
      </c>
      <c r="P220" s="1">
        <f t="shared" si="176"/>
        <v>-270.11995740891734</v>
      </c>
      <c r="Q220" s="1">
        <f t="shared" si="177"/>
        <v>2.6138727503339149E-2</v>
      </c>
      <c r="R220">
        <f t="shared" si="153"/>
        <v>0</v>
      </c>
      <c r="S220" s="23">
        <f t="shared" si="175"/>
        <v>1.6781399805380997</v>
      </c>
      <c r="T220">
        <f>$S220+測地線補正!$Q$3*(lattice!$N220/1000)^3+測地線補正!$P$3*(lattice!$N220/1000)^2+測地線補正!$O$3*(lattice!$N220/1000)+測地線補正!$N$3</f>
        <v>-0.11995740891732062</v>
      </c>
      <c r="U220">
        <v>0</v>
      </c>
      <c r="V220">
        <v>0</v>
      </c>
      <c r="W220">
        <v>0</v>
      </c>
      <c r="X220">
        <f>SQRT(($M$220-$M$219)^2+($N$220-$N$219)^2)</f>
        <v>134.00190001581845</v>
      </c>
      <c r="Y220">
        <f>_xlfn.XLOOKUP($F220,設計座標!$E$13:$E$2301,設計座標!$L$13:$L$2301," ",0,1)</f>
        <v>0</v>
      </c>
      <c r="Z220">
        <f>SQRT(($M$220-$M$218)^2+($N$220-$N$218)^2)</f>
        <v>1078.7265001273463</v>
      </c>
    </row>
    <row r="221" spans="1:28">
      <c r="A221" t="s">
        <v>797</v>
      </c>
      <c r="B221" t="s">
        <v>3810</v>
      </c>
      <c r="C221" t="s">
        <v>805</v>
      </c>
      <c r="D221" t="s">
        <v>806</v>
      </c>
      <c r="F221" t="s">
        <v>21</v>
      </c>
      <c r="G221" t="s">
        <v>3695</v>
      </c>
      <c r="I221">
        <f>_xlfn.XLOOKUP($F221,設計座標!$E$13:$E$2301,設計座標!$G$13:$G$2301,"n/a",0,1)</f>
        <v>29.836860006840002</v>
      </c>
      <c r="J221">
        <f>_xlfn.XLOOKUP($F221,設計座標!$E$13:$E$2301,設計座標!$H$13:$H$2301,"n/a",0,1)</f>
        <v>0</v>
      </c>
      <c r="K221">
        <f>_xlfn.XLOOKUP($F221,設計座標!$E$13:$E$2301,設計座標!$I$13:$I$2301,"n/a",0,1)</f>
        <v>22434.80640646</v>
      </c>
      <c r="L221">
        <f>_xlfn.XLOOKUP($F221,設計座標!$E$13:$E$2301,設計座標!$J$13:$J$2301,"n/a",0,1)</f>
        <v>-70</v>
      </c>
      <c r="M221" s="2">
        <f>_xlfn.XLOOKUP($F221,survey_data!$A$2:$A$833,survey_data!$B$2:$B$833,"n/a",0,1)</f>
        <v>2.4318579999999999E-2</v>
      </c>
      <c r="N221" s="2">
        <f>_xlfn.XLOOKUP($F221,survey_data!$A$2:$A$833,survey_data!$C$2:$C$833,"n/a",0,1)</f>
        <v>22434.80640646</v>
      </c>
      <c r="O221" s="23">
        <f>_xlfn.XLOOKUP($F221,survey_data!$A$2:$A$833,survey_data!$D$2:$D$833,"n/a",0,1)</f>
        <v>-68.315038459999997</v>
      </c>
      <c r="P221" s="1">
        <f t="shared" si="176"/>
        <v>-70.121800416443122</v>
      </c>
      <c r="Q221" s="1">
        <f t="shared" si="154"/>
        <v>2.4318579999999999E-2</v>
      </c>
      <c r="R221">
        <f t="shared" si="153"/>
        <v>0</v>
      </c>
      <c r="S221" s="23">
        <f t="shared" si="155"/>
        <v>1.6849615400000033</v>
      </c>
      <c r="T221">
        <f>$S221+測地線補正!$Q$3*(lattice!$N221/1000)^3+測地線補正!$P$3*(lattice!$N221/1000)^2+測地線補正!$O$3*(lattice!$N221/1000)+測地線補正!$N$3</f>
        <v>-0.12180041644312731</v>
      </c>
      <c r="U221">
        <f>ATAN(($P$222-$P$221)/ABS($N$222-$N$221))</f>
        <v>-1.0109708510636332E-5</v>
      </c>
      <c r="V221">
        <v>0</v>
      </c>
      <c r="W221">
        <f>-ATAN(($M$222-$M$221)/ABS($N$222-$N$221))</f>
        <v>-1.2761752547585538E-4</v>
      </c>
      <c r="X221">
        <f>$Z$222-($Y$222+$Y$220)/2</f>
        <v>98.476882053618681</v>
      </c>
      <c r="Y221">
        <f>_xlfn.XLOOKUP($F221,設計座標!$E$13:$E$2301,設計座標!$L$13:$L$2301," ",0,1)</f>
        <v>100</v>
      </c>
      <c r="Z221">
        <f>SQRT(($M$222-$M$220)^2+($N$222-$N$220)^2)</f>
        <v>148.47688205361868</v>
      </c>
      <c r="AA221">
        <f>_xlfn.XLOOKUP($G221,magnet_list!$A$2:$A$592,magnet_list!$AJ$2:$AJ$592,"n/a",0,1)</f>
        <v>0.121</v>
      </c>
      <c r="AB221">
        <f>_xlfn.XLOOKUP($G221,magnet_list!$A$2:$A$592,magnet_list!$L$2:$L$592,"n/a",0,1)</f>
        <v>44</v>
      </c>
    </row>
    <row r="222" spans="1:28">
      <c r="A222" t="s">
        <v>797</v>
      </c>
      <c r="B222" t="s">
        <v>3810</v>
      </c>
      <c r="C222" t="s">
        <v>805</v>
      </c>
      <c r="D222" t="s">
        <v>1152</v>
      </c>
      <c r="E222" t="s">
        <v>804</v>
      </c>
      <c r="F222" t="s">
        <v>542</v>
      </c>
      <c r="G222" t="s">
        <v>3695</v>
      </c>
      <c r="I222">
        <f>_xlfn.XLOOKUP($F222,設計座標!$E$13:$E$2301,設計座標!$G$13:$G$2301,"n/a",0,1)</f>
        <v>29.866881361350003</v>
      </c>
      <c r="J222">
        <f>_xlfn.XLOOKUP($F222,設計座標!$E$13:$E$2301,設計座標!$H$13:$H$2301,"n/a",0,1)</f>
        <v>0</v>
      </c>
      <c r="K222">
        <f>_xlfn.XLOOKUP($F222,設計座標!$E$13:$E$2301,設計座標!$I$13:$I$2301,"n/a",0,1)</f>
        <v>22464.827760970002</v>
      </c>
      <c r="L222">
        <f>_xlfn.XLOOKUP($F222,設計座標!$E$13:$E$2301,設計座標!$J$13:$J$2301,"n/a",0,1)</f>
        <v>-70</v>
      </c>
      <c r="M222" s="2">
        <f t="shared" si="186"/>
        <v>2.8149830994798671E-2</v>
      </c>
      <c r="N222" s="2">
        <f t="shared" si="187"/>
        <v>22464.827760970002</v>
      </c>
      <c r="O222" s="23">
        <f t="shared" si="188"/>
        <v>-68.313147322989423</v>
      </c>
      <c r="P222" s="1">
        <f t="shared" si="176"/>
        <v>-70.122103923586323</v>
      </c>
      <c r="Q222" s="1">
        <f>(Q$223-Q$221)/($N$223-$N$221)*($N222-$N$221)+Q$221</f>
        <v>2.8149830994798671E-2</v>
      </c>
      <c r="R222">
        <f t="shared" si="153"/>
        <v>0</v>
      </c>
      <c r="S222" s="23">
        <f>(S$223-S$221)/($N$223-$N$221)*($N222-$N$221)+S$221</f>
        <v>1.6868526770105821</v>
      </c>
      <c r="T222">
        <f>$S222+測地線補正!$Q$3*(lattice!$N222/1000)^3+測地線補正!$P$3*(lattice!$N222/1000)^2+測地線補正!$O$3*(lattice!$N222/1000)+測地線補正!$N$3</f>
        <v>-0.12210392358631869</v>
      </c>
      <c r="U222">
        <f>ATAN(($P$222-$P$221)/ABS($N$222-$N$221))</f>
        <v>-1.0109708510636332E-5</v>
      </c>
      <c r="V222">
        <v>0</v>
      </c>
      <c r="W222">
        <f>-ATAN(($M$222-$M$221)/ABS($N$222-$N$221))</f>
        <v>-1.2761752547585538E-4</v>
      </c>
      <c r="X222">
        <f>$Z$222-($Y$222+$Y$220)/2</f>
        <v>98.476882053618681</v>
      </c>
      <c r="Y222">
        <f>_xlfn.XLOOKUP($F222,設計座標!$E$13:$E$2301,設計座標!$L$13:$L$2301," ",0,1)</f>
        <v>100</v>
      </c>
      <c r="Z222">
        <f>SQRT(($M$222-$M$220)^2+($N$222-$N$220)^2)</f>
        <v>148.47688205361868</v>
      </c>
      <c r="AA222">
        <f>_xlfn.XLOOKUP($G222,magnet_list!$A$2:$A$592,magnet_list!$AJ$2:$AJ$592,"n/a",0,1)</f>
        <v>0.121</v>
      </c>
      <c r="AB222">
        <f>_xlfn.XLOOKUP($G222,magnet_list!$A$2:$A$592,magnet_list!$L$2:$L$592,"n/a",0,1)</f>
        <v>44</v>
      </c>
    </row>
    <row r="223" spans="1:28">
      <c r="A223" t="s">
        <v>797</v>
      </c>
      <c r="B223" t="s">
        <v>3810</v>
      </c>
      <c r="C223" t="s">
        <v>805</v>
      </c>
      <c r="D223" t="s">
        <v>806</v>
      </c>
      <c r="F223" t="s">
        <v>22</v>
      </c>
      <c r="G223" t="s">
        <v>22</v>
      </c>
      <c r="I223">
        <f>_xlfn.XLOOKUP($F223,設計座標!$E$13:$E$2301,設計座標!$G$13:$G$2301,"n/a",0,1)</f>
        <v>30.046875361350001</v>
      </c>
      <c r="J223">
        <f>_xlfn.XLOOKUP($F223,設計座標!$E$13:$E$2301,設計座標!$H$13:$H$2301,"n/a",0,1)</f>
        <v>0</v>
      </c>
      <c r="K223">
        <f>_xlfn.XLOOKUP($F223,設計座標!$E$13:$E$2301,設計座標!$I$13:$I$2301,"n/a",0,1)</f>
        <v>22644.82176097</v>
      </c>
      <c r="L223">
        <f>_xlfn.XLOOKUP($F223,設計座標!$E$13:$E$2301,設計座標!$J$13:$J$2301,"n/a",0,1)</f>
        <v>-70</v>
      </c>
      <c r="M223" s="2">
        <f>_xlfn.XLOOKUP($F223,survey_data!$A$2:$A$833,survey_data!$B$2:$B$833,"n/a",0,1)</f>
        <v>5.1120220000000001E-2</v>
      </c>
      <c r="N223" s="2">
        <f>_xlfn.XLOOKUP($F223,survey_data!$A$2:$A$833,survey_data!$C$2:$C$833,"n/a",0,1)</f>
        <v>22644.82176097</v>
      </c>
      <c r="O223" s="23">
        <f>_xlfn.XLOOKUP($F223,survey_data!$A$2:$A$833,survey_data!$D$2:$D$833,"n/a",0,1)</f>
        <v>-68.301808949999995</v>
      </c>
      <c r="P223" s="1">
        <f t="shared" si="176"/>
        <v>-70.123912614835447</v>
      </c>
      <c r="Q223" s="1">
        <f t="shared" si="154"/>
        <v>5.1120220000000001E-2</v>
      </c>
      <c r="R223">
        <f t="shared" si="153"/>
        <v>0</v>
      </c>
      <c r="S223" s="23">
        <f t="shared" si="155"/>
        <v>1.6981910500000055</v>
      </c>
      <c r="T223">
        <f>$S223+測地線補正!$Q$3*(lattice!$N223/1000)^3+測地線補正!$P$3*(lattice!$N223/1000)^2+測地線補正!$O$3*(lattice!$N223/1000)+測地線補正!$N$3</f>
        <v>-0.123912614835442</v>
      </c>
      <c r="U223">
        <f>ATAN(($P$224-$P$223)/ABS($N$224-$N$223))</f>
        <v>-9.8752439358612798E-5</v>
      </c>
      <c r="V223">
        <v>0</v>
      </c>
      <c r="W223">
        <f>-ATAN(($M$224-$M$223)/ABS($N$224-$N$223))</f>
        <v>-6.4407741869461027E-5</v>
      </c>
      <c r="X223">
        <f>$Z$224-($Y$224+$Y$222)/2</f>
        <v>109.99977072100972</v>
      </c>
      <c r="Y223">
        <f>_xlfn.XLOOKUP($F223,設計座標!$E$13:$E$2301,設計座標!$L$13:$L$2301," ",0,1)</f>
        <v>200</v>
      </c>
      <c r="Z223">
        <f>SQRT(($M$224-$M$222)^2+($N$224-$N$222)^2)</f>
        <v>259.99977072100972</v>
      </c>
      <c r="AA223">
        <f>_xlfn.XLOOKUP($G223,magnet_list!$A$2:$A$592,magnet_list!$AJ$2:$AJ$592,"n/a",0,1)</f>
        <v>0.222</v>
      </c>
      <c r="AB223">
        <f>_xlfn.XLOOKUP($G223,magnet_list!$A$2:$A$592,magnet_list!$L$2:$L$592,"n/a",0,1)</f>
        <v>44</v>
      </c>
    </row>
    <row r="224" spans="1:28">
      <c r="A224" t="s">
        <v>797</v>
      </c>
      <c r="B224" t="s">
        <v>3810</v>
      </c>
      <c r="C224" t="s">
        <v>805</v>
      </c>
      <c r="D224" t="s">
        <v>1152</v>
      </c>
      <c r="E224" t="s">
        <v>804</v>
      </c>
      <c r="F224" t="s">
        <v>543</v>
      </c>
      <c r="G224" t="s">
        <v>22</v>
      </c>
      <c r="I224">
        <f>_xlfn.XLOOKUP($F224,設計座標!$E$13:$E$2301,設計座標!$G$13:$G$2301,"n/a",0,1)</f>
        <v>30.12688113055</v>
      </c>
      <c r="J224">
        <f>_xlfn.XLOOKUP($F224,設計座標!$E$13:$E$2301,設計座標!$H$13:$H$2301,"n/a",0,1)</f>
        <v>0</v>
      </c>
      <c r="K224">
        <f>_xlfn.XLOOKUP($F224,設計座標!$E$13:$E$2301,設計座標!$I$13:$I$2301,"n/a",0,1)</f>
        <v>22724.827530170001</v>
      </c>
      <c r="L224">
        <f>_xlfn.XLOOKUP($F224,設計座標!$E$13:$E$2301,設計座標!$J$13:$J$2301,"n/a",0,1)</f>
        <v>-70</v>
      </c>
      <c r="M224" s="2">
        <f t="shared" si="186"/>
        <v>5.627321093782682E-2</v>
      </c>
      <c r="N224" s="2">
        <f t="shared" si="187"/>
        <v>22724.827530170001</v>
      </c>
      <c r="O224" s="23">
        <f t="shared" si="188"/>
        <v>-68.303871984750089</v>
      </c>
      <c r="P224" s="1">
        <f t="shared" si="176"/>
        <v>-70.131813379732392</v>
      </c>
      <c r="Q224" s="1">
        <f>(Q$226-Q$223)/($N$226-$N$223)*($N224-$N$223)+Q$223</f>
        <v>5.627321093782682E-2</v>
      </c>
      <c r="R224">
        <f t="shared" si="153"/>
        <v>0</v>
      </c>
      <c r="S224" s="23">
        <f t="shared" ref="S224:S225" si="189">(S$226-S$223)/($N$226-$N$223)*($N224-$N$223)+S$223</f>
        <v>1.6961280152499121</v>
      </c>
      <c r="T224">
        <f>$S224+測地線補正!$Q$3*(lattice!$N224/1000)^3+測地線補正!$P$3*(lattice!$N224/1000)^2+測地線補正!$O$3*(lattice!$N224/1000)+測地線補正!$N$3</f>
        <v>-0.13181337973238758</v>
      </c>
      <c r="U224">
        <f>ATAN(($P$224-$P$223)/ABS($N$224-$N$223))</f>
        <v>-9.8752439358612798E-5</v>
      </c>
      <c r="V224">
        <v>0</v>
      </c>
      <c r="W224">
        <f>-ATAN(($M$224-$M$223)/ABS($N$224-$N$223))</f>
        <v>-6.4407741869461027E-5</v>
      </c>
      <c r="X224">
        <f>$Z$224-($Y$224+$Y$222)/2</f>
        <v>109.99977072100972</v>
      </c>
      <c r="Y224">
        <f>_xlfn.XLOOKUP($F224,設計座標!$E$13:$E$2301,設計座標!$L$13:$L$2301," ",0,1)</f>
        <v>200</v>
      </c>
      <c r="Z224">
        <f>SQRT(($M$224-$M$222)^2+($N$224-$N$222)^2)</f>
        <v>259.99977072100972</v>
      </c>
      <c r="AA224">
        <f>_xlfn.XLOOKUP($G224,magnet_list!$A$2:$A$592,magnet_list!$AJ$2:$AJ$592,"n/a",0,1)</f>
        <v>0.222</v>
      </c>
      <c r="AB224">
        <f>_xlfn.XLOOKUP($G224,magnet_list!$A$2:$A$592,magnet_list!$L$2:$L$592,"n/a",0,1)</f>
        <v>44</v>
      </c>
    </row>
    <row r="225" spans="1:28">
      <c r="A225" t="s">
        <v>797</v>
      </c>
      <c r="B225" t="s">
        <v>3810</v>
      </c>
      <c r="C225" t="s">
        <v>805</v>
      </c>
      <c r="D225" t="s">
        <v>1152</v>
      </c>
      <c r="E225" t="s">
        <v>804</v>
      </c>
      <c r="F225" t="s">
        <v>544</v>
      </c>
      <c r="G225" t="s">
        <v>3695</v>
      </c>
      <c r="I225">
        <f>_xlfn.XLOOKUP($F225,設計座標!$E$13:$E$2301,設計座標!$G$13:$G$2301,"n/a",0,1)</f>
        <v>30.387229130549997</v>
      </c>
      <c r="J225">
        <f>_xlfn.XLOOKUP($F225,設計座標!$E$13:$E$2301,設計座標!$H$13:$H$2301,"n/a",0,1)</f>
        <v>0</v>
      </c>
      <c r="K225">
        <f>_xlfn.XLOOKUP($F225,設計座標!$E$13:$E$2301,設計座標!$I$13:$I$2301,"n/a",0,1)</f>
        <v>22985.17553017</v>
      </c>
      <c r="L225">
        <f>_xlfn.XLOOKUP($F225,設計座標!$E$13:$E$2301,設計座標!$J$13:$J$2301,"n/a",0,1)</f>
        <v>-70</v>
      </c>
      <c r="M225" s="2">
        <f t="shared" si="186"/>
        <v>7.3041637741244309E-2</v>
      </c>
      <c r="N225" s="2">
        <f t="shared" si="187"/>
        <v>22985.17553017</v>
      </c>
      <c r="O225" s="23">
        <f t="shared" si="188"/>
        <v>-68.310585337755597</v>
      </c>
      <c r="P225" s="1">
        <f t="shared" si="176"/>
        <v>-70.157497902740488</v>
      </c>
      <c r="Q225" s="1">
        <f>(Q$226-Q$223)/($N$226-$N$223)*($N225-$N$223)+Q$223</f>
        <v>7.3041637741244309E-2</v>
      </c>
      <c r="R225">
        <f t="shared" si="153"/>
        <v>0</v>
      </c>
      <c r="S225" s="23">
        <f t="shared" si="189"/>
        <v>1.689414662244398</v>
      </c>
      <c r="T225">
        <f>$S225+測地線補正!$Q$3*(lattice!$N225/1000)^3+測地線補正!$P$3*(lattice!$N225/1000)^2+測地線補正!$O$3*(lattice!$N225/1000)+測地線補正!$N$3</f>
        <v>-0.15749790274048489</v>
      </c>
      <c r="U225">
        <f>ATAN(($P$226-$P$225)/ABS($N$226-$N$225))</f>
        <v>-9.857154652955054E-5</v>
      </c>
      <c r="V225">
        <v>0</v>
      </c>
      <c r="W225">
        <f>-ATAN(($M$226-$M$225)/ABS($N$226-$N$225))</f>
        <v>-6.4407741869460864E-5</v>
      </c>
      <c r="X225">
        <f>$Z$225-($Y$225+$Y$224)/2</f>
        <v>110.34800054000641</v>
      </c>
      <c r="Y225">
        <f>_xlfn.XLOOKUP($F225,設計座標!$E$13:$E$2301,設計座標!$L$13:$L$2301," ",0,1)</f>
        <v>100</v>
      </c>
      <c r="Z225">
        <f>SQRT(($M$225-$M$224)^2+($N$225-$N$224)^2)</f>
        <v>260.34800054000641</v>
      </c>
      <c r="AA225">
        <f>_xlfn.XLOOKUP($G225,magnet_list!$A$2:$A$592,magnet_list!$AJ$2:$AJ$592,"n/a",0,1)</f>
        <v>0.121</v>
      </c>
      <c r="AB225">
        <f>_xlfn.XLOOKUP($G225,magnet_list!$A$2:$A$592,magnet_list!$L$2:$L$592,"n/a",0,1)</f>
        <v>44</v>
      </c>
    </row>
    <row r="226" spans="1:28">
      <c r="A226" t="s">
        <v>797</v>
      </c>
      <c r="B226" t="s">
        <v>3810</v>
      </c>
      <c r="C226" t="s">
        <v>805</v>
      </c>
      <c r="D226" t="s">
        <v>806</v>
      </c>
      <c r="F226" t="s">
        <v>23</v>
      </c>
      <c r="G226" t="s">
        <v>3695</v>
      </c>
      <c r="I226">
        <f>_xlfn.XLOOKUP($F226,設計座標!$E$13:$E$2301,設計座標!$G$13:$G$2301,"n/a",0,1)</f>
        <v>30.417229130549998</v>
      </c>
      <c r="J226">
        <f>_xlfn.XLOOKUP($F226,設計座標!$E$13:$E$2301,設計座標!$H$13:$H$2301,"n/a",0,1)</f>
        <v>0</v>
      </c>
      <c r="K226">
        <f>_xlfn.XLOOKUP($F226,設計座標!$E$13:$E$2301,設計座標!$I$13:$I$2301,"n/a",0,1)</f>
        <v>23015.17553017</v>
      </c>
      <c r="L226">
        <f>_xlfn.XLOOKUP($F226,設計座標!$E$13:$E$2301,設計座標!$J$13:$J$2301,"n/a",0,1)</f>
        <v>-70</v>
      </c>
      <c r="M226" s="2">
        <f>_xlfn.XLOOKUP($F226,survey_data!$A$2:$A$833,survey_data!$B$2:$B$833,"n/a",0,1)</f>
        <v>7.4973869999999998E-2</v>
      </c>
      <c r="N226" s="2">
        <f>_xlfn.XLOOKUP($F226,survey_data!$A$2:$A$833,survey_data!$C$2:$C$833,"n/a",0,1)</f>
        <v>23015.17553017</v>
      </c>
      <c r="O226" s="23">
        <f>_xlfn.XLOOKUP($F226,survey_data!$A$2:$A$833,survey_data!$D$2:$D$833,"n/a",0,1)</f>
        <v>-68.311358920000004</v>
      </c>
      <c r="P226" s="1">
        <f t="shared" si="176"/>
        <v>-70.160455049145952</v>
      </c>
      <c r="Q226" s="1">
        <f t="shared" si="154"/>
        <v>7.4973869999999998E-2</v>
      </c>
      <c r="R226">
        <f t="shared" si="153"/>
        <v>0</v>
      </c>
      <c r="S226" s="23">
        <f t="shared" si="155"/>
        <v>1.6886410799999965</v>
      </c>
      <c r="T226">
        <f>$S226+測地線補正!$Q$3*(lattice!$N226/1000)^3+測地線補正!$P$3*(lattice!$N226/1000)^2+測地線補正!$O$3*(lattice!$N226/1000)+測地線補正!$N$3</f>
        <v>-0.16045504914595274</v>
      </c>
      <c r="U226">
        <f>ATAN(($P$226-$P$225)/ABS($N$226-$N$225))</f>
        <v>-9.857154652955054E-5</v>
      </c>
      <c r="V226">
        <v>0</v>
      </c>
      <c r="W226">
        <f>-ATAN(($M$226-$M$225)/ABS($N$226-$N$225))</f>
        <v>-6.4407741869460864E-5</v>
      </c>
      <c r="X226">
        <f>$Z$225-($Y$225+$Y$224)/2</f>
        <v>110.34800054000641</v>
      </c>
      <c r="Y226">
        <f>_xlfn.XLOOKUP($F226,設計座標!$E$13:$E$2301,設計座標!$L$13:$L$2301," ",0,1)</f>
        <v>100</v>
      </c>
      <c r="Z226">
        <f>SQRT(($M$225-$M$224)^2+($N$225-$N$224)^2)</f>
        <v>260.34800054000641</v>
      </c>
      <c r="AA226">
        <f>_xlfn.XLOOKUP($G226,magnet_list!$A$2:$A$592,magnet_list!$AJ$2:$AJ$592,"n/a",0,1)</f>
        <v>0.121</v>
      </c>
      <c r="AB226">
        <f>_xlfn.XLOOKUP($G226,magnet_list!$A$2:$A$592,magnet_list!$L$2:$L$592,"n/a",0,1)</f>
        <v>44</v>
      </c>
    </row>
    <row r="227" spans="1:28">
      <c r="A227" t="s">
        <v>797</v>
      </c>
      <c r="B227" t="s">
        <v>3810</v>
      </c>
      <c r="C227" t="s">
        <v>1152</v>
      </c>
      <c r="D227" t="s">
        <v>1152</v>
      </c>
      <c r="E227" t="s">
        <v>804</v>
      </c>
      <c r="F227" t="s">
        <v>1966</v>
      </c>
      <c r="G227" t="s">
        <v>1966</v>
      </c>
      <c r="I227">
        <f>_xlfn.XLOOKUP($F227,設計座標!$E$13:$E$2301,設計座標!$G$13:$G$2301,"n/a",0,1)</f>
        <v>30.733064579310007</v>
      </c>
      <c r="J227">
        <f>_xlfn.XLOOKUP($F227,設計座標!$E$13:$E$2301,設計座標!$H$13:$H$2301,"n/a",0,1)</f>
        <v>0</v>
      </c>
      <c r="K227">
        <f>_xlfn.XLOOKUP($F227,設計座標!$E$13:$E$2301,設計座標!$I$13:$I$2301,"n/a",0,1)</f>
        <v>23331.010978930004</v>
      </c>
      <c r="L227">
        <f>_xlfn.XLOOKUP($F227,設計座標!$E$13:$E$2301,設計座標!$J$13:$J$2301,"n/a",0,1)</f>
        <v>-270</v>
      </c>
      <c r="M227" s="2">
        <f t="shared" si="186"/>
        <v>8.5167584028278537E-2</v>
      </c>
      <c r="N227" s="2">
        <f t="shared" si="187"/>
        <v>23331.010978930004</v>
      </c>
      <c r="O227" s="23">
        <f t="shared" si="188"/>
        <v>-268.28827272638387</v>
      </c>
      <c r="P227" s="1">
        <f t="shared" si="176"/>
        <v>-270.160326125072</v>
      </c>
      <c r="Q227" s="1">
        <f>(Q$240-Q$226)/($N$240-$N$226)*($N227-$N$226)+Q$226</f>
        <v>8.5167584028278537E-2</v>
      </c>
      <c r="R227">
        <f t="shared" si="153"/>
        <v>0</v>
      </c>
      <c r="S227" s="23">
        <f t="shared" ref="S227:S239" si="190">(S$240-S$226)/($N$240-$N$226)*($N227-$N$226)+S$226</f>
        <v>1.711727273616108</v>
      </c>
      <c r="T227">
        <f>$S227+測地線補正!$Q$3*(lattice!$N227/1000)^3+測地線補正!$P$3*(lattice!$N227/1000)^2+測地線補正!$O$3*(lattice!$N227/1000)+測地線補正!$N$3</f>
        <v>-0.16032612507201524</v>
      </c>
      <c r="U227">
        <v>0</v>
      </c>
      <c r="V227">
        <v>0</v>
      </c>
      <c r="W227">
        <v>0</v>
      </c>
      <c r="X227">
        <f>$Z$227-($Y$227+$Y$225)/2</f>
        <v>295.83544897258912</v>
      </c>
      <c r="Y227">
        <f>_xlfn.XLOOKUP($F227,設計座標!$E$13:$E$2301,設計座標!$L$13:$L$2301," ",0,1)</f>
        <v>0</v>
      </c>
      <c r="Z227">
        <f>SQRT(($M$227-$M$225)^2+($N$227-$N$225)^2)</f>
        <v>345.83544897258912</v>
      </c>
    </row>
    <row r="228" spans="1:28">
      <c r="A228" t="s">
        <v>797</v>
      </c>
      <c r="B228" t="s">
        <v>3810</v>
      </c>
      <c r="C228" t="s">
        <v>2288</v>
      </c>
      <c r="D228" t="s">
        <v>1152</v>
      </c>
      <c r="E228" t="s">
        <v>804</v>
      </c>
      <c r="F228" t="s">
        <v>2325</v>
      </c>
      <c r="G228" t="s">
        <v>2325</v>
      </c>
      <c r="I228">
        <f>_xlfn.XLOOKUP($F228,設計座標!$E$13:$E$2301,設計座標!$G$13:$G$2301,"n/a",0,1)</f>
        <v>30.818064479310006</v>
      </c>
      <c r="J228">
        <f>_xlfn.XLOOKUP($F228,設計座標!$E$13:$E$2301,設計座標!$H$13:$H$2301,"n/a",0,1)</f>
        <v>0</v>
      </c>
      <c r="K228">
        <f>_xlfn.XLOOKUP($F228,設計座標!$E$13:$E$2301,設計座標!$I$13:$I$2301,"n/a",0,1)</f>
        <v>23416.010878930003</v>
      </c>
      <c r="L228">
        <f>_xlfn.XLOOKUP($F228,設計座標!$E$13:$E$2301,設計座標!$J$13:$J$2301,"n/a",0,1)</f>
        <v>-270</v>
      </c>
      <c r="M228" s="2">
        <f t="shared" si="186"/>
        <v>8.7910989420023108E-2</v>
      </c>
      <c r="N228" s="2">
        <f t="shared" si="187"/>
        <v>23416.010878930003</v>
      </c>
      <c r="O228" s="23">
        <f t="shared" si="188"/>
        <v>-268.28205960446724</v>
      </c>
      <c r="P228" s="1">
        <f t="shared" si="176"/>
        <v>-270.16028183082949</v>
      </c>
      <c r="Q228" s="1">
        <f t="shared" ref="Q228:Q239" si="191">(Q$240-Q$226)/($N$240-$N$226)*($N228-$N$226)+Q$226</f>
        <v>8.7910989420023108E-2</v>
      </c>
      <c r="R228">
        <f t="shared" si="153"/>
        <v>0</v>
      </c>
      <c r="S228" s="23">
        <f t="shared" si="190"/>
        <v>1.7179403955327717</v>
      </c>
      <c r="T228">
        <f>$S228+測地線補正!$Q$3*(lattice!$N228/1000)^3+測地線補正!$P$3*(lattice!$N228/1000)^2+測地線補正!$O$3*(lattice!$N228/1000)+測地線補正!$N$3</f>
        <v>-0.16028183082947675</v>
      </c>
      <c r="U228">
        <v>0</v>
      </c>
      <c r="V228">
        <v>0</v>
      </c>
      <c r="W228">
        <v>0</v>
      </c>
      <c r="X228">
        <f>$Z$228-($Y$228+$Y$227)/2</f>
        <v>84.999900044271129</v>
      </c>
      <c r="Y228">
        <f>_xlfn.XLOOKUP($F228,設計座標!$E$13:$E$2301,設計座標!$L$13:$L$2301," ",0,1)</f>
        <v>0</v>
      </c>
      <c r="Z228">
        <f>SQRT(($M$228-$M$227)^2+($N$228-$N$227)^2)</f>
        <v>84.999900044271129</v>
      </c>
    </row>
    <row r="229" spans="1:28">
      <c r="A229" t="s">
        <v>797</v>
      </c>
      <c r="B229" t="s">
        <v>3810</v>
      </c>
      <c r="C229" t="s">
        <v>804</v>
      </c>
      <c r="D229" t="s">
        <v>1152</v>
      </c>
      <c r="E229" t="s">
        <v>804</v>
      </c>
      <c r="F229" t="s">
        <v>1420</v>
      </c>
      <c r="G229" t="s">
        <v>2392</v>
      </c>
      <c r="I229">
        <f>_xlfn.XLOOKUP($F229,設計座標!$E$13:$E$2301,設計座標!$G$13:$G$2301,"n/a",0,1)</f>
        <v>30.952064379310006</v>
      </c>
      <c r="J229">
        <f>_xlfn.XLOOKUP($F229,設計座標!$E$13:$E$2301,設計座標!$H$13:$H$2301,"n/a",0,1)</f>
        <v>0</v>
      </c>
      <c r="K229">
        <f>_xlfn.XLOOKUP($F229,設計座標!$E$13:$E$2301,設計座標!$I$13:$I$2301,"n/a",0,1)</f>
        <v>23550.010778930002</v>
      </c>
      <c r="L229">
        <f>_xlfn.XLOOKUP($F229,設計座標!$E$13:$E$2301,設計座標!$J$13:$J$2301,"n/a",0,1)</f>
        <v>-270</v>
      </c>
      <c r="M229" s="2">
        <f t="shared" si="186"/>
        <v>9.2235889192296194E-2</v>
      </c>
      <c r="N229" s="2">
        <f t="shared" si="187"/>
        <v>23550.010778930002</v>
      </c>
      <c r="O229" s="23">
        <f t="shared" si="188"/>
        <v>-268.27226479629076</v>
      </c>
      <c r="P229" s="1">
        <f t="shared" si="176"/>
        <v>-270.16020380098303</v>
      </c>
      <c r="Q229" s="1">
        <f t="shared" si="191"/>
        <v>9.2235889192296194E-2</v>
      </c>
      <c r="R229">
        <f t="shared" si="153"/>
        <v>0</v>
      </c>
      <c r="S229" s="23">
        <f t="shared" si="190"/>
        <v>1.7277352037092606</v>
      </c>
      <c r="T229">
        <f>$S229+測地線補正!$Q$3*(lattice!$N229/1000)^3+測地線補正!$P$3*(lattice!$N229/1000)^2+測地線補正!$O$3*(lattice!$N229/1000)+測地線補正!$N$3</f>
        <v>-0.16020380098302076</v>
      </c>
      <c r="U229">
        <f>ATAN(($P$233-$P$229)/ABS($N$233-$N$229))</f>
        <v>1.1301161530416141E-6</v>
      </c>
      <c r="V229">
        <v>0</v>
      </c>
      <c r="W229">
        <f>-ATAN(($M$233-$M$229)/ABS($N$233-$N$229))</f>
        <v>-3.2275395509782963E-5</v>
      </c>
      <c r="X229">
        <f>SQRT(($M$229-$M$228)^2+($N$229-$N$228)^2)</f>
        <v>133.99990006979283</v>
      </c>
      <c r="Y229">
        <f>_xlfn.XLOOKUP($F229,設計座標!$E$13:$E$2301,設計座標!$L$13:$L$2301," ",0,1)</f>
        <v>1889.4492</v>
      </c>
      <c r="Z229">
        <f>SQRT(($M$232-$M$230)^2+($N$232-$N$230)^2)</f>
        <v>311.22450016210172</v>
      </c>
    </row>
    <row r="230" spans="1:28">
      <c r="A230" t="s">
        <v>797</v>
      </c>
      <c r="B230" t="s">
        <v>3810</v>
      </c>
      <c r="C230" t="s">
        <v>3855</v>
      </c>
      <c r="D230" t="s">
        <v>1152</v>
      </c>
      <c r="E230" t="s">
        <v>804</v>
      </c>
      <c r="F230" t="s">
        <v>2212</v>
      </c>
      <c r="G230" t="s">
        <v>2212</v>
      </c>
      <c r="I230">
        <f>_xlfn.XLOOKUP($F230,設計座標!$E$13:$E$2301,設計座標!$G$13:$G$2301,"n/a",0,1)</f>
        <v>31.585564479310005</v>
      </c>
      <c r="J230">
        <f>_xlfn.XLOOKUP($F230,設計座標!$E$13:$E$2301,設計座標!$H$13:$H$2301,"n/a",0,1)</f>
        <v>0</v>
      </c>
      <c r="K230">
        <f>_xlfn.XLOOKUP($F230,設計座標!$E$13:$E$2301,設計座標!$I$13:$I$2301,"n/a",0,1)</f>
        <v>24183.510878930003</v>
      </c>
      <c r="L230">
        <f>_xlfn.XLOOKUP($F230,設計座標!$E$13:$E$2301,設計座標!$J$13:$J$2301,"n/a",0,1)</f>
        <v>-270</v>
      </c>
      <c r="M230" s="2">
        <f t="shared" si="186"/>
        <v>0.11268235548238299</v>
      </c>
      <c r="N230" s="2">
        <f t="shared" si="187"/>
        <v>24183.510878930003</v>
      </c>
      <c r="O230" s="23">
        <f t="shared" si="188"/>
        <v>-268.2259587023363</v>
      </c>
      <c r="P230" s="1">
        <f t="shared" si="176"/>
        <v>-270.15970074365589</v>
      </c>
      <c r="Q230" s="1">
        <f t="shared" si="191"/>
        <v>0.11268235548238299</v>
      </c>
      <c r="R230">
        <f t="shared" si="153"/>
        <v>0</v>
      </c>
      <c r="S230" s="23">
        <f t="shared" si="190"/>
        <v>1.7740412976637085</v>
      </c>
      <c r="T230">
        <f>$S230+測地線補正!$Q$3*(lattice!$N230/1000)^3+測地線補正!$P$3*(lattice!$N230/1000)^2+測地線補正!$O$3*(lattice!$N230/1000)+測地線補正!$N$3</f>
        <v>-0.1597007436558989</v>
      </c>
      <c r="U230">
        <f t="shared" ref="U230:U231" si="192">ATAN(($P$233-$P$229)/ABS($N$233-$N$229))</f>
        <v>1.1301161530416141E-6</v>
      </c>
      <c r="V230">
        <v>0</v>
      </c>
      <c r="W230">
        <f t="shared" ref="W230:W231" si="193">-ATAN(($M$233-$M$229)/ABS($N$233-$N$229))</f>
        <v>-3.2275395509782963E-5</v>
      </c>
      <c r="X230" t="s">
        <v>3860</v>
      </c>
      <c r="Y230">
        <f>_xlfn.XLOOKUP($F230,設計座標!$E$13:$E$2301,設計座標!$L$13:$L$2301," ",0,1)</f>
        <v>1000</v>
      </c>
      <c r="Z230">
        <f>SQRT(($M$230-$M$228)^2+($N$230-$N$228)^2)</f>
        <v>767.50000039975282</v>
      </c>
      <c r="AA230">
        <f>_xlfn.XLOOKUP($G230,magnet_list!$A$2:$A$592,magnet_list!$AJ$2:$AJ$592,"n/a",0,1)</f>
        <v>0.95010000000000006</v>
      </c>
      <c r="AB230">
        <f>_xlfn.XLOOKUP($G230,magnet_list!$A$2:$A$592,magnet_list!$L$2:$L$592,"n/a",0,1)</f>
        <v>120</v>
      </c>
    </row>
    <row r="231" spans="1:28">
      <c r="A231" t="s">
        <v>797</v>
      </c>
      <c r="B231" t="s">
        <v>3810</v>
      </c>
      <c r="C231" t="s">
        <v>3855</v>
      </c>
      <c r="D231" t="s">
        <v>1152</v>
      </c>
      <c r="E231" t="s">
        <v>804</v>
      </c>
      <c r="F231" t="s">
        <v>2213</v>
      </c>
      <c r="G231" t="s">
        <v>2213</v>
      </c>
      <c r="I231">
        <f>_xlfn.XLOOKUP($F231,設計座標!$E$13:$E$2301,設計座標!$G$13:$G$2301,"n/a",0,1)</f>
        <v>31.585564479310005</v>
      </c>
      <c r="J231">
        <f>_xlfn.XLOOKUP($F231,設計座標!$E$13:$E$2301,設計座標!$H$13:$H$2301,"n/a",0,1)</f>
        <v>0</v>
      </c>
      <c r="K231">
        <f>_xlfn.XLOOKUP($F231,設計座標!$E$13:$E$2301,設計座標!$I$13:$I$2301,"n/a",0,1)</f>
        <v>24183.510878930003</v>
      </c>
      <c r="L231">
        <f>_xlfn.XLOOKUP($F231,設計座標!$E$13:$E$2301,設計座標!$J$13:$J$2301,"n/a",0,1)</f>
        <v>-270</v>
      </c>
      <c r="M231" s="2">
        <f t="shared" si="186"/>
        <v>0.11268235548238299</v>
      </c>
      <c r="N231" s="2">
        <f t="shared" si="187"/>
        <v>24183.510878930003</v>
      </c>
      <c r="O231" s="23">
        <f t="shared" si="188"/>
        <v>-268.2259587023363</v>
      </c>
      <c r="P231" s="1">
        <f t="shared" si="176"/>
        <v>-270.15970074365589</v>
      </c>
      <c r="Q231" s="1">
        <f t="shared" si="191"/>
        <v>0.11268235548238299</v>
      </c>
      <c r="R231">
        <f t="shared" si="153"/>
        <v>0</v>
      </c>
      <c r="S231" s="23">
        <f t="shared" si="190"/>
        <v>1.7740412976637085</v>
      </c>
      <c r="T231">
        <f>$S231+測地線補正!$Q$3*(lattice!$N231/1000)^3+測地線補正!$P$3*(lattice!$N231/1000)^2+測地線補正!$O$3*(lattice!$N231/1000)+測地線補正!$N$3</f>
        <v>-0.1597007436558989</v>
      </c>
      <c r="U231">
        <f t="shared" si="192"/>
        <v>1.1301161530416141E-6</v>
      </c>
      <c r="V231">
        <v>0</v>
      </c>
      <c r="W231">
        <f t="shared" si="193"/>
        <v>-3.2275395509782963E-5</v>
      </c>
      <c r="X231" t="s">
        <v>3860</v>
      </c>
      <c r="Y231">
        <f>_xlfn.XLOOKUP($F231,設計座標!$E$13:$E$2301,設計座標!$L$13:$L$2301," ",0,1)</f>
        <v>1000</v>
      </c>
      <c r="Z231">
        <f>SQRT(($M$230-$M$228)^2+($N$230-$N$228)^2)</f>
        <v>767.50000039975282</v>
      </c>
      <c r="AA231">
        <f>_xlfn.XLOOKUP($G231,magnet_list!$A$2:$A$592,magnet_list!$AJ$2:$AJ$592,"n/a",0,1)</f>
        <v>0.95010000000000006</v>
      </c>
      <c r="AB231">
        <f>_xlfn.XLOOKUP($G231,magnet_list!$A$2:$A$592,magnet_list!$L$2:$L$592,"n/a",0,1)</f>
        <v>120</v>
      </c>
    </row>
    <row r="232" spans="1:28">
      <c r="A232" t="s">
        <v>797</v>
      </c>
      <c r="B232" t="s">
        <v>3810</v>
      </c>
      <c r="C232" t="s">
        <v>804</v>
      </c>
      <c r="D232" t="s">
        <v>1152</v>
      </c>
      <c r="E232" t="s">
        <v>804</v>
      </c>
      <c r="F232" t="s">
        <v>1168</v>
      </c>
      <c r="G232" t="s">
        <v>2392</v>
      </c>
      <c r="I232">
        <f>_xlfn.XLOOKUP($F232,設計座標!$E$13:$E$2301,設計座標!$G$13:$G$2301,"n/a",0,1)</f>
        <v>31.896788979310006</v>
      </c>
      <c r="J232">
        <f>_xlfn.XLOOKUP($F232,設計座標!$E$13:$E$2301,設計座標!$H$13:$H$2301,"n/a",0,1)</f>
        <v>0</v>
      </c>
      <c r="K232">
        <f>_xlfn.XLOOKUP($F232,設計座標!$E$13:$E$2301,設計座標!$I$13:$I$2301,"n/a",0,1)</f>
        <v>24494.735378930003</v>
      </c>
      <c r="L232">
        <f>_xlfn.XLOOKUP($F232,設計座標!$E$13:$E$2301,設計座標!$J$13:$J$2301,"n/a",0,1)</f>
        <v>-270</v>
      </c>
      <c r="M232" s="2">
        <f t="shared" si="186"/>
        <v>0.12272724931570538</v>
      </c>
      <c r="N232" s="2">
        <f t="shared" si="187"/>
        <v>24494.735378930003</v>
      </c>
      <c r="O232" s="23">
        <f t="shared" si="188"/>
        <v>-268.20320954896135</v>
      </c>
      <c r="P232" s="1">
        <f t="shared" si="176"/>
        <v>-270.15937378707798</v>
      </c>
      <c r="Q232" s="1">
        <f t="shared" si="191"/>
        <v>0.12272724931570538</v>
      </c>
      <c r="R232">
        <f t="shared" si="153"/>
        <v>0</v>
      </c>
      <c r="S232" s="23">
        <f t="shared" si="190"/>
        <v>1.7967904510386268</v>
      </c>
      <c r="T232">
        <f>$S232+測地線補正!$Q$3*(lattice!$N232/1000)^3+測地線補正!$P$3*(lattice!$N232/1000)^2+測地線補正!$O$3*(lattice!$N232/1000)+測地線補正!$N$3</f>
        <v>-0.15937378707799907</v>
      </c>
      <c r="U232">
        <f t="shared" ref="U232:U233" si="194">ATAN(($P$233-$P$229)/ABS($N$233-$N$229))</f>
        <v>1.1301161530416141E-6</v>
      </c>
      <c r="V232">
        <v>0</v>
      </c>
      <c r="W232">
        <f t="shared" ref="W232:W233" si="195">-ATAN(($M$233-$M$229)/ABS($N$233-$N$229))</f>
        <v>-3.2275395509782963E-5</v>
      </c>
      <c r="X232" t="s">
        <v>3860</v>
      </c>
      <c r="Y232">
        <f>_xlfn.XLOOKUP($F232,設計座標!$E$13:$E$2301,設計座標!$L$13:$L$2301," ",0,1)</f>
        <v>1889.4492</v>
      </c>
      <c r="Z232">
        <f>SQRT(($M$232-$M$230)^2+($N$232-$N$230)^2)</f>
        <v>311.22450016210172</v>
      </c>
    </row>
    <row r="233" spans="1:28">
      <c r="A233" t="s">
        <v>797</v>
      </c>
      <c r="B233" t="s">
        <v>3810</v>
      </c>
      <c r="C233" t="s">
        <v>804</v>
      </c>
      <c r="D233" t="s">
        <v>1152</v>
      </c>
      <c r="E233" t="s">
        <v>804</v>
      </c>
      <c r="F233" t="s">
        <v>1421</v>
      </c>
      <c r="G233" t="s">
        <v>2392</v>
      </c>
      <c r="I233">
        <f>_xlfn.XLOOKUP($F233,設計座標!$E$13:$E$2301,設計座標!$G$13:$G$2301,"n/a",0,1)</f>
        <v>32.841513579310011</v>
      </c>
      <c r="J233">
        <f>_xlfn.XLOOKUP($F233,設計座標!$E$13:$E$2301,設計座標!$H$13:$H$2301,"n/a",0,1)</f>
        <v>0</v>
      </c>
      <c r="K233">
        <f>_xlfn.XLOOKUP($F233,設計座標!$E$13:$E$2301,設計座標!$I$13:$I$2301,"n/a",0,1)</f>
        <v>25439.459978930005</v>
      </c>
      <c r="L233">
        <f>_xlfn.XLOOKUP($F233,設計座標!$E$13:$E$2301,設計座標!$J$13:$J$2301,"n/a",0,1)</f>
        <v>-270</v>
      </c>
      <c r="M233" s="2">
        <f t="shared" si="186"/>
        <v>0.15321860943911456</v>
      </c>
      <c r="N233" s="2">
        <f t="shared" si="187"/>
        <v>25439.459978930005</v>
      </c>
      <c r="O233" s="23">
        <f t="shared" si="188"/>
        <v>-268.13415430163201</v>
      </c>
      <c r="P233" s="1">
        <f t="shared" si="176"/>
        <v>-270.15806850392175</v>
      </c>
      <c r="Q233" s="1">
        <f t="shared" si="191"/>
        <v>0.15321860943911456</v>
      </c>
      <c r="R233">
        <f t="shared" ref="R233:R296" si="196">$N233-$K233</f>
        <v>0</v>
      </c>
      <c r="S233" s="23">
        <f t="shared" si="190"/>
        <v>1.865845698367993</v>
      </c>
      <c r="T233">
        <f>$S233+測地線補正!$Q$3*(lattice!$N233/1000)^3+測地線補正!$P$3*(lattice!$N233/1000)^2+測地線補正!$O$3*(lattice!$N233/1000)+測地線補正!$N$3</f>
        <v>-0.15806850392174296</v>
      </c>
      <c r="U233">
        <f t="shared" si="194"/>
        <v>1.1301161530416141E-6</v>
      </c>
      <c r="V233">
        <v>0</v>
      </c>
      <c r="W233">
        <f t="shared" si="195"/>
        <v>-3.2275395509782963E-5</v>
      </c>
      <c r="X233" t="s">
        <v>3860</v>
      </c>
      <c r="Y233">
        <f>_xlfn.XLOOKUP($F233,設計座標!$E$13:$E$2301,設計座標!$L$13:$L$2301," ",0,1)</f>
        <v>1889.4492</v>
      </c>
      <c r="Z233">
        <f>SQRT(($M$232-$M$230)^2+($N$232-$N$230)^2)</f>
        <v>311.22450016210172</v>
      </c>
    </row>
    <row r="234" spans="1:28">
      <c r="A234" t="s">
        <v>797</v>
      </c>
      <c r="B234" t="s">
        <v>3810</v>
      </c>
      <c r="C234" t="s">
        <v>804</v>
      </c>
      <c r="D234" t="s">
        <v>1152</v>
      </c>
      <c r="E234" t="s">
        <v>804</v>
      </c>
      <c r="F234" t="s">
        <v>1422</v>
      </c>
      <c r="G234" t="s">
        <v>2393</v>
      </c>
      <c r="I234">
        <f>_xlfn.XLOOKUP($F234,設計座標!$E$13:$E$2301,設計座標!$G$13:$G$2301,"n/a",0,1)</f>
        <v>33.025210379310003</v>
      </c>
      <c r="J234">
        <f>_xlfn.XLOOKUP($F234,設計座標!$E$13:$E$2301,設計座標!$H$13:$H$2301,"n/a",0,1)</f>
        <v>0</v>
      </c>
      <c r="K234">
        <f>_xlfn.XLOOKUP($F234,設計座標!$E$13:$E$2301,設計座標!$I$13:$I$2301,"n/a",0,1)</f>
        <v>25623.156778930002</v>
      </c>
      <c r="L234">
        <f>_xlfn.XLOOKUP($F234,設計座標!$E$13:$E$2301,設計座標!$J$13:$J$2301,"n/a",0,1)</f>
        <v>-270</v>
      </c>
      <c r="M234" s="2">
        <f t="shared" si="186"/>
        <v>0.1591474963150547</v>
      </c>
      <c r="N234" s="2">
        <f t="shared" si="187"/>
        <v>25623.156778930002</v>
      </c>
      <c r="O234" s="23">
        <f t="shared" si="188"/>
        <v>-268.12072686684559</v>
      </c>
      <c r="P234" s="1">
        <f t="shared" si="176"/>
        <v>-270.15776128827144</v>
      </c>
      <c r="Q234" s="1">
        <f t="shared" si="191"/>
        <v>0.1591474963150547</v>
      </c>
      <c r="R234">
        <f t="shared" si="196"/>
        <v>0</v>
      </c>
      <c r="S234" s="23">
        <f t="shared" si="190"/>
        <v>1.8792731331543986</v>
      </c>
      <c r="T234">
        <f>$S234+測地線補正!$Q$3*(lattice!$N234/1000)^3+測地線補正!$P$3*(lattice!$N234/1000)^2+測地線補正!$O$3*(lattice!$N234/1000)+測地線補正!$N$3</f>
        <v>-0.15776128827145838</v>
      </c>
      <c r="U234">
        <f>ATAN(($P$238-$P$234)/ABS($N$238-$N$234))</f>
        <v>2.1806422637116847E-6</v>
      </c>
      <c r="V234">
        <v>0</v>
      </c>
      <c r="W234">
        <f>-ATAN(($M$238-$M$234)/ABS($N$238-$N$234))</f>
        <v>-3.2275395509782963E-5</v>
      </c>
      <c r="X234">
        <f>SQRT(($M$234-$M$233)^2+($N$234-$N$233)^2)</f>
        <v>183.69680009567648</v>
      </c>
      <c r="Y234">
        <f>_xlfn.XLOOKUP($F234,設計座標!$E$13:$E$2301,設計座標!$L$13:$L$2301," ",0,1)</f>
        <v>1889.4492</v>
      </c>
      <c r="Z234">
        <f>SQRT(($M$237-$M$235)^2+($N$237-$N$235)^2)</f>
        <v>311.22450016210172</v>
      </c>
    </row>
    <row r="235" spans="1:28">
      <c r="A235" t="s">
        <v>797</v>
      </c>
      <c r="B235" t="s">
        <v>3810</v>
      </c>
      <c r="C235" t="s">
        <v>3855</v>
      </c>
      <c r="D235" t="s">
        <v>1152</v>
      </c>
      <c r="E235" t="s">
        <v>804</v>
      </c>
      <c r="F235" t="s">
        <v>2214</v>
      </c>
      <c r="G235" t="s">
        <v>2214</v>
      </c>
      <c r="I235">
        <f>_xlfn.XLOOKUP($F235,設計座標!$E$13:$E$2301,設計座標!$G$13:$G$2301,"n/a",0,1)</f>
        <v>33.65871047931001</v>
      </c>
      <c r="J235">
        <f>_xlfn.XLOOKUP($F235,設計座標!$E$13:$E$2301,設計座標!$H$13:$H$2301,"n/a",0,1)</f>
        <v>0</v>
      </c>
      <c r="K235">
        <f>_xlfn.XLOOKUP($F235,設計座標!$E$13:$E$2301,設計座標!$I$13:$I$2301,"n/a",0,1)</f>
        <v>26256.656878930004</v>
      </c>
      <c r="L235">
        <f>_xlfn.XLOOKUP($F235,設計座標!$E$13:$E$2301,設計座標!$J$13:$J$2301,"n/a",0,1)</f>
        <v>-270</v>
      </c>
      <c r="M235" s="2">
        <f t="shared" si="186"/>
        <v>0.17959396260514149</v>
      </c>
      <c r="N235" s="2">
        <f t="shared" si="187"/>
        <v>26256.656878930004</v>
      </c>
      <c r="O235" s="23">
        <f t="shared" si="188"/>
        <v>-268.07442077289113</v>
      </c>
      <c r="P235" s="1">
        <f t="shared" si="176"/>
        <v>-270.1565722097061</v>
      </c>
      <c r="Q235" s="1">
        <f t="shared" si="191"/>
        <v>0.17959396260514149</v>
      </c>
      <c r="R235">
        <f t="shared" si="196"/>
        <v>0</v>
      </c>
      <c r="S235" s="23">
        <f t="shared" si="190"/>
        <v>1.9255792271088463</v>
      </c>
      <c r="T235">
        <f>$S235+測地線補正!$Q$3*(lattice!$N235/1000)^3+測地線補正!$P$3*(lattice!$N235/1000)^2+測地線補正!$O$3*(lattice!$N235/1000)+測地線補正!$N$3</f>
        <v>-0.15657220970611871</v>
      </c>
      <c r="U235">
        <f t="shared" ref="U235:U236" si="197">ATAN(($P$238-$P$234)/ABS($N$238-$N$234))</f>
        <v>2.1806422637116847E-6</v>
      </c>
      <c r="V235">
        <v>0</v>
      </c>
      <c r="W235">
        <f t="shared" ref="W235:W236" si="198">-ATAN(($M$238-$M$234)/ABS($N$238-$N$234))</f>
        <v>-3.2275395509782963E-5</v>
      </c>
      <c r="X235" t="s">
        <v>3860</v>
      </c>
      <c r="Y235">
        <f>_xlfn.XLOOKUP($F235,設計座標!$E$13:$E$2301,設計座標!$L$13:$L$2301," ",0,1)</f>
        <v>1000</v>
      </c>
      <c r="Z235">
        <f>SQRT(($M$235-$M$232)^2+($N$235-$N$232)^2)</f>
        <v>1761.9215009176983</v>
      </c>
      <c r="AA235">
        <f>_xlfn.XLOOKUP($G235,magnet_list!$A$2:$A$592,magnet_list!$AJ$2:$AJ$592,"n/a",0,1)</f>
        <v>0.95010000000000006</v>
      </c>
      <c r="AB235">
        <f>_xlfn.XLOOKUP($G235,magnet_list!$A$2:$A$592,magnet_list!$L$2:$L$592,"n/a",0,1)</f>
        <v>120</v>
      </c>
    </row>
    <row r="236" spans="1:28">
      <c r="A236" t="s">
        <v>797</v>
      </c>
      <c r="B236" t="s">
        <v>3810</v>
      </c>
      <c r="C236" t="s">
        <v>3855</v>
      </c>
      <c r="D236" t="s">
        <v>1152</v>
      </c>
      <c r="E236" t="s">
        <v>804</v>
      </c>
      <c r="F236" t="s">
        <v>2215</v>
      </c>
      <c r="G236" t="s">
        <v>2215</v>
      </c>
      <c r="I236">
        <f>_xlfn.XLOOKUP($F236,設計座標!$E$13:$E$2301,設計座標!$G$13:$G$2301,"n/a",0,1)</f>
        <v>33.65871047931001</v>
      </c>
      <c r="J236">
        <f>_xlfn.XLOOKUP($F236,設計座標!$E$13:$E$2301,設計座標!$H$13:$H$2301,"n/a",0,1)</f>
        <v>0</v>
      </c>
      <c r="K236">
        <f>_xlfn.XLOOKUP($F236,設計座標!$E$13:$E$2301,設計座標!$I$13:$I$2301,"n/a",0,1)</f>
        <v>26256.656878930004</v>
      </c>
      <c r="L236">
        <f>_xlfn.XLOOKUP($F236,設計座標!$E$13:$E$2301,設計座標!$J$13:$J$2301,"n/a",0,1)</f>
        <v>-270</v>
      </c>
      <c r="M236" s="2">
        <f t="shared" si="186"/>
        <v>0.17959396260514149</v>
      </c>
      <c r="N236" s="2">
        <f t="shared" si="187"/>
        <v>26256.656878930004</v>
      </c>
      <c r="O236" s="23">
        <f t="shared" si="188"/>
        <v>-268.07442077289113</v>
      </c>
      <c r="P236" s="1">
        <f t="shared" si="176"/>
        <v>-270.1565722097061</v>
      </c>
      <c r="Q236" s="1">
        <f t="shared" si="191"/>
        <v>0.17959396260514149</v>
      </c>
      <c r="R236">
        <f t="shared" si="196"/>
        <v>0</v>
      </c>
      <c r="S236" s="23">
        <f t="shared" si="190"/>
        <v>1.9255792271088463</v>
      </c>
      <c r="T236">
        <f>$S236+測地線補正!$Q$3*(lattice!$N236/1000)^3+測地線補正!$P$3*(lattice!$N236/1000)^2+測地線補正!$O$3*(lattice!$N236/1000)+測地線補正!$N$3</f>
        <v>-0.15657220970611871</v>
      </c>
      <c r="U236">
        <f t="shared" si="197"/>
        <v>2.1806422637116847E-6</v>
      </c>
      <c r="V236">
        <v>0</v>
      </c>
      <c r="W236">
        <f t="shared" si="198"/>
        <v>-3.2275395509782963E-5</v>
      </c>
      <c r="X236" t="s">
        <v>3860</v>
      </c>
      <c r="Y236">
        <f>_xlfn.XLOOKUP($F236,設計座標!$E$13:$E$2301,設計座標!$L$13:$L$2301," ",0,1)</f>
        <v>1000</v>
      </c>
      <c r="Z236">
        <f>SQRT(($M$235-$M$232)^2+($N$235-$N$232)^2)</f>
        <v>1761.9215009176983</v>
      </c>
      <c r="AA236">
        <f>_xlfn.XLOOKUP($G236,magnet_list!$A$2:$A$592,magnet_list!$AJ$2:$AJ$592,"n/a",0,1)</f>
        <v>0.95010000000000006</v>
      </c>
      <c r="AB236">
        <f>_xlfn.XLOOKUP($G236,magnet_list!$A$2:$A$592,magnet_list!$L$2:$L$592,"n/a",0,1)</f>
        <v>120</v>
      </c>
    </row>
    <row r="237" spans="1:28">
      <c r="A237" t="s">
        <v>797</v>
      </c>
      <c r="B237" t="s">
        <v>3810</v>
      </c>
      <c r="C237" t="s">
        <v>804</v>
      </c>
      <c r="D237" t="s">
        <v>1152</v>
      </c>
      <c r="E237" t="s">
        <v>804</v>
      </c>
      <c r="F237" t="s">
        <v>1224</v>
      </c>
      <c r="G237" t="s">
        <v>2393</v>
      </c>
      <c r="I237">
        <f>_xlfn.XLOOKUP($F237,設計座標!$E$13:$E$2301,設計座標!$G$13:$G$2301,"n/a",0,1)</f>
        <v>33.969934979310004</v>
      </c>
      <c r="J237">
        <f>_xlfn.XLOOKUP($F237,設計座標!$E$13:$E$2301,設計座標!$H$13:$H$2301,"n/a",0,1)</f>
        <v>0</v>
      </c>
      <c r="K237">
        <f>_xlfn.XLOOKUP($F237,設計座標!$E$13:$E$2301,設計座標!$I$13:$I$2301,"n/a",0,1)</f>
        <v>26567.881378930004</v>
      </c>
      <c r="L237">
        <f>_xlfn.XLOOKUP($F237,設計座標!$E$13:$E$2301,設計座標!$J$13:$J$2301,"n/a",0,1)</f>
        <v>-270</v>
      </c>
      <c r="M237" s="2">
        <f t="shared" si="186"/>
        <v>0.1896388564384639</v>
      </c>
      <c r="N237" s="2">
        <f t="shared" si="187"/>
        <v>26567.881378930004</v>
      </c>
      <c r="O237" s="23">
        <f t="shared" si="188"/>
        <v>-268.05167161951624</v>
      </c>
      <c r="P237" s="1">
        <f t="shared" si="176"/>
        <v>-270.15591580645702</v>
      </c>
      <c r="Q237" s="1">
        <f t="shared" si="191"/>
        <v>0.1896388564384639</v>
      </c>
      <c r="R237">
        <f t="shared" si="196"/>
        <v>0</v>
      </c>
      <c r="S237" s="23">
        <f t="shared" si="190"/>
        <v>1.9483283804837648</v>
      </c>
      <c r="T237">
        <f>$S237+測地線補正!$Q$3*(lattice!$N237/1000)^3+測地線補正!$P$3*(lattice!$N237/1000)^2+測地線補正!$O$3*(lattice!$N237/1000)+測地線補正!$N$3</f>
        <v>-0.15591580645699063</v>
      </c>
      <c r="U237">
        <f t="shared" ref="U237:U238" si="199">ATAN(($P$238-$P$234)/ABS($N$238-$N$234))</f>
        <v>2.1806422637116847E-6</v>
      </c>
      <c r="V237">
        <v>0</v>
      </c>
      <c r="W237">
        <f t="shared" ref="W237:W238" si="200">-ATAN(($M$238-$M$234)/ABS($N$238-$N$234))</f>
        <v>-3.2275395509782963E-5</v>
      </c>
      <c r="X237" t="s">
        <v>3860</v>
      </c>
      <c r="Y237">
        <f>_xlfn.XLOOKUP($F237,設計座標!$E$13:$E$2301,設計座標!$L$13:$L$2301," ",0,1)</f>
        <v>1889.4492</v>
      </c>
      <c r="Z237">
        <f>SQRT(($M$237-$M$235)^2+($N$237-$N$235)^2)</f>
        <v>311.22450016210172</v>
      </c>
    </row>
    <row r="238" spans="1:28">
      <c r="A238" t="s">
        <v>797</v>
      </c>
      <c r="B238" t="s">
        <v>3810</v>
      </c>
      <c r="C238" t="s">
        <v>804</v>
      </c>
      <c r="D238" t="s">
        <v>1152</v>
      </c>
      <c r="E238" t="s">
        <v>804</v>
      </c>
      <c r="F238" t="s">
        <v>1423</v>
      </c>
      <c r="G238" t="s">
        <v>2393</v>
      </c>
      <c r="I238">
        <f>_xlfn.XLOOKUP($F238,設計座標!$E$13:$E$2301,設計座標!$G$13:$G$2301,"n/a",0,1)</f>
        <v>34.914659579310005</v>
      </c>
      <c r="J238">
        <f>_xlfn.XLOOKUP($F238,設計座標!$E$13:$E$2301,設計座標!$H$13:$H$2301,"n/a",0,1)</f>
        <v>0</v>
      </c>
      <c r="K238">
        <f>_xlfn.XLOOKUP($F238,設計座標!$E$13:$E$2301,設計座標!$I$13:$I$2301,"n/a",0,1)</f>
        <v>27512.605978930005</v>
      </c>
      <c r="L238">
        <f>_xlfn.XLOOKUP($F238,設計座標!$E$13:$E$2301,設計座標!$J$13:$J$2301,"n/a",0,1)</f>
        <v>-270</v>
      </c>
      <c r="M238" s="2">
        <f t="shared" si="186"/>
        <v>0.22013021656187307</v>
      </c>
      <c r="N238" s="2">
        <f t="shared" si="187"/>
        <v>27512.605978930005</v>
      </c>
      <c r="O238" s="23">
        <f t="shared" si="188"/>
        <v>-267.9826163721869</v>
      </c>
      <c r="P238" s="1">
        <f t="shared" si="176"/>
        <v>-270.15364107549078</v>
      </c>
      <c r="Q238" s="1">
        <f t="shared" si="191"/>
        <v>0.22013021656187307</v>
      </c>
      <c r="R238">
        <f t="shared" si="196"/>
        <v>0</v>
      </c>
      <c r="S238" s="23">
        <f t="shared" si="190"/>
        <v>2.017383627813131</v>
      </c>
      <c r="T238">
        <f>$S238+測地線補正!$Q$3*(lattice!$N238/1000)^3+測地線補正!$P$3*(lattice!$N238/1000)^2+測地線補正!$O$3*(lattice!$N238/1000)+測地線補正!$N$3</f>
        <v>-0.15364107549079251</v>
      </c>
      <c r="U238">
        <f t="shared" si="199"/>
        <v>2.1806422637116847E-6</v>
      </c>
      <c r="V238">
        <v>0</v>
      </c>
      <c r="W238">
        <f t="shared" si="200"/>
        <v>-3.2275395509782963E-5</v>
      </c>
      <c r="X238" t="s">
        <v>3860</v>
      </c>
      <c r="Y238">
        <f>_xlfn.XLOOKUP($F238,設計座標!$E$13:$E$2301,設計座標!$L$13:$L$2301," ",0,1)</f>
        <v>1889.4492</v>
      </c>
      <c r="Z238">
        <f>SQRT(($M$237-$M$235)^2+($N$237-$N$235)^2)</f>
        <v>311.22450016210172</v>
      </c>
    </row>
    <row r="239" spans="1:28">
      <c r="A239" t="s">
        <v>797</v>
      </c>
      <c r="B239" t="s">
        <v>3810</v>
      </c>
      <c r="C239" t="s">
        <v>1152</v>
      </c>
      <c r="D239" t="s">
        <v>1152</v>
      </c>
      <c r="E239" t="s">
        <v>804</v>
      </c>
      <c r="F239" t="s">
        <v>1967</v>
      </c>
      <c r="G239" t="s">
        <v>1967</v>
      </c>
      <c r="I239">
        <f>_xlfn.XLOOKUP($F239,設計座標!$E$13:$E$2301,設計座標!$G$13:$G$2301,"n/a",0,1)</f>
        <v>35.048659479310004</v>
      </c>
      <c r="J239">
        <f>_xlfn.XLOOKUP($F239,設計座標!$E$13:$E$2301,設計座標!$H$13:$H$2301,"n/a",0,1)</f>
        <v>0</v>
      </c>
      <c r="K239">
        <f>_xlfn.XLOOKUP($F239,設計座標!$E$13:$E$2301,設計座標!$I$13:$I$2301,"n/a",0,1)</f>
        <v>27646.605878930004</v>
      </c>
      <c r="L239">
        <f>_xlfn.XLOOKUP($F239,設計座標!$E$13:$E$2301,設計座標!$J$13:$J$2301,"n/a",0,1)</f>
        <v>-270</v>
      </c>
      <c r="M239" s="2">
        <f t="shared" si="186"/>
        <v>0.22445511633414617</v>
      </c>
      <c r="N239" s="2">
        <f t="shared" si="187"/>
        <v>27646.605878930004</v>
      </c>
      <c r="O239" s="23">
        <f t="shared" si="188"/>
        <v>-267.97282156401036</v>
      </c>
      <c r="P239" s="1">
        <f t="shared" si="176"/>
        <v>-270.15328487936694</v>
      </c>
      <c r="Q239" s="1">
        <f t="shared" si="191"/>
        <v>0.22445511633414617</v>
      </c>
      <c r="R239">
        <f t="shared" si="196"/>
        <v>0</v>
      </c>
      <c r="S239" s="23">
        <f t="shared" si="190"/>
        <v>2.0271784359896201</v>
      </c>
      <c r="T239">
        <f>$S239+測地線補正!$Q$3*(lattice!$N239/1000)^3+測地線補正!$P$3*(lattice!$N239/1000)^2+測地線補正!$O$3*(lattice!$N239/1000)+測地線補正!$N$3</f>
        <v>-0.15328487936691357</v>
      </c>
      <c r="U239">
        <v>0</v>
      </c>
      <c r="V239">
        <v>0</v>
      </c>
      <c r="W239">
        <v>0</v>
      </c>
      <c r="X239">
        <f>SQRT(($M$239-$M$238)^2+($N$239-$N$238)^2)</f>
        <v>133.99990006979283</v>
      </c>
      <c r="Y239">
        <f>_xlfn.XLOOKUP($F239,設計座標!$E$13:$E$2301,設計座標!$L$13:$L$2301," ",0,1)</f>
        <v>0</v>
      </c>
      <c r="Z239">
        <f>SQRT(($M$239-$M$237)^2+($N$239-$N$237)^2)</f>
        <v>1078.7245005618545</v>
      </c>
    </row>
    <row r="240" spans="1:28">
      <c r="A240" t="s">
        <v>797</v>
      </c>
      <c r="B240" t="s">
        <v>3810</v>
      </c>
      <c r="C240" t="s">
        <v>805</v>
      </c>
      <c r="D240" t="s">
        <v>806</v>
      </c>
      <c r="F240" t="s">
        <v>24</v>
      </c>
      <c r="G240" t="s">
        <v>2394</v>
      </c>
      <c r="I240">
        <f>_xlfn.XLOOKUP($F240,設計座標!$E$13:$E$2301,設計座標!$G$13:$G$2301,"n/a",0,1)</f>
        <v>35.169218301379999</v>
      </c>
      <c r="J240">
        <f>_xlfn.XLOOKUP($F240,設計座標!$E$13:$E$2301,設計座標!$H$13:$H$2301,"n/a",0,1)</f>
        <v>0</v>
      </c>
      <c r="K240">
        <f>_xlfn.XLOOKUP($F240,設計座標!$E$13:$E$2301,設計座標!$I$13:$I$2301,"n/a",0,1)</f>
        <v>27767.164701000002</v>
      </c>
      <c r="L240">
        <f>_xlfn.XLOOKUP($F240,設計座標!$E$13:$E$2301,設計座標!$J$13:$J$2301,"n/a",0,1)</f>
        <v>-70</v>
      </c>
      <c r="M240" s="2">
        <f>_xlfn.XLOOKUP($F240,survey_data!$A$2:$A$833,survey_data!$B$2:$B$833,"n/a",0,1)</f>
        <v>0.2283462</v>
      </c>
      <c r="N240" s="2">
        <f>_xlfn.XLOOKUP($F240,survey_data!$A$2:$A$833,survey_data!$C$2:$C$833,"n/a",0,1)</f>
        <v>27767.164701000002</v>
      </c>
      <c r="O240" s="23">
        <f>_xlfn.XLOOKUP($F240,survey_data!$A$2:$A$833,survey_data!$D$2:$D$833,"n/a",0,1)</f>
        <v>-67.964009239999996</v>
      </c>
      <c r="P240" s="1">
        <f t="shared" si="176"/>
        <v>-70.152957442065386</v>
      </c>
      <c r="Q240" s="1">
        <f t="shared" ref="Q240:Q295" si="201">$M240-$J240</f>
        <v>0.2283462</v>
      </c>
      <c r="R240">
        <f t="shared" si="196"/>
        <v>0</v>
      </c>
      <c r="S240" s="23">
        <f t="shared" ref="S240:S295" si="202">$O240-$L240</f>
        <v>2.0359907600000042</v>
      </c>
      <c r="T240">
        <f>$S240+測地線補正!$Q$3*(lattice!$N240/1000)^3+測地線補正!$P$3*(lattice!$N240/1000)^2+測地線補正!$O$3*(lattice!$N240/1000)+測地線補正!$N$3</f>
        <v>-0.15295744206538439</v>
      </c>
      <c r="U240">
        <f>ATAN(($P$241-$P$240)/ABS($N$241-$N$240))</f>
        <v>1.8393926793432589E-4</v>
      </c>
      <c r="V240">
        <v>0</v>
      </c>
      <c r="W240">
        <f>-ATAN(($M$241-$M$240)/ABS($N$241-$N$240))</f>
        <v>7.9727675593550557E-4</v>
      </c>
      <c r="X240">
        <f>$Z$241-($Y$241+$Y$239)/2</f>
        <v>100.57274445335253</v>
      </c>
      <c r="Y240">
        <f>_xlfn.XLOOKUP($F240,設計座標!$E$13:$E$2301,設計座標!$L$13:$L$2301," ",0,1)</f>
        <v>100</v>
      </c>
      <c r="Z240">
        <f>SQRT(($M$241-$M$239)^2+($N$241-$N$239)^2)</f>
        <v>150.57274445335253</v>
      </c>
      <c r="AA240">
        <f>_xlfn.XLOOKUP($G240,magnet_list!$A$2:$A$592,magnet_list!$AJ$2:$AJ$592,"n/a",0,1)</f>
        <v>0.121</v>
      </c>
      <c r="AB240">
        <f>_xlfn.XLOOKUP($G240,magnet_list!$A$2:$A$592,magnet_list!$L$2:$L$592,"n/a",0,1)</f>
        <v>44</v>
      </c>
    </row>
    <row r="241" spans="1:28">
      <c r="A241" t="s">
        <v>797</v>
      </c>
      <c r="B241" t="s">
        <v>3810</v>
      </c>
      <c r="C241" t="s">
        <v>805</v>
      </c>
      <c r="D241" t="s">
        <v>1152</v>
      </c>
      <c r="E241" t="s">
        <v>804</v>
      </c>
      <c r="F241" t="s">
        <v>545</v>
      </c>
      <c r="G241" t="s">
        <v>2394</v>
      </c>
      <c r="I241">
        <f>_xlfn.XLOOKUP($F241,設計座標!$E$13:$E$2301,設計座標!$G$13:$G$2301,"n/a",0,1)</f>
        <v>35.199232222429998</v>
      </c>
      <c r="J241">
        <f>_xlfn.XLOOKUP($F241,設計座標!$E$13:$E$2301,設計座標!$H$13:$H$2301,"n/a",0,1)</f>
        <v>0</v>
      </c>
      <c r="K241">
        <f>_xlfn.XLOOKUP($F241,設計座標!$E$13:$E$2301,設計座標!$I$13:$I$2301,"n/a",0,1)</f>
        <v>27797.17862205</v>
      </c>
      <c r="L241">
        <f>_xlfn.XLOOKUP($F241,設計座標!$E$13:$E$2301,設計座標!$J$13:$J$2301,"n/a",0,1)</f>
        <v>-70</v>
      </c>
      <c r="M241" s="2">
        <f t="shared" si="186"/>
        <v>0.20441679332210849</v>
      </c>
      <c r="N241" s="2">
        <f t="shared" si="187"/>
        <v>27797.17862205</v>
      </c>
      <c r="O241" s="23">
        <f t="shared" si="188"/>
        <v>-67.956377153326628</v>
      </c>
      <c r="P241" s="1">
        <f t="shared" si="176"/>
        <v>-70.147436703337348</v>
      </c>
      <c r="Q241" s="1">
        <f>(Q$242-Q$240)/($N$242-$N$240)*($N241-$N$240)+Q$240</f>
        <v>0.20441679332210849</v>
      </c>
      <c r="R241">
        <f t="shared" si="196"/>
        <v>0</v>
      </c>
      <c r="S241" s="23">
        <f>(S$242-S$240)/($N$242-$N$240)*($N241-$N$240)+S$240</f>
        <v>2.0436228466733746</v>
      </c>
      <c r="T241">
        <f>$S241+測地線補正!$Q$3*(lattice!$N241/1000)^3+測地線補正!$P$3*(lattice!$N241/1000)^2+測地線補正!$O$3*(lattice!$N241/1000)+測地線補正!$N$3</f>
        <v>-0.14743670333734679</v>
      </c>
      <c r="U241">
        <f>ATAN(($P$241-$P$240)/ABS($N$241-$N$240))</f>
        <v>1.8393926793432589E-4</v>
      </c>
      <c r="V241">
        <v>0</v>
      </c>
      <c r="W241">
        <f>-ATAN(($M$241-$M$240)/ABS($N$241-$N$240))</f>
        <v>7.9727675593550557E-4</v>
      </c>
      <c r="X241">
        <f>$Z$241-($Y$241+$Y$239)/2</f>
        <v>100.57274445335253</v>
      </c>
      <c r="Y241">
        <f>_xlfn.XLOOKUP($F241,設計座標!$E$13:$E$2301,設計座標!$L$13:$L$2301," ",0,1)</f>
        <v>100</v>
      </c>
      <c r="Z241">
        <f>SQRT(($M$241-$M$239)^2+($N$241-$N$239)^2)</f>
        <v>150.57274445335253</v>
      </c>
      <c r="AA241">
        <f>_xlfn.XLOOKUP($G241,magnet_list!$A$2:$A$592,magnet_list!$AJ$2:$AJ$592,"n/a",0,1)</f>
        <v>0.121</v>
      </c>
      <c r="AB241">
        <f>_xlfn.XLOOKUP($G241,magnet_list!$A$2:$A$592,magnet_list!$L$2:$L$592,"n/a",0,1)</f>
        <v>44</v>
      </c>
    </row>
    <row r="242" spans="1:28">
      <c r="A242" t="s">
        <v>797</v>
      </c>
      <c r="B242" t="s">
        <v>3810</v>
      </c>
      <c r="C242" t="s">
        <v>805</v>
      </c>
      <c r="D242" t="s">
        <v>806</v>
      </c>
      <c r="F242" t="s">
        <v>25</v>
      </c>
      <c r="G242" t="s">
        <v>25</v>
      </c>
      <c r="I242">
        <f>_xlfn.XLOOKUP($F242,設計座標!$E$13:$E$2301,設計座標!$G$13:$G$2301,"n/a",0,1)</f>
        <v>35.379347222429999</v>
      </c>
      <c r="J242">
        <f>_xlfn.XLOOKUP($F242,設計座標!$E$13:$E$2301,設計座標!$H$13:$H$2301,"n/a",0,1)</f>
        <v>0</v>
      </c>
      <c r="K242">
        <f>_xlfn.XLOOKUP($F242,設計座標!$E$13:$E$2301,設計座標!$I$13:$I$2301,"n/a",0,1)</f>
        <v>27977.293622050001</v>
      </c>
      <c r="L242">
        <f>_xlfn.XLOOKUP($F242,設計座標!$E$13:$E$2301,設計座標!$J$13:$J$2301,"n/a",0,1)</f>
        <v>-70</v>
      </c>
      <c r="M242" s="2">
        <f>_xlfn.XLOOKUP($F242,survey_data!$A$2:$A$833,survey_data!$B$2:$B$833,"n/a",0,1)</f>
        <v>6.0815260000000003E-2</v>
      </c>
      <c r="N242" s="2">
        <f>_xlfn.XLOOKUP($F242,survey_data!$A$2:$A$833,survey_data!$C$2:$C$833,"n/a",0,1)</f>
        <v>27977.293622050001</v>
      </c>
      <c r="O242" s="23">
        <f>_xlfn.XLOOKUP($F242,survey_data!$A$2:$A$833,survey_data!$D$2:$D$833,"n/a",0,1)</f>
        <v>-67.910576629999994</v>
      </c>
      <c r="P242" s="1">
        <f t="shared" si="176"/>
        <v>-70.114297982530516</v>
      </c>
      <c r="Q242" s="1">
        <f t="shared" si="201"/>
        <v>6.0815260000000003E-2</v>
      </c>
      <c r="R242">
        <f t="shared" si="196"/>
        <v>0</v>
      </c>
      <c r="S242" s="23">
        <f t="shared" si="202"/>
        <v>2.0894233700000058</v>
      </c>
      <c r="T242">
        <f>$S242+測地線補正!$Q$3*(lattice!$N242/1000)^3+測地線補正!$P$3*(lattice!$N242/1000)^2+測地線補正!$O$3*(lattice!$N242/1000)+測地線補正!$N$3</f>
        <v>-0.11429798253052223</v>
      </c>
      <c r="U242">
        <f>ATAN(($P$243-$P$242)/ABS($N$243-$N$242))</f>
        <v>-2.9823129021741004E-4</v>
      </c>
      <c r="V242">
        <v>0</v>
      </c>
      <c r="W242">
        <f>-ATAN(($M$243-$M$242)/ABS($N$243-$N$242))</f>
        <v>1.5182941511718119E-4</v>
      </c>
      <c r="X242">
        <f>$Z$243-($Y$243+$Y$241)/2</f>
        <v>110.11056363862389</v>
      </c>
      <c r="Y242">
        <f>_xlfn.XLOOKUP($F242,設計座標!$E$13:$E$2301,設計座標!$L$13:$L$2301," ",0,1)</f>
        <v>200</v>
      </c>
      <c r="Z242">
        <f>SQRT(($M$243-$M$241)^2+($N$243-$N$241)^2)</f>
        <v>260.11056363862389</v>
      </c>
      <c r="AA242">
        <f>_xlfn.XLOOKUP($G242,magnet_list!$A$2:$A$592,magnet_list!$AJ$2:$AJ$592,"n/a",0,1)</f>
        <v>0.222</v>
      </c>
      <c r="AB242">
        <f>_xlfn.XLOOKUP($G242,magnet_list!$A$2:$A$592,magnet_list!$L$2:$L$592,"n/a",0,1)</f>
        <v>44</v>
      </c>
    </row>
    <row r="243" spans="1:28">
      <c r="A243" t="s">
        <v>797</v>
      </c>
      <c r="B243" t="s">
        <v>3810</v>
      </c>
      <c r="C243" t="s">
        <v>805</v>
      </c>
      <c r="D243" t="s">
        <v>1152</v>
      </c>
      <c r="E243" t="s">
        <v>804</v>
      </c>
      <c r="F243" t="s">
        <v>546</v>
      </c>
      <c r="G243" t="s">
        <v>25</v>
      </c>
      <c r="I243">
        <f>_xlfn.XLOOKUP($F243,設計座標!$E$13:$E$2301,設計座標!$G$13:$G$2301,"n/a",0,1)</f>
        <v>35.459342739439997</v>
      </c>
      <c r="J243">
        <f>_xlfn.XLOOKUP($F243,設計座標!$E$13:$E$2301,設計座標!$H$13:$H$2301,"n/a",0,1)</f>
        <v>0</v>
      </c>
      <c r="K243">
        <f>_xlfn.XLOOKUP($F243,設計座標!$E$13:$E$2301,設計座標!$I$13:$I$2301,"n/a",0,1)</f>
        <v>28057.289139060002</v>
      </c>
      <c r="L243">
        <f>_xlfn.XLOOKUP($F243,設計座標!$E$13:$E$2301,設計座標!$J$13:$J$2301,"n/a",0,1)</f>
        <v>-70</v>
      </c>
      <c r="M243" s="2">
        <f t="shared" si="186"/>
        <v>4.8669587347047114E-2</v>
      </c>
      <c r="N243" s="2">
        <f t="shared" si="187"/>
        <v>28057.289139060002</v>
      </c>
      <c r="O243" s="23">
        <f t="shared" si="188"/>
        <v>-67.928814884996612</v>
      </c>
      <c r="P243" s="1">
        <f t="shared" si="176"/>
        <v>-70.138155149487318</v>
      </c>
      <c r="Q243" s="1">
        <f>(Q$245-Q$242)/($N$245-$N$242)*($N243-$N$242)+Q$242</f>
        <v>4.8669587347047114E-2</v>
      </c>
      <c r="R243">
        <f t="shared" si="196"/>
        <v>0</v>
      </c>
      <c r="S243" s="23">
        <f t="shared" ref="S243:S244" si="203">(S$245-S$242)/($N$245-$N$242)*($N243-$N$242)+S$242</f>
        <v>2.0711851150033933</v>
      </c>
      <c r="T243">
        <f>$S243+測地線補正!$Q$3*(lattice!$N243/1000)^3+測地線補正!$P$3*(lattice!$N243/1000)^2+測地線補正!$O$3*(lattice!$N243/1000)+測地線補正!$N$3</f>
        <v>-0.13815514948732308</v>
      </c>
      <c r="U243">
        <f>ATAN(($P$243-$P$242)/ABS($N$243-$N$242))</f>
        <v>-2.9823129021741004E-4</v>
      </c>
      <c r="V243">
        <v>0</v>
      </c>
      <c r="W243">
        <f>-ATAN(($M$243-$M$242)/ABS($N$243-$N$242))</f>
        <v>1.5182941511718119E-4</v>
      </c>
      <c r="X243">
        <f>$Z$243-($Y$243+$Y$241)/2</f>
        <v>110.11056363862389</v>
      </c>
      <c r="Y243">
        <f>_xlfn.XLOOKUP($F243,設計座標!$E$13:$E$2301,設計座標!$L$13:$L$2301," ",0,1)</f>
        <v>200</v>
      </c>
      <c r="Z243">
        <f>SQRT(($M$243-$M$241)^2+($N$243-$N$241)^2)</f>
        <v>260.11056363862389</v>
      </c>
      <c r="AA243">
        <f>_xlfn.XLOOKUP($G243,magnet_list!$A$2:$A$592,magnet_list!$AJ$2:$AJ$592,"n/a",0,1)</f>
        <v>0.222</v>
      </c>
      <c r="AB243">
        <f>_xlfn.XLOOKUP($G243,magnet_list!$A$2:$A$592,magnet_list!$L$2:$L$592,"n/a",0,1)</f>
        <v>44</v>
      </c>
    </row>
    <row r="244" spans="1:28">
      <c r="A244" t="s">
        <v>797</v>
      </c>
      <c r="B244" t="s">
        <v>3810</v>
      </c>
      <c r="C244" t="s">
        <v>805</v>
      </c>
      <c r="D244" t="s">
        <v>1152</v>
      </c>
      <c r="E244" t="s">
        <v>804</v>
      </c>
      <c r="F244" t="s">
        <v>547</v>
      </c>
      <c r="G244" t="s">
        <v>2394</v>
      </c>
      <c r="I244">
        <f>_xlfn.XLOOKUP($F244,設計座標!$E$13:$E$2301,設計座標!$G$13:$G$2301,"n/a",0,1)</f>
        <v>35.719608739439998</v>
      </c>
      <c r="J244">
        <f>_xlfn.XLOOKUP($F244,設計座標!$E$13:$E$2301,設計座標!$H$13:$H$2301,"n/a",0,1)</f>
        <v>0</v>
      </c>
      <c r="K244">
        <f>_xlfn.XLOOKUP($F244,設計座標!$E$13:$E$2301,設計座標!$I$13:$I$2301,"n/a",0,1)</f>
        <v>28317.555139060001</v>
      </c>
      <c r="L244">
        <f>_xlfn.XLOOKUP($F244,設計座標!$E$13:$E$2301,設計座標!$J$13:$J$2301,"n/a",0,1)</f>
        <v>-70</v>
      </c>
      <c r="M244" s="2">
        <f t="shared" si="186"/>
        <v>9.153552488515411E-3</v>
      </c>
      <c r="N244" s="2">
        <f t="shared" si="187"/>
        <v>28317.555139060001</v>
      </c>
      <c r="O244" s="23">
        <f t="shared" si="188"/>
        <v>-67.988153181095811</v>
      </c>
      <c r="P244" s="1">
        <f t="shared" si="176"/>
        <v>-70.215755027177053</v>
      </c>
      <c r="Q244" s="1">
        <f>(Q$245-Q$242)/($N$245-$N$242)*($N244-$N$242)+Q$242</f>
        <v>9.153552488515411E-3</v>
      </c>
      <c r="R244">
        <f t="shared" si="196"/>
        <v>0</v>
      </c>
      <c r="S244" s="23">
        <f t="shared" si="203"/>
        <v>2.0118468189041896</v>
      </c>
      <c r="T244">
        <f>$S244+測地線補正!$Q$3*(lattice!$N244/1000)^3+測地線補正!$P$3*(lattice!$N244/1000)^2+測地線補正!$O$3*(lattice!$N244/1000)+測地線補正!$N$3</f>
        <v>-0.21575502717704861</v>
      </c>
      <c r="U244">
        <f>ATAN(($P$245-$P$244)/ABS($N$245-$N$244))</f>
        <v>-2.9809225985133058E-4</v>
      </c>
      <c r="V244">
        <v>0</v>
      </c>
      <c r="W244">
        <f>-ATAN(($M$245-$M$244)/ABS($N$245-$N$244))</f>
        <v>1.5182941511718111E-4</v>
      </c>
      <c r="X244">
        <f>$Z$244-($Y$244+$Y$243)/2</f>
        <v>110.26600299984784</v>
      </c>
      <c r="Y244">
        <f>_xlfn.XLOOKUP($F244,設計座標!$E$13:$E$2301,設計座標!$L$13:$L$2301," ",0,1)</f>
        <v>100</v>
      </c>
      <c r="Z244">
        <f>SQRT(($M$244-$M$243)^2+($N$244-$N$243)^2)</f>
        <v>260.26600299984784</v>
      </c>
      <c r="AA244">
        <f>_xlfn.XLOOKUP($G244,magnet_list!$A$2:$A$592,magnet_list!$AJ$2:$AJ$592,"n/a",0,1)</f>
        <v>0.121</v>
      </c>
      <c r="AB244">
        <f>_xlfn.XLOOKUP($G244,magnet_list!$A$2:$A$592,magnet_list!$L$2:$L$592,"n/a",0,1)</f>
        <v>44</v>
      </c>
    </row>
    <row r="245" spans="1:28">
      <c r="A245" t="s">
        <v>797</v>
      </c>
      <c r="B245" t="s">
        <v>3810</v>
      </c>
      <c r="C245" t="s">
        <v>805</v>
      </c>
      <c r="D245" t="s">
        <v>806</v>
      </c>
      <c r="F245" t="s">
        <v>26</v>
      </c>
      <c r="G245" t="s">
        <v>2394</v>
      </c>
      <c r="I245">
        <f>_xlfn.XLOOKUP($F245,設計座標!$E$13:$E$2301,設計座標!$G$13:$G$2301,"n/a",0,1)</f>
        <v>35.749608739439999</v>
      </c>
      <c r="J245">
        <f>_xlfn.XLOOKUP($F245,設計座標!$E$13:$E$2301,設計座標!$H$13:$H$2301,"n/a",0,1)</f>
        <v>0</v>
      </c>
      <c r="K245">
        <f>_xlfn.XLOOKUP($F245,設計座標!$E$13:$E$2301,設計座標!$I$13:$I$2301,"n/a",0,1)</f>
        <v>28347.555139060001</v>
      </c>
      <c r="L245">
        <f>_xlfn.XLOOKUP($F245,設計座標!$E$13:$E$2301,設計座標!$J$13:$J$2301,"n/a",0,1)</f>
        <v>-70</v>
      </c>
      <c r="M245" s="2">
        <f>_xlfn.XLOOKUP($F245,survey_data!$A$2:$A$833,survey_data!$B$2:$B$833,"n/a",0,1)</f>
        <v>4.59867E-3</v>
      </c>
      <c r="N245" s="2">
        <f>_xlfn.XLOOKUP($F245,survey_data!$A$2:$A$833,survey_data!$C$2:$C$833,"n/a",0,1)</f>
        <v>28347.555139060001</v>
      </c>
      <c r="O245" s="23">
        <f>_xlfn.XLOOKUP($F245,survey_data!$A$2:$A$833,survey_data!$D$2:$D$833,"n/a",0,1)</f>
        <v>-67.994992909999993</v>
      </c>
      <c r="P245" s="1">
        <f t="shared" si="176"/>
        <v>-70.224697795237475</v>
      </c>
      <c r="Q245" s="1">
        <f t="shared" si="201"/>
        <v>4.59867E-3</v>
      </c>
      <c r="R245">
        <f t="shared" si="196"/>
        <v>0</v>
      </c>
      <c r="S245" s="23">
        <f t="shared" si="202"/>
        <v>2.0050070900000065</v>
      </c>
      <c r="T245">
        <f>$S245+測地線補正!$Q$3*(lattice!$N245/1000)^3+測地線補正!$P$3*(lattice!$N245/1000)^2+測地線補正!$O$3*(lattice!$N245/1000)+測地線補正!$N$3</f>
        <v>-0.22469779523747654</v>
      </c>
      <c r="U245">
        <f>ATAN(($P$245-$P$244)/ABS($N$245-$N$244))</f>
        <v>-2.9809225985133058E-4</v>
      </c>
      <c r="V245">
        <v>0</v>
      </c>
      <c r="W245">
        <f>-ATAN(($M$245-$M$244)/ABS($N$245-$N$244))</f>
        <v>1.5182941511718111E-4</v>
      </c>
      <c r="X245">
        <f>$Z$244-($Y$244+$Y$243)/2</f>
        <v>110.26600299984784</v>
      </c>
      <c r="Y245">
        <f>_xlfn.XLOOKUP($F245,設計座標!$E$13:$E$2301,設計座標!$L$13:$L$2301," ",0,1)</f>
        <v>100</v>
      </c>
      <c r="Z245">
        <f>SQRT(($M$244-$M$243)^2+($N$244-$N$243)^2)</f>
        <v>260.26600299984784</v>
      </c>
      <c r="AA245">
        <f>_xlfn.XLOOKUP($G245,magnet_list!$A$2:$A$592,magnet_list!$AJ$2:$AJ$592,"n/a",0,1)</f>
        <v>0.121</v>
      </c>
      <c r="AB245">
        <f>_xlfn.XLOOKUP($G245,magnet_list!$A$2:$A$592,magnet_list!$L$2:$L$592,"n/a",0,1)</f>
        <v>44</v>
      </c>
    </row>
    <row r="246" spans="1:28">
      <c r="A246" t="s">
        <v>797</v>
      </c>
      <c r="B246" t="s">
        <v>3810</v>
      </c>
      <c r="C246" t="s">
        <v>1152</v>
      </c>
      <c r="D246" t="s">
        <v>1152</v>
      </c>
      <c r="E246" t="s">
        <v>804</v>
      </c>
      <c r="F246" t="s">
        <v>1968</v>
      </c>
      <c r="G246" t="s">
        <v>1968</v>
      </c>
      <c r="I246">
        <f>_xlfn.XLOOKUP($F246,設計座標!$E$13:$E$2301,設計座標!$G$13:$G$2301,"n/a",0,1)</f>
        <v>35.987807479310007</v>
      </c>
      <c r="J246">
        <f>_xlfn.XLOOKUP($F246,設計座標!$E$13:$E$2301,設計座標!$H$13:$H$2301,"n/a",0,1)</f>
        <v>0</v>
      </c>
      <c r="K246">
        <f>_xlfn.XLOOKUP($F246,設計座標!$E$13:$E$2301,設計座標!$I$13:$I$2301,"n/a",0,1)</f>
        <v>28585.753878930005</v>
      </c>
      <c r="L246">
        <f>_xlfn.XLOOKUP($F246,設計座標!$E$13:$E$2301,設計座標!$J$13:$J$2301,"n/a",0,1)</f>
        <v>-270</v>
      </c>
      <c r="M246" s="2">
        <f t="shared" si="186"/>
        <v>1.1824880550180997E-2</v>
      </c>
      <c r="N246" s="2">
        <f t="shared" si="187"/>
        <v>28585.753878930005</v>
      </c>
      <c r="O246" s="23">
        <f t="shared" si="188"/>
        <v>-267.97896430970133</v>
      </c>
      <c r="P246" s="1">
        <f t="shared" si="176"/>
        <v>-270.22535334390545</v>
      </c>
      <c r="Q246" s="1">
        <f>(Q$259-Q$245)/($N$259-$N$245)*($N246-$N$245)+Q$245</f>
        <v>1.1824880550180997E-2</v>
      </c>
      <c r="R246">
        <f t="shared" si="196"/>
        <v>0</v>
      </c>
      <c r="S246" s="23">
        <f t="shared" ref="S246:S258" si="204">(S$259-S$245)/($N$259-$N$245)*($N246-$N$245)+S$245</f>
        <v>2.0210356902986573</v>
      </c>
      <c r="T246">
        <f>$S246+測地線補正!$Q$3*(lattice!$N246/1000)^3+測地線補正!$P$3*(lattice!$N246/1000)^2+測地線補正!$O$3*(lattice!$N246/1000)+測地線補正!$N$3</f>
        <v>-0.22535334390544412</v>
      </c>
      <c r="U246">
        <v>0</v>
      </c>
      <c r="V246">
        <v>0</v>
      </c>
      <c r="W246">
        <v>0</v>
      </c>
      <c r="X246">
        <f>$Z$246-($Y$246+$Y$245)/2</f>
        <v>218.1987398833075</v>
      </c>
      <c r="Y246">
        <f>_xlfn.XLOOKUP($F246,設計座標!$E$13:$E$2301,設計座標!$L$13:$L$2301," ",0,1)</f>
        <v>0</v>
      </c>
      <c r="Z246">
        <f>SQRT(($M$246-$M$244)^2+($N$246-$N$244)^2)</f>
        <v>268.1987398833075</v>
      </c>
    </row>
    <row r="247" spans="1:28">
      <c r="A247" t="s">
        <v>797</v>
      </c>
      <c r="B247" t="s">
        <v>3810</v>
      </c>
      <c r="C247" t="s">
        <v>804</v>
      </c>
      <c r="D247" t="s">
        <v>1152</v>
      </c>
      <c r="E247" t="s">
        <v>804</v>
      </c>
      <c r="F247" t="s">
        <v>1424</v>
      </c>
      <c r="G247" t="s">
        <v>2395</v>
      </c>
      <c r="I247">
        <f>_xlfn.XLOOKUP($F247,設計座標!$E$13:$E$2301,設計座標!$G$13:$G$2301,"n/a",0,1)</f>
        <v>36.121807379310006</v>
      </c>
      <c r="J247">
        <f>_xlfn.XLOOKUP($F247,設計座標!$E$13:$E$2301,設計座標!$H$13:$H$2301,"n/a",0,1)</f>
        <v>0</v>
      </c>
      <c r="K247">
        <f>_xlfn.XLOOKUP($F247,設計座標!$E$13:$E$2301,設計座標!$I$13:$I$2301,"n/a",0,1)</f>
        <v>28719.753778930004</v>
      </c>
      <c r="L247">
        <f>_xlfn.XLOOKUP($F247,設計座標!$E$13:$E$2301,設計座標!$J$13:$J$2301,"n/a",0,1)</f>
        <v>-270</v>
      </c>
      <c r="M247" s="2">
        <f t="shared" si="186"/>
        <v>1.5890021665669867E-2</v>
      </c>
      <c r="N247" s="2">
        <f t="shared" si="187"/>
        <v>28719.753778930004</v>
      </c>
      <c r="O247" s="23">
        <f t="shared" si="188"/>
        <v>-267.96994733992926</v>
      </c>
      <c r="P247" s="1">
        <f t="shared" si="176"/>
        <v>-270.22571136255721</v>
      </c>
      <c r="Q247" s="1">
        <f t="shared" ref="Q247:Q258" si="205">(Q$259-Q$245)/($N$259-$N$245)*($N247-$N$245)+Q$245</f>
        <v>1.5890021665669867E-2</v>
      </c>
      <c r="R247">
        <f t="shared" si="196"/>
        <v>0</v>
      </c>
      <c r="S247" s="23">
        <f t="shared" si="204"/>
        <v>2.0300526600707531</v>
      </c>
      <c r="T247">
        <f>$S247+測地線補正!$Q$3*(lattice!$N247/1000)^3+測地線補正!$P$3*(lattice!$N247/1000)^2+測地線補正!$O$3*(lattice!$N247/1000)+測地線補正!$N$3</f>
        <v>-0.22571136255720767</v>
      </c>
      <c r="U247">
        <f>ATAN(($P$251-$P$247)/ABS($N$251-$N$247))</f>
        <v>-2.2540679118195322E-6</v>
      </c>
      <c r="V247">
        <v>0</v>
      </c>
      <c r="W247">
        <f>-ATAN(($M$251-$M$247)/ABS($N$251-$N$247))</f>
        <v>-3.0336896626354315E-5</v>
      </c>
      <c r="X247">
        <f>SQRT(($M$247-$M$246)^2+($N$247-$N$246)^2)</f>
        <v>133.99990006166078</v>
      </c>
      <c r="Y247">
        <f>_xlfn.XLOOKUP($F247,設計座標!$E$13:$E$2301,設計座標!$L$13:$L$2301," ",0,1)</f>
        <v>1889.4492</v>
      </c>
      <c r="Z247">
        <f>SQRT(($M$250-$M$248)^2+($N$250-$N$248)^2)</f>
        <v>311.22450014321447</v>
      </c>
    </row>
    <row r="248" spans="1:28">
      <c r="A248" t="s">
        <v>797</v>
      </c>
      <c r="B248" t="s">
        <v>3810</v>
      </c>
      <c r="C248" t="s">
        <v>3855</v>
      </c>
      <c r="D248" t="s">
        <v>1152</v>
      </c>
      <c r="E248" t="s">
        <v>804</v>
      </c>
      <c r="F248" t="s">
        <v>2216</v>
      </c>
      <c r="G248" t="s">
        <v>2216</v>
      </c>
      <c r="I248">
        <f>_xlfn.XLOOKUP($F248,設計座標!$E$13:$E$2301,設計座標!$G$13:$G$2301,"n/a",0,1)</f>
        <v>36.755307479310005</v>
      </c>
      <c r="J248">
        <f>_xlfn.XLOOKUP($F248,設計座標!$E$13:$E$2301,設計座標!$H$13:$H$2301,"n/a",0,1)</f>
        <v>0</v>
      </c>
      <c r="K248">
        <f>_xlfn.XLOOKUP($F248,設計座標!$E$13:$E$2301,設計座標!$I$13:$I$2301,"n/a",0,1)</f>
        <v>29353.253878930005</v>
      </c>
      <c r="L248">
        <f>_xlfn.XLOOKUP($F248,設計座標!$E$13:$E$2301,設計座標!$J$13:$J$2301,"n/a",0,1)</f>
        <v>-270</v>
      </c>
      <c r="M248" s="2">
        <f t="shared" si="186"/>
        <v>3.5108448718050772E-2</v>
      </c>
      <c r="N248" s="2">
        <f t="shared" si="187"/>
        <v>29353.253878930005</v>
      </c>
      <c r="O248" s="23">
        <f t="shared" si="188"/>
        <v>-267.92731856742779</v>
      </c>
      <c r="P248" s="1">
        <f t="shared" si="176"/>
        <v>-270.22730103390472</v>
      </c>
      <c r="Q248" s="1">
        <f t="shared" si="205"/>
        <v>3.5108448718050772E-2</v>
      </c>
      <c r="R248">
        <f t="shared" si="196"/>
        <v>0</v>
      </c>
      <c r="S248" s="23">
        <f t="shared" si="204"/>
        <v>2.0726814325722227</v>
      </c>
      <c r="T248">
        <f>$S248+測地線補正!$Q$3*(lattice!$N248/1000)^3+測地線補正!$P$3*(lattice!$N248/1000)^2+測地線補正!$O$3*(lattice!$N248/1000)+測地線補正!$N$3</f>
        <v>-0.22730103390470976</v>
      </c>
      <c r="U248">
        <f t="shared" ref="U248:U249" si="206">ATAN(($P$251-$P$247)/ABS($N$251-$N$247))</f>
        <v>-2.2540679118195322E-6</v>
      </c>
      <c r="V248">
        <v>0</v>
      </c>
      <c r="W248">
        <f t="shared" ref="W248:W249" si="207">-ATAN(($M$251-$M$247)/ABS($N$251-$N$247))</f>
        <v>-3.0336896626354315E-5</v>
      </c>
      <c r="X248" t="s">
        <v>3860</v>
      </c>
      <c r="Y248">
        <f>_xlfn.XLOOKUP($F248,設計座標!$E$13:$E$2301,設計座標!$L$13:$L$2301," ",0,1)</f>
        <v>1000</v>
      </c>
      <c r="Z248">
        <f>SQRT(($M$248-$M$246)^2+($N$248-$N$246)^2)</f>
        <v>767.50000035317555</v>
      </c>
      <c r="AA248">
        <f>_xlfn.XLOOKUP($G248,magnet_list!$A$2:$A$592,magnet_list!$AJ$2:$AJ$592,"n/a",0,1)</f>
        <v>0.95010000000000006</v>
      </c>
      <c r="AB248">
        <f>_xlfn.XLOOKUP($G248,magnet_list!$A$2:$A$592,magnet_list!$L$2:$L$592,"n/a",0,1)</f>
        <v>120</v>
      </c>
    </row>
    <row r="249" spans="1:28">
      <c r="A249" t="s">
        <v>797</v>
      </c>
      <c r="B249" t="s">
        <v>3810</v>
      </c>
      <c r="C249" t="s">
        <v>3855</v>
      </c>
      <c r="D249" t="s">
        <v>1152</v>
      </c>
      <c r="E249" t="s">
        <v>804</v>
      </c>
      <c r="F249" t="s">
        <v>2217</v>
      </c>
      <c r="G249" t="s">
        <v>2217</v>
      </c>
      <c r="I249">
        <f>_xlfn.XLOOKUP($F249,設計座標!$E$13:$E$2301,設計座標!$G$13:$G$2301,"n/a",0,1)</f>
        <v>36.755307479310005</v>
      </c>
      <c r="J249">
        <f>_xlfn.XLOOKUP($F249,設計座標!$E$13:$E$2301,設計座標!$H$13:$H$2301,"n/a",0,1)</f>
        <v>0</v>
      </c>
      <c r="K249">
        <f>_xlfn.XLOOKUP($F249,設計座標!$E$13:$E$2301,設計座標!$I$13:$I$2301,"n/a",0,1)</f>
        <v>29353.253878930005</v>
      </c>
      <c r="L249">
        <f>_xlfn.XLOOKUP($F249,設計座標!$E$13:$E$2301,設計座標!$J$13:$J$2301,"n/a",0,1)</f>
        <v>-270</v>
      </c>
      <c r="M249" s="2">
        <f t="shared" si="186"/>
        <v>3.5108448718050772E-2</v>
      </c>
      <c r="N249" s="2">
        <f t="shared" si="187"/>
        <v>29353.253878930005</v>
      </c>
      <c r="O249" s="23">
        <f t="shared" si="188"/>
        <v>-267.92731856742779</v>
      </c>
      <c r="P249" s="1">
        <f t="shared" si="176"/>
        <v>-270.22730103390472</v>
      </c>
      <c r="Q249" s="1">
        <f t="shared" si="205"/>
        <v>3.5108448718050772E-2</v>
      </c>
      <c r="R249">
        <f t="shared" si="196"/>
        <v>0</v>
      </c>
      <c r="S249" s="23">
        <f t="shared" si="204"/>
        <v>2.0726814325722227</v>
      </c>
      <c r="T249">
        <f>$S249+測地線補正!$Q$3*(lattice!$N249/1000)^3+測地線補正!$P$3*(lattice!$N249/1000)^2+測地線補正!$O$3*(lattice!$N249/1000)+測地線補正!$N$3</f>
        <v>-0.22730103390470976</v>
      </c>
      <c r="U249">
        <f t="shared" si="206"/>
        <v>-2.2540679118195322E-6</v>
      </c>
      <c r="V249">
        <v>0</v>
      </c>
      <c r="W249">
        <f t="shared" si="207"/>
        <v>-3.0336896626354315E-5</v>
      </c>
      <c r="X249" t="s">
        <v>3860</v>
      </c>
      <c r="Y249">
        <f>_xlfn.XLOOKUP($F249,設計座標!$E$13:$E$2301,設計座標!$L$13:$L$2301," ",0,1)</f>
        <v>1000</v>
      </c>
      <c r="Z249">
        <f>SQRT(($M$248-$M$246)^2+($N$248-$N$246)^2)</f>
        <v>767.50000035317555</v>
      </c>
      <c r="AA249">
        <f>_xlfn.XLOOKUP($G249,magnet_list!$A$2:$A$592,magnet_list!$AJ$2:$AJ$592,"n/a",0,1)</f>
        <v>0.95010000000000006</v>
      </c>
      <c r="AB249">
        <f>_xlfn.XLOOKUP($G249,magnet_list!$A$2:$A$592,magnet_list!$L$2:$L$592,"n/a",0,1)</f>
        <v>120</v>
      </c>
    </row>
    <row r="250" spans="1:28">
      <c r="A250" t="s">
        <v>797</v>
      </c>
      <c r="B250" t="s">
        <v>3810</v>
      </c>
      <c r="C250" t="s">
        <v>804</v>
      </c>
      <c r="D250" t="s">
        <v>1152</v>
      </c>
      <c r="E250" t="s">
        <v>804</v>
      </c>
      <c r="F250" t="s">
        <v>1279</v>
      </c>
      <c r="G250" t="s">
        <v>2395</v>
      </c>
      <c r="I250">
        <f>_xlfn.XLOOKUP($F250,設計座標!$E$13:$E$2301,設計座標!$G$13:$G$2301,"n/a",0,1)</f>
        <v>37.066531979310007</v>
      </c>
      <c r="J250">
        <f>_xlfn.XLOOKUP($F250,設計座標!$E$13:$E$2301,設計座標!$H$13:$H$2301,"n/a",0,1)</f>
        <v>0</v>
      </c>
      <c r="K250">
        <f>_xlfn.XLOOKUP($F250,設計座標!$E$13:$E$2301,設計座標!$I$13:$I$2301,"n/a",0,1)</f>
        <v>29664.478378930005</v>
      </c>
      <c r="L250">
        <f>_xlfn.XLOOKUP($F250,設計座標!$E$13:$E$2301,設計座標!$J$13:$J$2301,"n/a",0,1)</f>
        <v>-270</v>
      </c>
      <c r="M250" s="2">
        <f t="shared" si="186"/>
        <v>4.4550034205036032E-2</v>
      </c>
      <c r="N250" s="2">
        <f t="shared" si="187"/>
        <v>29664.478378930005</v>
      </c>
      <c r="O250" s="23">
        <f t="shared" si="188"/>
        <v>-267.90637600024053</v>
      </c>
      <c r="P250" s="1">
        <f t="shared" si="176"/>
        <v>-270.22802109110717</v>
      </c>
      <c r="Q250" s="1">
        <f t="shared" si="205"/>
        <v>4.4550034205036032E-2</v>
      </c>
      <c r="R250">
        <f t="shared" si="196"/>
        <v>0</v>
      </c>
      <c r="S250" s="23">
        <f t="shared" si="204"/>
        <v>2.0936239997594792</v>
      </c>
      <c r="T250">
        <f>$S250+測地線補正!$Q$3*(lattice!$N250/1000)^3+測地線補正!$P$3*(lattice!$N250/1000)^2+測地線補正!$O$3*(lattice!$N250/1000)+測地線補正!$N$3</f>
        <v>-0.22802109110716126</v>
      </c>
      <c r="U250">
        <f t="shared" ref="U250:U251" si="208">ATAN(($P$251-$P$247)/ABS($N$251-$N$247))</f>
        <v>-2.2540679118195322E-6</v>
      </c>
      <c r="V250">
        <v>0</v>
      </c>
      <c r="W250">
        <f t="shared" ref="W250:W251" si="209">-ATAN(($M$251-$M$247)/ABS($N$251-$N$247))</f>
        <v>-3.0336896626354315E-5</v>
      </c>
      <c r="X250" t="s">
        <v>3860</v>
      </c>
      <c r="Y250">
        <f>_xlfn.XLOOKUP($F250,設計座標!$E$13:$E$2301,設計座標!$L$13:$L$2301," ",0,1)</f>
        <v>1889.4492</v>
      </c>
      <c r="Z250">
        <f>SQRT(($M$250-$M$248)^2+($N$250-$N$248)^2)</f>
        <v>311.22450014321447</v>
      </c>
    </row>
    <row r="251" spans="1:28">
      <c r="A251" t="s">
        <v>797</v>
      </c>
      <c r="B251" t="s">
        <v>3810</v>
      </c>
      <c r="C251" t="s">
        <v>804</v>
      </c>
      <c r="D251" t="s">
        <v>1152</v>
      </c>
      <c r="E251" t="s">
        <v>804</v>
      </c>
      <c r="F251" t="s">
        <v>1425</v>
      </c>
      <c r="G251" t="s">
        <v>2395</v>
      </c>
      <c r="I251">
        <f>_xlfn.XLOOKUP($F251,設計座標!$E$13:$E$2301,設計座標!$G$13:$G$2301,"n/a",0,1)</f>
        <v>38.011256579310007</v>
      </c>
      <c r="J251">
        <f>_xlfn.XLOOKUP($F251,設計座標!$E$13:$E$2301,設計座標!$H$13:$H$2301,"n/a",0,1)</f>
        <v>0</v>
      </c>
      <c r="K251">
        <f>_xlfn.XLOOKUP($F251,設計座標!$E$13:$E$2301,設計座標!$I$13:$I$2301,"n/a",0,1)</f>
        <v>30609.202978930007</v>
      </c>
      <c r="L251">
        <f>_xlfn.XLOOKUP($F251,設計座標!$E$13:$E$2301,設計座標!$J$13:$J$2301,"n/a",0,1)</f>
        <v>-270</v>
      </c>
      <c r="M251" s="2">
        <f t="shared" si="186"/>
        <v>7.3210046744402207E-2</v>
      </c>
      <c r="N251" s="2">
        <f t="shared" si="187"/>
        <v>30609.202978930007</v>
      </c>
      <c r="O251" s="23">
        <f t="shared" si="188"/>
        <v>-267.84280466055179</v>
      </c>
      <c r="P251" s="1">
        <f t="shared" si="176"/>
        <v>-270.22997030936995</v>
      </c>
      <c r="Q251" s="1">
        <f t="shared" si="205"/>
        <v>7.3210046744402207E-2</v>
      </c>
      <c r="R251">
        <f t="shared" si="196"/>
        <v>0</v>
      </c>
      <c r="S251" s="23">
        <f t="shared" si="204"/>
        <v>2.1571953394482057</v>
      </c>
      <c r="T251">
        <f>$S251+測地線補正!$Q$3*(lattice!$N251/1000)^3+測地線補正!$P$3*(lattice!$N251/1000)^2+測地線補正!$O$3*(lattice!$N251/1000)+測地線補正!$N$3</f>
        <v>-0.22997030936992222</v>
      </c>
      <c r="U251">
        <f t="shared" si="208"/>
        <v>-2.2540679118195322E-6</v>
      </c>
      <c r="V251">
        <v>0</v>
      </c>
      <c r="W251">
        <f t="shared" si="209"/>
        <v>-3.0336896626354315E-5</v>
      </c>
      <c r="X251" t="s">
        <v>3860</v>
      </c>
      <c r="Y251">
        <f>_xlfn.XLOOKUP($F251,設計座標!$E$13:$E$2301,設計座標!$L$13:$L$2301," ",0,1)</f>
        <v>1889.4492</v>
      </c>
      <c r="Z251">
        <f>SQRT(($M$250-$M$248)^2+($N$250-$N$248)^2)</f>
        <v>311.22450014321447</v>
      </c>
    </row>
    <row r="252" spans="1:28">
      <c r="A252" t="s">
        <v>797</v>
      </c>
      <c r="B252" t="s">
        <v>3810</v>
      </c>
      <c r="C252" t="s">
        <v>804</v>
      </c>
      <c r="D252" t="s">
        <v>1152</v>
      </c>
      <c r="E252" t="s">
        <v>804</v>
      </c>
      <c r="F252" t="s">
        <v>1830</v>
      </c>
      <c r="G252" t="s">
        <v>2396</v>
      </c>
      <c r="I252">
        <f>_xlfn.XLOOKUP($F252,設計座標!$E$13:$E$2301,設計座標!$G$13:$G$2301,"n/a",0,1)</f>
        <v>38.194953379310007</v>
      </c>
      <c r="J252">
        <f>_xlfn.XLOOKUP($F252,設計座標!$E$13:$E$2301,設計座標!$H$13:$H$2301,"n/a",0,1)</f>
        <v>0</v>
      </c>
      <c r="K252">
        <f>_xlfn.XLOOKUP($F252,設計座標!$E$13:$E$2301,設計座標!$I$13:$I$2301,"n/a",0,1)</f>
        <v>30792.899778930005</v>
      </c>
      <c r="L252">
        <f>_xlfn.XLOOKUP($F252,設計座標!$E$13:$E$2301,設計座標!$J$13:$J$2301,"n/a",0,1)</f>
        <v>-270</v>
      </c>
      <c r="M252" s="2">
        <f t="shared" si="186"/>
        <v>7.8782837578303816E-2</v>
      </c>
      <c r="N252" s="2">
        <f t="shared" si="187"/>
        <v>30792.899778930005</v>
      </c>
      <c r="O252" s="23">
        <f t="shared" si="188"/>
        <v>-267.83044354317161</v>
      </c>
      <c r="P252" s="1">
        <f t="shared" si="176"/>
        <v>-270.23030924123702</v>
      </c>
      <c r="Q252" s="1">
        <f t="shared" si="205"/>
        <v>7.8782837578303816E-2</v>
      </c>
      <c r="R252">
        <f t="shared" si="196"/>
        <v>0</v>
      </c>
      <c r="S252" s="23">
        <f t="shared" si="204"/>
        <v>2.1695564568283734</v>
      </c>
      <c r="T252">
        <f>$S252+測地線補正!$Q$3*(lattice!$N252/1000)^3+測地線補正!$P$3*(lattice!$N252/1000)^2+測地線補正!$O$3*(lattice!$N252/1000)+測地線補正!$N$3</f>
        <v>-0.23030924123704585</v>
      </c>
      <c r="U252">
        <f>ATAN(($P$256-$P$252)/ABS($N$256-$N$252))</f>
        <v>-1.4701086012739879E-6</v>
      </c>
      <c r="V252">
        <v>0</v>
      </c>
      <c r="W252">
        <f>-ATAN(($M$256-$M$252)/ABS($N$256-$N$252))</f>
        <v>-3.0336896626354322E-5</v>
      </c>
      <c r="X252">
        <f>SQRT(($M$252-$M$251)^2+($N$252-$N$251)^2)</f>
        <v>183.69680008452849</v>
      </c>
      <c r="Y252">
        <f>_xlfn.XLOOKUP($F252,設計座標!$E$13:$E$2301,設計座標!$L$13:$L$2301," ",0,1)</f>
        <v>1889.4492</v>
      </c>
      <c r="Z252">
        <f>SQRT(($M$255-$M$253)^2+($N$255-$N$253)^2)</f>
        <v>311.22450014321447</v>
      </c>
    </row>
    <row r="253" spans="1:28">
      <c r="A253" t="s">
        <v>797</v>
      </c>
      <c r="B253" t="s">
        <v>3810</v>
      </c>
      <c r="C253" t="s">
        <v>3855</v>
      </c>
      <c r="D253" t="s">
        <v>1152</v>
      </c>
      <c r="E253" t="s">
        <v>804</v>
      </c>
      <c r="F253" t="s">
        <v>2218</v>
      </c>
      <c r="G253" t="s">
        <v>2218</v>
      </c>
      <c r="I253">
        <f>_xlfn.XLOOKUP($F253,設計座標!$E$13:$E$2301,設計座標!$G$13:$G$2301,"n/a",0,1)</f>
        <v>38.828453479310006</v>
      </c>
      <c r="J253">
        <f>_xlfn.XLOOKUP($F253,設計座標!$E$13:$E$2301,設計座標!$H$13:$H$2301,"n/a",0,1)</f>
        <v>0</v>
      </c>
      <c r="K253">
        <f>_xlfn.XLOOKUP($F253,設計座標!$E$13:$E$2301,設計座標!$I$13:$I$2301,"n/a",0,1)</f>
        <v>31426.399878930006</v>
      </c>
      <c r="L253">
        <f>_xlfn.XLOOKUP($F253,設計座標!$E$13:$E$2301,設計座標!$J$13:$J$2301,"n/a",0,1)</f>
        <v>-270</v>
      </c>
      <c r="M253" s="2">
        <f t="shared" si="186"/>
        <v>9.8001264630684717E-2</v>
      </c>
      <c r="N253" s="2">
        <f t="shared" si="187"/>
        <v>31426.399878930006</v>
      </c>
      <c r="O253" s="23">
        <f t="shared" si="188"/>
        <v>-267.78781477067014</v>
      </c>
      <c r="P253" s="1">
        <f t="shared" si="176"/>
        <v>-270.23138176144084</v>
      </c>
      <c r="Q253" s="1">
        <f t="shared" si="205"/>
        <v>9.8001264630684717E-2</v>
      </c>
      <c r="R253">
        <f t="shared" si="196"/>
        <v>0</v>
      </c>
      <c r="S253" s="23">
        <f t="shared" si="204"/>
        <v>2.2121852293298434</v>
      </c>
      <c r="T253">
        <f>$S253+測地線補正!$Q$3*(lattice!$N253/1000)^3+測地線補正!$P$3*(lattice!$N253/1000)^2+測地線補正!$O$3*(lattice!$N253/1000)+測地線補正!$N$3</f>
        <v>-0.23138176144085762</v>
      </c>
      <c r="U253">
        <f t="shared" ref="U253:U254" si="210">ATAN(($P$256-$P$252)/ABS($N$256-$N$252))</f>
        <v>-1.4701086012739879E-6</v>
      </c>
      <c r="V253">
        <v>0</v>
      </c>
      <c r="W253">
        <f t="shared" ref="W253:W254" si="211">-ATAN(($M$256-$M$252)/ABS($N$256-$N$252))</f>
        <v>-3.0336896626354322E-5</v>
      </c>
      <c r="X253" t="s">
        <v>3860</v>
      </c>
      <c r="Y253">
        <f>_xlfn.XLOOKUP($F253,設計座標!$E$13:$E$2301,設計座標!$L$13:$L$2301," ",0,1)</f>
        <v>1000</v>
      </c>
      <c r="Z253">
        <f>SQRT(($M$253-$M$250)^2+($N$253-$N$250)^2)</f>
        <v>1761.9215008107726</v>
      </c>
      <c r="AA253">
        <f>_xlfn.XLOOKUP($G253,magnet_list!$A$2:$A$592,magnet_list!$AJ$2:$AJ$592,"n/a",0,1)</f>
        <v>0.95010000000000006</v>
      </c>
      <c r="AB253">
        <f>_xlfn.XLOOKUP($G253,magnet_list!$A$2:$A$592,magnet_list!$L$2:$L$592,"n/a",0,1)</f>
        <v>120</v>
      </c>
    </row>
    <row r="254" spans="1:28">
      <c r="A254" t="s">
        <v>797</v>
      </c>
      <c r="B254" t="s">
        <v>3810</v>
      </c>
      <c r="C254" t="s">
        <v>3855</v>
      </c>
      <c r="D254" t="s">
        <v>1152</v>
      </c>
      <c r="E254" t="s">
        <v>804</v>
      </c>
      <c r="F254" t="s">
        <v>2219</v>
      </c>
      <c r="G254" t="s">
        <v>2219</v>
      </c>
      <c r="I254">
        <f>_xlfn.XLOOKUP($F254,設計座標!$E$13:$E$2301,設計座標!$G$13:$G$2301,"n/a",0,1)</f>
        <v>38.828453479310006</v>
      </c>
      <c r="J254">
        <f>_xlfn.XLOOKUP($F254,設計座標!$E$13:$E$2301,設計座標!$H$13:$H$2301,"n/a",0,1)</f>
        <v>0</v>
      </c>
      <c r="K254">
        <f>_xlfn.XLOOKUP($F254,設計座標!$E$13:$E$2301,設計座標!$I$13:$I$2301,"n/a",0,1)</f>
        <v>31426.399878930006</v>
      </c>
      <c r="L254">
        <f>_xlfn.XLOOKUP($F254,設計座標!$E$13:$E$2301,設計座標!$J$13:$J$2301,"n/a",0,1)</f>
        <v>-270</v>
      </c>
      <c r="M254" s="2">
        <f t="shared" si="186"/>
        <v>9.8001264630684717E-2</v>
      </c>
      <c r="N254" s="2">
        <f t="shared" si="187"/>
        <v>31426.399878930006</v>
      </c>
      <c r="O254" s="23">
        <f t="shared" si="188"/>
        <v>-267.78781477067014</v>
      </c>
      <c r="P254" s="1">
        <f t="shared" si="176"/>
        <v>-270.23138176144084</v>
      </c>
      <c r="Q254" s="1">
        <f t="shared" si="205"/>
        <v>9.8001264630684717E-2</v>
      </c>
      <c r="R254">
        <f t="shared" si="196"/>
        <v>0</v>
      </c>
      <c r="S254" s="23">
        <f t="shared" si="204"/>
        <v>2.2121852293298434</v>
      </c>
      <c r="T254">
        <f>$S254+測地線補正!$Q$3*(lattice!$N254/1000)^3+測地線補正!$P$3*(lattice!$N254/1000)^2+測地線補正!$O$3*(lattice!$N254/1000)+測地線補正!$N$3</f>
        <v>-0.23138176144085762</v>
      </c>
      <c r="U254">
        <f t="shared" si="210"/>
        <v>-1.4701086012739879E-6</v>
      </c>
      <c r="V254">
        <v>0</v>
      </c>
      <c r="W254">
        <f t="shared" si="211"/>
        <v>-3.0336896626354322E-5</v>
      </c>
      <c r="X254" t="s">
        <v>3860</v>
      </c>
      <c r="Y254">
        <f>_xlfn.XLOOKUP($F254,設計座標!$E$13:$E$2301,設計座標!$L$13:$L$2301," ",0,1)</f>
        <v>1000</v>
      </c>
      <c r="Z254">
        <f>SQRT(($M$253-$M$250)^2+($N$253-$N$250)^2)</f>
        <v>1761.9215008107726</v>
      </c>
      <c r="AA254">
        <f>_xlfn.XLOOKUP($G254,magnet_list!$A$2:$A$592,magnet_list!$AJ$2:$AJ$592,"n/a",0,1)</f>
        <v>0.95010000000000006</v>
      </c>
      <c r="AB254">
        <f>_xlfn.XLOOKUP($G254,magnet_list!$A$2:$A$592,magnet_list!$L$2:$L$592,"n/a",0,1)</f>
        <v>120</v>
      </c>
    </row>
    <row r="255" spans="1:28">
      <c r="A255" t="s">
        <v>797</v>
      </c>
      <c r="B255" t="s">
        <v>3810</v>
      </c>
      <c r="C255" t="s">
        <v>804</v>
      </c>
      <c r="D255" t="s">
        <v>1152</v>
      </c>
      <c r="E255" t="s">
        <v>804</v>
      </c>
      <c r="F255" t="s">
        <v>1333</v>
      </c>
      <c r="G255" t="s">
        <v>2396</v>
      </c>
      <c r="I255">
        <f>_xlfn.XLOOKUP($F255,設計座標!$E$13:$E$2301,設計座標!$G$13:$G$2301,"n/a",0,1)</f>
        <v>39.139677979310008</v>
      </c>
      <c r="J255">
        <f>_xlfn.XLOOKUP($F255,設計座標!$E$13:$E$2301,設計座標!$H$13:$H$2301,"n/a",0,1)</f>
        <v>0</v>
      </c>
      <c r="K255">
        <f>_xlfn.XLOOKUP($F255,設計座標!$E$13:$E$2301,設計座標!$I$13:$I$2301,"n/a",0,1)</f>
        <v>31737.624378930006</v>
      </c>
      <c r="L255">
        <f>_xlfn.XLOOKUP($F255,設計座標!$E$13:$E$2301,設計座標!$J$13:$J$2301,"n/a",0,1)</f>
        <v>-270</v>
      </c>
      <c r="M255" s="2">
        <f t="shared" si="186"/>
        <v>0.10744285011766999</v>
      </c>
      <c r="N255" s="2">
        <f t="shared" si="187"/>
        <v>31737.624378930006</v>
      </c>
      <c r="O255" s="23">
        <f t="shared" si="188"/>
        <v>-267.76687220348288</v>
      </c>
      <c r="P255" s="1">
        <f t="shared" si="176"/>
        <v>-270.23185533409116</v>
      </c>
      <c r="Q255" s="1">
        <f t="shared" si="205"/>
        <v>0.10744285011766999</v>
      </c>
      <c r="R255">
        <f t="shared" si="196"/>
        <v>0</v>
      </c>
      <c r="S255" s="23">
        <f t="shared" si="204"/>
        <v>2.2331277965170999</v>
      </c>
      <c r="T255">
        <f>$S255+測地線補正!$Q$3*(lattice!$N255/1000)^3+測地線補正!$P$3*(lattice!$N255/1000)^2+測地線補正!$O$3*(lattice!$N255/1000)+測地線補正!$N$3</f>
        <v>-0.23185533409116163</v>
      </c>
      <c r="U255">
        <f t="shared" ref="U255:U256" si="212">ATAN(($P$256-$P$252)/ABS($N$256-$N$252))</f>
        <v>-1.4701086012739879E-6</v>
      </c>
      <c r="V255">
        <v>0</v>
      </c>
      <c r="W255">
        <f t="shared" ref="W255:W256" si="213">-ATAN(($M$256-$M$252)/ABS($N$256-$N$252))</f>
        <v>-3.0336896626354322E-5</v>
      </c>
      <c r="X255" t="s">
        <v>3860</v>
      </c>
      <c r="Y255">
        <f>_xlfn.XLOOKUP($F255,設計座標!$E$13:$E$2301,設計座標!$L$13:$L$2301," ",0,1)</f>
        <v>1889.4492</v>
      </c>
      <c r="Z255">
        <f>SQRT(($M$255-$M$253)^2+($N$255-$N$253)^2)</f>
        <v>311.22450014321447</v>
      </c>
    </row>
    <row r="256" spans="1:28">
      <c r="A256" t="s">
        <v>797</v>
      </c>
      <c r="B256" t="s">
        <v>3810</v>
      </c>
      <c r="C256" t="s">
        <v>804</v>
      </c>
      <c r="D256" t="s">
        <v>1152</v>
      </c>
      <c r="E256" t="s">
        <v>804</v>
      </c>
      <c r="F256" t="s">
        <v>1831</v>
      </c>
      <c r="G256" t="s">
        <v>2396</v>
      </c>
      <c r="I256">
        <f>_xlfn.XLOOKUP($F256,設計座標!$E$13:$E$2301,設計座標!$G$13:$G$2301,"n/a",0,1)</f>
        <v>40.084402579310009</v>
      </c>
      <c r="J256">
        <f>_xlfn.XLOOKUP($F256,設計座標!$E$13:$E$2301,設計座標!$H$13:$H$2301,"n/a",0,1)</f>
        <v>0</v>
      </c>
      <c r="K256">
        <f>_xlfn.XLOOKUP($F256,設計座標!$E$13:$E$2301,設計座標!$I$13:$I$2301,"n/a",0,1)</f>
        <v>32682.348978930007</v>
      </c>
      <c r="L256">
        <f>_xlfn.XLOOKUP($F256,設計座標!$E$13:$E$2301,設計座標!$J$13:$J$2301,"n/a",0,1)</f>
        <v>-270</v>
      </c>
      <c r="M256" s="2">
        <f t="shared" si="186"/>
        <v>0.13610286265703617</v>
      </c>
      <c r="N256" s="2">
        <f t="shared" si="187"/>
        <v>32682.348978930007</v>
      </c>
      <c r="O256" s="23">
        <f t="shared" si="188"/>
        <v>-267.7033008637942</v>
      </c>
      <c r="P256" s="1">
        <f t="shared" si="176"/>
        <v>-270.23308693675762</v>
      </c>
      <c r="Q256" s="1">
        <f t="shared" si="205"/>
        <v>0.13610286265703617</v>
      </c>
      <c r="R256">
        <f t="shared" si="196"/>
        <v>0</v>
      </c>
      <c r="S256" s="23">
        <f t="shared" si="204"/>
        <v>2.2966991362058264</v>
      </c>
      <c r="T256">
        <f>$S256+測地線補正!$Q$3*(lattice!$N256/1000)^3+測地線補正!$P$3*(lattice!$N256/1000)^2+測地線補正!$O$3*(lattice!$N256/1000)+測地線補正!$N$3</f>
        <v>-0.23308693675758971</v>
      </c>
      <c r="U256">
        <f t="shared" si="212"/>
        <v>-1.4701086012739879E-6</v>
      </c>
      <c r="V256">
        <v>0</v>
      </c>
      <c r="W256">
        <f t="shared" si="213"/>
        <v>-3.0336896626354322E-5</v>
      </c>
      <c r="X256" t="s">
        <v>3860</v>
      </c>
      <c r="Y256">
        <f>_xlfn.XLOOKUP($F256,設計座標!$E$13:$E$2301,設計座標!$L$13:$L$2301," ",0,1)</f>
        <v>1889.4492</v>
      </c>
      <c r="Z256">
        <f>SQRT(($M$255-$M$253)^2+($N$255-$N$253)^2)</f>
        <v>311.22450014321447</v>
      </c>
    </row>
    <row r="257" spans="1:28">
      <c r="A257" t="s">
        <v>797</v>
      </c>
      <c r="B257" t="s">
        <v>3810</v>
      </c>
      <c r="C257" t="s">
        <v>2288</v>
      </c>
      <c r="D257" t="s">
        <v>1152</v>
      </c>
      <c r="E257" t="s">
        <v>804</v>
      </c>
      <c r="F257" t="s">
        <v>2326</v>
      </c>
      <c r="G257" t="s">
        <v>2326</v>
      </c>
      <c r="I257">
        <f>_xlfn.XLOOKUP($F257,設計座標!$E$13:$E$2301,設計座標!$G$13:$G$2301,"n/a",0,1)</f>
        <v>40.218402479310008</v>
      </c>
      <c r="J257">
        <f>_xlfn.XLOOKUP($F257,設計座標!$E$13:$E$2301,設計座標!$H$13:$H$2301,"n/a",0,1)</f>
        <v>0</v>
      </c>
      <c r="K257">
        <f>_xlfn.XLOOKUP($F257,設計座標!$E$13:$E$2301,設計座標!$I$13:$I$2301,"n/a",0,1)</f>
        <v>32816.348878930003</v>
      </c>
      <c r="L257">
        <f>_xlfn.XLOOKUP($F257,設計座標!$E$13:$E$2301,設計座標!$J$13:$J$2301,"n/a",0,1)</f>
        <v>-270</v>
      </c>
      <c r="M257" s="2">
        <f t="shared" si="186"/>
        <v>0.14016800377252492</v>
      </c>
      <c r="N257" s="2">
        <f t="shared" si="187"/>
        <v>32816.348878930003</v>
      </c>
      <c r="O257" s="23">
        <f t="shared" si="188"/>
        <v>-267.69428389402208</v>
      </c>
      <c r="P257" s="1">
        <f t="shared" si="176"/>
        <v>-270.23323737271261</v>
      </c>
      <c r="Q257" s="1">
        <f t="shared" si="205"/>
        <v>0.14016800377252492</v>
      </c>
      <c r="R257">
        <f t="shared" si="196"/>
        <v>0</v>
      </c>
      <c r="S257" s="23">
        <f t="shared" si="204"/>
        <v>2.3057161059779219</v>
      </c>
      <c r="T257">
        <f>$S257+測地線補正!$Q$3*(lattice!$N257/1000)^3+測地線補正!$P$3*(lattice!$N257/1000)^2+測地線補正!$O$3*(lattice!$N257/1000)+測地線補正!$N$3</f>
        <v>-0.23323737271259345</v>
      </c>
      <c r="U257">
        <v>0</v>
      </c>
      <c r="V257">
        <v>0</v>
      </c>
      <c r="W257">
        <v>0</v>
      </c>
      <c r="X257">
        <f>SQRT(($M$257-$M$256)^2+($N$257-$N$256)^2)</f>
        <v>133.99990006165714</v>
      </c>
      <c r="Y257">
        <f>_xlfn.XLOOKUP($F257,設計座標!$E$13:$E$2301,設計座標!$L$13:$L$2301," ",0,1)</f>
        <v>0</v>
      </c>
      <c r="Z257">
        <f>SQRT(($M$257-$M$255)^2+($N$257-$N$255)^2)</f>
        <v>1078.7245004963866</v>
      </c>
    </row>
    <row r="258" spans="1:28">
      <c r="A258" t="s">
        <v>797</v>
      </c>
      <c r="B258" t="s">
        <v>3810</v>
      </c>
      <c r="C258" t="s">
        <v>1152</v>
      </c>
      <c r="D258" t="s">
        <v>1152</v>
      </c>
      <c r="E258" t="s">
        <v>804</v>
      </c>
      <c r="F258" t="s">
        <v>1969</v>
      </c>
      <c r="G258" t="s">
        <v>1969</v>
      </c>
      <c r="I258">
        <f>_xlfn.XLOOKUP($F258,設計座標!$E$13:$E$2301,設計座標!$G$13:$G$2301,"n/a",0,1)</f>
        <v>40.443402479310009</v>
      </c>
      <c r="J258">
        <f>_xlfn.XLOOKUP($F258,設計座標!$E$13:$E$2301,設計座標!$H$13:$H$2301,"n/a",0,1)</f>
        <v>0</v>
      </c>
      <c r="K258">
        <f>_xlfn.XLOOKUP($F258,設計座標!$E$13:$E$2301,設計座標!$I$13:$I$2301,"n/a",0,1)</f>
        <v>33041.348878930003</v>
      </c>
      <c r="L258">
        <f>_xlfn.XLOOKUP($F258,設計座標!$E$13:$E$2301,設計座標!$J$13:$J$2301,"n/a",0,1)</f>
        <v>-270</v>
      </c>
      <c r="M258" s="2">
        <f t="shared" si="186"/>
        <v>0.14699380551554864</v>
      </c>
      <c r="N258" s="2">
        <f t="shared" si="187"/>
        <v>33041.348878930003</v>
      </c>
      <c r="O258" s="23">
        <f t="shared" si="188"/>
        <v>-267.67914344840443</v>
      </c>
      <c r="P258" s="1">
        <f t="shared" si="176"/>
        <v>-270.23347685338109</v>
      </c>
      <c r="Q258" s="1">
        <f t="shared" si="205"/>
        <v>0.14699380551554864</v>
      </c>
      <c r="R258">
        <f t="shared" si="196"/>
        <v>0</v>
      </c>
      <c r="S258" s="23">
        <f t="shared" si="204"/>
        <v>2.3208565515955795</v>
      </c>
      <c r="T258">
        <f>$S258+測地線補正!$Q$3*(lattice!$N258/1000)^3+測地線補正!$P$3*(lattice!$N258/1000)^2+測地線補正!$O$3*(lattice!$N258/1000)+測地線補正!$N$3</f>
        <v>-0.23347685338109722</v>
      </c>
      <c r="U258">
        <v>0</v>
      </c>
      <c r="V258">
        <v>0</v>
      </c>
      <c r="W258">
        <v>0</v>
      </c>
      <c r="X258">
        <f>$Z$258-($Y$258+$Y$257)/2</f>
        <v>225.00000010353682</v>
      </c>
      <c r="Y258">
        <f>_xlfn.XLOOKUP($F258,設計座標!$E$13:$E$2301,設計座標!$L$13:$L$2301," ",0,1)</f>
        <v>0</v>
      </c>
      <c r="Z258">
        <f>SQRT(($M$258-$M$257)^2+($N$258-$N$257)^2)</f>
        <v>225.00000010353682</v>
      </c>
    </row>
    <row r="259" spans="1:28">
      <c r="A259" t="s">
        <v>797</v>
      </c>
      <c r="B259" t="s">
        <v>3810</v>
      </c>
      <c r="C259" t="s">
        <v>805</v>
      </c>
      <c r="D259" t="s">
        <v>806</v>
      </c>
      <c r="F259" t="s">
        <v>27</v>
      </c>
      <c r="G259" t="s">
        <v>2397</v>
      </c>
      <c r="I259">
        <f>_xlfn.XLOOKUP($F259,設計座標!$E$13:$E$2301,設計座標!$G$13:$G$2301,"n/a",0,1)</f>
        <v>40.568483318330003</v>
      </c>
      <c r="J259">
        <f>_xlfn.XLOOKUP($F259,設計座標!$E$13:$E$2301,設計座標!$H$13:$H$2301,"n/a",0,1)</f>
        <v>0</v>
      </c>
      <c r="K259">
        <f>_xlfn.XLOOKUP($F259,設計座標!$E$13:$E$2301,設計座標!$I$13:$I$2301,"n/a",0,1)</f>
        <v>33166.429717949999</v>
      </c>
      <c r="L259">
        <f>_xlfn.XLOOKUP($F259,設計座標!$E$13:$E$2301,設計座標!$J$13:$J$2301,"n/a",0,1)</f>
        <v>-70</v>
      </c>
      <c r="M259" s="2">
        <f>_xlfn.XLOOKUP($F259,survey_data!$A$2:$A$833,survey_data!$B$2:$B$833,"n/a",0,1)</f>
        <v>0.15078837</v>
      </c>
      <c r="N259" s="2">
        <f>_xlfn.XLOOKUP($F259,survey_data!$A$2:$A$833,survey_data!$C$2:$C$833,"n/a",0,1)</f>
        <v>33166.429717949999</v>
      </c>
      <c r="O259" s="23">
        <f>_xlfn.XLOOKUP($F259,survey_data!$A$2:$A$833,survey_data!$D$2:$D$833,"n/a",0,1)</f>
        <v>-67.670726650000006</v>
      </c>
      <c r="P259" s="1">
        <f t="shared" si="176"/>
        <v>-70.233602961222829</v>
      </c>
      <c r="Q259" s="1">
        <f t="shared" si="201"/>
        <v>0.15078837</v>
      </c>
      <c r="R259">
        <f t="shared" si="196"/>
        <v>0</v>
      </c>
      <c r="S259" s="23">
        <f t="shared" si="202"/>
        <v>2.329273349999994</v>
      </c>
      <c r="T259">
        <f>$S259+測地線補正!$Q$3*(lattice!$N259/1000)^3+測地線補正!$P$3*(lattice!$N259/1000)^2+測地線補正!$O$3*(lattice!$N259/1000)+測地線補正!$N$3</f>
        <v>-0.23360296122283394</v>
      </c>
      <c r="U259">
        <f>ATAN(($P$260-$P$259)/ABS($N$260-$N$259))</f>
        <v>3.6374000015027068E-4</v>
      </c>
      <c r="V259">
        <v>0</v>
      </c>
      <c r="W259">
        <f>-ATAN(($M$260-$M$259)/ABS($N$260-$N$259))</f>
        <v>3.2214391532598492E-4</v>
      </c>
      <c r="X259">
        <f>$Z$260-($Y$260+$Y$258)/2</f>
        <v>105.09580427125098</v>
      </c>
      <c r="Y259">
        <f>_xlfn.XLOOKUP($F259,設計座標!$E$13:$E$2301,設計座標!$L$13:$L$2301," ",0,1)</f>
        <v>100</v>
      </c>
      <c r="Z259">
        <f>SQRT(($M$260-$M$258)^2+($N$260-$N$258)^2)</f>
        <v>155.09580427125098</v>
      </c>
      <c r="AA259">
        <f>_xlfn.XLOOKUP($G259,magnet_list!$A$2:$A$592,magnet_list!$AJ$2:$AJ$592,"n/a",0,1)</f>
        <v>0.121</v>
      </c>
      <c r="AB259">
        <f>_xlfn.XLOOKUP($G259,magnet_list!$A$2:$A$592,magnet_list!$L$2:$L$592,"n/a",0,1)</f>
        <v>44</v>
      </c>
    </row>
    <row r="260" spans="1:28">
      <c r="A260" t="s">
        <v>797</v>
      </c>
      <c r="B260" t="s">
        <v>3810</v>
      </c>
      <c r="C260" t="s">
        <v>805</v>
      </c>
      <c r="D260" t="s">
        <v>1152</v>
      </c>
      <c r="E260" t="s">
        <v>804</v>
      </c>
      <c r="F260" t="s">
        <v>548</v>
      </c>
      <c r="G260" t="s">
        <v>2397</v>
      </c>
      <c r="I260">
        <f>_xlfn.XLOOKUP($F260,設計座標!$E$13:$E$2301,設計座標!$G$13:$G$2301,"n/a",0,1)</f>
        <v>40.598498283470001</v>
      </c>
      <c r="J260">
        <f>_xlfn.XLOOKUP($F260,設計座標!$E$13:$E$2301,設計座標!$H$13:$H$2301,"n/a",0,1)</f>
        <v>0</v>
      </c>
      <c r="K260">
        <f>_xlfn.XLOOKUP($F260,設計座標!$E$13:$E$2301,設計座標!$I$13:$I$2301,"n/a",0,1)</f>
        <v>33196.444683089998</v>
      </c>
      <c r="L260">
        <f>_xlfn.XLOOKUP($F260,設計座標!$E$13:$E$2301,設計座標!$J$13:$J$2301,"n/a",0,1)</f>
        <v>-70</v>
      </c>
      <c r="M260" s="2">
        <f t="shared" si="186"/>
        <v>0.14111923127695072</v>
      </c>
      <c r="N260" s="2">
        <f t="shared" si="187"/>
        <v>33196.444683089998</v>
      </c>
      <c r="O260" s="23">
        <f t="shared" si="188"/>
        <v>-67.657759750875002</v>
      </c>
      <c r="P260" s="1">
        <f t="shared" si="176"/>
        <v>-70.222685317316802</v>
      </c>
      <c r="Q260" s="1">
        <f>(Q$261-Q$259)/($N$261-$N$259)*($N260-$N$259)+Q$259</f>
        <v>0.14111923127695072</v>
      </c>
      <c r="R260">
        <f t="shared" si="196"/>
        <v>0</v>
      </c>
      <c r="S260" s="23">
        <f>(S$261-S$259)/($N$261-$N$259)*($N260-$N$259)+S$259</f>
        <v>2.3422402491250018</v>
      </c>
      <c r="T260">
        <f>$S260+測地線補正!$Q$3*(lattice!$N260/1000)^3+測地線補正!$P$3*(lattice!$N260/1000)^2+測地線補正!$O$3*(lattice!$N260/1000)+測地線補正!$N$3</f>
        <v>-0.2226853173168076</v>
      </c>
      <c r="U260">
        <f>ATAN(($P$260-$P$259)/ABS($N$260-$N$259))</f>
        <v>3.6374000015027068E-4</v>
      </c>
      <c r="V260">
        <v>0</v>
      </c>
      <c r="W260">
        <f>-ATAN(($M$260-$M$259)/ABS($N$260-$N$259))</f>
        <v>3.2214391532598492E-4</v>
      </c>
      <c r="X260">
        <f>$Z$260-($Y$260+$Y$258)/2</f>
        <v>105.09580427125098</v>
      </c>
      <c r="Y260">
        <f>_xlfn.XLOOKUP($F260,設計座標!$E$13:$E$2301,設計座標!$L$13:$L$2301," ",0,1)</f>
        <v>100</v>
      </c>
      <c r="Z260">
        <f>SQRT(($M$260-$M$258)^2+($N$260-$N$258)^2)</f>
        <v>155.09580427125098</v>
      </c>
      <c r="AA260">
        <f>_xlfn.XLOOKUP($G260,magnet_list!$A$2:$A$592,magnet_list!$AJ$2:$AJ$592,"n/a",0,1)</f>
        <v>0.121</v>
      </c>
      <c r="AB260">
        <f>_xlfn.XLOOKUP($G260,magnet_list!$A$2:$A$592,magnet_list!$L$2:$L$592,"n/a",0,1)</f>
        <v>44</v>
      </c>
    </row>
    <row r="261" spans="1:28">
      <c r="A261" t="s">
        <v>797</v>
      </c>
      <c r="B261" t="s">
        <v>3810</v>
      </c>
      <c r="C261" t="s">
        <v>805</v>
      </c>
      <c r="D261" t="s">
        <v>806</v>
      </c>
      <c r="F261" t="s">
        <v>28</v>
      </c>
      <c r="G261" t="s">
        <v>28</v>
      </c>
      <c r="I261">
        <f>_xlfn.XLOOKUP($F261,設計座標!$E$13:$E$2301,設計座標!$G$13:$G$2301,"n/a",0,1)</f>
        <v>40.778710283469998</v>
      </c>
      <c r="J261">
        <f>_xlfn.XLOOKUP($F261,設計座標!$E$13:$E$2301,設計座標!$H$13:$H$2301,"n/a",0,1)</f>
        <v>0</v>
      </c>
      <c r="K261">
        <f>_xlfn.XLOOKUP($F261,設計座標!$E$13:$E$2301,設計座標!$I$13:$I$2301,"n/a",0,1)</f>
        <v>33376.656683089997</v>
      </c>
      <c r="L261">
        <f>_xlfn.XLOOKUP($F261,設計座標!$E$13:$E$2301,設計座標!$J$13:$J$2301,"n/a",0,1)</f>
        <v>-70</v>
      </c>
      <c r="M261" s="2">
        <f>_xlfn.XLOOKUP($F261,survey_data!$A$2:$A$833,survey_data!$B$2:$B$833,"n/a",0,1)</f>
        <v>8.3065029999999998E-2</v>
      </c>
      <c r="N261" s="2">
        <f>_xlfn.XLOOKUP($F261,survey_data!$A$2:$A$833,survey_data!$C$2:$C$833,"n/a",0,1)</f>
        <v>33376.656683089997</v>
      </c>
      <c r="O261" s="23">
        <f>_xlfn.XLOOKUP($F261,survey_data!$A$2:$A$833,survey_data!$D$2:$D$833,"n/a",0,1)</f>
        <v>-67.57990556</v>
      </c>
      <c r="P261" s="1">
        <f t="shared" si="176"/>
        <v>-70.157129037606239</v>
      </c>
      <c r="Q261" s="1">
        <f t="shared" si="201"/>
        <v>8.3065029999999998E-2</v>
      </c>
      <c r="R261">
        <f t="shared" si="196"/>
        <v>0</v>
      </c>
      <c r="S261" s="23">
        <f t="shared" si="202"/>
        <v>2.4200944399999997</v>
      </c>
      <c r="T261">
        <f>$S261+測地線補正!$Q$3*(lattice!$N261/1000)^3+測地線補正!$P$3*(lattice!$N261/1000)^2+測地線補正!$O$3*(lattice!$N261/1000)+測地線補正!$N$3</f>
        <v>-0.1571290376062445</v>
      </c>
      <c r="U261">
        <f>ATAN(($P$262-$P$261)/ABS($N$262-$N$261))</f>
        <v>-3.9006819144293446E-4</v>
      </c>
      <c r="V261">
        <v>0</v>
      </c>
      <c r="W261">
        <f>-ATAN(($M$262-$M$261)/ABS($N$262-$N$261))</f>
        <v>5.2680133417586452E-4</v>
      </c>
      <c r="X261">
        <f>$Z$262-($Y$262+$Y$260)/2</f>
        <v>110.22703985332851</v>
      </c>
      <c r="Y261">
        <f>_xlfn.XLOOKUP($F261,設計座標!$E$13:$E$2301,設計座標!$L$13:$L$2301," ",0,1)</f>
        <v>200</v>
      </c>
      <c r="Z261">
        <f>SQRT(($M$262-$M$260)^2+($N$262-$N$260)^2)</f>
        <v>260.22703985332851</v>
      </c>
      <c r="AA261">
        <f>_xlfn.XLOOKUP($G261,magnet_list!$A$2:$A$592,magnet_list!$AJ$2:$AJ$592,"n/a",0,1)</f>
        <v>0.222</v>
      </c>
      <c r="AB261">
        <f>_xlfn.XLOOKUP($G261,magnet_list!$A$2:$A$592,magnet_list!$L$2:$L$592,"n/a",0,1)</f>
        <v>44</v>
      </c>
    </row>
    <row r="262" spans="1:28">
      <c r="A262" t="s">
        <v>797</v>
      </c>
      <c r="B262" t="s">
        <v>3810</v>
      </c>
      <c r="C262" t="s">
        <v>805</v>
      </c>
      <c r="D262" t="s">
        <v>1152</v>
      </c>
      <c r="E262" t="s">
        <v>804</v>
      </c>
      <c r="F262" t="s">
        <v>549</v>
      </c>
      <c r="G262" t="s">
        <v>28</v>
      </c>
      <c r="I262">
        <f>_xlfn.XLOOKUP($F262,設計座標!$E$13:$E$2301,設計座標!$G$13:$G$2301,"n/a",0,1)</f>
        <v>40.858725304030003</v>
      </c>
      <c r="J262">
        <f>_xlfn.XLOOKUP($F262,設計座標!$E$13:$E$2301,設計座標!$H$13:$H$2301,"n/a",0,1)</f>
        <v>0</v>
      </c>
      <c r="K262">
        <f>_xlfn.XLOOKUP($F262,設計座標!$E$13:$E$2301,設計座標!$I$13:$I$2301,"n/a",0,1)</f>
        <v>33456.671703650005</v>
      </c>
      <c r="L262">
        <f>_xlfn.XLOOKUP($F262,設計座標!$E$13:$E$2301,設計座標!$J$13:$J$2301,"n/a",0,1)</f>
        <v>-70</v>
      </c>
      <c r="M262" s="2">
        <f t="shared" si="186"/>
        <v>4.0913006515540515E-2</v>
      </c>
      <c r="N262" s="2">
        <f t="shared" si="187"/>
        <v>33456.671703650005</v>
      </c>
      <c r="O262" s="23">
        <f t="shared" si="188"/>
        <v>-67.605659795227211</v>
      </c>
      <c r="P262" s="1">
        <f t="shared" si="176"/>
        <v>-70.188340353547318</v>
      </c>
      <c r="Q262" s="1">
        <f>(Q$264-Q$261)/($N$264-$N$261)*($N262-$N$261)+Q$261</f>
        <v>4.0913006515540515E-2</v>
      </c>
      <c r="R262">
        <f t="shared" si="196"/>
        <v>0</v>
      </c>
      <c r="S262" s="23">
        <f t="shared" ref="S262:S263" si="214">(S$264-S$261)/($N$264-$N$261)*($N262-$N$261)+S$261</f>
        <v>2.3943402047727824</v>
      </c>
      <c r="T262">
        <f>$S262+測地線補正!$Q$3*(lattice!$N262/1000)^3+測地線補正!$P$3*(lattice!$N262/1000)^2+測地線補正!$O$3*(lattice!$N262/1000)+測地線補正!$N$3</f>
        <v>-0.18834035354731413</v>
      </c>
      <c r="U262">
        <f>ATAN(($P$262-$P$261)/ABS($N$262-$N$261))</f>
        <v>-3.9006819144293446E-4</v>
      </c>
      <c r="V262">
        <v>0</v>
      </c>
      <c r="W262">
        <f>-ATAN(($M$262-$M$261)/ABS($N$262-$N$261))</f>
        <v>5.2680133417586452E-4</v>
      </c>
      <c r="X262">
        <f>$Z$262-($Y$262+$Y$260)/2</f>
        <v>110.22703985332851</v>
      </c>
      <c r="Y262">
        <f>_xlfn.XLOOKUP($F262,設計座標!$E$13:$E$2301,設計座標!$L$13:$L$2301," ",0,1)</f>
        <v>200</v>
      </c>
      <c r="Z262">
        <f>SQRT(($M$262-$M$260)^2+($N$262-$N$260)^2)</f>
        <v>260.22703985332851</v>
      </c>
      <c r="AA262">
        <f>_xlfn.XLOOKUP($G262,magnet_list!$A$2:$A$592,magnet_list!$AJ$2:$AJ$592,"n/a",0,1)</f>
        <v>0.222</v>
      </c>
      <c r="AB262">
        <f>_xlfn.XLOOKUP($G262,magnet_list!$A$2:$A$592,magnet_list!$L$2:$L$592,"n/a",0,1)</f>
        <v>44</v>
      </c>
    </row>
    <row r="263" spans="1:28">
      <c r="A263" t="s">
        <v>797</v>
      </c>
      <c r="B263" t="s">
        <v>3810</v>
      </c>
      <c r="C263" t="s">
        <v>805</v>
      </c>
      <c r="D263" t="s">
        <v>1152</v>
      </c>
      <c r="E263" t="s">
        <v>804</v>
      </c>
      <c r="F263" t="s">
        <v>550</v>
      </c>
      <c r="G263" t="s">
        <v>2397</v>
      </c>
      <c r="I263">
        <f>_xlfn.XLOOKUP($F263,設計座標!$E$13:$E$2301,設計座標!$G$13:$G$2301,"n/a",0,1)</f>
        <v>41.119211304030003</v>
      </c>
      <c r="J263">
        <f>_xlfn.XLOOKUP($F263,設計座標!$E$13:$E$2301,設計座標!$H$13:$H$2301,"n/a",0,1)</f>
        <v>0</v>
      </c>
      <c r="K263">
        <f>_xlfn.XLOOKUP($F263,設計座標!$E$13:$E$2301,設計座標!$I$13:$I$2301,"n/a",0,1)</f>
        <v>33717.157703650002</v>
      </c>
      <c r="L263">
        <f>_xlfn.XLOOKUP($F263,設計座標!$E$13:$E$2301,設計座標!$J$13:$J$2301,"n/a",0,1)</f>
        <v>-70</v>
      </c>
      <c r="M263" s="2">
        <f t="shared" si="186"/>
        <v>-9.6311378512746695E-2</v>
      </c>
      <c r="N263" s="2">
        <f t="shared" si="187"/>
        <v>33717.157703650002</v>
      </c>
      <c r="O263" s="23">
        <f t="shared" si="188"/>
        <v>-67.689501774776119</v>
      </c>
      <c r="P263" s="1">
        <f t="shared" si="176"/>
        <v>-70.289933997320901</v>
      </c>
      <c r="Q263" s="1">
        <f>(Q$264-Q$261)/($N$264-$N$261)*($N263-$N$261)+Q$261</f>
        <v>-9.6311378512746695E-2</v>
      </c>
      <c r="R263">
        <f t="shared" si="196"/>
        <v>0</v>
      </c>
      <c r="S263" s="23">
        <f t="shared" si="214"/>
        <v>2.310498225223883</v>
      </c>
      <c r="T263">
        <f>$S263+測地線補正!$Q$3*(lattice!$N263/1000)^3+測地線補正!$P$3*(lattice!$N263/1000)^2+測地線補正!$O$3*(lattice!$N263/1000)+測地線補正!$N$3</f>
        <v>-0.28993399732089725</v>
      </c>
      <c r="U263">
        <f>ATAN(($P$264-$P$263)/ABS($N$264-$N$263))</f>
        <v>-3.8997142895412908E-4</v>
      </c>
      <c r="V263">
        <v>0</v>
      </c>
      <c r="W263">
        <f>-ATAN(($M$264-$M$263)/ABS($N$264-$N$263))</f>
        <v>5.2680133417586463E-4</v>
      </c>
      <c r="X263">
        <f>$Z$263-($Y$263+$Y$262)/2</f>
        <v>110.48603614499251</v>
      </c>
      <c r="Y263">
        <f>_xlfn.XLOOKUP($F263,設計座標!$E$13:$E$2301,設計座標!$L$13:$L$2301," ",0,1)</f>
        <v>100</v>
      </c>
      <c r="Z263">
        <f>SQRT(($M$263-$M$262)^2+($N$263-$N$262)^2)</f>
        <v>260.48603614499251</v>
      </c>
      <c r="AA263">
        <f>_xlfn.XLOOKUP($G263,magnet_list!$A$2:$A$592,magnet_list!$AJ$2:$AJ$592,"n/a",0,1)</f>
        <v>0.121</v>
      </c>
      <c r="AB263">
        <f>_xlfn.XLOOKUP($G263,magnet_list!$A$2:$A$592,magnet_list!$L$2:$L$592,"n/a",0,1)</f>
        <v>44</v>
      </c>
    </row>
    <row r="264" spans="1:28">
      <c r="A264" t="s">
        <v>797</v>
      </c>
      <c r="B264" t="s">
        <v>3810</v>
      </c>
      <c r="C264" t="s">
        <v>805</v>
      </c>
      <c r="D264" t="s">
        <v>806</v>
      </c>
      <c r="F264" t="s">
        <v>29</v>
      </c>
      <c r="G264" t="s">
        <v>2397</v>
      </c>
      <c r="I264">
        <f>_xlfn.XLOOKUP($F264,設計座標!$E$13:$E$2301,設計座標!$G$13:$G$2301,"n/a",0,1)</f>
        <v>41.149211304030004</v>
      </c>
      <c r="J264">
        <f>_xlfn.XLOOKUP($F264,設計座標!$E$13:$E$2301,設計座標!$H$13:$H$2301,"n/a",0,1)</f>
        <v>0</v>
      </c>
      <c r="K264">
        <f>_xlfn.XLOOKUP($F264,設計座標!$E$13:$E$2301,設計座標!$I$13:$I$2301,"n/a",0,1)</f>
        <v>33747.157703650002</v>
      </c>
      <c r="L264">
        <f>_xlfn.XLOOKUP($F264,設計座標!$E$13:$E$2301,設計座標!$J$13:$J$2301,"n/a",0,1)</f>
        <v>-70</v>
      </c>
      <c r="M264" s="2">
        <f>_xlfn.XLOOKUP($F264,survey_data!$A$2:$A$833,survey_data!$B$2:$B$833,"n/a",0,1)</f>
        <v>-0.11211541999999999</v>
      </c>
      <c r="N264" s="2">
        <f>_xlfn.XLOOKUP($F264,survey_data!$A$2:$A$833,survey_data!$C$2:$C$833,"n/a",0,1)</f>
        <v>33747.157703650002</v>
      </c>
      <c r="O264" s="23">
        <f>_xlfn.XLOOKUP($F264,survey_data!$A$2:$A$833,survey_data!$D$2:$D$833,"n/a",0,1)</f>
        <v>-67.699157799999995</v>
      </c>
      <c r="P264" s="1">
        <f t="shared" si="176"/>
        <v>-70.301633140782585</v>
      </c>
      <c r="Q264" s="1">
        <f t="shared" si="201"/>
        <v>-0.11211541999999999</v>
      </c>
      <c r="R264">
        <f t="shared" si="196"/>
        <v>0</v>
      </c>
      <c r="S264" s="23">
        <f t="shared" si="202"/>
        <v>2.3008422000000053</v>
      </c>
      <c r="T264">
        <f>$S264+測地線補正!$Q$3*(lattice!$N264/1000)^3+測地線補正!$P$3*(lattice!$N264/1000)^2+測地線補正!$O$3*(lattice!$N264/1000)+測地線補正!$N$3</f>
        <v>-0.30163314078258746</v>
      </c>
      <c r="U264">
        <f>ATAN(($P$264-$P$263)/ABS($N$264-$N$263))</f>
        <v>-3.8997142895412908E-4</v>
      </c>
      <c r="V264">
        <v>0</v>
      </c>
      <c r="W264">
        <f>-ATAN(($M$264-$M$263)/ABS($N$264-$N$263))</f>
        <v>5.2680133417586463E-4</v>
      </c>
      <c r="X264">
        <f>$Z$263-($Y$263+$Y$262)/2</f>
        <v>110.48603614499251</v>
      </c>
      <c r="Y264">
        <f>_xlfn.XLOOKUP($F264,設計座標!$E$13:$E$2301,設計座標!$L$13:$L$2301," ",0,1)</f>
        <v>100</v>
      </c>
      <c r="Z264">
        <f>SQRT(($M$263-$M$262)^2+($N$263-$N$262)^2)</f>
        <v>260.48603614499251</v>
      </c>
      <c r="AA264">
        <f>_xlfn.XLOOKUP($G264,magnet_list!$A$2:$A$592,magnet_list!$AJ$2:$AJ$592,"n/a",0,1)</f>
        <v>0.121</v>
      </c>
      <c r="AB264">
        <f>_xlfn.XLOOKUP($G264,magnet_list!$A$2:$A$592,magnet_list!$L$2:$L$592,"n/a",0,1)</f>
        <v>44</v>
      </c>
    </row>
    <row r="265" spans="1:28">
      <c r="A265" t="s">
        <v>797</v>
      </c>
      <c r="B265" t="s">
        <v>3810</v>
      </c>
      <c r="C265" t="s">
        <v>1152</v>
      </c>
      <c r="D265" t="s">
        <v>1152</v>
      </c>
      <c r="E265" t="s">
        <v>804</v>
      </c>
      <c r="F265" t="s">
        <v>1970</v>
      </c>
      <c r="G265" t="s">
        <v>1970</v>
      </c>
      <c r="I265">
        <f>_xlfn.XLOOKUP($F265,設計座標!$E$13:$E$2301,設計座標!$G$13:$G$2301,"n/a",0,1)</f>
        <v>41.297550479310011</v>
      </c>
      <c r="J265">
        <f>_xlfn.XLOOKUP($F265,設計座標!$E$13:$E$2301,設計座標!$H$13:$H$2301,"n/a",0,1)</f>
        <v>0</v>
      </c>
      <c r="K265">
        <f>_xlfn.XLOOKUP($F265,設計座標!$E$13:$E$2301,設計座標!$I$13:$I$2301,"n/a",0,1)</f>
        <v>33895.496878930004</v>
      </c>
      <c r="L265">
        <f>_xlfn.XLOOKUP($F265,設計座標!$E$13:$E$2301,設計座標!$J$13:$J$2301,"n/a",0,1)</f>
        <v>-270</v>
      </c>
      <c r="M265" s="2">
        <f t="shared" si="186"/>
        <v>-0.12008954802824687</v>
      </c>
      <c r="N265" s="2">
        <f t="shared" si="187"/>
        <v>33895.496878930004</v>
      </c>
      <c r="O265" s="23">
        <f t="shared" si="188"/>
        <v>-267.55022554855208</v>
      </c>
      <c r="P265" s="1">
        <f t="shared" si="176"/>
        <v>-270.16279938500946</v>
      </c>
      <c r="Q265" s="1">
        <f>(Q$266-Q$264)/($N$266-$N$264)*($N265-$N$264)+Q$264</f>
        <v>-0.12008954802824687</v>
      </c>
      <c r="R265">
        <f t="shared" si="196"/>
        <v>0</v>
      </c>
      <c r="S265" s="23">
        <f>(S$266-S$264)/($N$266-$N$264)*($N265-$N$264)+S$264</f>
        <v>2.4497744514479409</v>
      </c>
      <c r="T265">
        <f>$S265+測地線補正!$Q$3*(lattice!$N265/1000)^3+測地線補正!$P$3*(lattice!$N265/1000)^2+測地線補正!$O$3*(lattice!$N265/1000)+測地線補正!$N$3</f>
        <v>-0.16279938500946919</v>
      </c>
      <c r="U265">
        <v>0</v>
      </c>
      <c r="V265">
        <v>0</v>
      </c>
      <c r="W265">
        <v>0</v>
      </c>
      <c r="X265">
        <f>$Z$265-($Y$265+$Y$263)/2</f>
        <v>128.33917686518714</v>
      </c>
      <c r="Y265">
        <f>_xlfn.XLOOKUP($F265,設計座標!$E$13:$E$2301,設計座標!$L$13:$L$2301," ",0,1)</f>
        <v>0</v>
      </c>
      <c r="Z265">
        <f>SQRT(($M$265-$M$263)^2+($N$265-$N$263)^2)</f>
        <v>178.33917686518714</v>
      </c>
    </row>
    <row r="266" spans="1:28">
      <c r="A266" t="s">
        <v>797</v>
      </c>
      <c r="B266" t="s">
        <v>3810</v>
      </c>
      <c r="C266" t="s">
        <v>805</v>
      </c>
      <c r="D266" t="s">
        <v>806</v>
      </c>
      <c r="F266" t="s">
        <v>30</v>
      </c>
      <c r="G266" t="s">
        <v>2398</v>
      </c>
      <c r="I266">
        <f>_xlfn.XLOOKUP($F266,設計座標!$E$13:$E$2301,設計座標!$G$13:$G$2301,"n/a",0,1)</f>
        <v>41.454165075660008</v>
      </c>
      <c r="J266">
        <f>_xlfn.XLOOKUP($F266,設計座標!$E$13:$E$2301,設計座標!$H$13:$H$2301,"n/a",0,1)</f>
        <v>0</v>
      </c>
      <c r="K266">
        <f>_xlfn.XLOOKUP($F266,設計座標!$E$13:$E$2301,設計座標!$I$13:$I$2301,"n/a",0,1)</f>
        <v>34052.111475279999</v>
      </c>
      <c r="L266">
        <f>_xlfn.XLOOKUP($F266,設計座標!$E$13:$E$2301,設計座標!$J$13:$J$2301,"n/a",0,1)</f>
        <v>-70</v>
      </c>
      <c r="M266" s="2">
        <f>_xlfn.XLOOKUP($F266,survey_data!$A$2:$A$833,survey_data!$B$2:$B$833,"n/a",0,1)</f>
        <v>-0.12850853000000001</v>
      </c>
      <c r="N266" s="2">
        <f>_xlfn.XLOOKUP($F266,survey_data!$A$2:$A$833,survey_data!$C$2:$C$833,"n/a",0,1)</f>
        <v>34052.111475279999</v>
      </c>
      <c r="O266" s="23">
        <f>_xlfn.XLOOKUP($F266,survey_data!$A$2:$A$833,survey_data!$D$2:$D$833,"n/a",0,1)</f>
        <v>-67.39298479</v>
      </c>
      <c r="P266" s="1">
        <f t="shared" si="176"/>
        <v>-70.016213357209111</v>
      </c>
      <c r="Q266" s="1">
        <f t="shared" si="201"/>
        <v>-0.12850853000000001</v>
      </c>
      <c r="R266">
        <f t="shared" si="196"/>
        <v>0</v>
      </c>
      <c r="S266" s="23">
        <f t="shared" si="202"/>
        <v>2.6070152100000001</v>
      </c>
      <c r="T266">
        <f>$S266+測地線補正!$Q$3*(lattice!$N266/1000)^3+測地線補正!$P$3*(lattice!$N266/1000)^2+測地線補正!$O$3*(lattice!$N266/1000)+測地線補正!$N$3</f>
        <v>-1.6213357209108849E-2</v>
      </c>
      <c r="U266">
        <f>ATAN(($P$268-$P$266)/ABS($N$268-$N$266))</f>
        <v>8.1117841089154314E-5</v>
      </c>
      <c r="V266">
        <v>0</v>
      </c>
      <c r="W266">
        <f>-ATAN(($M$268-$M$266)/ABS($N$268-$N$266))</f>
        <v>-5.2289872622770617E-4</v>
      </c>
      <c r="X266">
        <f>$Z$267-($Y$267+$Y$265)/2</f>
        <v>146.62442484746273</v>
      </c>
      <c r="Y266">
        <f>_xlfn.XLOOKUP($F266,設計座標!$E$13:$E$2301,設計座標!$L$13:$L$2301," ",0,1)</f>
        <v>100</v>
      </c>
      <c r="Z266">
        <f>SQRT(($M$267-$M$265)^2+($N$267-$N$265)^2)</f>
        <v>196.62442484746273</v>
      </c>
      <c r="AA266">
        <f>_xlfn.XLOOKUP($G266,magnet_list!$A$2:$A$592,magnet_list!$AJ$2:$AJ$592,"n/a",0,1)</f>
        <v>0.1415535</v>
      </c>
      <c r="AB266">
        <f>_xlfn.XLOOKUP($G266,magnet_list!$A$2:$A$592,magnet_list!$L$2:$L$592,"n/a",0,1)</f>
        <v>44</v>
      </c>
    </row>
    <row r="267" spans="1:28">
      <c r="A267" t="s">
        <v>797</v>
      </c>
      <c r="B267" t="s">
        <v>3810</v>
      </c>
      <c r="C267" t="s">
        <v>805</v>
      </c>
      <c r="D267" t="s">
        <v>1152</v>
      </c>
      <c r="E267" t="s">
        <v>804</v>
      </c>
      <c r="F267" t="s">
        <v>551</v>
      </c>
      <c r="G267" t="s">
        <v>2398</v>
      </c>
      <c r="I267">
        <f>_xlfn.XLOOKUP($F267,設計座標!$E$13:$E$2301,設計座標!$G$13:$G$2301,"n/a",0,1)</f>
        <v>41.494174903760012</v>
      </c>
      <c r="J267">
        <f>_xlfn.XLOOKUP($F267,設計座標!$E$13:$E$2301,設計座標!$H$13:$H$2301,"n/a",0,1)</f>
        <v>0</v>
      </c>
      <c r="K267">
        <f>_xlfn.XLOOKUP($F267,設計座標!$E$13:$E$2301,設計座標!$I$13:$I$2301,"n/a",0,1)</f>
        <v>34092.121303380001</v>
      </c>
      <c r="L267">
        <f>_xlfn.XLOOKUP($F267,設計座標!$E$13:$E$2301,設計座標!$J$13:$J$2301,"n/a",0,1)</f>
        <v>-70</v>
      </c>
      <c r="M267" s="2">
        <f t="shared" si="186"/>
        <v>-0.10758743994314943</v>
      </c>
      <c r="N267" s="2">
        <f t="shared" si="187"/>
        <v>34092.121303380001</v>
      </c>
      <c r="O267" s="23">
        <f t="shared" si="188"/>
        <v>-67.387018747816384</v>
      </c>
      <c r="P267" s="1">
        <f t="shared" si="176"/>
        <v>-70.012968081486761</v>
      </c>
      <c r="Q267" s="1">
        <f>(Q$268-Q$266)/($N$268-$N$266)*($N267-$N$266)+Q$266</f>
        <v>-0.10758743994314943</v>
      </c>
      <c r="R267">
        <f t="shared" si="196"/>
        <v>0</v>
      </c>
      <c r="S267" s="23">
        <f>(S$268-S$266)/($N$268-$N$266)*($N267-$N$266)+S$266</f>
        <v>2.612981252183618</v>
      </c>
      <c r="T267">
        <f>$S267+測地線補正!$Q$3*(lattice!$N267/1000)^3+測地線補正!$P$3*(lattice!$N267/1000)^2+測地線補正!$O$3*(lattice!$N267/1000)+測地線補正!$N$3</f>
        <v>-1.2968081486757068E-2</v>
      </c>
      <c r="U267">
        <f t="shared" ref="U267:U268" si="215">ATAN(($P$268-$P$266)/ABS($N$268-$N$266))</f>
        <v>8.1117841089154314E-5</v>
      </c>
      <c r="V267">
        <v>0</v>
      </c>
      <c r="W267">
        <f t="shared" ref="W267:W268" si="216">-ATAN(($M$268-$M$266)/ABS($N$268-$N$266))</f>
        <v>-5.2289872622770617E-4</v>
      </c>
      <c r="X267">
        <f>$Z$267-($Y$267+$Y$265)/2</f>
        <v>146.62442484746273</v>
      </c>
      <c r="Y267">
        <f>_xlfn.XLOOKUP($F267,設計座標!$E$13:$E$2301,設計座標!$L$13:$L$2301," ",0,1)</f>
        <v>100</v>
      </c>
      <c r="Z267">
        <f>SQRT(($M$267-$M$265)^2+($N$267-$N$265)^2)</f>
        <v>196.62442484746273</v>
      </c>
      <c r="AA267">
        <f>_xlfn.XLOOKUP($G267,magnet_list!$A$2:$A$592,magnet_list!$AJ$2:$AJ$592,"n/a",0,1)</f>
        <v>0.1415535</v>
      </c>
      <c r="AB267">
        <f>_xlfn.XLOOKUP($G267,magnet_list!$A$2:$A$592,magnet_list!$L$2:$L$592,"n/a",0,1)</f>
        <v>44</v>
      </c>
    </row>
    <row r="268" spans="1:28">
      <c r="A268" t="s">
        <v>797</v>
      </c>
      <c r="B268" t="s">
        <v>3810</v>
      </c>
      <c r="C268" t="s">
        <v>805</v>
      </c>
      <c r="D268" t="s">
        <v>806</v>
      </c>
      <c r="F268" t="s">
        <v>31</v>
      </c>
      <c r="G268" t="s">
        <v>2398</v>
      </c>
      <c r="I268">
        <f>_xlfn.XLOOKUP($F268,設計座標!$E$13:$E$2301,設計座標!$G$13:$G$2301,"n/a",0,1)</f>
        <v>41.534184903760014</v>
      </c>
      <c r="J268">
        <f>_xlfn.XLOOKUP($F268,設計座標!$E$13:$E$2301,設計座標!$H$13:$H$2301,"n/a",0,1)</f>
        <v>0</v>
      </c>
      <c r="K268">
        <f>_xlfn.XLOOKUP($F268,設計座標!$E$13:$E$2301,設計座標!$I$13:$I$2301,"n/a",0,1)</f>
        <v>34132.131303380003</v>
      </c>
      <c r="L268">
        <f>_xlfn.XLOOKUP($F268,設計座標!$E$13:$E$2301,設計座標!$J$13:$J$2301,"n/a",0,1)</f>
        <v>-70</v>
      </c>
      <c r="M268" s="2">
        <f>_xlfn.XLOOKUP($F268,survey_data!$A$2:$A$833,survey_data!$B$2:$B$833,"n/a",0,1)</f>
        <v>-8.6666259999999995E-2</v>
      </c>
      <c r="N268" s="2">
        <f>_xlfn.XLOOKUP($F268,survey_data!$A$2:$A$833,survey_data!$C$2:$C$833,"n/a",0,1)</f>
        <v>34132.131303380003</v>
      </c>
      <c r="O268" s="23">
        <f>_xlfn.XLOOKUP($F268,survey_data!$A$2:$A$833,survey_data!$D$2:$D$833,"n/a",0,1)</f>
        <v>-67.381052679999996</v>
      </c>
      <c r="P268" s="1">
        <f t="shared" si="176"/>
        <v>-70.009722321495076</v>
      </c>
      <c r="Q268" s="1">
        <f t="shared" si="201"/>
        <v>-8.6666259999999995E-2</v>
      </c>
      <c r="R268">
        <f t="shared" si="196"/>
        <v>0</v>
      </c>
      <c r="S268" s="23">
        <f t="shared" si="202"/>
        <v>2.6189473200000037</v>
      </c>
      <c r="T268">
        <f>$S268+測地線補正!$Q$3*(lattice!$N268/1000)^3+測地線補正!$P$3*(lattice!$N268/1000)^2+測地線補正!$O$3*(lattice!$N268/1000)+測地線補正!$N$3</f>
        <v>-9.7223214950717639E-3</v>
      </c>
      <c r="U268">
        <f t="shared" si="215"/>
        <v>8.1117841089154314E-5</v>
      </c>
      <c r="V268">
        <v>0</v>
      </c>
      <c r="W268">
        <f t="shared" si="216"/>
        <v>-5.2289872622770617E-4</v>
      </c>
      <c r="X268">
        <f>$Z$267-($Y$267+$Y$265)/2</f>
        <v>146.62442484746273</v>
      </c>
      <c r="Y268">
        <f>_xlfn.XLOOKUP($F268,設計座標!$E$13:$E$2301,設計座標!$L$13:$L$2301," ",0,1)</f>
        <v>100</v>
      </c>
      <c r="Z268">
        <f>SQRT(($M$267-$M$265)^2+($N$267-$N$265)^2)</f>
        <v>196.62442484746273</v>
      </c>
      <c r="AA268">
        <f>_xlfn.XLOOKUP($G268,magnet_list!$A$2:$A$592,magnet_list!$AJ$2:$AJ$592,"n/a",0,1)</f>
        <v>0.1415535</v>
      </c>
      <c r="AB268">
        <f>_xlfn.XLOOKUP($G268,magnet_list!$A$2:$A$592,magnet_list!$L$2:$L$592,"n/a",0,1)</f>
        <v>44</v>
      </c>
    </row>
    <row r="269" spans="1:28">
      <c r="A269" t="s">
        <v>797</v>
      </c>
      <c r="B269" t="s">
        <v>3810</v>
      </c>
      <c r="C269" t="s">
        <v>805</v>
      </c>
      <c r="D269" t="s">
        <v>1152</v>
      </c>
      <c r="F269" t="s">
        <v>32</v>
      </c>
      <c r="G269" t="s">
        <v>2399</v>
      </c>
      <c r="I269">
        <f>_xlfn.XLOOKUP($F269,設計座標!$E$13:$E$2301,設計座標!$G$13:$G$2301,"n/a",0,1)</f>
        <v>41.719264923970016</v>
      </c>
      <c r="J269">
        <f>_xlfn.XLOOKUP($F269,設計座標!$E$13:$E$2301,設計座標!$H$13:$H$2301,"n/a",0,1)</f>
        <v>0</v>
      </c>
      <c r="K269">
        <f>_xlfn.XLOOKUP($F269,設計座標!$E$13:$E$2301,設計座標!$I$13:$I$2301,"n/a",0,1)</f>
        <v>34317.211323590003</v>
      </c>
      <c r="L269">
        <f>_xlfn.XLOOKUP($F269,設計座標!$E$13:$E$2301,設計座標!$J$13:$J$2301,"n/a",0,1)</f>
        <v>-70</v>
      </c>
      <c r="M269" s="2">
        <f>_xlfn.XLOOKUP($F269,survey_data!$A$2:$A$833,survey_data!$B$2:$B$833,"n/a",0,1)</f>
        <v>-0.11339636</v>
      </c>
      <c r="N269" s="2">
        <f>_xlfn.XLOOKUP($F269,survey_data!$A$2:$A$833,survey_data!$C$2:$C$833,"n/a",0,1)</f>
        <v>34317.211323590003</v>
      </c>
      <c r="O269" s="23">
        <f>_xlfn.XLOOKUP($F269,survey_data!$A$2:$A$833,survey_data!$D$2:$D$833,"n/a",0,1)</f>
        <v>-67.224360079999997</v>
      </c>
      <c r="P269" s="1">
        <f t="shared" si="176"/>
        <v>-69.865607367062367</v>
      </c>
      <c r="Q269" s="1">
        <f t="shared" si="201"/>
        <v>-0.11339636</v>
      </c>
      <c r="R269">
        <f t="shared" si="196"/>
        <v>0</v>
      </c>
      <c r="S269" s="23">
        <f t="shared" si="202"/>
        <v>2.7756399200000033</v>
      </c>
      <c r="T269">
        <f>$S269+測地線補正!$Q$3*(lattice!$N269/1000)^3+測地線補正!$P$3*(lattice!$N269/1000)^2+測地線補正!$O$3*(lattice!$N269/1000)+測地線補正!$N$3</f>
        <v>0.13439263293763229</v>
      </c>
      <c r="U269">
        <f>ATAN(($P$271-$P$269)/ABS($N$271-$N$269))</f>
        <v>1.3038502418943735E-3</v>
      </c>
      <c r="V269">
        <v>0</v>
      </c>
      <c r="W269">
        <f>-ATAN(($M$271-$M$269)/ABS($N$271-$N$269))</f>
        <v>2.1023160161067699E-5</v>
      </c>
      <c r="X269">
        <f>$Z$270-($Y$270+$Y$267)/2</f>
        <v>165.08530246340644</v>
      </c>
      <c r="Y269">
        <f>_xlfn.XLOOKUP($F269,設計座標!$E$13:$E$2301,設計座標!$L$13:$L$2301," ",0,1)</f>
        <v>100</v>
      </c>
      <c r="Z269">
        <f>SQRT(($M$270-$M$267)^2+($N$270-$N$267)^2)</f>
        <v>265.08530246340644</v>
      </c>
      <c r="AA269">
        <f>_xlfn.XLOOKUP($G269,magnet_list!$A$2:$A$592,magnet_list!$AJ$2:$AJ$592,"n/a",0,1)</f>
        <v>0.1415535</v>
      </c>
      <c r="AB269">
        <f>_xlfn.XLOOKUP($G269,magnet_list!$A$2:$A$592,magnet_list!$L$2:$L$592,"n/a",0,1)</f>
        <v>44</v>
      </c>
    </row>
    <row r="270" spans="1:28">
      <c r="A270" t="s">
        <v>797</v>
      </c>
      <c r="B270" t="s">
        <v>3810</v>
      </c>
      <c r="C270" t="s">
        <v>805</v>
      </c>
      <c r="D270" t="s">
        <v>806</v>
      </c>
      <c r="E270" t="s">
        <v>804</v>
      </c>
      <c r="F270" t="s">
        <v>552</v>
      </c>
      <c r="G270" t="s">
        <v>2399</v>
      </c>
      <c r="I270">
        <f>_xlfn.XLOOKUP($F270,設計座標!$E$13:$E$2301,設計座標!$G$13:$G$2301,"n/a",0,1)</f>
        <v>41.759260206140013</v>
      </c>
      <c r="J270">
        <f>_xlfn.XLOOKUP($F270,設計座標!$E$13:$E$2301,設計座標!$H$13:$H$2301,"n/a",0,1)</f>
        <v>0</v>
      </c>
      <c r="K270">
        <f>_xlfn.XLOOKUP($F270,設計座標!$E$13:$E$2301,設計座標!$I$13:$I$2301,"n/a",0,1)</f>
        <v>34357.206605760002</v>
      </c>
      <c r="L270">
        <f>_xlfn.XLOOKUP($F270,設計座標!$E$13:$E$2301,設計座標!$J$13:$J$2301,"n/a",0,1)</f>
        <v>-70</v>
      </c>
      <c r="M270" s="2">
        <f t="shared" ref="M270:M333" si="217">$J270+$Q270</f>
        <v>-0.11423718722287086</v>
      </c>
      <c r="N270" s="2">
        <f t="shared" ref="N270:N333" si="218">$K270</f>
        <v>34357.206605760002</v>
      </c>
      <c r="O270" s="23">
        <f t="shared" ref="O270:O333" si="219">$L270+$S270</f>
        <v>-67.16949573005445</v>
      </c>
      <c r="P270" s="1">
        <f t="shared" si="176"/>
        <v>-69.813459709015675</v>
      </c>
      <c r="Q270" s="1">
        <f>(Q$271-Q$269)/($N$271-$N$269)*($N270-$N$269)+Q$269</f>
        <v>-0.11423718722287086</v>
      </c>
      <c r="R270">
        <f t="shared" si="196"/>
        <v>0</v>
      </c>
      <c r="S270" s="23">
        <f>(S$271-S$269)/($N$271-$N$269)*($N270-$N$269)+S$269</f>
        <v>2.830504269945548</v>
      </c>
      <c r="T270">
        <f>$S270+測地線補正!$Q$3*(lattice!$N270/1000)^3+測地線補正!$P$3*(lattice!$N270/1000)^2+測地線補正!$O$3*(lattice!$N270/1000)+測地線補正!$N$3</f>
        <v>0.18654029098432914</v>
      </c>
      <c r="U270">
        <f t="shared" ref="U270:U271" si="220">ATAN(($P$271-$P$269)/ABS($N$271-$N$269))</f>
        <v>1.3038502418943735E-3</v>
      </c>
      <c r="V270">
        <v>0</v>
      </c>
      <c r="W270">
        <f t="shared" ref="W270:W271" si="221">-ATAN(($M$271-$M$269)/ABS($N$271-$N$269))</f>
        <v>2.1023160161067699E-5</v>
      </c>
      <c r="X270">
        <f>$Z$270-($Y$270+$Y$267)/2</f>
        <v>165.08530246340644</v>
      </c>
      <c r="Y270">
        <f>_xlfn.XLOOKUP($F270,設計座標!$E$13:$E$2301,設計座標!$L$13:$L$2301," ",0,1)</f>
        <v>100</v>
      </c>
      <c r="Z270">
        <f>SQRT(($M$270-$M$267)^2+($N$270-$N$267)^2)</f>
        <v>265.08530246340644</v>
      </c>
      <c r="AA270">
        <f>_xlfn.XLOOKUP($G270,magnet_list!$A$2:$A$592,magnet_list!$AJ$2:$AJ$592,"n/a",0,1)</f>
        <v>0.1415535</v>
      </c>
      <c r="AB270">
        <f>_xlfn.XLOOKUP($G270,magnet_list!$A$2:$A$592,magnet_list!$L$2:$L$592,"n/a",0,1)</f>
        <v>44</v>
      </c>
    </row>
    <row r="271" spans="1:28">
      <c r="A271" t="s">
        <v>797</v>
      </c>
      <c r="B271" t="s">
        <v>3810</v>
      </c>
      <c r="C271" t="s">
        <v>805</v>
      </c>
      <c r="D271" t="s">
        <v>1152</v>
      </c>
      <c r="F271" t="s">
        <v>33</v>
      </c>
      <c r="G271" t="s">
        <v>2399</v>
      </c>
      <c r="I271">
        <f>_xlfn.XLOOKUP($F271,設計座標!$E$13:$E$2301,設計座標!$G$13:$G$2301,"n/a",0,1)</f>
        <v>41.799276206140007</v>
      </c>
      <c r="J271">
        <f>_xlfn.XLOOKUP($F271,設計座標!$E$13:$E$2301,設計座標!$H$13:$H$2301,"n/a",0,1)</f>
        <v>0</v>
      </c>
      <c r="K271">
        <f>_xlfn.XLOOKUP($F271,設計座標!$E$13:$E$2301,設計座標!$I$13:$I$2301,"n/a",0,1)</f>
        <v>34397.222605759998</v>
      </c>
      <c r="L271">
        <f>_xlfn.XLOOKUP($F271,設計座標!$E$13:$E$2301,設計座標!$J$13:$J$2301,"n/a",0,1)</f>
        <v>-70</v>
      </c>
      <c r="M271" s="2">
        <f>_xlfn.XLOOKUP($F271,survey_data!$A$2:$A$833,survey_data!$B$2:$B$833,"n/a",0,1)</f>
        <v>-0.11507845</v>
      </c>
      <c r="N271" s="2">
        <f>_xlfn.XLOOKUP($F271,survey_data!$A$2:$A$833,survey_data!$C$2:$C$833,"n/a",0,1)</f>
        <v>34397.222605759998</v>
      </c>
      <c r="O271" s="23">
        <f>_xlfn.XLOOKUP($F271,survey_data!$A$2:$A$833,survey_data!$D$2:$D$833,"n/a",0,1)</f>
        <v>-67.114602959999999</v>
      </c>
      <c r="P271" s="1">
        <f t="shared" si="176"/>
        <v>-69.761284578333601</v>
      </c>
      <c r="Q271" s="1">
        <f t="shared" si="201"/>
        <v>-0.11507845</v>
      </c>
      <c r="R271">
        <f t="shared" si="196"/>
        <v>0</v>
      </c>
      <c r="S271" s="23">
        <f t="shared" si="202"/>
        <v>2.8853970400000009</v>
      </c>
      <c r="T271">
        <f>$S271+測地線補正!$Q$3*(lattice!$N271/1000)^3+測地線補正!$P$3*(lattice!$N271/1000)^2+測地線補正!$O$3*(lattice!$N271/1000)+測地線補正!$N$3</f>
        <v>0.23871542166639217</v>
      </c>
      <c r="U271">
        <f t="shared" si="220"/>
        <v>1.3038502418943735E-3</v>
      </c>
      <c r="V271">
        <v>0</v>
      </c>
      <c r="W271">
        <f t="shared" si="221"/>
        <v>2.1023160161067699E-5</v>
      </c>
      <c r="X271">
        <f>$Z$270-($Y$270+$Y$267)/2</f>
        <v>165.08530246340644</v>
      </c>
      <c r="Y271">
        <f>_xlfn.XLOOKUP($F271,設計座標!$E$13:$E$2301,設計座標!$L$13:$L$2301," ",0,1)</f>
        <v>100</v>
      </c>
      <c r="Z271">
        <f>SQRT(($M$270-$M$267)^2+($N$270-$N$267)^2)</f>
        <v>265.08530246340644</v>
      </c>
      <c r="AA271">
        <f>_xlfn.XLOOKUP($G271,magnet_list!$A$2:$A$592,magnet_list!$AJ$2:$AJ$592,"n/a",0,1)</f>
        <v>0.1415535</v>
      </c>
      <c r="AB271">
        <f>_xlfn.XLOOKUP($G271,magnet_list!$A$2:$A$592,magnet_list!$L$2:$L$592,"n/a",0,1)</f>
        <v>44</v>
      </c>
    </row>
    <row r="272" spans="1:28">
      <c r="A272" t="s">
        <v>797</v>
      </c>
      <c r="B272" t="s">
        <v>3810</v>
      </c>
      <c r="C272" t="s">
        <v>1152</v>
      </c>
      <c r="D272" t="s">
        <v>1152</v>
      </c>
      <c r="E272" t="s">
        <v>804</v>
      </c>
      <c r="F272" t="s">
        <v>1971</v>
      </c>
      <c r="G272" t="s">
        <v>1971</v>
      </c>
      <c r="I272">
        <f>_xlfn.XLOOKUP($F272,設計座標!$E$13:$E$2301,設計座標!$G$13:$G$2301,"n/a",0,1)</f>
        <v>41.881548379310011</v>
      </c>
      <c r="J272">
        <f>_xlfn.XLOOKUP($F272,設計座標!$E$13:$E$2301,設計座標!$H$13:$H$2301,"n/a",0,1)</f>
        <v>0</v>
      </c>
      <c r="K272">
        <f>_xlfn.XLOOKUP($F272,設計座標!$E$13:$E$2301,設計座標!$I$13:$I$2301,"n/a",0,1)</f>
        <v>34479.494778930006</v>
      </c>
      <c r="L272">
        <f>_xlfn.XLOOKUP($F272,設計座標!$E$13:$E$2301,設計座標!$J$13:$J$2301,"n/a",0,1)</f>
        <v>-270</v>
      </c>
      <c r="M272" s="2">
        <f t="shared" si="217"/>
        <v>-0.11424429062550503</v>
      </c>
      <c r="N272" s="2">
        <f t="shared" si="218"/>
        <v>34479.494778930006</v>
      </c>
      <c r="O272" s="23">
        <f t="shared" si="219"/>
        <v>-267.11190817595616</v>
      </c>
      <c r="P272" s="1">
        <f t="shared" si="176"/>
        <v>-269.76417577369847</v>
      </c>
      <c r="Q272" s="1">
        <f>(Q$293-Q$271)/($N$293-$N$271)*($N272-$N$271)+Q$271</f>
        <v>-0.11424429062550503</v>
      </c>
      <c r="R272">
        <f t="shared" si="196"/>
        <v>0</v>
      </c>
      <c r="S272" s="23">
        <f t="shared" ref="S272:S292" si="222">(S$293-S$271)/($N$293-$N$271)*($N272-$N$271)+S$271</f>
        <v>2.888091824043828</v>
      </c>
      <c r="T272">
        <f>$S272+測地線補正!$Q$3*(lattice!$N272/1000)^3+測地線補正!$P$3*(lattice!$N272/1000)^2+測地線補正!$O$3*(lattice!$N272/1000)+測地線補正!$N$3</f>
        <v>0.23582422630155278</v>
      </c>
      <c r="U272">
        <v>0</v>
      </c>
      <c r="V272">
        <v>0</v>
      </c>
      <c r="W272">
        <v>0</v>
      </c>
      <c r="X272">
        <f>$Z$272-($Y$272+$Y$270)/2</f>
        <v>72.288173170003788</v>
      </c>
      <c r="Y272">
        <f>_xlfn.XLOOKUP($F272,設計座標!$E$13:$E$2301,設計座標!$L$13:$L$2301," ",0,1)</f>
        <v>0</v>
      </c>
      <c r="Z272">
        <f>SQRT(($M$272-$M$270)^2+($N$272-$N$270)^2)</f>
        <v>122.28817317000379</v>
      </c>
    </row>
    <row r="273" spans="1:28">
      <c r="A273" t="s">
        <v>797</v>
      </c>
      <c r="B273" t="s">
        <v>3810</v>
      </c>
      <c r="C273" t="s">
        <v>1152</v>
      </c>
      <c r="D273" t="s">
        <v>1152</v>
      </c>
      <c r="E273" t="s">
        <v>804</v>
      </c>
      <c r="F273" t="s">
        <v>1972</v>
      </c>
      <c r="G273" t="s">
        <v>1972</v>
      </c>
      <c r="I273">
        <f>_xlfn.XLOOKUP($F273,設計座標!$E$13:$E$2301,設計座標!$G$13:$G$2301,"n/a",0,1)</f>
        <v>43.87306447931001</v>
      </c>
      <c r="J273">
        <f>_xlfn.XLOOKUP($F273,設計座標!$E$13:$E$2301,設計座標!$H$13:$H$2301,"n/a",0,1)</f>
        <v>0</v>
      </c>
      <c r="K273">
        <f>_xlfn.XLOOKUP($F273,設計座標!$E$13:$E$2301,設計座標!$I$13:$I$2301,"n/a",0,1)</f>
        <v>36471.010878930007</v>
      </c>
      <c r="L273">
        <f>_xlfn.XLOOKUP($F273,設計座標!$E$13:$E$2301,設計座標!$J$13:$J$2301,"n/a",0,1)</f>
        <v>-270</v>
      </c>
      <c r="M273" s="2">
        <f t="shared" si="217"/>
        <v>-9.4052265056424028E-2</v>
      </c>
      <c r="N273" s="2">
        <f t="shared" si="218"/>
        <v>36471.010878930007</v>
      </c>
      <c r="O273" s="23">
        <f t="shared" si="219"/>
        <v>-267.04667705828268</v>
      </c>
      <c r="P273" s="1">
        <f t="shared" si="176"/>
        <v>-269.83360718115745</v>
      </c>
      <c r="Q273" s="1">
        <f t="shared" ref="Q273:Q292" si="223">(Q$293-Q$271)/($N$293-$N$271)*($N273-$N$271)+Q$271</f>
        <v>-9.4052265056424028E-2</v>
      </c>
      <c r="R273">
        <f t="shared" si="196"/>
        <v>0</v>
      </c>
      <c r="S273" s="23">
        <f t="shared" si="222"/>
        <v>2.9533229417173006</v>
      </c>
      <c r="T273">
        <f>$S273+測地線補正!$Q$3*(lattice!$N273/1000)^3+測地線補正!$P$3*(lattice!$N273/1000)^2+測地線補正!$O$3*(lattice!$N273/1000)+測地線補正!$N$3</f>
        <v>0.16639281884256865</v>
      </c>
      <c r="U273">
        <v>0</v>
      </c>
      <c r="V273">
        <v>0</v>
      </c>
      <c r="W273">
        <v>0</v>
      </c>
      <c r="X273">
        <f>$Z$273-($Y$273+$Y$272)/2</f>
        <v>1991.5161001023644</v>
      </c>
      <c r="Y273">
        <f>_xlfn.XLOOKUP($F273,設計座標!$E$13:$E$2301,設計座標!$L$13:$L$2301," ",0,1)</f>
        <v>0</v>
      </c>
      <c r="Z273">
        <f>SQRT(($M$273-$M$272)^2+($N$273-$N$272)^2)</f>
        <v>1991.5161001023644</v>
      </c>
    </row>
    <row r="274" spans="1:28">
      <c r="A274" t="s">
        <v>797</v>
      </c>
      <c r="B274" t="s">
        <v>3811</v>
      </c>
      <c r="C274" t="s">
        <v>2288</v>
      </c>
      <c r="D274" t="s">
        <v>1152</v>
      </c>
      <c r="E274" t="s">
        <v>804</v>
      </c>
      <c r="F274" t="s">
        <v>2327</v>
      </c>
      <c r="G274" t="s">
        <v>2327</v>
      </c>
      <c r="I274">
        <f>_xlfn.XLOOKUP($F274,設計座標!$E$13:$E$2301,設計座標!$G$13:$G$2301,"n/a",0,1)</f>
        <v>43.958064479310011</v>
      </c>
      <c r="J274">
        <f>_xlfn.XLOOKUP($F274,設計座標!$E$13:$E$2301,設計座標!$H$13:$H$2301,"n/a",0,1)</f>
        <v>0</v>
      </c>
      <c r="K274">
        <f>_xlfn.XLOOKUP($F274,設計座標!$E$13:$E$2301,設計座標!$I$13:$I$2301,"n/a",0,1)</f>
        <v>36556.010878930007</v>
      </c>
      <c r="L274">
        <f>_xlfn.XLOOKUP($F274,設計座標!$E$13:$E$2301,設計座標!$J$13:$J$2301,"n/a",0,1)</f>
        <v>-270</v>
      </c>
      <c r="M274" s="2">
        <f t="shared" si="217"/>
        <v>-9.3190448185663161E-2</v>
      </c>
      <c r="N274" s="2">
        <f t="shared" si="218"/>
        <v>36556.010878930007</v>
      </c>
      <c r="O274" s="23">
        <f t="shared" si="219"/>
        <v>-267.04389292563008</v>
      </c>
      <c r="P274" s="1">
        <f t="shared" ref="P274:P337" si="224">$L274+$T274</f>
        <v>-269.83654848420639</v>
      </c>
      <c r="Q274" s="1">
        <f t="shared" si="223"/>
        <v>-9.3190448185663161E-2</v>
      </c>
      <c r="R274">
        <f t="shared" si="196"/>
        <v>0</v>
      </c>
      <c r="S274" s="23">
        <f t="shared" si="222"/>
        <v>2.9561070743699291</v>
      </c>
      <c r="T274">
        <f>$S274+測地線補正!$Q$3*(lattice!$N274/1000)^3+測地線補正!$P$3*(lattice!$N274/1000)^2+測地線補正!$O$3*(lattice!$N274/1000)+測地線補正!$N$3</f>
        <v>0.16345151579363529</v>
      </c>
      <c r="U274">
        <v>0</v>
      </c>
      <c r="V274">
        <v>0</v>
      </c>
      <c r="W274">
        <v>0</v>
      </c>
      <c r="X274">
        <f>$Z$274-($Y$274+$Y$273)/2</f>
        <v>85.000000004368985</v>
      </c>
      <c r="Y274">
        <f>_xlfn.XLOOKUP($F274,設計座標!$E$13:$E$2301,設計座標!$L$13:$L$2301," ",0,1)</f>
        <v>0</v>
      </c>
      <c r="Z274">
        <f>SQRT(($M$274-$M$273)^2+($N$274-$N$273)^2)</f>
        <v>85.000000004368985</v>
      </c>
    </row>
    <row r="275" spans="1:28">
      <c r="A275" t="s">
        <v>797</v>
      </c>
      <c r="B275" t="s">
        <v>3811</v>
      </c>
      <c r="C275" t="s">
        <v>804</v>
      </c>
      <c r="D275" t="s">
        <v>1152</v>
      </c>
      <c r="E275" t="s">
        <v>804</v>
      </c>
      <c r="F275" t="s">
        <v>1426</v>
      </c>
      <c r="G275" t="s">
        <v>2400</v>
      </c>
      <c r="I275">
        <f>_xlfn.XLOOKUP($F275,設計座標!$E$13:$E$2301,設計座標!$G$13:$G$2301,"n/a",0,1)</f>
        <v>44.09206437931001</v>
      </c>
      <c r="J275">
        <f>_xlfn.XLOOKUP($F275,設計座標!$E$13:$E$2301,設計座標!$H$13:$H$2301,"n/a",0,1)</f>
        <v>0</v>
      </c>
      <c r="K275">
        <f>_xlfn.XLOOKUP($F275,設計座標!$E$13:$E$2301,設計座標!$I$13:$I$2301,"n/a",0,1)</f>
        <v>36690.010778930002</v>
      </c>
      <c r="L275">
        <f>_xlfn.XLOOKUP($F275,設計座標!$E$13:$E$2301,設計座標!$J$13:$J$2301,"n/a",0,1)</f>
        <v>-270</v>
      </c>
      <c r="M275" s="2">
        <f t="shared" si="217"/>
        <v>-9.1831820250365931E-2</v>
      </c>
      <c r="N275" s="2">
        <f t="shared" si="218"/>
        <v>36690.010778930002</v>
      </c>
      <c r="O275" s="23">
        <f t="shared" si="219"/>
        <v>-267.03950382566489</v>
      </c>
      <c r="P275" s="1">
        <f t="shared" si="224"/>
        <v>-269.84118195260152</v>
      </c>
      <c r="Q275" s="1">
        <f t="shared" si="223"/>
        <v>-9.1831820250365931E-2</v>
      </c>
      <c r="R275">
        <f t="shared" si="196"/>
        <v>0</v>
      </c>
      <c r="S275" s="23">
        <f t="shared" si="222"/>
        <v>2.960496174335093</v>
      </c>
      <c r="T275">
        <f>$S275+測地線補正!$Q$3*(lattice!$N275/1000)^3+測地線補正!$P$3*(lattice!$N275/1000)^2+測地線補正!$O$3*(lattice!$N275/1000)+測地線補正!$N$3</f>
        <v>0.15881804739848451</v>
      </c>
      <c r="U275">
        <f>ATAN(($P$279-$P$275)/ABS($N$279-$N$275))</f>
        <v>-3.4360991927558229E-5</v>
      </c>
      <c r="V275">
        <v>0</v>
      </c>
      <c r="W275">
        <f>-ATAN(($M$279-$M$275)/ABS($N$279-$N$275))</f>
        <v>-1.0139022008603948E-5</v>
      </c>
      <c r="X275">
        <f>SQRT(($M$275-$M$274)^2+($N$275-$N$274)^2)</f>
        <v>133.99990000688283</v>
      </c>
      <c r="Y275">
        <f>_xlfn.XLOOKUP($F275,設計座標!$E$13:$E$2301,設計座標!$L$13:$L$2301," ",0,1)</f>
        <v>1889.4492</v>
      </c>
      <c r="Z275">
        <f>SQRT(($M$278-$M$276)^2+($N$278-$N$276)^2)</f>
        <v>311.2245000159935</v>
      </c>
    </row>
    <row r="276" spans="1:28">
      <c r="A276" t="s">
        <v>797</v>
      </c>
      <c r="B276" t="s">
        <v>3811</v>
      </c>
      <c r="C276" t="s">
        <v>3855</v>
      </c>
      <c r="D276" t="s">
        <v>1152</v>
      </c>
      <c r="E276" t="s">
        <v>804</v>
      </c>
      <c r="F276" t="s">
        <v>2220</v>
      </c>
      <c r="G276" t="s">
        <v>2220</v>
      </c>
      <c r="I276">
        <f>_xlfn.XLOOKUP($F276,設計座標!$E$13:$E$2301,設計座標!$G$13:$G$2301,"n/a",0,1)</f>
        <v>44.725564479310009</v>
      </c>
      <c r="J276">
        <f>_xlfn.XLOOKUP($F276,設計座標!$E$13:$E$2301,設計座標!$H$13:$H$2301,"n/a",0,1)</f>
        <v>0</v>
      </c>
      <c r="K276">
        <f>_xlfn.XLOOKUP($F276,設計座標!$E$13:$E$2301,設計座標!$I$13:$I$2301,"n/a",0,1)</f>
        <v>37323.510878930007</v>
      </c>
      <c r="L276">
        <f>_xlfn.XLOOKUP($F276,設計座標!$E$13:$E$2301,設計座標!$J$13:$J$2301,"n/a",0,1)</f>
        <v>-270</v>
      </c>
      <c r="M276" s="2">
        <f t="shared" si="217"/>
        <v>-8.5408748793792982E-2</v>
      </c>
      <c r="N276" s="2">
        <f t="shared" si="218"/>
        <v>37323.510878930007</v>
      </c>
      <c r="O276" s="23">
        <f t="shared" si="219"/>
        <v>-267.01875384550192</v>
      </c>
      <c r="P276" s="1">
        <f t="shared" si="224"/>
        <v>-269.86303250144391</v>
      </c>
      <c r="Q276" s="1">
        <f t="shared" si="223"/>
        <v>-8.5408748793792982E-2</v>
      </c>
      <c r="R276">
        <f t="shared" si="196"/>
        <v>0</v>
      </c>
      <c r="S276" s="23">
        <f t="shared" si="222"/>
        <v>2.9812461544980735</v>
      </c>
      <c r="T276">
        <f>$S276+測地線補正!$Q$3*(lattice!$N276/1000)^3+測地線補正!$P$3*(lattice!$N276/1000)^2+測地線補正!$O$3*(lattice!$N276/1000)+測地線補正!$N$3</f>
        <v>0.13696749855608262</v>
      </c>
      <c r="U276">
        <f t="shared" ref="U276:U277" si="225">ATAN(($P$279-$P$275)/ABS($N$279-$N$275))</f>
        <v>-3.4360991927558229E-5</v>
      </c>
      <c r="V276">
        <v>0</v>
      </c>
      <c r="W276">
        <f t="shared" ref="W276:W277" si="226">-ATAN(($M$279-$M$275)/ABS($N$279-$N$275))</f>
        <v>-1.0139022008603948E-5</v>
      </c>
      <c r="X276" t="s">
        <v>3860</v>
      </c>
      <c r="Y276">
        <f>_xlfn.XLOOKUP($F276,設計座標!$E$13:$E$2301,設計座標!$L$13:$L$2301," ",0,1)</f>
        <v>1000</v>
      </c>
      <c r="Z276">
        <f>SQRT(($M$276-$M$274)^2+($N$276-$N$274)^2)</f>
        <v>767.50000003944945</v>
      </c>
      <c r="AA276">
        <f>_xlfn.XLOOKUP($G276,magnet_list!$A$2:$A$592,magnet_list!$AJ$2:$AJ$592,"n/a",0,1)</f>
        <v>0.95010000000000006</v>
      </c>
      <c r="AB276">
        <f>_xlfn.XLOOKUP($G276,magnet_list!$A$2:$A$592,magnet_list!$L$2:$L$592,"n/a",0,1)</f>
        <v>120</v>
      </c>
    </row>
    <row r="277" spans="1:28">
      <c r="A277" t="s">
        <v>797</v>
      </c>
      <c r="B277" t="s">
        <v>3811</v>
      </c>
      <c r="C277" t="s">
        <v>3855</v>
      </c>
      <c r="D277" t="s">
        <v>1152</v>
      </c>
      <c r="E277" t="s">
        <v>804</v>
      </c>
      <c r="F277" t="s">
        <v>2221</v>
      </c>
      <c r="G277" t="s">
        <v>2221</v>
      </c>
      <c r="I277">
        <f>_xlfn.XLOOKUP($F277,設計座標!$E$13:$E$2301,設計座標!$G$13:$G$2301,"n/a",0,1)</f>
        <v>44.725564479310009</v>
      </c>
      <c r="J277">
        <f>_xlfn.XLOOKUP($F277,設計座標!$E$13:$E$2301,設計座標!$H$13:$H$2301,"n/a",0,1)</f>
        <v>0</v>
      </c>
      <c r="K277">
        <f>_xlfn.XLOOKUP($F277,設計座標!$E$13:$E$2301,設計座標!$I$13:$I$2301,"n/a",0,1)</f>
        <v>37323.510878930007</v>
      </c>
      <c r="L277">
        <f>_xlfn.XLOOKUP($F277,設計座標!$E$13:$E$2301,設計座標!$J$13:$J$2301,"n/a",0,1)</f>
        <v>-270</v>
      </c>
      <c r="M277" s="2">
        <f t="shared" si="217"/>
        <v>-8.5408748793792982E-2</v>
      </c>
      <c r="N277" s="2">
        <f t="shared" si="218"/>
        <v>37323.510878930007</v>
      </c>
      <c r="O277" s="23">
        <f t="shared" si="219"/>
        <v>-267.01875384550192</v>
      </c>
      <c r="P277" s="1">
        <f t="shared" si="224"/>
        <v>-269.86303250144391</v>
      </c>
      <c r="Q277" s="1">
        <f t="shared" si="223"/>
        <v>-8.5408748793792982E-2</v>
      </c>
      <c r="R277">
        <f t="shared" si="196"/>
        <v>0</v>
      </c>
      <c r="S277" s="23">
        <f t="shared" si="222"/>
        <v>2.9812461544980735</v>
      </c>
      <c r="T277">
        <f>$S277+測地線補正!$Q$3*(lattice!$N277/1000)^3+測地線補正!$P$3*(lattice!$N277/1000)^2+測地線補正!$O$3*(lattice!$N277/1000)+測地線補正!$N$3</f>
        <v>0.13696749855608262</v>
      </c>
      <c r="U277">
        <f t="shared" si="225"/>
        <v>-3.4360991927558229E-5</v>
      </c>
      <c r="V277">
        <v>0</v>
      </c>
      <c r="W277">
        <f t="shared" si="226"/>
        <v>-1.0139022008603948E-5</v>
      </c>
      <c r="X277" t="s">
        <v>3860</v>
      </c>
      <c r="Y277">
        <f>_xlfn.XLOOKUP($F277,設計座標!$E$13:$E$2301,設計座標!$L$13:$L$2301," ",0,1)</f>
        <v>1000</v>
      </c>
      <c r="Z277">
        <f>SQRT(($M$276-$M$274)^2+($N$276-$N$274)^2)</f>
        <v>767.50000003944945</v>
      </c>
      <c r="AA277">
        <f>_xlfn.XLOOKUP($G277,magnet_list!$A$2:$A$592,magnet_list!$AJ$2:$AJ$592,"n/a",0,1)</f>
        <v>0.95010000000000006</v>
      </c>
      <c r="AB277">
        <f>_xlfn.XLOOKUP($G277,magnet_list!$A$2:$A$592,magnet_list!$L$2:$L$592,"n/a",0,1)</f>
        <v>120</v>
      </c>
    </row>
    <row r="278" spans="1:28">
      <c r="A278" t="s">
        <v>797</v>
      </c>
      <c r="B278" t="s">
        <v>3811</v>
      </c>
      <c r="C278" t="s">
        <v>804</v>
      </c>
      <c r="D278" t="s">
        <v>1152</v>
      </c>
      <c r="E278" t="s">
        <v>804</v>
      </c>
      <c r="F278" t="s">
        <v>1169</v>
      </c>
      <c r="G278" t="s">
        <v>2400</v>
      </c>
      <c r="I278">
        <f>_xlfn.XLOOKUP($F278,設計座標!$E$13:$E$2301,設計座標!$G$13:$G$2301,"n/a",0,1)</f>
        <v>45.03678897931001</v>
      </c>
      <c r="J278">
        <f>_xlfn.XLOOKUP($F278,設計座標!$E$13:$E$2301,設計座標!$H$13:$H$2301,"n/a",0,1)</f>
        <v>0</v>
      </c>
      <c r="K278">
        <f>_xlfn.XLOOKUP($F278,設計座標!$E$13:$E$2301,設計座標!$I$13:$I$2301,"n/a",0,1)</f>
        <v>37634.735378930003</v>
      </c>
      <c r="L278">
        <f>_xlfn.XLOOKUP($F278,設計座標!$E$13:$E$2301,設計座標!$J$13:$J$2301,"n/a",0,1)</f>
        <v>-270</v>
      </c>
      <c r="M278" s="2">
        <f t="shared" si="217"/>
        <v>-8.2253236738568131E-2</v>
      </c>
      <c r="N278" s="2">
        <f t="shared" si="218"/>
        <v>37634.735378930003</v>
      </c>
      <c r="O278" s="23">
        <f t="shared" si="219"/>
        <v>-267.00855984205782</v>
      </c>
      <c r="P278" s="1">
        <f t="shared" si="224"/>
        <v>-269.87373541945203</v>
      </c>
      <c r="Q278" s="1">
        <f t="shared" si="223"/>
        <v>-8.2253236738568131E-2</v>
      </c>
      <c r="R278">
        <f t="shared" si="196"/>
        <v>0</v>
      </c>
      <c r="S278" s="23">
        <f t="shared" si="222"/>
        <v>2.9914401579421672</v>
      </c>
      <c r="T278">
        <f>$S278+測地線補正!$Q$3*(lattice!$N278/1000)^3+測地線補正!$P$3*(lattice!$N278/1000)^2+測地線補正!$O$3*(lattice!$N278/1000)+測地線補正!$N$3</f>
        <v>0.12626458054793957</v>
      </c>
      <c r="U278">
        <f t="shared" ref="U278:U279" si="227">ATAN(($P$279-$P$275)/ABS($N$279-$N$275))</f>
        <v>-3.4360991927558229E-5</v>
      </c>
      <c r="V278">
        <v>0</v>
      </c>
      <c r="W278">
        <f t="shared" ref="W278:W279" si="228">-ATAN(($M$279-$M$275)/ABS($N$279-$N$275))</f>
        <v>-1.0139022008603948E-5</v>
      </c>
      <c r="X278" t="s">
        <v>3860</v>
      </c>
      <c r="Y278">
        <f>_xlfn.XLOOKUP($F278,設計座標!$E$13:$E$2301,設計座標!$L$13:$L$2301," ",0,1)</f>
        <v>1889.4492</v>
      </c>
      <c r="Z278">
        <f>SQRT(($M$278-$M$276)^2+($N$278-$N$276)^2)</f>
        <v>311.2245000159935</v>
      </c>
    </row>
    <row r="279" spans="1:28">
      <c r="A279" t="s">
        <v>797</v>
      </c>
      <c r="B279" t="s">
        <v>3811</v>
      </c>
      <c r="C279" t="s">
        <v>804</v>
      </c>
      <c r="D279" t="s">
        <v>1152</v>
      </c>
      <c r="E279" t="s">
        <v>804</v>
      </c>
      <c r="F279" t="s">
        <v>1427</v>
      </c>
      <c r="G279" t="s">
        <v>2400</v>
      </c>
      <c r="I279">
        <f>_xlfn.XLOOKUP($F279,設計座標!$E$13:$E$2301,設計座標!$G$13:$G$2301,"n/a",0,1)</f>
        <v>45.981513579310011</v>
      </c>
      <c r="J279">
        <f>_xlfn.XLOOKUP($F279,設計座標!$E$13:$E$2301,設計座標!$H$13:$H$2301,"n/a",0,1)</f>
        <v>0</v>
      </c>
      <c r="K279">
        <f>_xlfn.XLOOKUP($F279,設計座標!$E$13:$E$2301,設計座標!$I$13:$I$2301,"n/a",0,1)</f>
        <v>38579.459978930005</v>
      </c>
      <c r="L279">
        <f>_xlfn.XLOOKUP($F279,設計座標!$E$13:$E$2301,設計座標!$J$13:$J$2301,"n/a",0,1)</f>
        <v>-270</v>
      </c>
      <c r="M279" s="2">
        <f t="shared" si="217"/>
        <v>-7.267465322677033E-2</v>
      </c>
      <c r="N279" s="2">
        <f t="shared" si="218"/>
        <v>38579.459978930005</v>
      </c>
      <c r="O279" s="23">
        <f t="shared" si="219"/>
        <v>-266.97761585845075</v>
      </c>
      <c r="P279" s="1">
        <f t="shared" si="224"/>
        <v>-269.9061053013358</v>
      </c>
      <c r="Q279" s="1">
        <f t="shared" si="223"/>
        <v>-7.267465322677033E-2</v>
      </c>
      <c r="R279">
        <f t="shared" si="196"/>
        <v>0</v>
      </c>
      <c r="S279" s="23">
        <f t="shared" si="222"/>
        <v>3.0223841415492414</v>
      </c>
      <c r="T279">
        <f>$S279+測地線補正!$Q$3*(lattice!$N279/1000)^3+測地線補正!$P$3*(lattice!$N279/1000)^2+測地線補正!$O$3*(lattice!$N279/1000)+測地線補正!$N$3</f>
        <v>9.3894698664222759E-2</v>
      </c>
      <c r="U279">
        <f t="shared" si="227"/>
        <v>-3.4360991927558229E-5</v>
      </c>
      <c r="V279">
        <v>0</v>
      </c>
      <c r="W279">
        <f t="shared" si="228"/>
        <v>-1.0139022008603948E-5</v>
      </c>
      <c r="X279" t="s">
        <v>3860</v>
      </c>
      <c r="Y279">
        <f>_xlfn.XLOOKUP($F279,設計座標!$E$13:$E$2301,設計座標!$L$13:$L$2301," ",0,1)</f>
        <v>1889.4492</v>
      </c>
      <c r="Z279">
        <f>SQRT(($M$278-$M$276)^2+($N$278-$N$276)^2)</f>
        <v>311.2245000159935</v>
      </c>
    </row>
    <row r="280" spans="1:28">
      <c r="A280" t="s">
        <v>797</v>
      </c>
      <c r="B280" t="s">
        <v>3811</v>
      </c>
      <c r="C280" t="s">
        <v>804</v>
      </c>
      <c r="D280" t="s">
        <v>1152</v>
      </c>
      <c r="E280" t="s">
        <v>804</v>
      </c>
      <c r="F280" t="s">
        <v>1428</v>
      </c>
      <c r="G280" t="s">
        <v>2401</v>
      </c>
      <c r="I280">
        <f>_xlfn.XLOOKUP($F280,設計座標!$E$13:$E$2301,設計座標!$G$13:$G$2301,"n/a",0,1)</f>
        <v>46.165210379310011</v>
      </c>
      <c r="J280">
        <f>_xlfn.XLOOKUP($F280,設計座標!$E$13:$E$2301,設計座標!$H$13:$H$2301,"n/a",0,1)</f>
        <v>0</v>
      </c>
      <c r="K280">
        <f>_xlfn.XLOOKUP($F280,設計座標!$E$13:$E$2301,設計座標!$I$13:$I$2301,"n/a",0,1)</f>
        <v>38763.156778930002</v>
      </c>
      <c r="L280">
        <f>_xlfn.XLOOKUP($F280,設計座標!$E$13:$E$2301,設計座標!$J$13:$J$2301,"n/a",0,1)</f>
        <v>-270</v>
      </c>
      <c r="M280" s="2">
        <f t="shared" si="217"/>
        <v>-7.081214732859642E-2</v>
      </c>
      <c r="N280" s="2">
        <f t="shared" si="218"/>
        <v>38763.156778930002</v>
      </c>
      <c r="O280" s="23">
        <f t="shared" si="219"/>
        <v>-266.97159896128528</v>
      </c>
      <c r="P280" s="1">
        <f t="shared" si="224"/>
        <v>-269.91237991928188</v>
      </c>
      <c r="Q280" s="1">
        <f t="shared" si="223"/>
        <v>-7.081214732859642E-2</v>
      </c>
      <c r="R280">
        <f t="shared" si="196"/>
        <v>0</v>
      </c>
      <c r="S280" s="23">
        <f t="shared" si="222"/>
        <v>3.0284010387146925</v>
      </c>
      <c r="T280">
        <f>$S280+測地線補正!$Q$3*(lattice!$N280/1000)^3+測地線補正!$P$3*(lattice!$N280/1000)^2+測地線補正!$O$3*(lattice!$N280/1000)+測地線補正!$N$3</f>
        <v>8.7620080718115251E-2</v>
      </c>
      <c r="U280">
        <f>ATAN(($P$282-$P$280)/ABS($N$282-$N$280))</f>
        <v>-3.3988001964361318E-5</v>
      </c>
      <c r="V280">
        <v>0</v>
      </c>
      <c r="W280">
        <f>-ATAN(($M$282-$M$280)/ABS($N$282-$N$280))</f>
        <v>-1.0139022008603948E-5</v>
      </c>
      <c r="X280">
        <f>SQRT(($M$280-$M$279)^2+($N$280-$N$279)^2)</f>
        <v>183.6968000094399</v>
      </c>
      <c r="Y280">
        <f>_xlfn.XLOOKUP($F280,設計座標!$E$13:$E$2301,設計座標!$L$13:$L$2301," ",0,1)</f>
        <v>1889.4492</v>
      </c>
      <c r="Z280">
        <f>SQRT(($M$281-$M$278)^2+($N$281-$N$278)^2)</f>
        <v>2073.1460001065602</v>
      </c>
    </row>
    <row r="281" spans="1:28">
      <c r="A281" t="s">
        <v>797</v>
      </c>
      <c r="B281" t="s">
        <v>3811</v>
      </c>
      <c r="C281" t="s">
        <v>804</v>
      </c>
      <c r="D281" t="s">
        <v>1152</v>
      </c>
      <c r="E281" t="s">
        <v>804</v>
      </c>
      <c r="F281" t="s">
        <v>1225</v>
      </c>
      <c r="G281" t="s">
        <v>2401</v>
      </c>
      <c r="I281">
        <f>_xlfn.XLOOKUP($F281,設計座標!$E$13:$E$2301,設計座標!$G$13:$G$2301,"n/a",0,1)</f>
        <v>47.109934979310012</v>
      </c>
      <c r="J281">
        <f>_xlfn.XLOOKUP($F281,設計座標!$E$13:$E$2301,設計座標!$H$13:$H$2301,"n/a",0,1)</f>
        <v>0</v>
      </c>
      <c r="K281">
        <f>_xlfn.XLOOKUP($F281,設計座標!$E$13:$E$2301,設計座標!$I$13:$I$2301,"n/a",0,1)</f>
        <v>39707.881378930004</v>
      </c>
      <c r="L281">
        <f>_xlfn.XLOOKUP($F281,設計座標!$E$13:$E$2301,設計座標!$J$13:$J$2301,"n/a",0,1)</f>
        <v>-270</v>
      </c>
      <c r="M281" s="2">
        <f t="shared" si="217"/>
        <v>-6.123356381679862E-2</v>
      </c>
      <c r="N281" s="2">
        <f t="shared" si="218"/>
        <v>39707.881378930004</v>
      </c>
      <c r="O281" s="23">
        <f t="shared" si="219"/>
        <v>-266.94065497767821</v>
      </c>
      <c r="P281" s="1">
        <f t="shared" si="224"/>
        <v>-269.94455800328848</v>
      </c>
      <c r="Q281" s="1">
        <f t="shared" si="223"/>
        <v>-6.123356381679862E-2</v>
      </c>
      <c r="R281">
        <f t="shared" si="196"/>
        <v>0</v>
      </c>
      <c r="S281" s="23">
        <f t="shared" si="222"/>
        <v>3.0593450223217666</v>
      </c>
      <c r="T281">
        <f>$S281+測地線補正!$Q$3*(lattice!$N281/1000)^3+測地線補正!$P$3*(lattice!$N281/1000)^2+測地線補正!$O$3*(lattice!$N281/1000)+測地線補正!$N$3</f>
        <v>5.544199671150643E-2</v>
      </c>
      <c r="U281">
        <f t="shared" ref="U281:U282" si="229">ATAN(($P$282-$P$280)/ABS($N$282-$N$280))</f>
        <v>-3.3988001964361318E-5</v>
      </c>
      <c r="V281">
        <v>0</v>
      </c>
      <c r="W281">
        <f t="shared" ref="W281:W282" si="230">-ATAN(($M$282-$M$280)/ABS($N$282-$N$280))</f>
        <v>-1.0139022008603948E-5</v>
      </c>
      <c r="X281" t="s">
        <v>3860</v>
      </c>
      <c r="Y281">
        <f>_xlfn.XLOOKUP($F281,設計座標!$E$13:$E$2301,設計座標!$L$13:$L$2301," ",0,1)</f>
        <v>1889.4492</v>
      </c>
      <c r="Z281">
        <f>SQRT(($M$281-$M$278)^2+($N$281-$N$278)^2)</f>
        <v>2073.1460001065602</v>
      </c>
    </row>
    <row r="282" spans="1:28">
      <c r="A282" t="s">
        <v>797</v>
      </c>
      <c r="B282" t="s">
        <v>3811</v>
      </c>
      <c r="C282" t="s">
        <v>804</v>
      </c>
      <c r="D282" t="s">
        <v>1152</v>
      </c>
      <c r="E282" t="s">
        <v>804</v>
      </c>
      <c r="F282" t="s">
        <v>1429</v>
      </c>
      <c r="G282" t="s">
        <v>2401</v>
      </c>
      <c r="I282">
        <f>_xlfn.XLOOKUP($F282,設計座標!$E$13:$E$2301,設計座標!$G$13:$G$2301,"n/a",0,1)</f>
        <v>48.054659579310012</v>
      </c>
      <c r="J282">
        <f>_xlfn.XLOOKUP($F282,設計座標!$E$13:$E$2301,設計座標!$H$13:$H$2301,"n/a",0,1)</f>
        <v>0</v>
      </c>
      <c r="K282">
        <f>_xlfn.XLOOKUP($F282,設計座標!$E$13:$E$2301,設計座標!$I$13:$I$2301,"n/a",0,1)</f>
        <v>40652.605978930005</v>
      </c>
      <c r="L282">
        <f>_xlfn.XLOOKUP($F282,設計座標!$E$13:$E$2301,設計座標!$J$13:$J$2301,"n/a",0,1)</f>
        <v>-270</v>
      </c>
      <c r="M282" s="2">
        <f t="shared" si="217"/>
        <v>-5.1654980305000819E-2</v>
      </c>
      <c r="N282" s="2">
        <f t="shared" si="218"/>
        <v>40652.605978930005</v>
      </c>
      <c r="O282" s="23">
        <f t="shared" si="219"/>
        <v>-266.90971099407113</v>
      </c>
      <c r="P282" s="1">
        <f t="shared" si="224"/>
        <v>-269.97659852242776</v>
      </c>
      <c r="Q282" s="1">
        <f t="shared" si="223"/>
        <v>-5.1654980305000819E-2</v>
      </c>
      <c r="R282">
        <f t="shared" si="196"/>
        <v>0</v>
      </c>
      <c r="S282" s="23">
        <f t="shared" si="222"/>
        <v>3.0902890059288408</v>
      </c>
      <c r="T282">
        <f>$S282+測地線補正!$Q$3*(lattice!$N282/1000)^3+測地線補正!$P$3*(lattice!$N282/1000)^2+測地線補正!$O$3*(lattice!$N282/1000)+測地線補正!$N$3</f>
        <v>2.340147757222347E-2</v>
      </c>
      <c r="U282">
        <f t="shared" si="229"/>
        <v>-3.3988001964361318E-5</v>
      </c>
      <c r="V282">
        <v>0</v>
      </c>
      <c r="W282">
        <f t="shared" si="230"/>
        <v>-1.0139022008603948E-5</v>
      </c>
      <c r="X282" t="s">
        <v>3860</v>
      </c>
      <c r="Y282">
        <f>_xlfn.XLOOKUP($F282,設計座標!$E$13:$E$2301,設計座標!$L$13:$L$2301," ",0,1)</f>
        <v>1889.4492</v>
      </c>
      <c r="Z282">
        <f>SQRT(($M$281-$M$278)^2+($N$281-$N$278)^2)</f>
        <v>2073.1460001065602</v>
      </c>
    </row>
    <row r="283" spans="1:28">
      <c r="A283" t="s">
        <v>797</v>
      </c>
      <c r="B283" t="s">
        <v>3811</v>
      </c>
      <c r="C283" t="s">
        <v>1152</v>
      </c>
      <c r="D283" t="s">
        <v>1152</v>
      </c>
      <c r="E283" t="s">
        <v>804</v>
      </c>
      <c r="F283" t="s">
        <v>1973</v>
      </c>
      <c r="G283" t="s">
        <v>1973</v>
      </c>
      <c r="I283">
        <f>_xlfn.XLOOKUP($F283,設計座標!$E$13:$E$2301,設計座標!$G$13:$G$2301,"n/a",0,1)</f>
        <v>48.288052479310011</v>
      </c>
      <c r="J283">
        <f>_xlfn.XLOOKUP($F283,設計座標!$E$13:$E$2301,設計座標!$H$13:$H$2301,"n/a",0,1)</f>
        <v>0</v>
      </c>
      <c r="K283">
        <f>_xlfn.XLOOKUP($F283,設計座標!$E$13:$E$2301,設計座標!$I$13:$I$2301,"n/a",0,1)</f>
        <v>40885.998878930004</v>
      </c>
      <c r="L283">
        <f>_xlfn.XLOOKUP($F283,設計座標!$E$13:$E$2301,設計座標!$J$13:$J$2301,"n/a",0,1)</f>
        <v>-270</v>
      </c>
      <c r="M283" s="2">
        <f t="shared" si="217"/>
        <v>-4.9288604555167842E-2</v>
      </c>
      <c r="N283" s="2">
        <f t="shared" si="218"/>
        <v>40885.998878930004</v>
      </c>
      <c r="O283" s="23">
        <f t="shared" si="219"/>
        <v>-266.902066325909</v>
      </c>
      <c r="P283" s="1">
        <f t="shared" si="224"/>
        <v>-269.98449531720104</v>
      </c>
      <c r="Q283" s="1">
        <f t="shared" si="223"/>
        <v>-4.9288604555167842E-2</v>
      </c>
      <c r="R283">
        <f t="shared" si="196"/>
        <v>0</v>
      </c>
      <c r="S283" s="23">
        <f t="shared" si="222"/>
        <v>3.0979336740909775</v>
      </c>
      <c r="T283">
        <f>$S283+測地線補正!$Q$3*(lattice!$N283/1000)^3+測地線補正!$P$3*(lattice!$N283/1000)^2+測地線補正!$O$3*(lattice!$N283/1000)+測地線補正!$N$3</f>
        <v>1.5504682798978351E-2</v>
      </c>
      <c r="U283">
        <v>0</v>
      </c>
      <c r="V283">
        <v>0</v>
      </c>
      <c r="W283">
        <v>0</v>
      </c>
      <c r="X283">
        <f>SQRT(($M$283-$M$282)^2+($N$283-$N$282)^2)</f>
        <v>233.39290001199529</v>
      </c>
      <c r="Y283">
        <f>_xlfn.XLOOKUP($F283,設計座標!$E$13:$E$2301,設計座標!$L$13:$L$2301," ",0,1)</f>
        <v>0</v>
      </c>
      <c r="Z283">
        <f>SQRT(($M$283-$M$281)^2+($N$283-$N$281)^2)</f>
        <v>1178.1175000605554</v>
      </c>
    </row>
    <row r="284" spans="1:28">
      <c r="A284" t="s">
        <v>797</v>
      </c>
      <c r="B284" t="s">
        <v>3811</v>
      </c>
      <c r="C284" t="s">
        <v>804</v>
      </c>
      <c r="D284" t="s">
        <v>1152</v>
      </c>
      <c r="E284" t="s">
        <v>804</v>
      </c>
      <c r="F284" t="s">
        <v>1430</v>
      </c>
      <c r="G284" t="s">
        <v>2402</v>
      </c>
      <c r="I284">
        <f>_xlfn.XLOOKUP($F284,設計座標!$E$13:$E$2301,設計座標!$G$13:$G$2301,"n/a",0,1)</f>
        <v>48.42205237931001</v>
      </c>
      <c r="J284">
        <f>_xlfn.XLOOKUP($F284,設計座標!$E$13:$E$2301,設計座標!$H$13:$H$2301,"n/a",0,1)</f>
        <v>0</v>
      </c>
      <c r="K284">
        <f>_xlfn.XLOOKUP($F284,設計座標!$E$13:$E$2301,設計座標!$I$13:$I$2301,"n/a",0,1)</f>
        <v>41019.998778929999</v>
      </c>
      <c r="L284">
        <f>_xlfn.XLOOKUP($F284,設計座標!$E$13:$E$2301,設計座標!$J$13:$J$2301,"n/a",0,1)</f>
        <v>-270</v>
      </c>
      <c r="M284" s="2">
        <f t="shared" si="217"/>
        <v>-4.7929976619870612E-2</v>
      </c>
      <c r="N284" s="2">
        <f t="shared" si="218"/>
        <v>41019.998778929999</v>
      </c>
      <c r="O284" s="23">
        <f t="shared" si="219"/>
        <v>-266.89767722594388</v>
      </c>
      <c r="P284" s="1">
        <f t="shared" si="224"/>
        <v>-269.98902607976385</v>
      </c>
      <c r="Q284" s="1">
        <f t="shared" si="223"/>
        <v>-4.7929976619870612E-2</v>
      </c>
      <c r="R284">
        <f t="shared" si="196"/>
        <v>0</v>
      </c>
      <c r="S284" s="23">
        <f t="shared" si="222"/>
        <v>3.1023227740561414</v>
      </c>
      <c r="T284">
        <f>$S284+測地線補正!$Q$3*(lattice!$N284/1000)^3+測地線補正!$P$3*(lattice!$N284/1000)^2+測地線補正!$O$3*(lattice!$N284/1000)+測地線補正!$N$3</f>
        <v>1.0973920236162869E-2</v>
      </c>
      <c r="U284">
        <f>ATAN(($P$288-$P$284)/ABS($N$288-$N$284))</f>
        <v>-3.3703487187188729E-5</v>
      </c>
      <c r="V284">
        <v>0</v>
      </c>
      <c r="W284">
        <f>-ATAN(($M$288-$M$284)/ABS($N$288-$N$284))</f>
        <v>-1.0139022008603941E-5</v>
      </c>
      <c r="X284">
        <f>SQRT(($M$284-$M$283)^2+($N$284-$N$283)^2)</f>
        <v>133.99990000688283</v>
      </c>
      <c r="Y284">
        <f>_xlfn.XLOOKUP($F284,設計座標!$E$13:$E$2301,設計座標!$L$13:$L$2301," ",0,1)</f>
        <v>1889.4492</v>
      </c>
      <c r="Z284">
        <f>SQRT(($M$287-$M$285)^2+($N$287-$N$285)^2)</f>
        <v>311.2245000159935</v>
      </c>
    </row>
    <row r="285" spans="1:28">
      <c r="A285" t="s">
        <v>797</v>
      </c>
      <c r="B285" t="s">
        <v>3811</v>
      </c>
      <c r="C285" t="s">
        <v>3855</v>
      </c>
      <c r="D285" t="s">
        <v>1152</v>
      </c>
      <c r="E285" t="s">
        <v>804</v>
      </c>
      <c r="F285" t="s">
        <v>2222</v>
      </c>
      <c r="G285" t="s">
        <v>2222</v>
      </c>
      <c r="I285">
        <f>_xlfn.XLOOKUP($F285,設計座標!$E$13:$E$2301,設計座標!$G$13:$G$2301,"n/a",0,1)</f>
        <v>49.055552479310009</v>
      </c>
      <c r="J285">
        <f>_xlfn.XLOOKUP($F285,設計座標!$E$13:$E$2301,設計座標!$H$13:$H$2301,"n/a",0,1)</f>
        <v>0</v>
      </c>
      <c r="K285">
        <f>_xlfn.XLOOKUP($F285,設計座標!$E$13:$E$2301,設計座標!$I$13:$I$2301,"n/a",0,1)</f>
        <v>41653.498878930004</v>
      </c>
      <c r="L285">
        <f>_xlfn.XLOOKUP($F285,設計座標!$E$13:$E$2301,設計座標!$J$13:$J$2301,"n/a",0,1)</f>
        <v>-270</v>
      </c>
      <c r="M285" s="2">
        <f t="shared" si="217"/>
        <v>-4.1506905163297664E-2</v>
      </c>
      <c r="N285" s="2">
        <f t="shared" si="218"/>
        <v>41653.498878930004</v>
      </c>
      <c r="O285" s="23">
        <f t="shared" si="219"/>
        <v>-266.87692724578091</v>
      </c>
      <c r="P285" s="1">
        <f t="shared" si="224"/>
        <v>-270.01041725601402</v>
      </c>
      <c r="Q285" s="1">
        <f t="shared" si="223"/>
        <v>-4.1506905163297664E-2</v>
      </c>
      <c r="R285">
        <f t="shared" si="196"/>
        <v>0</v>
      </c>
      <c r="S285" s="23">
        <f t="shared" si="222"/>
        <v>3.1230727542191223</v>
      </c>
      <c r="T285">
        <f>$S285+測地線補正!$Q$3*(lattice!$N285/1000)^3+測地線補正!$P$3*(lattice!$N285/1000)^2+測地線補正!$O$3*(lattice!$N285/1000)+測地線補正!$N$3</f>
        <v>-1.0417256014039946E-2</v>
      </c>
      <c r="U285">
        <f t="shared" ref="U285:U286" si="231">ATAN(($P$288-$P$284)/ABS($N$288-$N$284))</f>
        <v>-3.3703487187188729E-5</v>
      </c>
      <c r="V285">
        <v>0</v>
      </c>
      <c r="W285">
        <f t="shared" ref="W285:W286" si="232">-ATAN(($M$288-$M$284)/ABS($N$288-$N$284))</f>
        <v>-1.0139022008603941E-5</v>
      </c>
      <c r="X285" t="s">
        <v>3860</v>
      </c>
      <c r="Y285">
        <f>_xlfn.XLOOKUP($F285,設計座標!$E$13:$E$2301,設計座標!$L$13:$L$2301," ",0,1)</f>
        <v>1000</v>
      </c>
      <c r="Z285">
        <f>SQRT(($M$285-$M$283)^2+($N$285-$N$283)^2)</f>
        <v>767.50000003944945</v>
      </c>
      <c r="AA285">
        <f>_xlfn.XLOOKUP($G285,magnet_list!$A$2:$A$592,magnet_list!$AJ$2:$AJ$592,"n/a",0,1)</f>
        <v>0.95010000000000006</v>
      </c>
      <c r="AB285">
        <f>_xlfn.XLOOKUP($G285,magnet_list!$A$2:$A$592,magnet_list!$L$2:$L$592,"n/a",0,1)</f>
        <v>120</v>
      </c>
    </row>
    <row r="286" spans="1:28">
      <c r="A286" t="s">
        <v>797</v>
      </c>
      <c r="B286" t="s">
        <v>3811</v>
      </c>
      <c r="C286" t="s">
        <v>3855</v>
      </c>
      <c r="D286" t="s">
        <v>1152</v>
      </c>
      <c r="E286" t="s">
        <v>804</v>
      </c>
      <c r="F286" t="s">
        <v>2223</v>
      </c>
      <c r="G286" t="s">
        <v>2223</v>
      </c>
      <c r="I286">
        <f>_xlfn.XLOOKUP($F286,設計座標!$E$13:$E$2301,設計座標!$G$13:$G$2301,"n/a",0,1)</f>
        <v>49.055552479310009</v>
      </c>
      <c r="J286">
        <f>_xlfn.XLOOKUP($F286,設計座標!$E$13:$E$2301,設計座標!$H$13:$H$2301,"n/a",0,1)</f>
        <v>0</v>
      </c>
      <c r="K286">
        <f>_xlfn.XLOOKUP($F286,設計座標!$E$13:$E$2301,設計座標!$I$13:$I$2301,"n/a",0,1)</f>
        <v>41653.498878930004</v>
      </c>
      <c r="L286">
        <f>_xlfn.XLOOKUP($F286,設計座標!$E$13:$E$2301,設計座標!$J$13:$J$2301,"n/a",0,1)</f>
        <v>-270</v>
      </c>
      <c r="M286" s="2">
        <f t="shared" si="217"/>
        <v>-4.1506905163297664E-2</v>
      </c>
      <c r="N286" s="2">
        <f t="shared" si="218"/>
        <v>41653.498878930004</v>
      </c>
      <c r="O286" s="23">
        <f t="shared" si="219"/>
        <v>-266.87692724578091</v>
      </c>
      <c r="P286" s="1">
        <f t="shared" si="224"/>
        <v>-270.01041725601402</v>
      </c>
      <c r="Q286" s="1">
        <f t="shared" si="223"/>
        <v>-4.1506905163297664E-2</v>
      </c>
      <c r="R286">
        <f t="shared" si="196"/>
        <v>0</v>
      </c>
      <c r="S286" s="23">
        <f t="shared" si="222"/>
        <v>3.1230727542191223</v>
      </c>
      <c r="T286">
        <f>$S286+測地線補正!$Q$3*(lattice!$N286/1000)^3+測地線補正!$P$3*(lattice!$N286/1000)^2+測地線補正!$O$3*(lattice!$N286/1000)+測地線補正!$N$3</f>
        <v>-1.0417256014039946E-2</v>
      </c>
      <c r="U286">
        <f t="shared" si="231"/>
        <v>-3.3703487187188729E-5</v>
      </c>
      <c r="V286">
        <v>0</v>
      </c>
      <c r="W286">
        <f t="shared" si="232"/>
        <v>-1.0139022008603941E-5</v>
      </c>
      <c r="X286" t="s">
        <v>3860</v>
      </c>
      <c r="Y286">
        <f>_xlfn.XLOOKUP($F286,設計座標!$E$13:$E$2301,設計座標!$L$13:$L$2301," ",0,1)</f>
        <v>1000</v>
      </c>
      <c r="Z286">
        <f>SQRT(($M$285-$M$283)^2+($N$285-$N$283)^2)</f>
        <v>767.50000003944945</v>
      </c>
      <c r="AA286">
        <f>_xlfn.XLOOKUP($G286,magnet_list!$A$2:$A$592,magnet_list!$AJ$2:$AJ$592,"n/a",0,1)</f>
        <v>0.95010000000000006</v>
      </c>
      <c r="AB286">
        <f>_xlfn.XLOOKUP($G286,magnet_list!$A$2:$A$592,magnet_list!$L$2:$L$592,"n/a",0,1)</f>
        <v>120</v>
      </c>
    </row>
    <row r="287" spans="1:28">
      <c r="A287" t="s">
        <v>797</v>
      </c>
      <c r="B287" t="s">
        <v>3811</v>
      </c>
      <c r="C287" t="s">
        <v>804</v>
      </c>
      <c r="D287" t="s">
        <v>1152</v>
      </c>
      <c r="E287" t="s">
        <v>804</v>
      </c>
      <c r="F287" t="s">
        <v>1280</v>
      </c>
      <c r="G287" t="s">
        <v>2402</v>
      </c>
      <c r="I287">
        <f>_xlfn.XLOOKUP($F287,設計座標!$E$13:$E$2301,設計座標!$G$13:$G$2301,"n/a",0,1)</f>
        <v>49.366776979310011</v>
      </c>
      <c r="J287">
        <f>_xlfn.XLOOKUP($F287,設計座標!$E$13:$E$2301,設計座標!$H$13:$H$2301,"n/a",0,1)</f>
        <v>0</v>
      </c>
      <c r="K287">
        <f>_xlfn.XLOOKUP($F287,設計座標!$E$13:$E$2301,設計座標!$I$13:$I$2301,"n/a",0,1)</f>
        <v>41964.723378930001</v>
      </c>
      <c r="L287">
        <f>_xlfn.XLOOKUP($F287,設計座標!$E$13:$E$2301,設計座標!$J$13:$J$2301,"n/a",0,1)</f>
        <v>-270</v>
      </c>
      <c r="M287" s="2">
        <f t="shared" si="217"/>
        <v>-3.8351393108072812E-2</v>
      </c>
      <c r="N287" s="2">
        <f t="shared" si="218"/>
        <v>41964.723378930001</v>
      </c>
      <c r="O287" s="23">
        <f t="shared" si="219"/>
        <v>-266.86673324233681</v>
      </c>
      <c r="P287" s="1">
        <f t="shared" si="224"/>
        <v>-270.0209103267515</v>
      </c>
      <c r="Q287" s="1">
        <f t="shared" si="223"/>
        <v>-3.8351393108072812E-2</v>
      </c>
      <c r="R287">
        <f t="shared" si="196"/>
        <v>0</v>
      </c>
      <c r="S287" s="23">
        <f t="shared" si="222"/>
        <v>3.1332667576632156</v>
      </c>
      <c r="T287">
        <f>$S287+測地線補正!$Q$3*(lattice!$N287/1000)^3+測地線補正!$P$3*(lattice!$N287/1000)^2+測地線補正!$O$3*(lattice!$N287/1000)+測地線補正!$N$3</f>
        <v>-2.0910326751497923E-2</v>
      </c>
      <c r="U287">
        <f t="shared" ref="U287:U288" si="233">ATAN(($P$288-$P$284)/ABS($N$288-$N$284))</f>
        <v>-3.3703487187188729E-5</v>
      </c>
      <c r="V287">
        <v>0</v>
      </c>
      <c r="W287">
        <f t="shared" ref="W287:W288" si="234">-ATAN(($M$288-$M$284)/ABS($N$288-$N$284))</f>
        <v>-1.0139022008603941E-5</v>
      </c>
      <c r="X287" t="s">
        <v>3860</v>
      </c>
      <c r="Y287">
        <f>_xlfn.XLOOKUP($F287,設計座標!$E$13:$E$2301,設計座標!$L$13:$L$2301," ",0,1)</f>
        <v>1889.4492</v>
      </c>
      <c r="Z287">
        <f>SQRT(($M$287-$M$285)^2+($N$287-$N$285)^2)</f>
        <v>311.2245000159935</v>
      </c>
    </row>
    <row r="288" spans="1:28">
      <c r="A288" t="s">
        <v>797</v>
      </c>
      <c r="B288" t="s">
        <v>3811</v>
      </c>
      <c r="C288" t="s">
        <v>804</v>
      </c>
      <c r="D288" t="s">
        <v>1152</v>
      </c>
      <c r="E288" t="s">
        <v>804</v>
      </c>
      <c r="F288" t="s">
        <v>1431</v>
      </c>
      <c r="G288" t="s">
        <v>2402</v>
      </c>
      <c r="I288">
        <f>_xlfn.XLOOKUP($F288,設計座標!$E$13:$E$2301,設計座標!$G$13:$G$2301,"n/a",0,1)</f>
        <v>50.311501579310011</v>
      </c>
      <c r="J288">
        <f>_xlfn.XLOOKUP($F288,設計座標!$E$13:$E$2301,設計座標!$H$13:$H$2301,"n/a",0,1)</f>
        <v>0</v>
      </c>
      <c r="K288">
        <f>_xlfn.XLOOKUP($F288,設計座標!$E$13:$E$2301,設計座標!$I$13:$I$2301,"n/a",0,1)</f>
        <v>42909.447978930002</v>
      </c>
      <c r="L288">
        <f>_xlfn.XLOOKUP($F288,設計座標!$E$13:$E$2301,設計座標!$J$13:$J$2301,"n/a",0,1)</f>
        <v>-270</v>
      </c>
      <c r="M288" s="2">
        <f t="shared" si="217"/>
        <v>-2.8772809596275026E-2</v>
      </c>
      <c r="N288" s="2">
        <f t="shared" si="218"/>
        <v>42909.447978930002</v>
      </c>
      <c r="O288" s="23">
        <f t="shared" si="219"/>
        <v>-266.83578925872973</v>
      </c>
      <c r="P288" s="1">
        <f t="shared" si="224"/>
        <v>-270.052707106691</v>
      </c>
      <c r="Q288" s="1">
        <f t="shared" si="223"/>
        <v>-2.8772809596275026E-2</v>
      </c>
      <c r="R288">
        <f t="shared" si="196"/>
        <v>0</v>
      </c>
      <c r="S288" s="23">
        <f t="shared" si="222"/>
        <v>3.1642107412702898</v>
      </c>
      <c r="T288">
        <f>$S288+測地線補正!$Q$3*(lattice!$N288/1000)^3+測地線補正!$P$3*(lattice!$N288/1000)^2+測地線補正!$O$3*(lattice!$N288/1000)+測地線補正!$N$3</f>
        <v>-5.2707106690996181E-2</v>
      </c>
      <c r="U288">
        <f t="shared" si="233"/>
        <v>-3.3703487187188729E-5</v>
      </c>
      <c r="V288">
        <v>0</v>
      </c>
      <c r="W288">
        <f t="shared" si="234"/>
        <v>-1.0139022008603941E-5</v>
      </c>
      <c r="X288" t="s">
        <v>3860</v>
      </c>
      <c r="Y288">
        <f>_xlfn.XLOOKUP($F288,設計座標!$E$13:$E$2301,設計座標!$L$13:$L$2301," ",0,1)</f>
        <v>1889.4492</v>
      </c>
      <c r="Z288">
        <f>SQRT(($M$287-$M$285)^2+($N$287-$N$285)^2)</f>
        <v>311.2245000159935</v>
      </c>
    </row>
    <row r="289" spans="1:28">
      <c r="A289" t="s">
        <v>797</v>
      </c>
      <c r="B289" t="s">
        <v>3811</v>
      </c>
      <c r="C289" t="s">
        <v>804</v>
      </c>
      <c r="D289" t="s">
        <v>1152</v>
      </c>
      <c r="E289" t="s">
        <v>804</v>
      </c>
      <c r="F289" t="s">
        <v>1432</v>
      </c>
      <c r="G289" t="s">
        <v>2403</v>
      </c>
      <c r="I289">
        <f>_xlfn.XLOOKUP($F289,設計座標!$E$13:$E$2301,設計座標!$G$13:$G$2301,"n/a",0,1)</f>
        <v>50.495198379310011</v>
      </c>
      <c r="J289">
        <f>_xlfn.XLOOKUP($F289,設計座標!$E$13:$E$2301,設計座標!$H$13:$H$2301,"n/a",0,1)</f>
        <v>0</v>
      </c>
      <c r="K289">
        <f>_xlfn.XLOOKUP($F289,設計座標!$E$13:$E$2301,設計座標!$I$13:$I$2301,"n/a",0,1)</f>
        <v>43093.14477893</v>
      </c>
      <c r="L289">
        <f>_xlfn.XLOOKUP($F289,設計座標!$E$13:$E$2301,設計座標!$J$13:$J$2301,"n/a",0,1)</f>
        <v>-270</v>
      </c>
      <c r="M289" s="2">
        <f t="shared" si="217"/>
        <v>-2.6910303698101101E-2</v>
      </c>
      <c r="N289" s="2">
        <f t="shared" si="218"/>
        <v>43093.14477893</v>
      </c>
      <c r="O289" s="23">
        <f t="shared" si="219"/>
        <v>-266.82977236156427</v>
      </c>
      <c r="P289" s="1">
        <f t="shared" si="224"/>
        <v>-270.05888144980202</v>
      </c>
      <c r="Q289" s="1">
        <f t="shared" si="223"/>
        <v>-2.6910303698101101E-2</v>
      </c>
      <c r="R289">
        <f t="shared" si="196"/>
        <v>0</v>
      </c>
      <c r="S289" s="23">
        <f t="shared" si="222"/>
        <v>3.1702276384357408</v>
      </c>
      <c r="T289">
        <f>$S289+測地線補正!$Q$3*(lattice!$N289/1000)^3+測地線補正!$P$3*(lattice!$N289/1000)^2+測地線補正!$O$3*(lattice!$N289/1000)+測地線補正!$N$3</f>
        <v>-5.888144980199192E-2</v>
      </c>
      <c r="U289">
        <f>ATAN(($P$291-$P$289)/ABS($N$291-$N$289))</f>
        <v>-3.3553763843703772E-5</v>
      </c>
      <c r="V289">
        <v>0</v>
      </c>
      <c r="W289">
        <f>-ATAN(($M$291-$M$289)/ABS($N$291-$N$289))</f>
        <v>-1.0139022008603941E-5</v>
      </c>
      <c r="X289">
        <f>SQRT(($M$289-$M$288)^2+($N$289-$N$288)^2)</f>
        <v>183.6968000094399</v>
      </c>
      <c r="Y289">
        <f>_xlfn.XLOOKUP($F289,設計座標!$E$13:$E$2301,設計座標!$L$13:$L$2301," ",0,1)</f>
        <v>1889.4492</v>
      </c>
      <c r="Z289">
        <f>SQRT(($M$290-$M$287)^2+($N$290-$N$287)^2)</f>
        <v>2073.1460001065602</v>
      </c>
    </row>
    <row r="290" spans="1:28">
      <c r="A290" t="s">
        <v>797</v>
      </c>
      <c r="B290" t="s">
        <v>3811</v>
      </c>
      <c r="C290" t="s">
        <v>804</v>
      </c>
      <c r="D290" t="s">
        <v>1152</v>
      </c>
      <c r="E290" t="s">
        <v>804</v>
      </c>
      <c r="F290" t="s">
        <v>1334</v>
      </c>
      <c r="G290" t="s">
        <v>2403</v>
      </c>
      <c r="I290">
        <f>_xlfn.XLOOKUP($F290,設計座標!$E$13:$E$2301,設計座標!$G$13:$G$2301,"n/a",0,1)</f>
        <v>51.439922979310012</v>
      </c>
      <c r="J290">
        <f>_xlfn.XLOOKUP($F290,設計座標!$E$13:$E$2301,設計座標!$H$13:$H$2301,"n/a",0,1)</f>
        <v>0</v>
      </c>
      <c r="K290">
        <f>_xlfn.XLOOKUP($F290,設計座標!$E$13:$E$2301,設計座標!$I$13:$I$2301,"n/a",0,1)</f>
        <v>44037.869378930001</v>
      </c>
      <c r="L290">
        <f>_xlfn.XLOOKUP($F290,設計座標!$E$13:$E$2301,設計座標!$J$13:$J$2301,"n/a",0,1)</f>
        <v>-270</v>
      </c>
      <c r="M290" s="2">
        <f t="shared" si="217"/>
        <v>-1.7331720186303315E-2</v>
      </c>
      <c r="N290" s="2">
        <f t="shared" si="218"/>
        <v>44037.869378930001</v>
      </c>
      <c r="O290" s="23">
        <f t="shared" si="219"/>
        <v>-266.79882837795719</v>
      </c>
      <c r="P290" s="1">
        <f t="shared" si="224"/>
        <v>-270.09060123941396</v>
      </c>
      <c r="Q290" s="1">
        <f t="shared" si="223"/>
        <v>-1.7331720186303315E-2</v>
      </c>
      <c r="R290">
        <f t="shared" si="196"/>
        <v>0</v>
      </c>
      <c r="S290" s="23">
        <f t="shared" si="222"/>
        <v>3.201171622042815</v>
      </c>
      <c r="T290">
        <f>$S290+測地線補正!$Q$3*(lattice!$N290/1000)^3+測地線補正!$P$3*(lattice!$N290/1000)^2+測地線補正!$O$3*(lattice!$N290/1000)+測地線補正!$N$3</f>
        <v>-9.0601239413953788E-2</v>
      </c>
      <c r="U290">
        <f t="shared" ref="U290:U291" si="235">ATAN(($P$291-$P$289)/ABS($N$291-$N$289))</f>
        <v>-3.3553763843703772E-5</v>
      </c>
      <c r="V290">
        <v>0</v>
      </c>
      <c r="W290">
        <f t="shared" ref="W290:W291" si="236">-ATAN(($M$291-$M$289)/ABS($N$291-$N$289))</f>
        <v>-1.0139022008603941E-5</v>
      </c>
      <c r="X290" t="s">
        <v>3860</v>
      </c>
      <c r="Y290">
        <f>_xlfn.XLOOKUP($F290,設計座標!$E$13:$E$2301,設計座標!$L$13:$L$2301," ",0,1)</f>
        <v>1889.4492</v>
      </c>
      <c r="Z290">
        <f>SQRT(($M$290-$M$287)^2+($N$290-$N$287)^2)</f>
        <v>2073.1460001065602</v>
      </c>
    </row>
    <row r="291" spans="1:28">
      <c r="A291" t="s">
        <v>797</v>
      </c>
      <c r="B291" t="s">
        <v>3811</v>
      </c>
      <c r="C291" t="s">
        <v>804</v>
      </c>
      <c r="D291" t="s">
        <v>1152</v>
      </c>
      <c r="E291" t="s">
        <v>804</v>
      </c>
      <c r="F291" t="s">
        <v>1433</v>
      </c>
      <c r="G291" t="s">
        <v>2403</v>
      </c>
      <c r="I291">
        <f>_xlfn.XLOOKUP($F291,設計座標!$E$13:$E$2301,設計座標!$G$13:$G$2301,"n/a",0,1)</f>
        <v>52.384647579310013</v>
      </c>
      <c r="J291">
        <f>_xlfn.XLOOKUP($F291,設計座標!$E$13:$E$2301,設計座標!$H$13:$H$2301,"n/a",0,1)</f>
        <v>0</v>
      </c>
      <c r="K291">
        <f>_xlfn.XLOOKUP($F291,設計座標!$E$13:$E$2301,設計座標!$I$13:$I$2301,"n/a",0,1)</f>
        <v>44982.593978930003</v>
      </c>
      <c r="L291">
        <f>_xlfn.XLOOKUP($F291,設計座標!$E$13:$E$2301,設計座標!$J$13:$J$2301,"n/a",0,1)</f>
        <v>-270</v>
      </c>
      <c r="M291" s="2">
        <f t="shared" si="217"/>
        <v>-7.7531366745055147E-3</v>
      </c>
      <c r="N291" s="2">
        <f t="shared" si="218"/>
        <v>44982.593978930003</v>
      </c>
      <c r="O291" s="23">
        <f t="shared" si="219"/>
        <v>-266.76788439435012</v>
      </c>
      <c r="P291" s="1">
        <f t="shared" si="224"/>
        <v>-270.12227958207728</v>
      </c>
      <c r="Q291" s="1">
        <f t="shared" si="223"/>
        <v>-7.7531366745055147E-3</v>
      </c>
      <c r="R291">
        <f t="shared" si="196"/>
        <v>0</v>
      </c>
      <c r="S291" s="23">
        <f t="shared" si="222"/>
        <v>3.2321156056498892</v>
      </c>
      <c r="T291">
        <f>$S291+測地線補正!$Q$3*(lattice!$N291/1000)^3+測地線補正!$P$3*(lattice!$N291/1000)^2+測地線補正!$O$3*(lattice!$N291/1000)+測地線補正!$N$3</f>
        <v>-0.12227958207725628</v>
      </c>
      <c r="U291">
        <f t="shared" si="235"/>
        <v>-3.3553763843703772E-5</v>
      </c>
      <c r="V291">
        <v>0</v>
      </c>
      <c r="W291">
        <f t="shared" si="236"/>
        <v>-1.0139022008603941E-5</v>
      </c>
      <c r="X291" t="s">
        <v>3860</v>
      </c>
      <c r="Y291">
        <f>_xlfn.XLOOKUP($F291,設計座標!$E$13:$E$2301,設計座標!$L$13:$L$2301," ",0,1)</f>
        <v>1889.4492</v>
      </c>
      <c r="Z291">
        <f>SQRT(($M$290-$M$287)^2+($N$290-$N$287)^2)</f>
        <v>2073.1460001065602</v>
      </c>
    </row>
    <row r="292" spans="1:28">
      <c r="A292" t="s">
        <v>797</v>
      </c>
      <c r="B292" t="s">
        <v>3811</v>
      </c>
      <c r="C292" t="s">
        <v>1152</v>
      </c>
      <c r="D292" t="s">
        <v>1152</v>
      </c>
      <c r="E292" t="s">
        <v>804</v>
      </c>
      <c r="F292" t="s">
        <v>1974</v>
      </c>
      <c r="G292" t="s">
        <v>1974</v>
      </c>
      <c r="I292">
        <f>_xlfn.XLOOKUP($F292,設計座標!$E$13:$E$2301,設計座標!$G$13:$G$2301,"n/a",0,1)</f>
        <v>52.518647479310012</v>
      </c>
      <c r="J292">
        <f>_xlfn.XLOOKUP($F292,設計座標!$E$13:$E$2301,設計座標!$H$13:$H$2301,"n/a",0,1)</f>
        <v>0</v>
      </c>
      <c r="K292">
        <f>_xlfn.XLOOKUP($F292,設計座標!$E$13:$E$2301,設計座標!$I$13:$I$2301,"n/a",0,1)</f>
        <v>45116.593878929998</v>
      </c>
      <c r="L292">
        <f>_xlfn.XLOOKUP($F292,設計座標!$E$13:$E$2301,設計座標!$J$13:$J$2301,"n/a",0,1)</f>
        <v>-270</v>
      </c>
      <c r="M292" s="2">
        <f t="shared" si="217"/>
        <v>-6.394508739208285E-3</v>
      </c>
      <c r="N292" s="2">
        <f t="shared" si="218"/>
        <v>45116.593878929998</v>
      </c>
      <c r="O292" s="23">
        <f t="shared" si="219"/>
        <v>-266.76349529438494</v>
      </c>
      <c r="P292" s="1">
        <f t="shared" si="224"/>
        <v>-270.12677069975666</v>
      </c>
      <c r="Q292" s="1">
        <f t="shared" si="223"/>
        <v>-6.394508739208285E-3</v>
      </c>
      <c r="R292">
        <f t="shared" si="196"/>
        <v>0</v>
      </c>
      <c r="S292" s="23">
        <f t="shared" si="222"/>
        <v>3.2365047056150531</v>
      </c>
      <c r="T292">
        <f>$S292+測地線補正!$Q$3*(lattice!$N292/1000)^3+測地線補正!$P$3*(lattice!$N292/1000)^2+測地線補正!$O$3*(lattice!$N292/1000)+測地線補正!$N$3</f>
        <v>-0.12677069975668762</v>
      </c>
      <c r="U292">
        <v>0</v>
      </c>
      <c r="V292">
        <v>0</v>
      </c>
      <c r="W292">
        <v>0</v>
      </c>
      <c r="X292">
        <f>SQRT(($M$292-$M$291)^2+($N$292-$N$291)^2)</f>
        <v>133.99990000688283</v>
      </c>
      <c r="Y292">
        <f>_xlfn.XLOOKUP($F292,設計座標!$E$13:$E$2301,設計座標!$L$13:$L$2301," ",0,1)</f>
        <v>0</v>
      </c>
      <c r="Z292">
        <f>SQRT(($M$292-$M$290)^2+($N$292-$N$290)^2)</f>
        <v>1078.7245000554431</v>
      </c>
    </row>
    <row r="293" spans="1:28">
      <c r="A293" t="s">
        <v>797</v>
      </c>
      <c r="B293" t="s">
        <v>3811</v>
      </c>
      <c r="C293" t="s">
        <v>805</v>
      </c>
      <c r="D293" t="s">
        <v>806</v>
      </c>
      <c r="F293" t="s">
        <v>34</v>
      </c>
      <c r="G293" t="s">
        <v>2404</v>
      </c>
      <c r="I293">
        <f>_xlfn.XLOOKUP($F293,設計座標!$E$13:$E$2301,設計座標!$G$13:$G$2301,"n/a",0,1)</f>
        <v>52.697261229000013</v>
      </c>
      <c r="J293">
        <f>_xlfn.XLOOKUP($F293,設計座標!$E$13:$E$2301,設計座標!$H$13:$H$2301,"n/a",0,1)</f>
        <v>0</v>
      </c>
      <c r="K293">
        <f>_xlfn.XLOOKUP($F293,設計座標!$E$13:$E$2301,設計座標!$I$13:$I$2301,"n/a",0,1)</f>
        <v>45295.207628620003</v>
      </c>
      <c r="L293">
        <f>_xlfn.XLOOKUP($F293,設計座標!$E$13:$E$2301,設計座標!$J$13:$J$2301,"n/a",0,1)</f>
        <v>-60</v>
      </c>
      <c r="M293" s="2">
        <f>_xlfn.XLOOKUP($F293,survey_data!$A$2:$A$833,survey_data!$B$2:$B$833,"n/a",0,1)</f>
        <v>-4.5835399999999997E-3</v>
      </c>
      <c r="N293" s="2">
        <f>_xlfn.XLOOKUP($F293,survey_data!$A$2:$A$833,survey_data!$C$2:$C$833,"n/a",0,1)</f>
        <v>45295.207628620003</v>
      </c>
      <c r="O293" s="23">
        <f>_xlfn.XLOOKUP($F293,survey_data!$A$2:$A$833,survey_data!$D$2:$D$833,"n/a",0,1)</f>
        <v>-56.757644890000002</v>
      </c>
      <c r="P293" s="1">
        <f t="shared" si="224"/>
        <v>-60.13275655044383</v>
      </c>
      <c r="Q293" s="1">
        <f t="shared" si="201"/>
        <v>-4.5835399999999997E-3</v>
      </c>
      <c r="R293">
        <f t="shared" si="196"/>
        <v>0</v>
      </c>
      <c r="S293" s="23">
        <f t="shared" si="202"/>
        <v>3.2423551099999983</v>
      </c>
      <c r="T293">
        <f>$S293+測地線補正!$Q$3*(lattice!$N293/1000)^3+測地線補正!$P$3*(lattice!$N293/1000)^2+測地線補正!$O$3*(lattice!$N293/1000)+測地線補正!$N$3</f>
        <v>-0.13275655044383314</v>
      </c>
      <c r="U293">
        <f>ATAN(($P$294-$P$293)/ABS($N$294-$N$293))</f>
        <v>-3.9544813512497237E-4</v>
      </c>
      <c r="V293">
        <v>0</v>
      </c>
      <c r="W293">
        <f>-ATAN(($M$294-$M$293)/ABS($N$294-$N$293))</f>
        <v>6.5249809006505237E-4</v>
      </c>
      <c r="X293">
        <f>$Z$294-($Y$294+$Y$292)/2</f>
        <v>158.61375103931022</v>
      </c>
      <c r="Y293">
        <f>_xlfn.XLOOKUP($F293,設計座標!$E$13:$E$2301,設計座標!$L$13:$L$2301," ",0,1)</f>
        <v>120</v>
      </c>
      <c r="Z293">
        <f>SQRT(($M$294-$M$292)^2+($N$294-$N$292)^2)</f>
        <v>218.61375103931022</v>
      </c>
      <c r="AA293">
        <f>_xlfn.XLOOKUP($G293,magnet_list!$A$2:$A$592,magnet_list!$AJ$2:$AJ$592,"n/a",0,1)</f>
        <v>0.1333</v>
      </c>
      <c r="AB293">
        <f>_xlfn.XLOOKUP($G293,magnet_list!$A$2:$A$592,magnet_list!$L$2:$L$592,"n/a",0,1)</f>
        <v>23</v>
      </c>
    </row>
    <row r="294" spans="1:28">
      <c r="A294" t="s">
        <v>797</v>
      </c>
      <c r="B294" t="s">
        <v>3811</v>
      </c>
      <c r="C294" t="s">
        <v>805</v>
      </c>
      <c r="D294" t="s">
        <v>1152</v>
      </c>
      <c r="E294" t="s">
        <v>804</v>
      </c>
      <c r="F294" t="s">
        <v>553</v>
      </c>
      <c r="G294" t="s">
        <v>2404</v>
      </c>
      <c r="I294">
        <f>_xlfn.XLOOKUP($F294,設計座標!$E$13:$E$2301,設計座標!$G$13:$G$2301,"n/a",0,1)</f>
        <v>52.737261229000012</v>
      </c>
      <c r="J294">
        <f>_xlfn.XLOOKUP($F294,設計座標!$E$13:$E$2301,設計座標!$H$13:$H$2301,"n/a",0,1)</f>
        <v>0</v>
      </c>
      <c r="K294">
        <f>_xlfn.XLOOKUP($F294,設計座標!$E$13:$E$2301,設計座標!$I$13:$I$2301,"n/a",0,1)</f>
        <v>45335.207628620003</v>
      </c>
      <c r="L294">
        <f>_xlfn.XLOOKUP($F294,設計座標!$E$13:$E$2301,設計座標!$J$13:$J$2301,"n/a",0,1)</f>
        <v>-60</v>
      </c>
      <c r="M294" s="2">
        <f t="shared" si="217"/>
        <v>-3.0683467306649576E-2</v>
      </c>
      <c r="N294" s="2">
        <f t="shared" si="218"/>
        <v>45335.207628620003</v>
      </c>
      <c r="O294" s="23">
        <f t="shared" si="219"/>
        <v>-56.770812194640371</v>
      </c>
      <c r="P294" s="1">
        <f t="shared" si="224"/>
        <v>-60.14857447667336</v>
      </c>
      <c r="Q294" s="1">
        <f>(Q$295-Q$293)/($N$295-$N$293)*($N294-$N$293)+Q$293</f>
        <v>-3.0683467306649576E-2</v>
      </c>
      <c r="R294">
        <f t="shared" si="196"/>
        <v>0</v>
      </c>
      <c r="S294" s="23">
        <f>(S$295-S$293)/($N$295-$N$293)*($N294-$N$293)+S$293</f>
        <v>3.2291878053596319</v>
      </c>
      <c r="T294">
        <f>$S294+測地線補正!$Q$3*(lattice!$N294/1000)^3+測地線補正!$P$3*(lattice!$N294/1000)^2+測地線補正!$O$3*(lattice!$N294/1000)+測地線補正!$N$3</f>
        <v>-0.14857447667336018</v>
      </c>
      <c r="U294">
        <f>ATAN(($P$294-$P$293)/ABS($N$294-$N$293))</f>
        <v>-3.9544813512497237E-4</v>
      </c>
      <c r="V294">
        <v>0</v>
      </c>
      <c r="W294">
        <f>-ATAN(($M$294-$M$293)/ABS($N$294-$N$293))</f>
        <v>6.5249809006505237E-4</v>
      </c>
      <c r="X294">
        <f>$Z$294-($Y$294+$Y$292)/2</f>
        <v>158.61375103931022</v>
      </c>
      <c r="Y294">
        <f>_xlfn.XLOOKUP($F294,設計座標!$E$13:$E$2301,設計座標!$L$13:$L$2301," ",0,1)</f>
        <v>120</v>
      </c>
      <c r="Z294">
        <f>SQRT(($M$294-$M$292)^2+($N$294-$N$292)^2)</f>
        <v>218.61375103931022</v>
      </c>
      <c r="AA294">
        <f>_xlfn.XLOOKUP($G294,magnet_list!$A$2:$A$592,magnet_list!$AJ$2:$AJ$592,"n/a",0,1)</f>
        <v>0.1333</v>
      </c>
      <c r="AB294">
        <f>_xlfn.XLOOKUP($G294,magnet_list!$A$2:$A$592,magnet_list!$L$2:$L$592,"n/a",0,1)</f>
        <v>23</v>
      </c>
    </row>
    <row r="295" spans="1:28">
      <c r="A295" t="s">
        <v>797</v>
      </c>
      <c r="B295" t="s">
        <v>3811</v>
      </c>
      <c r="C295" t="s">
        <v>805</v>
      </c>
      <c r="D295" t="s">
        <v>806</v>
      </c>
      <c r="F295" t="s">
        <v>35</v>
      </c>
      <c r="G295" t="s">
        <v>35</v>
      </c>
      <c r="I295">
        <f>_xlfn.XLOOKUP($F295,設計座標!$E$13:$E$2301,設計座標!$G$13:$G$2301,"n/a",0,1)</f>
        <v>52.917615605180011</v>
      </c>
      <c r="J295">
        <f>_xlfn.XLOOKUP($F295,設計座標!$E$13:$E$2301,設計座標!$H$13:$H$2301,"n/a",0,1)</f>
        <v>0</v>
      </c>
      <c r="K295">
        <f>_xlfn.XLOOKUP($F295,設計座標!$E$13:$E$2301,設計座標!$I$13:$I$2301,"n/a",0,1)</f>
        <v>45515.562004799998</v>
      </c>
      <c r="L295">
        <f>_xlfn.XLOOKUP($F295,設計座標!$E$13:$E$2301,設計座標!$J$13:$J$2301,"n/a",0,1)</f>
        <v>-60</v>
      </c>
      <c r="M295" s="2">
        <f>_xlfn.XLOOKUP($F295,survey_data!$A$2:$A$833,survey_data!$B$2:$B$833,"n/a",0,1)</f>
        <v>-0.14836437</v>
      </c>
      <c r="N295" s="2">
        <f>_xlfn.XLOOKUP($F295,survey_data!$A$2:$A$833,survey_data!$C$2:$C$833,"n/a",0,1)</f>
        <v>45515.562004799998</v>
      </c>
      <c r="O295" s="23">
        <f>_xlfn.XLOOKUP($F295,survey_data!$A$2:$A$833,survey_data!$D$2:$D$833,"n/a",0,1)</f>
        <v>-56.830181719999999</v>
      </c>
      <c r="P295" s="1">
        <f t="shared" si="224"/>
        <v>-60.219895023628688</v>
      </c>
      <c r="Q295" s="1">
        <f t="shared" si="201"/>
        <v>-0.14836437</v>
      </c>
      <c r="R295">
        <f t="shared" si="196"/>
        <v>0</v>
      </c>
      <c r="S295" s="23">
        <f t="shared" si="202"/>
        <v>3.1698182800000012</v>
      </c>
      <c r="T295">
        <f>$S295+測地線補正!$Q$3*(lattice!$N295/1000)^3+測地線補正!$P$3*(lattice!$N295/1000)^2+測地線補正!$O$3*(lattice!$N295/1000)+測地線補正!$N$3</f>
        <v>-0.21989502362868837</v>
      </c>
      <c r="U295">
        <f>ATAN(($P$296-$P$295)/ABS($N$296-$N$295))</f>
        <v>2.1802941445186891E-4</v>
      </c>
      <c r="V295">
        <v>0</v>
      </c>
      <c r="W295">
        <f>-ATAN(($M$296-$M$295)/ABS($N$296-$N$295))</f>
        <v>2.0247758902854627E-4</v>
      </c>
      <c r="X295">
        <f>$Z$296-($Y$296+$Y$294)/2</f>
        <v>100.35441010904441</v>
      </c>
      <c r="Y295">
        <f>_xlfn.XLOOKUP($F295,設計座標!$E$13:$E$2301,設計座標!$L$13:$L$2301," ",0,1)</f>
        <v>240</v>
      </c>
      <c r="Z295">
        <f>SQRT(($M$296-$M$294)^2+($N$296-$N$294)^2)</f>
        <v>280.35441010904441</v>
      </c>
      <c r="AA295">
        <f>_xlfn.XLOOKUP($G295,magnet_list!$A$2:$A$592,magnet_list!$AJ$2:$AJ$592,"n/a",0,1)</f>
        <v>0.25219999999999998</v>
      </c>
      <c r="AB295">
        <f>_xlfn.XLOOKUP($G295,magnet_list!$A$2:$A$592,magnet_list!$L$2:$L$592,"n/a",0,1)</f>
        <v>23</v>
      </c>
    </row>
    <row r="296" spans="1:28">
      <c r="A296" t="s">
        <v>797</v>
      </c>
      <c r="B296" t="s">
        <v>3811</v>
      </c>
      <c r="C296" t="s">
        <v>805</v>
      </c>
      <c r="D296" t="s">
        <v>1152</v>
      </c>
      <c r="E296" t="s">
        <v>804</v>
      </c>
      <c r="F296" t="s">
        <v>554</v>
      </c>
      <c r="G296" t="s">
        <v>35</v>
      </c>
      <c r="I296">
        <f>_xlfn.XLOOKUP($F296,設計座標!$E$13:$E$2301,設計座標!$G$13:$G$2301,"n/a",0,1)</f>
        <v>53.017615605180012</v>
      </c>
      <c r="J296">
        <f>_xlfn.XLOOKUP($F296,設計座標!$E$13:$E$2301,設計座標!$H$13:$H$2301,"n/a",0,1)</f>
        <v>0</v>
      </c>
      <c r="K296">
        <f>_xlfn.XLOOKUP($F296,設計座標!$E$13:$E$2301,設計座標!$I$13:$I$2301,"n/a",0,1)</f>
        <v>45615.562004799998</v>
      </c>
      <c r="L296">
        <f>_xlfn.XLOOKUP($F296,設計座標!$E$13:$E$2301,設計座標!$J$13:$J$2301,"n/a",0,1)</f>
        <v>-60</v>
      </c>
      <c r="M296" s="2">
        <f t="shared" si="217"/>
        <v>-0.16861212917955493</v>
      </c>
      <c r="N296" s="2">
        <f t="shared" si="218"/>
        <v>45615.562004799998</v>
      </c>
      <c r="O296" s="23">
        <f t="shared" si="219"/>
        <v>-56.801752512671349</v>
      </c>
      <c r="P296" s="1">
        <f t="shared" si="224"/>
        <v>-60.19809208183802</v>
      </c>
      <c r="Q296" s="1">
        <f>(Q$298-Q$295)/($N$298-$N$295)*($N296-$N$295)+Q$295</f>
        <v>-0.16861212917955493</v>
      </c>
      <c r="R296">
        <f t="shared" si="196"/>
        <v>0</v>
      </c>
      <c r="S296" s="23">
        <f t="shared" ref="S296:S297" si="237">(S$298-S$295)/($N$298-$N$295)*($N296-$N$295)+S$295</f>
        <v>3.1982474873286484</v>
      </c>
      <c r="T296">
        <f>$S296+測地線補正!$Q$3*(lattice!$N296/1000)^3+測地線補正!$P$3*(lattice!$N296/1000)^2+測地線補正!$O$3*(lattice!$N296/1000)+測地線補正!$N$3</f>
        <v>-0.19809208183802104</v>
      </c>
      <c r="U296">
        <f>ATAN(($P$296-$P$295)/ABS($N$296-$N$295))</f>
        <v>2.1802941445186891E-4</v>
      </c>
      <c r="V296">
        <v>0</v>
      </c>
      <c r="W296">
        <f>-ATAN(($M$296-$M$295)/ABS($N$296-$N$295))</f>
        <v>2.0247758902854627E-4</v>
      </c>
      <c r="X296">
        <f>$Z$296-($Y$296+$Y$294)/2</f>
        <v>100.35441010904441</v>
      </c>
      <c r="Y296">
        <f>_xlfn.XLOOKUP($F296,設計座標!$E$13:$E$2301,設計座標!$L$13:$L$2301," ",0,1)</f>
        <v>240</v>
      </c>
      <c r="Z296">
        <f>SQRT(($M$296-$M$294)^2+($N$296-$N$294)^2)</f>
        <v>280.35441010904441</v>
      </c>
      <c r="AA296">
        <f>_xlfn.XLOOKUP($G296,magnet_list!$A$2:$A$592,magnet_list!$AJ$2:$AJ$592,"n/a",0,1)</f>
        <v>0.25219999999999998</v>
      </c>
      <c r="AB296">
        <f>_xlfn.XLOOKUP($G296,magnet_list!$A$2:$A$592,magnet_list!$L$2:$L$592,"n/a",0,1)</f>
        <v>23</v>
      </c>
    </row>
    <row r="297" spans="1:28">
      <c r="A297" t="s">
        <v>797</v>
      </c>
      <c r="B297" t="s">
        <v>3811</v>
      </c>
      <c r="C297" t="s">
        <v>805</v>
      </c>
      <c r="D297" t="s">
        <v>1152</v>
      </c>
      <c r="E297" t="s">
        <v>804</v>
      </c>
      <c r="F297" t="s">
        <v>555</v>
      </c>
      <c r="G297" t="s">
        <v>2404</v>
      </c>
      <c r="I297">
        <f>_xlfn.XLOOKUP($F297,設計座標!$E$13:$E$2301,設計座標!$G$13:$G$2301,"n/a",0,1)</f>
        <v>53.29784536614001</v>
      </c>
      <c r="J297">
        <f>_xlfn.XLOOKUP($F297,設計座標!$E$13:$E$2301,設計座標!$H$13:$H$2301,"n/a",0,1)</f>
        <v>0</v>
      </c>
      <c r="K297">
        <f>_xlfn.XLOOKUP($F297,設計座標!$E$13:$E$2301,設計座標!$I$13:$I$2301,"n/a",0,1)</f>
        <v>45895.791765759997</v>
      </c>
      <c r="L297">
        <f>_xlfn.XLOOKUP($F297,設計座標!$E$13:$E$2301,設計座標!$J$13:$J$2301,"n/a",0,1)</f>
        <v>-60</v>
      </c>
      <c r="M297" s="2">
        <f t="shared" si="217"/>
        <v>-0.22535237632817801</v>
      </c>
      <c r="N297" s="2">
        <f t="shared" si="218"/>
        <v>45895.791765759997</v>
      </c>
      <c r="O297" s="23">
        <f t="shared" si="219"/>
        <v>-56.722085412931463</v>
      </c>
      <c r="P297" s="1">
        <f t="shared" si="224"/>
        <v>-60.136993446255609</v>
      </c>
      <c r="Q297" s="1">
        <f>(Q$298-Q$295)/($N$298-$N$295)*($N297-$N$295)+Q$295</f>
        <v>-0.22535237632817801</v>
      </c>
      <c r="R297">
        <f t="shared" ref="R297:R360" si="238">$N297-$K297</f>
        <v>0</v>
      </c>
      <c r="S297" s="23">
        <f t="shared" si="237"/>
        <v>3.2779145870685391</v>
      </c>
      <c r="T297">
        <f>$S297+測地線補正!$Q$3*(lattice!$N297/1000)^3+測地線補正!$P$3*(lattice!$N297/1000)^2+測地線補正!$O$3*(lattice!$N297/1000)+測地線補正!$N$3</f>
        <v>-0.13699344625561136</v>
      </c>
      <c r="U297">
        <f>ATAN(($P$298-$P$297)/ABS($N$298-$N$297))</f>
        <v>2.1803085455736413E-4</v>
      </c>
      <c r="V297">
        <v>0</v>
      </c>
      <c r="W297">
        <f>-ATAN(($M$298-$M$297)/ABS($N$298-$N$297))</f>
        <v>2.0247758902854654E-4</v>
      </c>
      <c r="X297">
        <f>$Z$297-($Y$297+$Y$296)/2</f>
        <v>100.22976670431336</v>
      </c>
      <c r="Y297">
        <f>_xlfn.XLOOKUP($F297,設計座標!$E$13:$E$2301,設計座標!$L$13:$L$2301," ",0,1)</f>
        <v>120</v>
      </c>
      <c r="Z297">
        <f>SQRT(($M$297-$M$296)^2+($N$297-$N$296)^2)</f>
        <v>280.22976670431336</v>
      </c>
      <c r="AA297">
        <f>_xlfn.XLOOKUP($G297,magnet_list!$A$2:$A$592,magnet_list!$AJ$2:$AJ$592,"n/a",0,1)</f>
        <v>0.1333</v>
      </c>
      <c r="AB297">
        <f>_xlfn.XLOOKUP($G297,magnet_list!$A$2:$A$592,magnet_list!$L$2:$L$592,"n/a",0,1)</f>
        <v>23</v>
      </c>
    </row>
    <row r="298" spans="1:28">
      <c r="A298" t="s">
        <v>797</v>
      </c>
      <c r="B298" t="s">
        <v>3811</v>
      </c>
      <c r="C298" t="s">
        <v>805</v>
      </c>
      <c r="D298" t="s">
        <v>806</v>
      </c>
      <c r="F298" t="s">
        <v>36</v>
      </c>
      <c r="G298" t="s">
        <v>2404</v>
      </c>
      <c r="I298">
        <f>_xlfn.XLOOKUP($F298,設計座標!$E$13:$E$2301,設計座標!$G$13:$G$2301,"n/a",0,1)</f>
        <v>53.337845366140009</v>
      </c>
      <c r="J298">
        <f>_xlfn.XLOOKUP($F298,設計座標!$E$13:$E$2301,設計座標!$H$13:$H$2301,"n/a",0,1)</f>
        <v>0</v>
      </c>
      <c r="K298">
        <f>_xlfn.XLOOKUP($F298,設計座標!$E$13:$E$2301,設計座標!$I$13:$I$2301,"n/a",0,1)</f>
        <v>45935.791765759997</v>
      </c>
      <c r="L298">
        <f>_xlfn.XLOOKUP($F298,設計座標!$E$13:$E$2301,設計座標!$J$13:$J$2301,"n/a",0,1)</f>
        <v>-60</v>
      </c>
      <c r="M298" s="2">
        <f>_xlfn.XLOOKUP($F298,survey_data!$A$2:$A$833,survey_data!$B$2:$B$833,"n/a",0,1)</f>
        <v>-0.23345147999999999</v>
      </c>
      <c r="N298" s="2">
        <f>_xlfn.XLOOKUP($F298,survey_data!$A$2:$A$833,survey_data!$C$2:$C$833,"n/a",0,1)</f>
        <v>45935.791765759997</v>
      </c>
      <c r="O298" s="23">
        <f>_xlfn.XLOOKUP($F298,survey_data!$A$2:$A$833,survey_data!$D$2:$D$833,"n/a",0,1)</f>
        <v>-56.710713730000002</v>
      </c>
      <c r="P298" s="1">
        <f t="shared" si="224"/>
        <v>-60.128272211935119</v>
      </c>
      <c r="Q298" s="1">
        <f t="shared" ref="Q298:Q348" si="239">$M298-$J298</f>
        <v>-0.23345147999999999</v>
      </c>
      <c r="R298">
        <f t="shared" si="238"/>
        <v>0</v>
      </c>
      <c r="S298" s="23">
        <f t="shared" ref="S298:S348" si="240">$O298-$L298</f>
        <v>3.2892862699999981</v>
      </c>
      <c r="T298">
        <f>$S298+測地線補正!$Q$3*(lattice!$N298/1000)^3+測地線補正!$P$3*(lattice!$N298/1000)^2+測地線補正!$O$3*(lattice!$N298/1000)+測地線補正!$N$3</f>
        <v>-0.12827221193512081</v>
      </c>
      <c r="U298">
        <f>ATAN(($P$298-$P$297)/ABS($N$298-$N$297))</f>
        <v>2.1803085455736413E-4</v>
      </c>
      <c r="V298">
        <v>0</v>
      </c>
      <c r="W298">
        <f>-ATAN(($M$298-$M$297)/ABS($N$298-$N$297))</f>
        <v>2.0247758902854654E-4</v>
      </c>
      <c r="X298">
        <f>$Z$297-($Y$297+$Y$296)/2</f>
        <v>100.22976670431336</v>
      </c>
      <c r="Y298">
        <f>_xlfn.XLOOKUP($F298,設計座標!$E$13:$E$2301,設計座標!$L$13:$L$2301," ",0,1)</f>
        <v>120</v>
      </c>
      <c r="Z298">
        <f>SQRT(($M$297-$M$296)^2+($N$297-$N$296)^2)</f>
        <v>280.22976670431336</v>
      </c>
      <c r="AA298">
        <f>_xlfn.XLOOKUP($G298,magnet_list!$A$2:$A$592,magnet_list!$AJ$2:$AJ$592,"n/a",0,1)</f>
        <v>0.1333</v>
      </c>
      <c r="AB298">
        <f>_xlfn.XLOOKUP($G298,magnet_list!$A$2:$A$592,magnet_list!$L$2:$L$592,"n/a",0,1)</f>
        <v>23</v>
      </c>
    </row>
    <row r="299" spans="1:28">
      <c r="A299" t="s">
        <v>797</v>
      </c>
      <c r="B299" t="s">
        <v>3811</v>
      </c>
      <c r="C299" t="s">
        <v>2288</v>
      </c>
      <c r="D299" t="s">
        <v>1152</v>
      </c>
      <c r="E299" t="s">
        <v>804</v>
      </c>
      <c r="F299" t="s">
        <v>2328</v>
      </c>
      <c r="G299" t="s">
        <v>2328</v>
      </c>
      <c r="I299">
        <f>_xlfn.XLOOKUP($F299,設計座標!$E$13:$E$2301,設計座標!$G$13:$G$2301,"n/a",0,1)</f>
        <v>53.468064479310016</v>
      </c>
      <c r="J299">
        <f>_xlfn.XLOOKUP($F299,設計座標!$E$13:$E$2301,設計座標!$H$13:$H$2301,"n/a",0,1)</f>
        <v>0</v>
      </c>
      <c r="K299">
        <f>_xlfn.XLOOKUP($F299,設計座標!$E$13:$E$2301,設計座標!$I$13:$I$2301,"n/a",0,1)</f>
        <v>46066.010878929999</v>
      </c>
      <c r="L299">
        <f>_xlfn.XLOOKUP($F299,設計座標!$E$13:$E$2301,設計座標!$J$13:$J$2301,"n/a",0,1)</f>
        <v>-270</v>
      </c>
      <c r="M299" s="2">
        <f t="shared" si="217"/>
        <v>-0.23015689408118672</v>
      </c>
      <c r="N299" s="2">
        <f t="shared" si="218"/>
        <v>46066.010878929999</v>
      </c>
      <c r="O299" s="23">
        <f t="shared" si="219"/>
        <v>-266.70114065134567</v>
      </c>
      <c r="P299" s="1">
        <f t="shared" si="224"/>
        <v>-270.12732762674858</v>
      </c>
      <c r="Q299" s="1">
        <f>(Q$318-Q$298)/($N$318-$N$298)*($N299-$N$298)+Q$298</f>
        <v>-0.23015689408118672</v>
      </c>
      <c r="R299">
        <f t="shared" si="238"/>
        <v>0</v>
      </c>
      <c r="S299" s="23">
        <f t="shared" ref="S299:S317" si="241">(S$318-S$298)/($N$318-$N$298)*($N299-$N$298)+S$298</f>
        <v>3.2988593486543474</v>
      </c>
      <c r="T299">
        <f>$S299+測地線補正!$Q$3*(lattice!$N299/1000)^3+測地線補正!$P$3*(lattice!$N299/1000)^2+測地線補正!$O$3*(lattice!$N299/1000)+測地線補正!$N$3</f>
        <v>-0.12732762674858375</v>
      </c>
      <c r="U299">
        <v>0</v>
      </c>
      <c r="V299">
        <v>0</v>
      </c>
      <c r="W299">
        <v>0</v>
      </c>
      <c r="X299">
        <f>$Z$299-($Y$299+$Y$298)/2</f>
        <v>110.21911323780688</v>
      </c>
      <c r="Y299">
        <f>_xlfn.XLOOKUP($F299,設計座標!$E$13:$E$2301,設計座標!$L$13:$L$2301," ",0,1)</f>
        <v>0</v>
      </c>
      <c r="Z299">
        <f>SQRT(($M$299-$M$297)^2+($N$299-$N$297)^2)</f>
        <v>170.21911323780688</v>
      </c>
    </row>
    <row r="300" spans="1:28">
      <c r="A300" t="s">
        <v>797</v>
      </c>
      <c r="B300" t="s">
        <v>3811</v>
      </c>
      <c r="C300" t="s">
        <v>804</v>
      </c>
      <c r="D300" t="s">
        <v>1152</v>
      </c>
      <c r="E300" t="s">
        <v>804</v>
      </c>
      <c r="F300" t="s">
        <v>1434</v>
      </c>
      <c r="G300" t="s">
        <v>2405</v>
      </c>
      <c r="I300">
        <f>_xlfn.XLOOKUP($F300,設計座標!$E$13:$E$2301,設計座標!$G$13:$G$2301,"n/a",0,1)</f>
        <v>53.602064379310015</v>
      </c>
      <c r="J300">
        <f>_xlfn.XLOOKUP($F300,設計座標!$E$13:$E$2301,設計座標!$H$13:$H$2301,"n/a",0,1)</f>
        <v>0</v>
      </c>
      <c r="K300">
        <f>_xlfn.XLOOKUP($F300,設計座標!$E$13:$E$2301,設計座標!$I$13:$I$2301,"n/a",0,1)</f>
        <v>46200.010778929995</v>
      </c>
      <c r="L300">
        <f>_xlfn.XLOOKUP($F300,設計座標!$E$13:$E$2301,設計座標!$J$13:$J$2301,"n/a",0,1)</f>
        <v>-270</v>
      </c>
      <c r="M300" s="2">
        <f t="shared" si="217"/>
        <v>-0.22676665302582014</v>
      </c>
      <c r="N300" s="2">
        <f t="shared" si="218"/>
        <v>46200.010778929995</v>
      </c>
      <c r="O300" s="23">
        <f t="shared" si="219"/>
        <v>-266.69128962755087</v>
      </c>
      <c r="P300" s="1">
        <f t="shared" si="224"/>
        <v>-270.1263556878859</v>
      </c>
      <c r="Q300" s="1">
        <f t="shared" ref="Q300:Q317" si="242">(Q$318-Q$298)/($N$318-$N$298)*($N300-$N$298)+Q$298</f>
        <v>-0.22676665302582014</v>
      </c>
      <c r="R300">
        <f t="shared" si="238"/>
        <v>0</v>
      </c>
      <c r="S300" s="23">
        <f t="shared" si="241"/>
        <v>3.3087103724491427</v>
      </c>
      <c r="T300">
        <f>$S300+測地線補正!$Q$3*(lattice!$N300/1000)^3+測地線補正!$P$3*(lattice!$N300/1000)^2+測地線補正!$O$3*(lattice!$N300/1000)+測地線補正!$N$3</f>
        <v>-0.12635568788589055</v>
      </c>
      <c r="U300">
        <f>ATAN(($P$304-$P$300)/ABS($N$304-$N$300))</f>
        <v>7.2311326875039657E-6</v>
      </c>
      <c r="V300">
        <v>0</v>
      </c>
      <c r="W300">
        <f>-ATAN(($M$304-$M$300)/ABS($N$304-$N$300))</f>
        <v>-2.5300325258775119E-5</v>
      </c>
      <c r="X300">
        <f>SQRT(($M$300-$M$299)^2+($N$300-$N$299)^2)</f>
        <v>133.99990004288236</v>
      </c>
      <c r="Y300">
        <f>_xlfn.XLOOKUP($F300,設計座標!$E$13:$E$2301,設計座標!$L$13:$L$2301," ",0,1)</f>
        <v>1889.4492</v>
      </c>
      <c r="Z300">
        <f>SQRT(($M$303-$M$301)^2+($N$303-$N$301)^2)</f>
        <v>311.22450009960505</v>
      </c>
    </row>
    <row r="301" spans="1:28">
      <c r="A301" t="s">
        <v>797</v>
      </c>
      <c r="B301" t="s">
        <v>3811</v>
      </c>
      <c r="C301" t="s">
        <v>3855</v>
      </c>
      <c r="D301" t="s">
        <v>1152</v>
      </c>
      <c r="E301" t="s">
        <v>804</v>
      </c>
      <c r="F301" t="s">
        <v>2224</v>
      </c>
      <c r="G301" t="s">
        <v>2224</v>
      </c>
      <c r="I301">
        <f>_xlfn.XLOOKUP($F301,設計座標!$E$13:$E$2301,設計座標!$G$13:$G$2301,"n/a",0,1)</f>
        <v>54.235564479310014</v>
      </c>
      <c r="J301">
        <f>_xlfn.XLOOKUP($F301,設計座標!$E$13:$E$2301,設計座標!$H$13:$H$2301,"n/a",0,1)</f>
        <v>0</v>
      </c>
      <c r="K301">
        <f>_xlfn.XLOOKUP($F301,設計座標!$E$13:$E$2301,設計座標!$I$13:$I$2301,"n/a",0,1)</f>
        <v>46833.510878929999</v>
      </c>
      <c r="L301">
        <f>_xlfn.XLOOKUP($F301,設計座標!$E$13:$E$2301,設計座標!$J$13:$J$2301,"n/a",0,1)</f>
        <v>-270</v>
      </c>
      <c r="M301" s="2">
        <f t="shared" si="217"/>
        <v>-0.21073889444093363</v>
      </c>
      <c r="N301" s="2">
        <f t="shared" si="218"/>
        <v>46833.510878929999</v>
      </c>
      <c r="O301" s="23">
        <f t="shared" si="219"/>
        <v>-266.6447177677278</v>
      </c>
      <c r="P301" s="1">
        <f t="shared" si="224"/>
        <v>-270.12176352446789</v>
      </c>
      <c r="Q301" s="1">
        <f t="shared" si="242"/>
        <v>-0.21073889444093363</v>
      </c>
      <c r="R301">
        <f t="shared" si="238"/>
        <v>0</v>
      </c>
      <c r="S301" s="23">
        <f t="shared" si="241"/>
        <v>3.3552822322722147</v>
      </c>
      <c r="T301">
        <f>$S301+測地線補正!$Q$3*(lattice!$N301/1000)^3+測地線補正!$P$3*(lattice!$N301/1000)^2+測地線補正!$O$3*(lattice!$N301/1000)+測地線補正!$N$3</f>
        <v>-0.12176352446786684</v>
      </c>
      <c r="U301">
        <f t="shared" ref="U301:U302" si="243">ATAN(($P$304-$P$300)/ABS($N$304-$N$300))</f>
        <v>7.2311326875039657E-6</v>
      </c>
      <c r="V301">
        <v>0</v>
      </c>
      <c r="W301">
        <f t="shared" ref="W301:W302" si="244">-ATAN(($M$304-$M$300)/ABS($N$304-$N$300))</f>
        <v>-2.5300325258775119E-5</v>
      </c>
      <c r="X301" t="s">
        <v>3860</v>
      </c>
      <c r="Y301">
        <f>_xlfn.XLOOKUP($F301,設計座標!$E$13:$E$2301,設計座標!$L$13:$L$2301," ",0,1)</f>
        <v>1000</v>
      </c>
      <c r="Z301">
        <f>SQRT(($M$301-$M$299)^2+($N$301-$N$299)^2)</f>
        <v>767.50000024564088</v>
      </c>
      <c r="AA301">
        <f>_xlfn.XLOOKUP($G301,magnet_list!$A$2:$A$592,magnet_list!$AJ$2:$AJ$592,"n/a",0,1)</f>
        <v>0.95010000000000006</v>
      </c>
      <c r="AB301">
        <f>_xlfn.XLOOKUP($G301,magnet_list!$A$2:$A$592,magnet_list!$L$2:$L$592,"n/a",0,1)</f>
        <v>120</v>
      </c>
    </row>
    <row r="302" spans="1:28">
      <c r="A302" t="s">
        <v>797</v>
      </c>
      <c r="B302" t="s">
        <v>3811</v>
      </c>
      <c r="C302" t="s">
        <v>3855</v>
      </c>
      <c r="D302" t="s">
        <v>1152</v>
      </c>
      <c r="E302" t="s">
        <v>804</v>
      </c>
      <c r="F302" t="s">
        <v>2225</v>
      </c>
      <c r="G302" t="s">
        <v>2225</v>
      </c>
      <c r="I302">
        <f>_xlfn.XLOOKUP($F302,設計座標!$E$13:$E$2301,設計座標!$G$13:$G$2301,"n/a",0,1)</f>
        <v>54.235564479310014</v>
      </c>
      <c r="J302">
        <f>_xlfn.XLOOKUP($F302,設計座標!$E$13:$E$2301,設計座標!$H$13:$H$2301,"n/a",0,1)</f>
        <v>0</v>
      </c>
      <c r="K302">
        <f>_xlfn.XLOOKUP($F302,設計座標!$E$13:$E$2301,設計座標!$I$13:$I$2301,"n/a",0,1)</f>
        <v>46833.510878929999</v>
      </c>
      <c r="L302">
        <f>_xlfn.XLOOKUP($F302,設計座標!$E$13:$E$2301,設計座標!$J$13:$J$2301,"n/a",0,1)</f>
        <v>-270</v>
      </c>
      <c r="M302" s="2">
        <f t="shared" si="217"/>
        <v>-0.21073889444093363</v>
      </c>
      <c r="N302" s="2">
        <f t="shared" si="218"/>
        <v>46833.510878929999</v>
      </c>
      <c r="O302" s="23">
        <f t="shared" si="219"/>
        <v>-266.6447177677278</v>
      </c>
      <c r="P302" s="1">
        <f t="shared" si="224"/>
        <v>-270.12176352446789</v>
      </c>
      <c r="Q302" s="1">
        <f t="shared" si="242"/>
        <v>-0.21073889444093363</v>
      </c>
      <c r="R302">
        <f t="shared" si="238"/>
        <v>0</v>
      </c>
      <c r="S302" s="23">
        <f t="shared" si="241"/>
        <v>3.3552822322722147</v>
      </c>
      <c r="T302">
        <f>$S302+測地線補正!$Q$3*(lattice!$N302/1000)^3+測地線補正!$P$3*(lattice!$N302/1000)^2+測地線補正!$O$3*(lattice!$N302/1000)+測地線補正!$N$3</f>
        <v>-0.12176352446786684</v>
      </c>
      <c r="U302">
        <f t="shared" si="243"/>
        <v>7.2311326875039657E-6</v>
      </c>
      <c r="V302">
        <v>0</v>
      </c>
      <c r="W302">
        <f t="shared" si="244"/>
        <v>-2.5300325258775119E-5</v>
      </c>
      <c r="X302" t="s">
        <v>3860</v>
      </c>
      <c r="Y302">
        <f>_xlfn.XLOOKUP($F302,設計座標!$E$13:$E$2301,設計座標!$L$13:$L$2301," ",0,1)</f>
        <v>1000</v>
      </c>
      <c r="Z302">
        <f>SQRT(($M$301-$M$299)^2+($N$301-$N$299)^2)</f>
        <v>767.50000024564088</v>
      </c>
      <c r="AA302">
        <f>_xlfn.XLOOKUP($G302,magnet_list!$A$2:$A$592,magnet_list!$AJ$2:$AJ$592,"n/a",0,1)</f>
        <v>0.95010000000000006</v>
      </c>
      <c r="AB302">
        <f>_xlfn.XLOOKUP($G302,magnet_list!$A$2:$A$592,magnet_list!$L$2:$L$592,"n/a",0,1)</f>
        <v>120</v>
      </c>
    </row>
    <row r="303" spans="1:28">
      <c r="A303" t="s">
        <v>797</v>
      </c>
      <c r="B303" t="s">
        <v>3811</v>
      </c>
      <c r="C303" t="s">
        <v>804</v>
      </c>
      <c r="D303" t="s">
        <v>1152</v>
      </c>
      <c r="E303" t="s">
        <v>804</v>
      </c>
      <c r="F303" t="s">
        <v>1170</v>
      </c>
      <c r="G303" t="s">
        <v>2405</v>
      </c>
      <c r="I303">
        <f>_xlfn.XLOOKUP($F303,設計座標!$E$13:$E$2301,設計座標!$G$13:$G$2301,"n/a",0,1)</f>
        <v>54.546788979310016</v>
      </c>
      <c r="J303">
        <f>_xlfn.XLOOKUP($F303,設計座標!$E$13:$E$2301,設計座標!$H$13:$H$2301,"n/a",0,1)</f>
        <v>0</v>
      </c>
      <c r="K303">
        <f>_xlfn.XLOOKUP($F303,設計座標!$E$13:$E$2301,設計座標!$I$13:$I$2301,"n/a",0,1)</f>
        <v>47144.735378929996</v>
      </c>
      <c r="L303">
        <f>_xlfn.XLOOKUP($F303,設計座標!$E$13:$E$2301,設計座標!$J$13:$J$2301,"n/a",0,1)</f>
        <v>-270</v>
      </c>
      <c r="M303" s="2">
        <f t="shared" si="217"/>
        <v>-0.20286481336075396</v>
      </c>
      <c r="N303" s="2">
        <f t="shared" si="218"/>
        <v>47144.735378929996</v>
      </c>
      <c r="O303" s="23">
        <f t="shared" si="219"/>
        <v>-266.62183804949649</v>
      </c>
      <c r="P303" s="1">
        <f t="shared" si="224"/>
        <v>-270.11951049901546</v>
      </c>
      <c r="Q303" s="1">
        <f t="shared" si="242"/>
        <v>-0.20286481336075396</v>
      </c>
      <c r="R303">
        <f t="shared" si="238"/>
        <v>0</v>
      </c>
      <c r="S303" s="23">
        <f t="shared" si="241"/>
        <v>3.3781619505035225</v>
      </c>
      <c r="T303">
        <f>$S303+測地線補正!$Q$3*(lattice!$N303/1000)^3+測地線補正!$P$3*(lattice!$N303/1000)^2+測地線補正!$O$3*(lattice!$N303/1000)+測地線補正!$N$3</f>
        <v>-0.11951049901546171</v>
      </c>
      <c r="U303">
        <f t="shared" ref="U303:U304" si="245">ATAN(($P$304-$P$300)/ABS($N$304-$N$300))</f>
        <v>7.2311326875039657E-6</v>
      </c>
      <c r="V303">
        <v>0</v>
      </c>
      <c r="W303">
        <f t="shared" ref="W303:W304" si="246">-ATAN(($M$304-$M$300)/ABS($N$304-$N$300))</f>
        <v>-2.5300325258775119E-5</v>
      </c>
      <c r="X303" t="s">
        <v>3860</v>
      </c>
      <c r="Y303">
        <f>_xlfn.XLOOKUP($F303,設計座標!$E$13:$E$2301,設計座標!$L$13:$L$2301," ",0,1)</f>
        <v>1889.4492</v>
      </c>
      <c r="Z303">
        <f>SQRT(($M$303-$M$301)^2+($N$303-$N$301)^2)</f>
        <v>311.22450009960505</v>
      </c>
    </row>
    <row r="304" spans="1:28">
      <c r="A304" t="s">
        <v>797</v>
      </c>
      <c r="B304" t="s">
        <v>3811</v>
      </c>
      <c r="C304" t="s">
        <v>804</v>
      </c>
      <c r="D304" t="s">
        <v>1152</v>
      </c>
      <c r="E304" t="s">
        <v>804</v>
      </c>
      <c r="F304" t="s">
        <v>1435</v>
      </c>
      <c r="G304" t="s">
        <v>2405</v>
      </c>
      <c r="I304">
        <f>_xlfn.XLOOKUP($F304,設計座標!$E$13:$E$2301,設計座標!$G$13:$G$2301,"n/a",0,1)</f>
        <v>55.491513579310016</v>
      </c>
      <c r="J304">
        <f>_xlfn.XLOOKUP($F304,設計座標!$E$13:$E$2301,設計座標!$H$13:$H$2301,"n/a",0,1)</f>
        <v>0</v>
      </c>
      <c r="K304">
        <f>_xlfn.XLOOKUP($F304,設計座標!$E$13:$E$2301,設計座標!$I$13:$I$2301,"n/a",0,1)</f>
        <v>48089.459978929997</v>
      </c>
      <c r="L304">
        <f>_xlfn.XLOOKUP($F304,設計座標!$E$13:$E$2301,設計座標!$J$13:$J$2301,"n/a",0,1)</f>
        <v>-270</v>
      </c>
      <c r="M304" s="2">
        <f t="shared" si="217"/>
        <v>-0.17896297369568781</v>
      </c>
      <c r="N304" s="2">
        <f t="shared" si="218"/>
        <v>48089.459978929997</v>
      </c>
      <c r="O304" s="23">
        <f t="shared" si="219"/>
        <v>-266.55238647144211</v>
      </c>
      <c r="P304" s="1">
        <f t="shared" si="224"/>
        <v>-270.11269283001417</v>
      </c>
      <c r="Q304" s="1">
        <f t="shared" si="242"/>
        <v>-0.17896297369568781</v>
      </c>
      <c r="R304">
        <f t="shared" si="238"/>
        <v>0</v>
      </c>
      <c r="S304" s="23">
        <f t="shared" si="241"/>
        <v>3.4476135285579024</v>
      </c>
      <c r="T304">
        <f>$S304+測地線補正!$Q$3*(lattice!$N304/1000)^3+測地線補正!$P$3*(lattice!$N304/1000)^2+測地線補正!$O$3*(lattice!$N304/1000)+測地線補正!$N$3</f>
        <v>-0.11269283001417993</v>
      </c>
      <c r="U304">
        <f t="shared" si="245"/>
        <v>7.2311326875039657E-6</v>
      </c>
      <c r="V304">
        <v>0</v>
      </c>
      <c r="W304">
        <f t="shared" si="246"/>
        <v>-2.5300325258775119E-5</v>
      </c>
      <c r="X304" t="s">
        <v>3860</v>
      </c>
      <c r="Y304">
        <f>_xlfn.XLOOKUP($F304,設計座標!$E$13:$E$2301,設計座標!$L$13:$L$2301," ",0,1)</f>
        <v>1889.4492</v>
      </c>
      <c r="Z304">
        <f>SQRT(($M$303-$M$301)^2+($N$303-$N$301)^2)</f>
        <v>311.22450009960505</v>
      </c>
    </row>
    <row r="305" spans="1:28">
      <c r="A305" t="s">
        <v>797</v>
      </c>
      <c r="B305" t="s">
        <v>3811</v>
      </c>
      <c r="C305" t="s">
        <v>804</v>
      </c>
      <c r="D305" t="s">
        <v>1152</v>
      </c>
      <c r="E305" t="s">
        <v>804</v>
      </c>
      <c r="F305" t="s">
        <v>1436</v>
      </c>
      <c r="G305" t="s">
        <v>2406</v>
      </c>
      <c r="I305">
        <f>_xlfn.XLOOKUP($F305,設計座標!$E$13:$E$2301,設計座標!$G$13:$G$2301,"n/a",0,1)</f>
        <v>55.675210379310016</v>
      </c>
      <c r="J305">
        <f>_xlfn.XLOOKUP($F305,設計座標!$E$13:$E$2301,設計座標!$H$13:$H$2301,"n/a",0,1)</f>
        <v>0</v>
      </c>
      <c r="K305">
        <f>_xlfn.XLOOKUP($F305,設計座標!$E$13:$E$2301,設計座標!$I$13:$I$2301,"n/a",0,1)</f>
        <v>48273.156778929995</v>
      </c>
      <c r="L305">
        <f>_xlfn.XLOOKUP($F305,設計座標!$E$13:$E$2301,設計座標!$J$13:$J$2301,"n/a",0,1)</f>
        <v>-270</v>
      </c>
      <c r="M305" s="2">
        <f t="shared" si="217"/>
        <v>-0.17431538490570003</v>
      </c>
      <c r="N305" s="2">
        <f t="shared" si="218"/>
        <v>48273.156778929995</v>
      </c>
      <c r="O305" s="23">
        <f t="shared" si="219"/>
        <v>-266.53888197220124</v>
      </c>
      <c r="P305" s="1">
        <f t="shared" si="224"/>
        <v>-270.11137214681037</v>
      </c>
      <c r="Q305" s="1">
        <f t="shared" si="242"/>
        <v>-0.17431538490570003</v>
      </c>
      <c r="R305">
        <f t="shared" si="238"/>
        <v>0</v>
      </c>
      <c r="S305" s="23">
        <f t="shared" si="241"/>
        <v>3.461118027798781</v>
      </c>
      <c r="T305">
        <f>$S305+測地線補正!$Q$3*(lattice!$N305/1000)^3+測地線補正!$P$3*(lattice!$N305/1000)^2+測地線補正!$O$3*(lattice!$N305/1000)+測地線補正!$N$3</f>
        <v>-0.11137214681034621</v>
      </c>
      <c r="U305">
        <f>ATAN(($P$307-$P$305)/ABS($N$307-$N$305))</f>
        <v>7.1137597319242867E-6</v>
      </c>
      <c r="V305">
        <v>0</v>
      </c>
      <c r="W305">
        <f>-ATAN(($M$307-$M$305)/ABS($N$307-$N$305))</f>
        <v>-2.5300325258775136E-5</v>
      </c>
      <c r="X305">
        <f>SQRT(($M$305-$M$304)^2+($N$305-$N$304)^2)</f>
        <v>183.69680005879064</v>
      </c>
      <c r="Y305">
        <f>_xlfn.XLOOKUP($F305,設計座標!$E$13:$E$2301,設計座標!$L$13:$L$2301," ",0,1)</f>
        <v>1889.4492</v>
      </c>
      <c r="Z305">
        <f>SQRT(($M$306-$M$303)^2+($N$306-$N$303)^2)</f>
        <v>2073.1460006635175</v>
      </c>
    </row>
    <row r="306" spans="1:28">
      <c r="A306" t="s">
        <v>797</v>
      </c>
      <c r="B306" t="s">
        <v>3811</v>
      </c>
      <c r="C306" t="s">
        <v>804</v>
      </c>
      <c r="D306" t="s">
        <v>1152</v>
      </c>
      <c r="E306" t="s">
        <v>804</v>
      </c>
      <c r="F306" t="s">
        <v>1226</v>
      </c>
      <c r="G306" t="s">
        <v>2406</v>
      </c>
      <c r="I306">
        <f>_xlfn.XLOOKUP($F306,設計座標!$E$13:$E$2301,設計座標!$G$13:$G$2301,"n/a",0,1)</f>
        <v>56.619934979310017</v>
      </c>
      <c r="J306">
        <f>_xlfn.XLOOKUP($F306,設計座標!$E$13:$E$2301,設計座標!$H$13:$H$2301,"n/a",0,1)</f>
        <v>0</v>
      </c>
      <c r="K306">
        <f>_xlfn.XLOOKUP($F306,設計座標!$E$13:$E$2301,設計座標!$I$13:$I$2301,"n/a",0,1)</f>
        <v>49217.881378929997</v>
      </c>
      <c r="L306">
        <f>_xlfn.XLOOKUP($F306,設計座標!$E$13:$E$2301,設計座標!$J$13:$J$2301,"n/a",0,1)</f>
        <v>-270</v>
      </c>
      <c r="M306" s="2">
        <f t="shared" si="217"/>
        <v>-0.15041354524063386</v>
      </c>
      <c r="N306" s="2">
        <f t="shared" si="218"/>
        <v>49217.881378929997</v>
      </c>
      <c r="O306" s="23">
        <f t="shared" si="219"/>
        <v>-266.46943039414685</v>
      </c>
      <c r="P306" s="1">
        <f t="shared" si="224"/>
        <v>-270.10461483300867</v>
      </c>
      <c r="Q306" s="1">
        <f t="shared" si="242"/>
        <v>-0.15041354524063386</v>
      </c>
      <c r="R306">
        <f t="shared" si="238"/>
        <v>0</v>
      </c>
      <c r="S306" s="23">
        <f t="shared" si="241"/>
        <v>3.5305696058531608</v>
      </c>
      <c r="T306">
        <f>$S306+測地線補正!$Q$3*(lattice!$N306/1000)^3+測地線補正!$P$3*(lattice!$N306/1000)^2+測地線補正!$O$3*(lattice!$N306/1000)+測地線補正!$N$3</f>
        <v>-0.10461483300869009</v>
      </c>
      <c r="U306">
        <f t="shared" ref="U306:U307" si="247">ATAN(($P$307-$P$305)/ABS($N$307-$N$305))</f>
        <v>7.1137597319242867E-6</v>
      </c>
      <c r="V306">
        <v>0</v>
      </c>
      <c r="W306">
        <f t="shared" ref="W306:W307" si="248">-ATAN(($M$307-$M$305)/ABS($N$307-$N$305))</f>
        <v>-2.5300325258775136E-5</v>
      </c>
      <c r="X306" t="s">
        <v>3860</v>
      </c>
      <c r="Y306">
        <f>_xlfn.XLOOKUP($F306,設計座標!$E$13:$E$2301,設計座標!$L$13:$L$2301," ",0,1)</f>
        <v>1889.4492</v>
      </c>
      <c r="Z306">
        <f>SQRT(($M$306-$M$303)^2+($N$306-$N$303)^2)</f>
        <v>2073.1460006635175</v>
      </c>
    </row>
    <row r="307" spans="1:28">
      <c r="A307" t="s">
        <v>797</v>
      </c>
      <c r="B307" t="s">
        <v>3811</v>
      </c>
      <c r="C307" t="s">
        <v>804</v>
      </c>
      <c r="D307" t="s">
        <v>1152</v>
      </c>
      <c r="E307" t="s">
        <v>804</v>
      </c>
      <c r="F307" t="s">
        <v>1437</v>
      </c>
      <c r="G307" t="s">
        <v>2406</v>
      </c>
      <c r="I307">
        <f>_xlfn.XLOOKUP($F307,設計座標!$E$13:$E$2301,設計座標!$G$13:$G$2301,"n/a",0,1)</f>
        <v>57.564659579310018</v>
      </c>
      <c r="J307">
        <f>_xlfn.XLOOKUP($F307,設計座標!$E$13:$E$2301,設計座標!$H$13:$H$2301,"n/a",0,1)</f>
        <v>0</v>
      </c>
      <c r="K307">
        <f>_xlfn.XLOOKUP($F307,設計座標!$E$13:$E$2301,設計座標!$I$13:$I$2301,"n/a",0,1)</f>
        <v>50162.605978929998</v>
      </c>
      <c r="L307">
        <f>_xlfn.XLOOKUP($F307,設計座標!$E$13:$E$2301,設計座標!$J$13:$J$2301,"n/a",0,1)</f>
        <v>-270</v>
      </c>
      <c r="M307" s="2">
        <f t="shared" si="217"/>
        <v>-0.12651170557556768</v>
      </c>
      <c r="N307" s="2">
        <f t="shared" si="218"/>
        <v>50162.605978929998</v>
      </c>
      <c r="O307" s="23">
        <f t="shared" si="219"/>
        <v>-266.39997881609247</v>
      </c>
      <c r="P307" s="1">
        <f t="shared" si="224"/>
        <v>-270.09793105917566</v>
      </c>
      <c r="Q307" s="1">
        <f t="shared" si="242"/>
        <v>-0.12651170557556768</v>
      </c>
      <c r="R307">
        <f t="shared" si="238"/>
        <v>0</v>
      </c>
      <c r="S307" s="23">
        <f t="shared" si="241"/>
        <v>3.6000211839075407</v>
      </c>
      <c r="T307">
        <f>$S307+測地線補正!$Q$3*(lattice!$N307/1000)^3+測地線補正!$P$3*(lattice!$N307/1000)^2+測地線補正!$O$3*(lattice!$N307/1000)+測地線補正!$N$3</f>
        <v>-9.7931059175682872E-2</v>
      </c>
      <c r="U307">
        <f t="shared" si="247"/>
        <v>7.1137597319242867E-6</v>
      </c>
      <c r="V307">
        <v>0</v>
      </c>
      <c r="W307">
        <f t="shared" si="248"/>
        <v>-2.5300325258775136E-5</v>
      </c>
      <c r="X307" t="s">
        <v>3860</v>
      </c>
      <c r="Y307">
        <f>_xlfn.XLOOKUP($F307,設計座標!$E$13:$E$2301,設計座標!$L$13:$L$2301," ",0,1)</f>
        <v>1889.4492</v>
      </c>
      <c r="Z307">
        <f>SQRT(($M$306-$M$303)^2+($N$306-$N$303)^2)</f>
        <v>2073.1460006635175</v>
      </c>
    </row>
    <row r="308" spans="1:28">
      <c r="A308" t="s">
        <v>797</v>
      </c>
      <c r="B308" t="s">
        <v>3811</v>
      </c>
      <c r="C308" t="s">
        <v>1152</v>
      </c>
      <c r="D308" t="s">
        <v>1152</v>
      </c>
      <c r="E308" t="s">
        <v>804</v>
      </c>
      <c r="F308" t="s">
        <v>1975</v>
      </c>
      <c r="G308" t="s">
        <v>1975</v>
      </c>
      <c r="I308">
        <f>_xlfn.XLOOKUP($F308,設計座標!$E$13:$E$2301,設計座標!$G$13:$G$2301,"n/a",0,1)</f>
        <v>57.798052479310016</v>
      </c>
      <c r="J308">
        <f>_xlfn.XLOOKUP($F308,設計座標!$E$13:$E$2301,設計座標!$H$13:$H$2301,"n/a",0,1)</f>
        <v>0</v>
      </c>
      <c r="K308">
        <f>_xlfn.XLOOKUP($F308,設計座標!$E$13:$E$2301,設計座標!$I$13:$I$2301,"n/a",0,1)</f>
        <v>50395.998878929997</v>
      </c>
      <c r="L308">
        <f>_xlfn.XLOOKUP($F308,設計座標!$E$13:$E$2301,設計座標!$J$13:$J$2301,"n/a",0,1)</f>
        <v>-270</v>
      </c>
      <c r="M308" s="2">
        <f t="shared" si="217"/>
        <v>-0.12060678929121901</v>
      </c>
      <c r="N308" s="2">
        <f t="shared" si="218"/>
        <v>50395.998878929997</v>
      </c>
      <c r="O308" s="23">
        <f t="shared" si="219"/>
        <v>-266.38282090021761</v>
      </c>
      <c r="P308" s="1">
        <f t="shared" si="224"/>
        <v>-270.09629358992731</v>
      </c>
      <c r="Q308" s="1">
        <f t="shared" si="242"/>
        <v>-0.12060678929121901</v>
      </c>
      <c r="R308">
        <f t="shared" si="238"/>
        <v>0</v>
      </c>
      <c r="S308" s="23">
        <f t="shared" si="241"/>
        <v>3.6171790997823767</v>
      </c>
      <c r="T308">
        <f>$S308+測地線補正!$Q$3*(lattice!$N308/1000)^3+測地線補正!$P$3*(lattice!$N308/1000)^2+測地線補正!$O$3*(lattice!$N308/1000)+測地線補正!$N$3</f>
        <v>-9.6293589927326589E-2</v>
      </c>
      <c r="U308">
        <v>0</v>
      </c>
      <c r="V308">
        <v>0</v>
      </c>
      <c r="W308">
        <v>0</v>
      </c>
      <c r="X308">
        <f>SQRT(($M$308-$M$307)^2+($N$308-$N$307)^2)</f>
        <v>233.39290007469705</v>
      </c>
      <c r="Y308">
        <f>_xlfn.XLOOKUP($F308,設計座標!$E$13:$E$2301,設計座標!$L$13:$L$2301," ",0,1)</f>
        <v>0</v>
      </c>
      <c r="Z308">
        <f>SQRT(($M$308-$M$306)^2+($N$308-$N$306)^2)</f>
        <v>1178.1175003770607</v>
      </c>
    </row>
    <row r="309" spans="1:28">
      <c r="A309" t="s">
        <v>797</v>
      </c>
      <c r="B309" t="s">
        <v>3811</v>
      </c>
      <c r="C309" t="s">
        <v>804</v>
      </c>
      <c r="D309" t="s">
        <v>1152</v>
      </c>
      <c r="E309" t="s">
        <v>804</v>
      </c>
      <c r="F309" t="s">
        <v>1438</v>
      </c>
      <c r="G309" t="s">
        <v>2407</v>
      </c>
      <c r="I309">
        <f>_xlfn.XLOOKUP($F309,設計座標!$E$13:$E$2301,設計座標!$G$13:$G$2301,"n/a",0,1)</f>
        <v>57.932052379310015</v>
      </c>
      <c r="J309">
        <f>_xlfn.XLOOKUP($F309,設計座標!$E$13:$E$2301,設計座標!$H$13:$H$2301,"n/a",0,1)</f>
        <v>0</v>
      </c>
      <c r="K309">
        <f>_xlfn.XLOOKUP($F309,設計座標!$E$13:$E$2301,設計座標!$I$13:$I$2301,"n/a",0,1)</f>
        <v>50529.998778929992</v>
      </c>
      <c r="L309">
        <f>_xlfn.XLOOKUP($F309,設計座標!$E$13:$E$2301,設計座標!$J$13:$J$2301,"n/a",0,1)</f>
        <v>-270</v>
      </c>
      <c r="M309" s="2">
        <f t="shared" si="217"/>
        <v>-0.11721654823585242</v>
      </c>
      <c r="N309" s="2">
        <f t="shared" si="218"/>
        <v>50529.998778929992</v>
      </c>
      <c r="O309" s="23">
        <f t="shared" si="219"/>
        <v>-266.37296987642281</v>
      </c>
      <c r="P309" s="1">
        <f t="shared" si="224"/>
        <v>-270.09535618466077</v>
      </c>
      <c r="Q309" s="1">
        <f t="shared" si="242"/>
        <v>-0.11721654823585242</v>
      </c>
      <c r="R309">
        <f t="shared" si="238"/>
        <v>0</v>
      </c>
      <c r="S309" s="23">
        <f t="shared" si="241"/>
        <v>3.627030123577172</v>
      </c>
      <c r="T309">
        <f>$S309+測地線補正!$Q$3*(lattice!$N309/1000)^3+測地線補正!$P$3*(lattice!$N309/1000)^2+測地線補正!$O$3*(lattice!$N309/1000)+測地線補正!$N$3</f>
        <v>-9.535618466075832E-2</v>
      </c>
      <c r="U309">
        <f>ATAN(($P$313-$P$309)/ABS($N$313-$N$309))</f>
        <v>6.8644618250662405E-6</v>
      </c>
      <c r="V309">
        <v>0</v>
      </c>
      <c r="W309">
        <f>-ATAN(($M$313-$M$309)/ABS($N$313-$N$309))</f>
        <v>-2.5300325258775136E-5</v>
      </c>
      <c r="X309">
        <f>SQRT(($M$309-$M$308)^2+($N$309-$N$308)^2)</f>
        <v>133.99990004288236</v>
      </c>
      <c r="Y309">
        <f>_xlfn.XLOOKUP($F309,設計座標!$E$13:$E$2301,設計座標!$L$13:$L$2301," ",0,1)</f>
        <v>1889.4492</v>
      </c>
      <c r="Z309">
        <f>SQRT(($M$312-$M$310)^2+($N$312-$N$310)^2)</f>
        <v>311.22450009960505</v>
      </c>
    </row>
    <row r="310" spans="1:28">
      <c r="A310" t="s">
        <v>797</v>
      </c>
      <c r="B310" t="s">
        <v>3811</v>
      </c>
      <c r="C310" t="s">
        <v>3855</v>
      </c>
      <c r="D310" t="s">
        <v>1152</v>
      </c>
      <c r="E310" t="s">
        <v>804</v>
      </c>
      <c r="F310" t="s">
        <v>2226</v>
      </c>
      <c r="G310" t="s">
        <v>2226</v>
      </c>
      <c r="I310">
        <f>_xlfn.XLOOKUP($F310,設計座標!$E$13:$E$2301,設計座標!$G$13:$G$2301,"n/a",0,1)</f>
        <v>58.565552479310014</v>
      </c>
      <c r="J310">
        <f>_xlfn.XLOOKUP($F310,設計座標!$E$13:$E$2301,設計座標!$H$13:$H$2301,"n/a",0,1)</f>
        <v>0</v>
      </c>
      <c r="K310">
        <f>_xlfn.XLOOKUP($F310,設計座標!$E$13:$E$2301,設計座標!$I$13:$I$2301,"n/a",0,1)</f>
        <v>51163.498878929997</v>
      </c>
      <c r="L310">
        <f>_xlfn.XLOOKUP($F310,設計座標!$E$13:$E$2301,設計座標!$J$13:$J$2301,"n/a",0,1)</f>
        <v>-270</v>
      </c>
      <c r="M310" s="2">
        <f t="shared" si="217"/>
        <v>-0.10118878965096589</v>
      </c>
      <c r="N310" s="2">
        <f t="shared" si="218"/>
        <v>51163.498878929997</v>
      </c>
      <c r="O310" s="23">
        <f t="shared" si="219"/>
        <v>-266.32639801659974</v>
      </c>
      <c r="P310" s="1">
        <f t="shared" si="224"/>
        <v>-270.09095346399783</v>
      </c>
      <c r="Q310" s="1">
        <f t="shared" si="242"/>
        <v>-0.10118878965096589</v>
      </c>
      <c r="R310">
        <f t="shared" si="238"/>
        <v>0</v>
      </c>
      <c r="S310" s="23">
        <f t="shared" si="241"/>
        <v>3.673601983400244</v>
      </c>
      <c r="T310">
        <f>$S310+測地線補正!$Q$3*(lattice!$N310/1000)^3+測地線補正!$P$3*(lattice!$N310/1000)^2+測地線補正!$O$3*(lattice!$N310/1000)+測地線補正!$N$3</f>
        <v>-9.0953463997816758E-2</v>
      </c>
      <c r="U310">
        <f t="shared" ref="U310:U311" si="249">ATAN(($P$313-$P$309)/ABS($N$313-$N$309))</f>
        <v>6.8644618250662405E-6</v>
      </c>
      <c r="V310">
        <v>0</v>
      </c>
      <c r="W310">
        <f t="shared" ref="W310:W311" si="250">-ATAN(($M$313-$M$309)/ABS($N$313-$N$309))</f>
        <v>-2.5300325258775136E-5</v>
      </c>
      <c r="X310" t="s">
        <v>3860</v>
      </c>
      <c r="Y310">
        <f>_xlfn.XLOOKUP($F310,設計座標!$E$13:$E$2301,設計座標!$L$13:$L$2301," ",0,1)</f>
        <v>1000</v>
      </c>
      <c r="Z310">
        <f>SQRT(($M$310-$M$308)^2+($N$310-$N$308)^2)</f>
        <v>767.50000024564088</v>
      </c>
      <c r="AA310">
        <f>_xlfn.XLOOKUP($G310,magnet_list!$A$2:$A$592,magnet_list!$AJ$2:$AJ$592,"n/a",0,1)</f>
        <v>0.95010000000000006</v>
      </c>
      <c r="AB310">
        <f>_xlfn.XLOOKUP($G310,magnet_list!$A$2:$A$592,magnet_list!$L$2:$L$592,"n/a",0,1)</f>
        <v>120</v>
      </c>
    </row>
    <row r="311" spans="1:28">
      <c r="A311" t="s">
        <v>797</v>
      </c>
      <c r="B311" t="s">
        <v>3811</v>
      </c>
      <c r="C311" t="s">
        <v>3855</v>
      </c>
      <c r="D311" t="s">
        <v>1152</v>
      </c>
      <c r="E311" t="s">
        <v>804</v>
      </c>
      <c r="F311" t="s">
        <v>2227</v>
      </c>
      <c r="G311" t="s">
        <v>2227</v>
      </c>
      <c r="I311">
        <f>_xlfn.XLOOKUP($F311,設計座標!$E$13:$E$2301,設計座標!$G$13:$G$2301,"n/a",0,1)</f>
        <v>58.565552479310014</v>
      </c>
      <c r="J311">
        <f>_xlfn.XLOOKUP($F311,設計座標!$E$13:$E$2301,設計座標!$H$13:$H$2301,"n/a",0,1)</f>
        <v>0</v>
      </c>
      <c r="K311">
        <f>_xlfn.XLOOKUP($F311,設計座標!$E$13:$E$2301,設計座標!$I$13:$I$2301,"n/a",0,1)</f>
        <v>51163.498878929997</v>
      </c>
      <c r="L311">
        <f>_xlfn.XLOOKUP($F311,設計座標!$E$13:$E$2301,設計座標!$J$13:$J$2301,"n/a",0,1)</f>
        <v>-270</v>
      </c>
      <c r="M311" s="2">
        <f t="shared" si="217"/>
        <v>-0.10118878965096589</v>
      </c>
      <c r="N311" s="2">
        <f t="shared" si="218"/>
        <v>51163.498878929997</v>
      </c>
      <c r="O311" s="23">
        <f t="shared" si="219"/>
        <v>-266.32639801659974</v>
      </c>
      <c r="P311" s="1">
        <f t="shared" si="224"/>
        <v>-270.09095346399783</v>
      </c>
      <c r="Q311" s="1">
        <f t="shared" si="242"/>
        <v>-0.10118878965096589</v>
      </c>
      <c r="R311">
        <f t="shared" si="238"/>
        <v>0</v>
      </c>
      <c r="S311" s="23">
        <f t="shared" si="241"/>
        <v>3.673601983400244</v>
      </c>
      <c r="T311">
        <f>$S311+測地線補正!$Q$3*(lattice!$N311/1000)^3+測地線補正!$P$3*(lattice!$N311/1000)^2+測地線補正!$O$3*(lattice!$N311/1000)+測地線補正!$N$3</f>
        <v>-9.0953463997816758E-2</v>
      </c>
      <c r="U311">
        <f t="shared" si="249"/>
        <v>6.8644618250662405E-6</v>
      </c>
      <c r="V311">
        <v>0</v>
      </c>
      <c r="W311">
        <f t="shared" si="250"/>
        <v>-2.5300325258775136E-5</v>
      </c>
      <c r="X311" t="s">
        <v>3860</v>
      </c>
      <c r="Y311">
        <f>_xlfn.XLOOKUP($F311,設計座標!$E$13:$E$2301,設計座標!$L$13:$L$2301," ",0,1)</f>
        <v>1000</v>
      </c>
      <c r="Z311">
        <f>SQRT(($M$310-$M$308)^2+($N$310-$N$308)^2)</f>
        <v>767.50000024564088</v>
      </c>
      <c r="AA311">
        <f>_xlfn.XLOOKUP($G311,magnet_list!$A$2:$A$592,magnet_list!$AJ$2:$AJ$592,"n/a",0,1)</f>
        <v>0.95010000000000006</v>
      </c>
      <c r="AB311">
        <f>_xlfn.XLOOKUP($G311,magnet_list!$A$2:$A$592,magnet_list!$L$2:$L$592,"n/a",0,1)</f>
        <v>120</v>
      </c>
    </row>
    <row r="312" spans="1:28">
      <c r="A312" t="s">
        <v>797</v>
      </c>
      <c r="B312" t="s">
        <v>3811</v>
      </c>
      <c r="C312" t="s">
        <v>804</v>
      </c>
      <c r="D312" t="s">
        <v>1152</v>
      </c>
      <c r="E312" t="s">
        <v>804</v>
      </c>
      <c r="F312" t="s">
        <v>1281</v>
      </c>
      <c r="G312" t="s">
        <v>2407</v>
      </c>
      <c r="I312">
        <f>_xlfn.XLOOKUP($F312,設計座標!$E$13:$E$2301,設計座標!$G$13:$G$2301,"n/a",0,1)</f>
        <v>58.876776979310016</v>
      </c>
      <c r="J312">
        <f>_xlfn.XLOOKUP($F312,設計座標!$E$13:$E$2301,設計座標!$H$13:$H$2301,"n/a",0,1)</f>
        <v>0</v>
      </c>
      <c r="K312">
        <f>_xlfn.XLOOKUP($F312,設計座標!$E$13:$E$2301,設計座標!$I$13:$I$2301,"n/a",0,1)</f>
        <v>51474.723378929993</v>
      </c>
      <c r="L312">
        <f>_xlfn.XLOOKUP($F312,設計座標!$E$13:$E$2301,設計座標!$J$13:$J$2301,"n/a",0,1)</f>
        <v>-270</v>
      </c>
      <c r="M312" s="2">
        <f t="shared" si="217"/>
        <v>-9.3314708570786248E-2</v>
      </c>
      <c r="N312" s="2">
        <f t="shared" si="218"/>
        <v>51474.723378929993</v>
      </c>
      <c r="O312" s="23">
        <f t="shared" si="219"/>
        <v>-266.30351829836843</v>
      </c>
      <c r="P312" s="1">
        <f t="shared" si="224"/>
        <v>-270.08880933981487</v>
      </c>
      <c r="Q312" s="1">
        <f t="shared" si="242"/>
        <v>-9.3314708570786248E-2</v>
      </c>
      <c r="R312">
        <f t="shared" si="238"/>
        <v>0</v>
      </c>
      <c r="S312" s="23">
        <f t="shared" si="241"/>
        <v>3.6964817016315519</v>
      </c>
      <c r="T312">
        <f>$S312+測地線補正!$Q$3*(lattice!$N312/1000)^3+測地線補正!$P$3*(lattice!$N312/1000)^2+測地線補正!$O$3*(lattice!$N312/1000)+測地線補正!$N$3</f>
        <v>-8.8809339814858251E-2</v>
      </c>
      <c r="U312">
        <f t="shared" ref="U312:U313" si="251">ATAN(($P$313-$P$309)/ABS($N$313-$N$309))</f>
        <v>6.8644618250662405E-6</v>
      </c>
      <c r="V312">
        <v>0</v>
      </c>
      <c r="W312">
        <f t="shared" ref="W312:W313" si="252">-ATAN(($M$313-$M$309)/ABS($N$313-$N$309))</f>
        <v>-2.5300325258775136E-5</v>
      </c>
      <c r="X312" t="s">
        <v>3860</v>
      </c>
      <c r="Y312">
        <f>_xlfn.XLOOKUP($F312,設計座標!$E$13:$E$2301,設計座標!$L$13:$L$2301," ",0,1)</f>
        <v>1889.4492</v>
      </c>
      <c r="Z312">
        <f>SQRT(($M$312-$M$310)^2+($N$312-$N$310)^2)</f>
        <v>311.22450009960505</v>
      </c>
    </row>
    <row r="313" spans="1:28">
      <c r="A313" t="s">
        <v>797</v>
      </c>
      <c r="B313" t="s">
        <v>3811</v>
      </c>
      <c r="C313" t="s">
        <v>804</v>
      </c>
      <c r="D313" t="s">
        <v>1152</v>
      </c>
      <c r="E313" t="s">
        <v>804</v>
      </c>
      <c r="F313" t="s">
        <v>1439</v>
      </c>
      <c r="G313" t="s">
        <v>2407</v>
      </c>
      <c r="I313">
        <f>_xlfn.XLOOKUP($F313,設計座標!$E$13:$E$2301,設計座標!$G$13:$G$2301,"n/a",0,1)</f>
        <v>59.821501579310016</v>
      </c>
      <c r="J313">
        <f>_xlfn.XLOOKUP($F313,設計座標!$E$13:$E$2301,設計座標!$H$13:$H$2301,"n/a",0,1)</f>
        <v>0</v>
      </c>
      <c r="K313">
        <f>_xlfn.XLOOKUP($F313,設計座標!$E$13:$E$2301,設計座標!$I$13:$I$2301,"n/a",0,1)</f>
        <v>52419.447978929995</v>
      </c>
      <c r="L313">
        <f>_xlfn.XLOOKUP($F313,設計座標!$E$13:$E$2301,設計座標!$J$13:$J$2301,"n/a",0,1)</f>
        <v>-270</v>
      </c>
      <c r="M313" s="2">
        <f t="shared" si="217"/>
        <v>-6.9412868905720071E-2</v>
      </c>
      <c r="N313" s="2">
        <f t="shared" si="218"/>
        <v>52419.447978929995</v>
      </c>
      <c r="O313" s="23">
        <f t="shared" si="219"/>
        <v>-266.23406672031405</v>
      </c>
      <c r="P313" s="1">
        <f t="shared" si="224"/>
        <v>-270.08238613275677</v>
      </c>
      <c r="Q313" s="1">
        <f t="shared" si="242"/>
        <v>-6.9412868905720071E-2</v>
      </c>
      <c r="R313">
        <f t="shared" si="238"/>
        <v>0</v>
      </c>
      <c r="S313" s="23">
        <f t="shared" si="241"/>
        <v>3.7659332796859317</v>
      </c>
      <c r="T313">
        <f>$S313+測地線補正!$Q$3*(lattice!$N313/1000)^3+測地線補正!$P$3*(lattice!$N313/1000)^2+測地線補正!$O$3*(lattice!$N313/1000)+測地線補正!$N$3</f>
        <v>-8.2386132756771285E-2</v>
      </c>
      <c r="U313">
        <f t="shared" si="251"/>
        <v>6.8644618250662405E-6</v>
      </c>
      <c r="V313">
        <v>0</v>
      </c>
      <c r="W313">
        <f t="shared" si="252"/>
        <v>-2.5300325258775136E-5</v>
      </c>
      <c r="X313" t="s">
        <v>3860</v>
      </c>
      <c r="Y313">
        <f>_xlfn.XLOOKUP($F313,設計座標!$E$13:$E$2301,設計座標!$L$13:$L$2301," ",0,1)</f>
        <v>1889.4492</v>
      </c>
      <c r="Z313">
        <f>SQRT(($M$312-$M$310)^2+($N$312-$N$310)^2)</f>
        <v>311.22450009960505</v>
      </c>
    </row>
    <row r="314" spans="1:28">
      <c r="A314" t="s">
        <v>797</v>
      </c>
      <c r="B314" t="s">
        <v>3811</v>
      </c>
      <c r="C314" t="s">
        <v>804</v>
      </c>
      <c r="D314" t="s">
        <v>1152</v>
      </c>
      <c r="E314" t="s">
        <v>804</v>
      </c>
      <c r="F314" t="s">
        <v>1440</v>
      </c>
      <c r="G314" t="s">
        <v>2408</v>
      </c>
      <c r="I314">
        <f>_xlfn.XLOOKUP($F314,設計座標!$E$13:$E$2301,設計座標!$G$13:$G$2301,"n/a",0,1)</f>
        <v>60.005198379310016</v>
      </c>
      <c r="J314">
        <f>_xlfn.XLOOKUP($F314,設計座標!$E$13:$E$2301,設計座標!$H$13:$H$2301,"n/a",0,1)</f>
        <v>0</v>
      </c>
      <c r="K314">
        <f>_xlfn.XLOOKUP($F314,設計座標!$E$13:$E$2301,設計座標!$I$13:$I$2301,"n/a",0,1)</f>
        <v>52603.144778929993</v>
      </c>
      <c r="L314">
        <f>_xlfn.XLOOKUP($F314,設計座標!$E$13:$E$2301,設計座標!$J$13:$J$2301,"n/a",0,1)</f>
        <v>-270</v>
      </c>
      <c r="M314" s="2">
        <f t="shared" si="217"/>
        <v>-6.4765280115732321E-2</v>
      </c>
      <c r="N314" s="2">
        <f t="shared" si="218"/>
        <v>52603.144778929993</v>
      </c>
      <c r="O314" s="23">
        <f t="shared" si="219"/>
        <v>-266.22056222107318</v>
      </c>
      <c r="P314" s="1">
        <f t="shared" si="224"/>
        <v>-270.08115331249883</v>
      </c>
      <c r="Q314" s="1">
        <f t="shared" si="242"/>
        <v>-6.4765280115732321E-2</v>
      </c>
      <c r="R314">
        <f t="shared" si="238"/>
        <v>0</v>
      </c>
      <c r="S314" s="23">
        <f t="shared" si="241"/>
        <v>3.7794377789268108</v>
      </c>
      <c r="T314">
        <f>$S314+測地線補正!$Q$3*(lattice!$N314/1000)^3+測地線補正!$P$3*(lattice!$N314/1000)^2+測地線補正!$O$3*(lattice!$N314/1000)+測地線補正!$N$3</f>
        <v>-8.1153312498839586E-2</v>
      </c>
      <c r="U314">
        <f>ATAN(($P$316-$P$314)/ABS($N$316-$N$314))</f>
        <v>6.5238222495175463E-6</v>
      </c>
      <c r="V314">
        <v>0</v>
      </c>
      <c r="W314">
        <f>-ATAN(($M$316-$M$314)/ABS($N$316-$N$314))</f>
        <v>-2.5300325258775136E-5</v>
      </c>
      <c r="X314">
        <f>SQRT(($M$314-$M$313)^2+($N$314-$N$313)^2)</f>
        <v>183.69680005879064</v>
      </c>
      <c r="Y314">
        <f>_xlfn.XLOOKUP($F314,設計座標!$E$13:$E$2301,設計座標!$L$13:$L$2301," ",0,1)</f>
        <v>1889.4492</v>
      </c>
      <c r="Z314">
        <f>SQRT(($M$315-$M$312)^2+($N$315-$N$312)^2)</f>
        <v>2073.1460006635175</v>
      </c>
    </row>
    <row r="315" spans="1:28">
      <c r="A315" t="s">
        <v>797</v>
      </c>
      <c r="B315" t="s">
        <v>3811</v>
      </c>
      <c r="C315" t="s">
        <v>804</v>
      </c>
      <c r="D315" t="s">
        <v>1152</v>
      </c>
      <c r="E315" t="s">
        <v>804</v>
      </c>
      <c r="F315" t="s">
        <v>1335</v>
      </c>
      <c r="G315" t="s">
        <v>2408</v>
      </c>
      <c r="I315">
        <f>_xlfn.XLOOKUP($F315,設計座標!$E$13:$E$2301,設計座標!$G$13:$G$2301,"n/a",0,1)</f>
        <v>60.949922979310017</v>
      </c>
      <c r="J315">
        <f>_xlfn.XLOOKUP($F315,設計座標!$E$13:$E$2301,設計座標!$H$13:$H$2301,"n/a",0,1)</f>
        <v>0</v>
      </c>
      <c r="K315">
        <f>_xlfn.XLOOKUP($F315,設計座標!$E$13:$E$2301,設計座標!$I$13:$I$2301,"n/a",0,1)</f>
        <v>53547.869378929994</v>
      </c>
      <c r="L315">
        <f>_xlfn.XLOOKUP($F315,設計座標!$E$13:$E$2301,設計座標!$J$13:$J$2301,"n/a",0,1)</f>
        <v>-270</v>
      </c>
      <c r="M315" s="2">
        <f t="shared" si="217"/>
        <v>-4.0863440450666144E-2</v>
      </c>
      <c r="N315" s="2">
        <f t="shared" si="218"/>
        <v>53547.869378929994</v>
      </c>
      <c r="O315" s="23">
        <f t="shared" si="219"/>
        <v>-266.1511106430188</v>
      </c>
      <c r="P315" s="1">
        <f t="shared" si="224"/>
        <v>-270.07490526818992</v>
      </c>
      <c r="Q315" s="1">
        <f t="shared" si="242"/>
        <v>-4.0863440450666144E-2</v>
      </c>
      <c r="R315">
        <f t="shared" si="238"/>
        <v>0</v>
      </c>
      <c r="S315" s="23">
        <f t="shared" si="241"/>
        <v>3.8488893569811902</v>
      </c>
      <c r="T315">
        <f>$S315+測地線補正!$Q$3*(lattice!$N315/1000)^3+測地線補正!$P$3*(lattice!$N315/1000)^2+測地線補正!$O$3*(lattice!$N315/1000)+測地線補正!$N$3</f>
        <v>-7.4905268189949442E-2</v>
      </c>
      <c r="U315">
        <f t="shared" ref="U315:U316" si="253">ATAN(($P$316-$P$314)/ABS($N$316-$N$314))</f>
        <v>6.5238222495175463E-6</v>
      </c>
      <c r="V315">
        <v>0</v>
      </c>
      <c r="W315">
        <f t="shared" ref="W315:W316" si="254">-ATAN(($M$316-$M$314)/ABS($N$316-$N$314))</f>
        <v>-2.5300325258775136E-5</v>
      </c>
      <c r="X315" t="s">
        <v>3860</v>
      </c>
      <c r="Y315">
        <f>_xlfn.XLOOKUP($F315,設計座標!$E$13:$E$2301,設計座標!$L$13:$L$2301," ",0,1)</f>
        <v>1889.4492</v>
      </c>
      <c r="Z315">
        <f>SQRT(($M$315-$M$312)^2+($N$315-$N$312)^2)</f>
        <v>2073.1460006635175</v>
      </c>
    </row>
    <row r="316" spans="1:28">
      <c r="A316" t="s">
        <v>797</v>
      </c>
      <c r="B316" t="s">
        <v>3811</v>
      </c>
      <c r="C316" t="s">
        <v>804</v>
      </c>
      <c r="D316" t="s">
        <v>1152</v>
      </c>
      <c r="E316" t="s">
        <v>804</v>
      </c>
      <c r="F316" t="s">
        <v>1441</v>
      </c>
      <c r="G316" t="s">
        <v>2408</v>
      </c>
      <c r="I316">
        <f>_xlfn.XLOOKUP($F316,設計座標!$E$13:$E$2301,設計座標!$G$13:$G$2301,"n/a",0,1)</f>
        <v>61.894647579310018</v>
      </c>
      <c r="J316">
        <f>_xlfn.XLOOKUP($F316,設計座標!$E$13:$E$2301,設計座標!$H$13:$H$2301,"n/a",0,1)</f>
        <v>0</v>
      </c>
      <c r="K316">
        <f>_xlfn.XLOOKUP($F316,設計座標!$E$13:$E$2301,設計座標!$I$13:$I$2301,"n/a",0,1)</f>
        <v>54492.593978929996</v>
      </c>
      <c r="L316">
        <f>_xlfn.XLOOKUP($F316,設計座標!$E$13:$E$2301,設計座標!$J$13:$J$2301,"n/a",0,1)</f>
        <v>-270</v>
      </c>
      <c r="M316" s="2">
        <f t="shared" si="217"/>
        <v>-1.6961600785599967E-2</v>
      </c>
      <c r="N316" s="2">
        <f t="shared" si="218"/>
        <v>54492.593978929996</v>
      </c>
      <c r="O316" s="23">
        <f t="shared" si="219"/>
        <v>-266.08165906496441</v>
      </c>
      <c r="P316" s="1">
        <f t="shared" si="224"/>
        <v>-270.06882688176836</v>
      </c>
      <c r="Q316" s="1">
        <f t="shared" si="242"/>
        <v>-1.6961600785599967E-2</v>
      </c>
      <c r="R316">
        <f t="shared" si="238"/>
        <v>0</v>
      </c>
      <c r="S316" s="23">
        <f t="shared" si="241"/>
        <v>3.91834093503557</v>
      </c>
      <c r="T316">
        <f>$S316+測地線補正!$Q$3*(lattice!$N316/1000)^3+測地線補正!$P$3*(lattice!$N316/1000)^2+測地線補正!$O$3*(lattice!$N316/1000)+測地線補正!$N$3</f>
        <v>-6.8826881768374232E-2</v>
      </c>
      <c r="U316">
        <f t="shared" si="253"/>
        <v>6.5238222495175463E-6</v>
      </c>
      <c r="V316">
        <v>0</v>
      </c>
      <c r="W316">
        <f t="shared" si="254"/>
        <v>-2.5300325258775136E-5</v>
      </c>
      <c r="X316" t="s">
        <v>3860</v>
      </c>
      <c r="Y316">
        <f>_xlfn.XLOOKUP($F316,設計座標!$E$13:$E$2301,設計座標!$L$13:$L$2301," ",0,1)</f>
        <v>1889.4492</v>
      </c>
      <c r="Z316">
        <f>SQRT(($M$315-$M$312)^2+($N$315-$N$312)^2)</f>
        <v>2073.1460006635175</v>
      </c>
    </row>
    <row r="317" spans="1:28">
      <c r="A317" t="s">
        <v>797</v>
      </c>
      <c r="B317" t="s">
        <v>3811</v>
      </c>
      <c r="C317" t="s">
        <v>1152</v>
      </c>
      <c r="D317" t="s">
        <v>1152</v>
      </c>
      <c r="E317" t="s">
        <v>804</v>
      </c>
      <c r="F317" t="s">
        <v>1976</v>
      </c>
      <c r="G317" t="s">
        <v>1976</v>
      </c>
      <c r="I317">
        <f>_xlfn.XLOOKUP($F317,設計座標!$E$13:$E$2301,設計座標!$G$13:$G$2301,"n/a",0,1)</f>
        <v>62.028647479310017</v>
      </c>
      <c r="J317">
        <f>_xlfn.XLOOKUP($F317,設計座標!$E$13:$E$2301,設計座標!$H$13:$H$2301,"n/a",0,1)</f>
        <v>0</v>
      </c>
      <c r="K317">
        <f>_xlfn.XLOOKUP($F317,設計座標!$E$13:$E$2301,設計座標!$I$13:$I$2301,"n/a",0,1)</f>
        <v>54626.593878929991</v>
      </c>
      <c r="L317">
        <f>_xlfn.XLOOKUP($F317,設計座標!$E$13:$E$2301,設計座標!$J$13:$J$2301,"n/a",0,1)</f>
        <v>-270</v>
      </c>
      <c r="M317" s="2">
        <f t="shared" si="217"/>
        <v>-1.3571359730233379E-2</v>
      </c>
      <c r="N317" s="2">
        <f t="shared" si="218"/>
        <v>54626.593878929991</v>
      </c>
      <c r="O317" s="23">
        <f t="shared" si="219"/>
        <v>-266.07180804116962</v>
      </c>
      <c r="P317" s="1">
        <f t="shared" si="224"/>
        <v>-270.06797967363417</v>
      </c>
      <c r="Q317" s="1">
        <f t="shared" si="242"/>
        <v>-1.3571359730233379E-2</v>
      </c>
      <c r="R317">
        <f t="shared" si="238"/>
        <v>0</v>
      </c>
      <c r="S317" s="23">
        <f t="shared" si="241"/>
        <v>3.9281919588303658</v>
      </c>
      <c r="T317">
        <f>$S317+測地線補正!$Q$3*(lattice!$N317/1000)^3+測地線補正!$P$3*(lattice!$N317/1000)^2+測地線補正!$O$3*(lattice!$N317/1000)+測地線補正!$N$3</f>
        <v>-6.7979673634187637E-2</v>
      </c>
      <c r="U317">
        <v>0</v>
      </c>
      <c r="V317">
        <v>0</v>
      </c>
      <c r="W317">
        <v>0</v>
      </c>
      <c r="X317">
        <f>SQRT(($M$317-$M$316)^2+($N$317-$N$316)^2)</f>
        <v>133.99990004288236</v>
      </c>
      <c r="Y317">
        <f>_xlfn.XLOOKUP($F317,設計座標!$E$13:$E$2301,設計座標!$L$13:$L$2301," ",0,1)</f>
        <v>0</v>
      </c>
      <c r="Z317">
        <f>SQRT(($M$317-$M$315)^2+($N$317-$N$315)^2)</f>
        <v>1078.7245003452458</v>
      </c>
    </row>
    <row r="318" spans="1:28">
      <c r="A318" t="s">
        <v>797</v>
      </c>
      <c r="B318" t="s">
        <v>3811</v>
      </c>
      <c r="C318" t="s">
        <v>805</v>
      </c>
      <c r="D318" t="s">
        <v>806</v>
      </c>
      <c r="F318" t="s">
        <v>37</v>
      </c>
      <c r="G318" t="s">
        <v>2409</v>
      </c>
      <c r="I318">
        <f>_xlfn.XLOOKUP($F318,設計座標!$E$13:$E$2301,設計座標!$G$13:$G$2301,"n/a",0,1)</f>
        <v>62.204787496630026</v>
      </c>
      <c r="J318">
        <f>_xlfn.XLOOKUP($F318,設計座標!$E$13:$E$2301,設計座標!$H$13:$H$2301,"n/a",0,1)</f>
        <v>0</v>
      </c>
      <c r="K318">
        <f>_xlfn.XLOOKUP($F318,設計座標!$E$13:$E$2301,設計座標!$I$13:$I$2301,"n/a",0,1)</f>
        <v>54802.73389625</v>
      </c>
      <c r="L318">
        <f>_xlfn.XLOOKUP($F318,設計座標!$E$13:$E$2301,設計座標!$J$13:$J$2301,"n/a",0,1)</f>
        <v>-60</v>
      </c>
      <c r="M318" s="2">
        <f>_xlfn.XLOOKUP($F318,survey_data!$A$2:$A$833,survey_data!$B$2:$B$833,"n/a",0,1)</f>
        <v>-9.1149600000000001E-3</v>
      </c>
      <c r="N318" s="2">
        <f>_xlfn.XLOOKUP($F318,survey_data!$A$2:$A$833,survey_data!$C$2:$C$833,"n/a",0,1)</f>
        <v>54802.73389625</v>
      </c>
      <c r="O318" s="23">
        <f>_xlfn.XLOOKUP($F318,survey_data!$A$2:$A$833,survey_data!$D$2:$D$833,"n/a",0,1)</f>
        <v>-56.058859079999998</v>
      </c>
      <c r="P318" s="1">
        <f t="shared" si="224"/>
        <v>-60.066871971116448</v>
      </c>
      <c r="Q318" s="1">
        <f t="shared" si="239"/>
        <v>-9.1149600000000001E-3</v>
      </c>
      <c r="R318">
        <f t="shared" si="238"/>
        <v>0</v>
      </c>
      <c r="S318" s="23">
        <f t="shared" si="240"/>
        <v>3.9411409200000023</v>
      </c>
      <c r="T318">
        <f>$S318+測地線補正!$Q$3*(lattice!$N318/1000)^3+測地線補正!$P$3*(lattice!$N318/1000)^2+測地線補正!$O$3*(lattice!$N318/1000)+測地線補正!$N$3</f>
        <v>-6.6871971116445689E-2</v>
      </c>
      <c r="U318">
        <f>ATAN(($P$319-$P$318)/ABS($N$319-$N$318))</f>
        <v>-1.7840940401004962E-4</v>
      </c>
      <c r="V318">
        <v>0</v>
      </c>
      <c r="W318">
        <f>-ATAN(($M$319-$M$318)/ABS($N$319-$N$318))</f>
        <v>-4.7898270569547718E-5</v>
      </c>
      <c r="X318">
        <f>$Z$318-($Y$318+$Y$317)/2</f>
        <v>156.14001741394492</v>
      </c>
      <c r="Y318">
        <f>_xlfn.XLOOKUP($F318,設計座標!$E$13:$E$2301,設計座標!$L$13:$L$2301," ",0,1)</f>
        <v>120</v>
      </c>
      <c r="Z318">
        <f>SQRT(($M$319-$M$317)^2+($N$319-$N$317)^2)</f>
        <v>216.14001741394492</v>
      </c>
      <c r="AA318">
        <f>_xlfn.XLOOKUP($G318,magnet_list!$A$2:$A$592,magnet_list!$AJ$2:$AJ$592,"n/a",0,1)</f>
        <v>0.1333</v>
      </c>
      <c r="AB318">
        <f>_xlfn.XLOOKUP($G318,magnet_list!$A$2:$A$592,magnet_list!$L$2:$L$592,"n/a",0,1)</f>
        <v>23</v>
      </c>
    </row>
    <row r="319" spans="1:28">
      <c r="A319" t="s">
        <v>797</v>
      </c>
      <c r="B319" t="s">
        <v>3811</v>
      </c>
      <c r="C319" t="s">
        <v>805</v>
      </c>
      <c r="D319" t="s">
        <v>1152</v>
      </c>
      <c r="E319" t="s">
        <v>804</v>
      </c>
      <c r="F319" t="s">
        <v>556</v>
      </c>
      <c r="G319" t="s">
        <v>2409</v>
      </c>
      <c r="I319">
        <f>_xlfn.XLOOKUP($F319,設計座標!$E$13:$E$2301,設計座標!$G$13:$G$2301,"n/a",0,1)</f>
        <v>62.244787496630025</v>
      </c>
      <c r="J319">
        <f>_xlfn.XLOOKUP($F319,設計座標!$E$13:$E$2301,設計座標!$H$13:$H$2301,"n/a",0,1)</f>
        <v>0</v>
      </c>
      <c r="K319">
        <f>_xlfn.XLOOKUP($F319,設計座標!$E$13:$E$2301,設計座標!$I$13:$I$2301,"n/a",0,1)</f>
        <v>54842.73389625</v>
      </c>
      <c r="L319">
        <f>_xlfn.XLOOKUP($F319,設計座標!$E$13:$E$2301,設計座標!$J$13:$J$2301,"n/a",0,1)</f>
        <v>-60</v>
      </c>
      <c r="M319" s="2">
        <f t="shared" si="217"/>
        <v>-7.1990291757528871E-3</v>
      </c>
      <c r="N319" s="2">
        <f t="shared" si="218"/>
        <v>54842.73389625</v>
      </c>
      <c r="O319" s="23">
        <f t="shared" si="219"/>
        <v>-56.063305448606251</v>
      </c>
      <c r="P319" s="1">
        <f t="shared" si="224"/>
        <v>-60.074008347352567</v>
      </c>
      <c r="Q319" s="1">
        <f>(Q$320-Q$318)/($N$320-$N$318)*($N319-$N$318)+Q$318</f>
        <v>-7.1990291757528871E-3</v>
      </c>
      <c r="R319">
        <f t="shared" si="238"/>
        <v>0</v>
      </c>
      <c r="S319" s="23">
        <f>(S$320-S$318)/($N$320-$N$318)*($N319-$N$318)+S$318</f>
        <v>3.9366945513937499</v>
      </c>
      <c r="T319">
        <f>$S319+測地線補正!$Q$3*(lattice!$N319/1000)^3+測地線補正!$P$3*(lattice!$N319/1000)^2+測地線補正!$O$3*(lattice!$N319/1000)+測地線補正!$N$3</f>
        <v>-7.4008347352567089E-2</v>
      </c>
      <c r="U319">
        <f>ATAN(($P$319-$P$318)/ABS($N$319-$N$318))</f>
        <v>-1.7840940401004962E-4</v>
      </c>
      <c r="V319">
        <v>0</v>
      </c>
      <c r="W319">
        <f>-ATAN(($M$319-$M$318)/ABS($N$319-$N$318))</f>
        <v>-4.7898270569547718E-5</v>
      </c>
      <c r="X319">
        <f>$Z$318-($Y$318+$Y$317)/2</f>
        <v>156.14001741394492</v>
      </c>
      <c r="Y319">
        <f>_xlfn.XLOOKUP($F319,設計座標!$E$13:$E$2301,設計座標!$L$13:$L$2301," ",0,1)</f>
        <v>120</v>
      </c>
      <c r="Z319">
        <f>SQRT(($M$319-$M$317)^2+($N$319-$N$317)^2)</f>
        <v>216.14001741394492</v>
      </c>
      <c r="AA319">
        <f>_xlfn.XLOOKUP($G319,magnet_list!$A$2:$A$592,magnet_list!$AJ$2:$AJ$592,"n/a",0,1)</f>
        <v>0.1333</v>
      </c>
      <c r="AB319">
        <f>_xlfn.XLOOKUP($G319,magnet_list!$A$2:$A$592,magnet_list!$L$2:$L$592,"n/a",0,1)</f>
        <v>23</v>
      </c>
    </row>
    <row r="320" spans="1:28">
      <c r="A320" t="s">
        <v>797</v>
      </c>
      <c r="B320" t="s">
        <v>3811</v>
      </c>
      <c r="C320" t="s">
        <v>805</v>
      </c>
      <c r="D320" t="s">
        <v>806</v>
      </c>
      <c r="F320" t="s">
        <v>38</v>
      </c>
      <c r="G320" t="s">
        <v>38</v>
      </c>
      <c r="I320">
        <f>_xlfn.XLOOKUP($F320,設計座標!$E$13:$E$2301,設計座標!$G$13:$G$2301,"n/a",0,1)</f>
        <v>62.424094370700026</v>
      </c>
      <c r="J320">
        <f>_xlfn.XLOOKUP($F320,設計座標!$E$13:$E$2301,設計座標!$H$13:$H$2301,"n/a",0,1)</f>
        <v>0</v>
      </c>
      <c r="K320">
        <f>_xlfn.XLOOKUP($F320,設計座標!$E$13:$E$2301,設計座標!$I$13:$I$2301,"n/a",0,1)</f>
        <v>55022.040770320004</v>
      </c>
      <c r="L320">
        <f>_xlfn.XLOOKUP($F320,設計座標!$E$13:$E$2301,設計座標!$J$13:$J$2301,"n/a",0,1)</f>
        <v>-60</v>
      </c>
      <c r="M320" s="2">
        <f>_xlfn.XLOOKUP($F320,survey_data!$A$2:$A$833,survey_data!$B$2:$B$833,"n/a",0,1)</f>
        <v>1.3894599999999999E-3</v>
      </c>
      <c r="N320" s="2">
        <f>_xlfn.XLOOKUP($F320,survey_data!$A$2:$A$833,survey_data!$C$2:$C$833,"n/a",0,1)</f>
        <v>55022.040770320004</v>
      </c>
      <c r="O320" s="23">
        <f>_xlfn.XLOOKUP($F320,survey_data!$A$2:$A$833,survey_data!$D$2:$D$833,"n/a",0,1)</f>
        <v>-56.083237060000002</v>
      </c>
      <c r="P320" s="1">
        <f t="shared" si="224"/>
        <v>-60.106002773665701</v>
      </c>
      <c r="Q320" s="1">
        <f t="shared" si="239"/>
        <v>1.3894599999999999E-3</v>
      </c>
      <c r="R320">
        <f t="shared" si="238"/>
        <v>0</v>
      </c>
      <c r="S320" s="23">
        <f t="shared" si="240"/>
        <v>3.9167629399999981</v>
      </c>
      <c r="T320">
        <f>$S320+測地線補正!$Q$3*(lattice!$N320/1000)^3+測地線補正!$P$3*(lattice!$N320/1000)^2+測地線補正!$O$3*(lattice!$N320/1000)+測地線補正!$N$3</f>
        <v>-0.10600277366570396</v>
      </c>
      <c r="U320">
        <f>ATAN(($P$321-$P$320)/ABS($N$321-$N$320))</f>
        <v>-4.6902124614119383E-5</v>
      </c>
      <c r="V320">
        <v>0</v>
      </c>
      <c r="W320">
        <f>-ATAN(($M$321-$M$320)/ABS($N$321-$N$320))</f>
        <v>1.1841873842725683E-4</v>
      </c>
      <c r="X320">
        <f>$Z$321-($Y$321+$Y$319)/2</f>
        <v>99.306874088951531</v>
      </c>
      <c r="Y320">
        <f>_xlfn.XLOOKUP($F320,設計座標!$E$13:$E$2301,設計座標!$L$13:$L$2301," ",0,1)</f>
        <v>240</v>
      </c>
      <c r="Z320">
        <f>SQRT(($M$321-$M$319)^2+($N$321-$N$319)^2)</f>
        <v>279.30687408895153</v>
      </c>
      <c r="AA320">
        <f>_xlfn.XLOOKUP($G320,magnet_list!$A$2:$A$592,magnet_list!$AJ$2:$AJ$592,"n/a",0,1)</f>
        <v>0.25219999999999998</v>
      </c>
      <c r="AB320">
        <f>_xlfn.XLOOKUP($G320,magnet_list!$A$2:$A$592,magnet_list!$L$2:$L$592,"n/a",0,1)</f>
        <v>23</v>
      </c>
    </row>
    <row r="321" spans="1:28">
      <c r="A321" t="s">
        <v>797</v>
      </c>
      <c r="B321" t="s">
        <v>3811</v>
      </c>
      <c r="C321" t="s">
        <v>805</v>
      </c>
      <c r="D321" t="s">
        <v>1152</v>
      </c>
      <c r="E321" t="s">
        <v>804</v>
      </c>
      <c r="F321" t="s">
        <v>557</v>
      </c>
      <c r="G321" t="s">
        <v>38</v>
      </c>
      <c r="I321">
        <f>_xlfn.XLOOKUP($F321,設計座標!$E$13:$E$2301,設計座標!$G$13:$G$2301,"n/a",0,1)</f>
        <v>62.524094370700027</v>
      </c>
      <c r="J321">
        <f>_xlfn.XLOOKUP($F321,設計座標!$E$13:$E$2301,設計座標!$H$13:$H$2301,"n/a",0,1)</f>
        <v>0</v>
      </c>
      <c r="K321">
        <f>_xlfn.XLOOKUP($F321,設計座標!$E$13:$E$2301,設計座標!$I$13:$I$2301,"n/a",0,1)</f>
        <v>55122.040770320004</v>
      </c>
      <c r="L321">
        <f>_xlfn.XLOOKUP($F321,設計座標!$E$13:$E$2301,設計座標!$J$13:$J$2301,"n/a",0,1)</f>
        <v>-60</v>
      </c>
      <c r="M321" s="2">
        <f t="shared" si="217"/>
        <v>-1.0452413898078539E-2</v>
      </c>
      <c r="N321" s="2">
        <f t="shared" si="218"/>
        <v>55122.040770320004</v>
      </c>
      <c r="O321" s="23">
        <f t="shared" si="219"/>
        <v>-56.081196645597387</v>
      </c>
      <c r="P321" s="1">
        <f t="shared" si="224"/>
        <v>-60.110692986130552</v>
      </c>
      <c r="Q321" s="1">
        <f>(Q$323-Q$320)/($N$323-$N$320)*($N321-$N$320)+Q$320</f>
        <v>-1.0452413898078539E-2</v>
      </c>
      <c r="R321">
        <f t="shared" si="238"/>
        <v>0</v>
      </c>
      <c r="S321" s="23">
        <f t="shared" ref="S321:S322" si="255">(S$323-S$320)/($N$323-$N$320)*($N321-$N$320)+S$320</f>
        <v>3.9188033544026109</v>
      </c>
      <c r="T321">
        <f>$S321+測地線補正!$Q$3*(lattice!$N321/1000)^3+測地線補正!$P$3*(lattice!$N321/1000)^2+測地線補正!$O$3*(lattice!$N321/1000)+測地線補正!$N$3</f>
        <v>-0.11069298613055154</v>
      </c>
      <c r="U321">
        <f>ATAN(($P$321-$P$320)/ABS($N$321-$N$320))</f>
        <v>-4.6902124614119383E-5</v>
      </c>
      <c r="V321">
        <v>0</v>
      </c>
      <c r="W321">
        <f>-ATAN(($M$321-$M$320)/ABS($N$321-$N$320))</f>
        <v>1.1841873842725683E-4</v>
      </c>
      <c r="X321">
        <f>$Z$321-($Y$321+$Y$319)/2</f>
        <v>99.306874088951531</v>
      </c>
      <c r="Y321">
        <f>_xlfn.XLOOKUP($F321,設計座標!$E$13:$E$2301,設計座標!$L$13:$L$2301," ",0,1)</f>
        <v>240</v>
      </c>
      <c r="Z321">
        <f>SQRT(($M$321-$M$319)^2+($N$321-$N$319)^2)</f>
        <v>279.30687408895153</v>
      </c>
      <c r="AA321">
        <f>_xlfn.XLOOKUP($G321,magnet_list!$A$2:$A$592,magnet_list!$AJ$2:$AJ$592,"n/a",0,1)</f>
        <v>0.25219999999999998</v>
      </c>
      <c r="AB321">
        <f>_xlfn.XLOOKUP($G321,magnet_list!$A$2:$A$592,magnet_list!$L$2:$L$592,"n/a",0,1)</f>
        <v>23</v>
      </c>
    </row>
    <row r="322" spans="1:28">
      <c r="A322" t="s">
        <v>797</v>
      </c>
      <c r="B322" t="s">
        <v>3811</v>
      </c>
      <c r="C322" t="s">
        <v>805</v>
      </c>
      <c r="D322" t="s">
        <v>1152</v>
      </c>
      <c r="E322" t="s">
        <v>804</v>
      </c>
      <c r="F322" t="s">
        <v>558</v>
      </c>
      <c r="G322" t="s">
        <v>2409</v>
      </c>
      <c r="I322">
        <f>_xlfn.XLOOKUP($F322,設計座標!$E$13:$E$2301,設計座標!$G$13:$G$2301,"n/a",0,1)</f>
        <v>62.805251954620019</v>
      </c>
      <c r="J322">
        <f>_xlfn.XLOOKUP($F322,設計座標!$E$13:$E$2301,設計座標!$H$13:$H$2301,"n/a",0,1)</f>
        <v>0</v>
      </c>
      <c r="K322">
        <f>_xlfn.XLOOKUP($F322,設計座標!$E$13:$E$2301,設計座標!$I$13:$I$2301,"n/a",0,1)</f>
        <v>55403.198354239998</v>
      </c>
      <c r="L322">
        <f>_xlfn.XLOOKUP($F322,設計座標!$E$13:$E$2301,設計座標!$J$13:$J$2301,"n/a",0,1)</f>
        <v>-60</v>
      </c>
      <c r="M322" s="2">
        <f t="shared" si="217"/>
        <v>-4.3746740440768581E-2</v>
      </c>
      <c r="N322" s="2">
        <f t="shared" si="218"/>
        <v>55403.198354239998</v>
      </c>
      <c r="O322" s="23">
        <f t="shared" si="219"/>
        <v>-56.075459865761047</v>
      </c>
      <c r="P322" s="1">
        <f t="shared" si="224"/>
        <v>-60.123892238179756</v>
      </c>
      <c r="Q322" s="1">
        <f>(Q$323-Q$320)/($N$323-$N$320)*($N322-$N$320)+Q$320</f>
        <v>-4.3746740440768581E-2</v>
      </c>
      <c r="R322">
        <f t="shared" si="238"/>
        <v>0</v>
      </c>
      <c r="S322" s="23">
        <f t="shared" si="255"/>
        <v>3.9245401342389519</v>
      </c>
      <c r="T322">
        <f>$S322+測地線補正!$Q$3*(lattice!$N322/1000)^3+測地線補正!$P$3*(lattice!$N322/1000)^2+測地線補正!$O$3*(lattice!$N322/1000)+測地線補正!$N$3</f>
        <v>-0.12389223817975722</v>
      </c>
      <c r="U322">
        <f>ATAN(($P$323-$P$322)/ABS($N$323-$N$322))</f>
        <v>-4.6983713604365568E-5</v>
      </c>
      <c r="V322">
        <v>0</v>
      </c>
      <c r="W322">
        <f>-ATAN(($M$323-$M$322)/ABS($N$323-$N$322))</f>
        <v>1.1841873842725684E-4</v>
      </c>
      <c r="X322">
        <f>$Z$322-($Y$322+$Y$321)/2</f>
        <v>101.15758589133014</v>
      </c>
      <c r="Y322">
        <f>_xlfn.XLOOKUP($F322,設計座標!$E$13:$E$2301,設計座標!$L$13:$L$2301," ",0,1)</f>
        <v>120</v>
      </c>
      <c r="Z322">
        <f>SQRT(($M$322-$M$321)^2+($N$322-$N$321)^2)</f>
        <v>281.15758589133014</v>
      </c>
      <c r="AA322">
        <f>_xlfn.XLOOKUP($G322,magnet_list!$A$2:$A$592,magnet_list!$AJ$2:$AJ$592,"n/a",0,1)</f>
        <v>0.1333</v>
      </c>
      <c r="AB322">
        <f>_xlfn.XLOOKUP($G322,magnet_list!$A$2:$A$592,magnet_list!$L$2:$L$592,"n/a",0,1)</f>
        <v>23</v>
      </c>
    </row>
    <row r="323" spans="1:28">
      <c r="A323" t="s">
        <v>797</v>
      </c>
      <c r="B323" t="s">
        <v>3811</v>
      </c>
      <c r="C323" t="s">
        <v>805</v>
      </c>
      <c r="D323" t="s">
        <v>806</v>
      </c>
      <c r="F323" t="s">
        <v>39</v>
      </c>
      <c r="G323" t="s">
        <v>2409</v>
      </c>
      <c r="I323">
        <f>_xlfn.XLOOKUP($F323,設計座標!$E$13:$E$2301,設計座標!$G$13:$G$2301,"n/a",0,1)</f>
        <v>62.845251954620018</v>
      </c>
      <c r="J323">
        <f>_xlfn.XLOOKUP($F323,設計座標!$E$13:$E$2301,設計座標!$H$13:$H$2301,"n/a",0,1)</f>
        <v>0</v>
      </c>
      <c r="K323">
        <f>_xlfn.XLOOKUP($F323,設計座標!$E$13:$E$2301,設計座標!$I$13:$I$2301,"n/a",0,1)</f>
        <v>55443.198354239998</v>
      </c>
      <c r="L323">
        <f>_xlfn.XLOOKUP($F323,設計座標!$E$13:$E$2301,設計座標!$J$13:$J$2301,"n/a",0,1)</f>
        <v>-60</v>
      </c>
      <c r="M323" s="2">
        <f>_xlfn.XLOOKUP($F323,survey_data!$A$2:$A$833,survey_data!$B$2:$B$833,"n/a",0,1)</f>
        <v>-4.8483489999999997E-2</v>
      </c>
      <c r="N323" s="2">
        <f>_xlfn.XLOOKUP($F323,survey_data!$A$2:$A$833,survey_data!$C$2:$C$833,"n/a",0,1)</f>
        <v>55443.198354239998</v>
      </c>
      <c r="O323" s="23">
        <f>_xlfn.XLOOKUP($F323,survey_data!$A$2:$A$833,survey_data!$D$2:$D$833,"n/a",0,1)</f>
        <v>-56.074643700000003</v>
      </c>
      <c r="P323" s="1">
        <f t="shared" si="224"/>
        <v>-60.125771586725314</v>
      </c>
      <c r="Q323" s="1">
        <f t="shared" si="239"/>
        <v>-4.8483489999999997E-2</v>
      </c>
      <c r="R323">
        <f t="shared" si="238"/>
        <v>0</v>
      </c>
      <c r="S323" s="23">
        <f t="shared" si="240"/>
        <v>3.9253562999999971</v>
      </c>
      <c r="T323">
        <f>$S323+測地線補正!$Q$3*(lattice!$N323/1000)^3+測地線補正!$P$3*(lattice!$N323/1000)^2+測地線補正!$O$3*(lattice!$N323/1000)+測地線補正!$N$3</f>
        <v>-0.12577158672531738</v>
      </c>
      <c r="U323">
        <f>ATAN(($P$323-$P$322)/ABS($N$323-$N$322))</f>
        <v>-4.6983713604365568E-5</v>
      </c>
      <c r="V323">
        <v>0</v>
      </c>
      <c r="W323">
        <f>-ATAN(($M$323-$M$322)/ABS($N$323-$N$322))</f>
        <v>1.1841873842725684E-4</v>
      </c>
      <c r="X323">
        <f>$Z$322-($Y$322+$Y$321)/2</f>
        <v>101.15758589133014</v>
      </c>
      <c r="Y323">
        <f>_xlfn.XLOOKUP($F323,設計座標!$E$13:$E$2301,設計座標!$L$13:$L$2301," ",0,1)</f>
        <v>120</v>
      </c>
      <c r="Z323">
        <f>SQRT(($M$322-$M$321)^2+($N$322-$N$321)^2)</f>
        <v>281.15758589133014</v>
      </c>
      <c r="AA323">
        <f>_xlfn.XLOOKUP($G323,magnet_list!$A$2:$A$592,magnet_list!$AJ$2:$AJ$592,"n/a",0,1)</f>
        <v>0.1333</v>
      </c>
      <c r="AB323">
        <f>_xlfn.XLOOKUP($G323,magnet_list!$A$2:$A$592,magnet_list!$L$2:$L$592,"n/a",0,1)</f>
        <v>23</v>
      </c>
    </row>
    <row r="324" spans="1:28">
      <c r="A324" t="s">
        <v>797</v>
      </c>
      <c r="B324" t="s">
        <v>3811</v>
      </c>
      <c r="C324" t="s">
        <v>2288</v>
      </c>
      <c r="D324" t="s">
        <v>1152</v>
      </c>
      <c r="E324" t="s">
        <v>804</v>
      </c>
      <c r="F324" t="s">
        <v>2329</v>
      </c>
      <c r="G324" t="s">
        <v>2329</v>
      </c>
      <c r="I324">
        <f>_xlfn.XLOOKUP($F324,設計座標!$E$13:$E$2301,設計座標!$G$13:$G$2301,"n/a",0,1)</f>
        <v>63.158064479310021</v>
      </c>
      <c r="J324">
        <f>_xlfn.XLOOKUP($F324,設計座標!$E$13:$E$2301,設計座標!$H$13:$H$2301,"n/a",0,1)</f>
        <v>0</v>
      </c>
      <c r="K324">
        <f>_xlfn.XLOOKUP($F324,設計座標!$E$13:$E$2301,設計座標!$I$13:$I$2301,"n/a",0,1)</f>
        <v>55756.010878929992</v>
      </c>
      <c r="L324">
        <f>_xlfn.XLOOKUP($F324,設計座標!$E$13:$E$2301,設計座標!$J$13:$J$2301,"n/a",0,1)</f>
        <v>-270</v>
      </c>
      <c r="M324" s="2">
        <f t="shared" si="217"/>
        <v>-3.5225919862035313E-2</v>
      </c>
      <c r="N324" s="2">
        <f t="shared" si="218"/>
        <v>55756.010878929992</v>
      </c>
      <c r="O324" s="23">
        <f t="shared" si="219"/>
        <v>-266.03582536675231</v>
      </c>
      <c r="P324" s="1">
        <f t="shared" si="224"/>
        <v>-270.10804623514196</v>
      </c>
      <c r="Q324" s="1">
        <f>(Q$343-Q$323)/($N$343-$N$323)*($N324-$N$323)+Q$323</f>
        <v>-3.5225919862035313E-2</v>
      </c>
      <c r="R324">
        <f t="shared" si="238"/>
        <v>0</v>
      </c>
      <c r="S324" s="23">
        <f t="shared" ref="S324:S342" si="256">(S$343-S$323)/($N$343-$N$323)*($N324-$N$323)+S$323</f>
        <v>3.9641746332477079</v>
      </c>
      <c r="T324">
        <f>$S324+測地線補正!$Q$3*(lattice!$N324/1000)^3+測地線補正!$P$3*(lattice!$N324/1000)^2+測地線補正!$O$3*(lattice!$N324/1000)+測地線補正!$N$3</f>
        <v>-0.10804623514193942</v>
      </c>
      <c r="U324">
        <v>0</v>
      </c>
      <c r="V324">
        <v>0</v>
      </c>
      <c r="W324">
        <v>0</v>
      </c>
      <c r="X324">
        <f>$Z$324-($Y$324+$Y$323)/2</f>
        <v>292.81252479288815</v>
      </c>
      <c r="Y324">
        <f>_xlfn.XLOOKUP($F324,設計座標!$E$13:$E$2301,設計座標!$L$13:$L$2301," ",0,1)</f>
        <v>0</v>
      </c>
      <c r="Z324">
        <f>SQRT(($M$324-$M$322)^2+($N$324-$N$322)^2)</f>
        <v>352.81252479288815</v>
      </c>
    </row>
    <row r="325" spans="1:28">
      <c r="A325" t="s">
        <v>797</v>
      </c>
      <c r="B325" t="s">
        <v>3811</v>
      </c>
      <c r="C325" t="s">
        <v>804</v>
      </c>
      <c r="D325" t="s">
        <v>1152</v>
      </c>
      <c r="E325" t="s">
        <v>804</v>
      </c>
      <c r="F325" t="s">
        <v>1442</v>
      </c>
      <c r="G325" t="s">
        <v>2410</v>
      </c>
      <c r="I325">
        <f>_xlfn.XLOOKUP($F325,設計座標!$E$13:$E$2301,設計座標!$G$13:$G$2301,"n/a",0,1)</f>
        <v>63.29206437931002</v>
      </c>
      <c r="J325">
        <f>_xlfn.XLOOKUP($F325,設計座標!$E$13:$E$2301,設計座標!$H$13:$H$2301,"n/a",0,1)</f>
        <v>0</v>
      </c>
      <c r="K325">
        <f>_xlfn.XLOOKUP($F325,設計座標!$E$13:$E$2301,設計座標!$I$13:$I$2301,"n/a",0,1)</f>
        <v>55890.010778929987</v>
      </c>
      <c r="L325">
        <f>_xlfn.XLOOKUP($F325,設計座標!$E$13:$E$2301,設計座標!$J$13:$J$2301,"n/a",0,1)</f>
        <v>-270</v>
      </c>
      <c r="M325" s="2">
        <f t="shared" si="217"/>
        <v>-2.9546757640219669E-2</v>
      </c>
      <c r="N325" s="2">
        <f t="shared" si="218"/>
        <v>55890.010778929987</v>
      </c>
      <c r="O325" s="23">
        <f t="shared" si="219"/>
        <v>-266.01919670785026</v>
      </c>
      <c r="P325" s="1">
        <f t="shared" si="224"/>
        <v>-270.10046049409704</v>
      </c>
      <c r="Q325" s="1">
        <f t="shared" ref="Q325:Q342" si="257">(Q$343-Q$323)/($N$343-$N$323)*($N325-$N$323)+Q$323</f>
        <v>-2.9546757640219669E-2</v>
      </c>
      <c r="R325">
        <f t="shared" si="238"/>
        <v>0</v>
      </c>
      <c r="S325" s="23">
        <f t="shared" si="256"/>
        <v>3.9808032921497603</v>
      </c>
      <c r="T325">
        <f>$S325+測地線補正!$Q$3*(lattice!$N325/1000)^3+測地線補正!$P$3*(lattice!$N325/1000)^2+測地線補正!$O$3*(lattice!$N325/1000)+測地線補正!$N$3</f>
        <v>-0.10046049409704935</v>
      </c>
      <c r="U325">
        <f>ATAN(($P$329-$P$325)/ABS($N$329-$N$325))</f>
        <v>5.634406871501322E-5</v>
      </c>
      <c r="V325">
        <v>0</v>
      </c>
      <c r="W325">
        <f>-ATAN(($M$329-$M$325)/ABS($N$329-$N$325))</f>
        <v>-4.2381839228353945E-5</v>
      </c>
      <c r="X325">
        <f>SQRT(($M$325-$M$324)^2+($N$325-$N$324)^2)</f>
        <v>133.99990012034192</v>
      </c>
      <c r="Y325">
        <f>_xlfn.XLOOKUP($F325,設計座標!$E$13:$E$2301,設計座標!$L$13:$L$2301," ",0,1)</f>
        <v>1889.4492</v>
      </c>
      <c r="Z325">
        <f>SQRT(($M$328-$M$326)^2+($N$328-$N$326)^2)</f>
        <v>311.22450027951049</v>
      </c>
    </row>
    <row r="326" spans="1:28">
      <c r="A326" t="s">
        <v>797</v>
      </c>
      <c r="B326" t="s">
        <v>3811</v>
      </c>
      <c r="C326" t="s">
        <v>3855</v>
      </c>
      <c r="D326" t="s">
        <v>1152</v>
      </c>
      <c r="E326" t="s">
        <v>804</v>
      </c>
      <c r="F326" t="s">
        <v>2228</v>
      </c>
      <c r="G326" t="s">
        <v>2228</v>
      </c>
      <c r="I326">
        <f>_xlfn.XLOOKUP($F326,設計座標!$E$13:$E$2301,設計座標!$G$13:$G$2301,"n/a",0,1)</f>
        <v>63.925564479310019</v>
      </c>
      <c r="J326">
        <f>_xlfn.XLOOKUP($F326,設計座標!$E$13:$E$2301,設計座標!$H$13:$H$2301,"n/a",0,1)</f>
        <v>0</v>
      </c>
      <c r="K326">
        <f>_xlfn.XLOOKUP($F326,設計座標!$E$13:$E$2301,設計座標!$I$13:$I$2301,"n/a",0,1)</f>
        <v>56523.510878929992</v>
      </c>
      <c r="L326">
        <f>_xlfn.XLOOKUP($F326,設計座標!$E$13:$E$2301,設計座標!$J$13:$J$2301,"n/a",0,1)</f>
        <v>-270</v>
      </c>
      <c r="M326" s="2">
        <f t="shared" si="217"/>
        <v>-2.6978582347978106E-3</v>
      </c>
      <c r="N326" s="2">
        <f t="shared" si="218"/>
        <v>56523.510878929992</v>
      </c>
      <c r="O326" s="23">
        <f t="shared" si="219"/>
        <v>-265.94058279039717</v>
      </c>
      <c r="P326" s="1">
        <f t="shared" si="224"/>
        <v>-270.06465940258909</v>
      </c>
      <c r="Q326" s="1">
        <f t="shared" si="257"/>
        <v>-2.6978582347978106E-3</v>
      </c>
      <c r="R326">
        <f t="shared" si="238"/>
        <v>0</v>
      </c>
      <c r="S326" s="23">
        <f t="shared" si="256"/>
        <v>4.0594172096028069</v>
      </c>
      <c r="T326">
        <f>$S326+測地線補正!$Q$3*(lattice!$N326/1000)^3+測地線補正!$P$3*(lattice!$N326/1000)^2+測地線補正!$O$3*(lattice!$N326/1000)+測地線補正!$N$3</f>
        <v>-6.4659402589063969E-2</v>
      </c>
      <c r="U326">
        <f t="shared" ref="U326:U327" si="258">ATAN(($P$329-$P$325)/ABS($N$329-$N$325))</f>
        <v>5.634406871501322E-5</v>
      </c>
      <c r="V326">
        <v>0</v>
      </c>
      <c r="W326">
        <f t="shared" ref="W326:W327" si="259">-ATAN(($M$329-$M$325)/ABS($N$329-$N$325))</f>
        <v>-4.2381839228353945E-5</v>
      </c>
      <c r="X326" t="s">
        <v>3860</v>
      </c>
      <c r="Y326">
        <f>_xlfn.XLOOKUP($F326,設計座標!$E$13:$E$2301,設計座標!$L$13:$L$2301," ",0,1)</f>
        <v>1000</v>
      </c>
      <c r="Z326">
        <f>SQRT(($M$326-$M$324)^2+($N$326-$N$324)^2)</f>
        <v>767.50000068929955</v>
      </c>
      <c r="AA326">
        <f>_xlfn.XLOOKUP($G326,magnet_list!$A$2:$A$592,magnet_list!$AJ$2:$AJ$592,"n/a",0,1)</f>
        <v>0.95010000000000006</v>
      </c>
      <c r="AB326">
        <f>_xlfn.XLOOKUP($G326,magnet_list!$A$2:$A$592,magnet_list!$L$2:$L$592,"n/a",0,1)</f>
        <v>120</v>
      </c>
    </row>
    <row r="327" spans="1:28">
      <c r="A327" t="s">
        <v>797</v>
      </c>
      <c r="B327" t="s">
        <v>3811</v>
      </c>
      <c r="C327" t="s">
        <v>3855</v>
      </c>
      <c r="D327" t="s">
        <v>1152</v>
      </c>
      <c r="E327" t="s">
        <v>804</v>
      </c>
      <c r="F327" t="s">
        <v>2229</v>
      </c>
      <c r="G327" t="s">
        <v>2229</v>
      </c>
      <c r="I327">
        <f>_xlfn.XLOOKUP($F327,設計座標!$E$13:$E$2301,設計座標!$G$13:$G$2301,"n/a",0,1)</f>
        <v>63.925564479310019</v>
      </c>
      <c r="J327">
        <f>_xlfn.XLOOKUP($F327,設計座標!$E$13:$E$2301,設計座標!$H$13:$H$2301,"n/a",0,1)</f>
        <v>0</v>
      </c>
      <c r="K327">
        <f>_xlfn.XLOOKUP($F327,設計座標!$E$13:$E$2301,設計座標!$I$13:$I$2301,"n/a",0,1)</f>
        <v>56523.510878929992</v>
      </c>
      <c r="L327">
        <f>_xlfn.XLOOKUP($F327,設計座標!$E$13:$E$2301,設計座標!$J$13:$J$2301,"n/a",0,1)</f>
        <v>-270</v>
      </c>
      <c r="M327" s="2">
        <f t="shared" si="217"/>
        <v>-2.6978582347978106E-3</v>
      </c>
      <c r="N327" s="2">
        <f t="shared" si="218"/>
        <v>56523.510878929992</v>
      </c>
      <c r="O327" s="23">
        <f t="shared" si="219"/>
        <v>-265.94058279039717</v>
      </c>
      <c r="P327" s="1">
        <f t="shared" si="224"/>
        <v>-270.06465940258909</v>
      </c>
      <c r="Q327" s="1">
        <f t="shared" si="257"/>
        <v>-2.6978582347978106E-3</v>
      </c>
      <c r="R327">
        <f t="shared" si="238"/>
        <v>0</v>
      </c>
      <c r="S327" s="23">
        <f t="shared" si="256"/>
        <v>4.0594172096028069</v>
      </c>
      <c r="T327">
        <f>$S327+測地線補正!$Q$3*(lattice!$N327/1000)^3+測地線補正!$P$3*(lattice!$N327/1000)^2+測地線補正!$O$3*(lattice!$N327/1000)+測地線補正!$N$3</f>
        <v>-6.4659402589063969E-2</v>
      </c>
      <c r="U327">
        <f t="shared" si="258"/>
        <v>5.634406871501322E-5</v>
      </c>
      <c r="V327">
        <v>0</v>
      </c>
      <c r="W327">
        <f t="shared" si="259"/>
        <v>-4.2381839228353945E-5</v>
      </c>
      <c r="X327" t="s">
        <v>3860</v>
      </c>
      <c r="Y327">
        <f>_xlfn.XLOOKUP($F327,設計座標!$E$13:$E$2301,設計座標!$L$13:$L$2301," ",0,1)</f>
        <v>1000</v>
      </c>
      <c r="Z327">
        <f>SQRT(($M$326-$M$324)^2+($N$326-$N$324)^2)</f>
        <v>767.50000068929955</v>
      </c>
      <c r="AA327">
        <f>_xlfn.XLOOKUP($G327,magnet_list!$A$2:$A$592,magnet_list!$AJ$2:$AJ$592,"n/a",0,1)</f>
        <v>0.95010000000000006</v>
      </c>
      <c r="AB327">
        <f>_xlfn.XLOOKUP($G327,magnet_list!$A$2:$A$592,magnet_list!$L$2:$L$592,"n/a",0,1)</f>
        <v>120</v>
      </c>
    </row>
    <row r="328" spans="1:28">
      <c r="A328" t="s">
        <v>797</v>
      </c>
      <c r="B328" t="s">
        <v>3811</v>
      </c>
      <c r="C328" t="s">
        <v>804</v>
      </c>
      <c r="D328" t="s">
        <v>1152</v>
      </c>
      <c r="E328" t="s">
        <v>804</v>
      </c>
      <c r="F328" t="s">
        <v>1171</v>
      </c>
      <c r="G328" t="s">
        <v>2410</v>
      </c>
      <c r="I328">
        <f>_xlfn.XLOOKUP($F328,設計座標!$E$13:$E$2301,設計座標!$G$13:$G$2301,"n/a",0,1)</f>
        <v>64.23678897931002</v>
      </c>
      <c r="J328">
        <f>_xlfn.XLOOKUP($F328,設計座標!$E$13:$E$2301,設計座標!$H$13:$H$2301,"n/a",0,1)</f>
        <v>0</v>
      </c>
      <c r="K328">
        <f>_xlfn.XLOOKUP($F328,設計座標!$E$13:$E$2301,設計座標!$I$13:$I$2301,"n/a",0,1)</f>
        <v>56834.735378929989</v>
      </c>
      <c r="L328">
        <f>_xlfn.XLOOKUP($F328,設計座標!$E$13:$E$2301,設計座標!$J$13:$J$2301,"n/a",0,1)</f>
        <v>-270</v>
      </c>
      <c r="M328" s="2">
        <f t="shared" si="217"/>
        <v>1.0492408496024432E-2</v>
      </c>
      <c r="N328" s="2">
        <f t="shared" si="218"/>
        <v>56834.735378929989</v>
      </c>
      <c r="O328" s="23">
        <f t="shared" si="219"/>
        <v>-265.90196152237786</v>
      </c>
      <c r="P328" s="1">
        <f t="shared" si="224"/>
        <v>-270.0471095560714</v>
      </c>
      <c r="Q328" s="1">
        <f t="shared" si="257"/>
        <v>1.0492408496024432E-2</v>
      </c>
      <c r="R328">
        <f t="shared" si="238"/>
        <v>0</v>
      </c>
      <c r="S328" s="23">
        <f t="shared" si="256"/>
        <v>4.0980384776221257</v>
      </c>
      <c r="T328">
        <f>$S328+測地線補正!$Q$3*(lattice!$N328/1000)^3+測地線補正!$P$3*(lattice!$N328/1000)^2+測地線補正!$O$3*(lattice!$N328/1000)+測地線補正!$N$3</f>
        <v>-4.710955607141884E-2</v>
      </c>
      <c r="U328">
        <f t="shared" ref="U328:U329" si="260">ATAN(($P$329-$P$325)/ABS($N$329-$N$325))</f>
        <v>5.634406871501322E-5</v>
      </c>
      <c r="V328">
        <v>0</v>
      </c>
      <c r="W328">
        <f t="shared" ref="W328:W329" si="261">-ATAN(($M$329-$M$325)/ABS($N$329-$N$325))</f>
        <v>-4.2381839228353945E-5</v>
      </c>
      <c r="X328" t="s">
        <v>3860</v>
      </c>
      <c r="Y328">
        <f>_xlfn.XLOOKUP($F328,設計座標!$E$13:$E$2301,設計座標!$L$13:$L$2301," ",0,1)</f>
        <v>1889.4492</v>
      </c>
      <c r="Z328">
        <f>SQRT(($M$328-$M$326)^2+($N$328-$N$326)^2)</f>
        <v>311.22450027951049</v>
      </c>
    </row>
    <row r="329" spans="1:28">
      <c r="A329" t="s">
        <v>797</v>
      </c>
      <c r="B329" t="s">
        <v>3811</v>
      </c>
      <c r="C329" t="s">
        <v>804</v>
      </c>
      <c r="D329" t="s">
        <v>1152</v>
      </c>
      <c r="E329" t="s">
        <v>804</v>
      </c>
      <c r="F329" t="s">
        <v>1443</v>
      </c>
      <c r="G329" t="s">
        <v>2410</v>
      </c>
      <c r="I329">
        <f>_xlfn.XLOOKUP($F329,設計座標!$E$13:$E$2301,設計座標!$G$13:$G$2301,"n/a",0,1)</f>
        <v>65.181513579310021</v>
      </c>
      <c r="J329">
        <f>_xlfn.XLOOKUP($F329,設計座標!$E$13:$E$2301,設計座標!$H$13:$H$2301,"n/a",0,1)</f>
        <v>0</v>
      </c>
      <c r="K329">
        <f>_xlfn.XLOOKUP($F329,設計座標!$E$13:$E$2301,設計座標!$I$13:$I$2301,"n/a",0,1)</f>
        <v>57779.45997892999</v>
      </c>
      <c r="L329">
        <f>_xlfn.XLOOKUP($F329,設計座標!$E$13:$E$2301,設計座標!$J$13:$J$2301,"n/a",0,1)</f>
        <v>-270</v>
      </c>
      <c r="M329" s="2">
        <f t="shared" si="217"/>
        <v>5.0531574632268532E-2</v>
      </c>
      <c r="N329" s="2">
        <f t="shared" si="218"/>
        <v>57779.45997892999</v>
      </c>
      <c r="O329" s="23">
        <f t="shared" si="219"/>
        <v>-265.78472633690552</v>
      </c>
      <c r="P329" s="1">
        <f t="shared" si="224"/>
        <v>-269.99400123842605</v>
      </c>
      <c r="Q329" s="1">
        <f t="shared" si="257"/>
        <v>5.0531574632268532E-2</v>
      </c>
      <c r="R329">
        <f t="shared" si="238"/>
        <v>0</v>
      </c>
      <c r="S329" s="23">
        <f t="shared" si="256"/>
        <v>4.2152736630944903</v>
      </c>
      <c r="T329">
        <f>$S329+測地線補正!$Q$3*(lattice!$N329/1000)^3+測地線補正!$P$3*(lattice!$N329/1000)^2+測地線補正!$O$3*(lattice!$N329/1000)+測地線補正!$N$3</f>
        <v>5.9987615739630941E-3</v>
      </c>
      <c r="U329">
        <f t="shared" si="260"/>
        <v>5.634406871501322E-5</v>
      </c>
      <c r="V329">
        <v>0</v>
      </c>
      <c r="W329">
        <f t="shared" si="261"/>
        <v>-4.2381839228353945E-5</v>
      </c>
      <c r="X329" t="s">
        <v>3860</v>
      </c>
      <c r="Y329">
        <f>_xlfn.XLOOKUP($F329,設計座標!$E$13:$E$2301,設計座標!$L$13:$L$2301," ",0,1)</f>
        <v>1889.4492</v>
      </c>
      <c r="Z329">
        <f>SQRT(($M$328-$M$326)^2+($N$328-$N$326)^2)</f>
        <v>311.22450027951049</v>
      </c>
    </row>
    <row r="330" spans="1:28">
      <c r="A330" t="s">
        <v>797</v>
      </c>
      <c r="B330" t="s">
        <v>3811</v>
      </c>
      <c r="C330" t="s">
        <v>804</v>
      </c>
      <c r="D330" t="s">
        <v>1152</v>
      </c>
      <c r="E330" t="s">
        <v>804</v>
      </c>
      <c r="F330" t="s">
        <v>1444</v>
      </c>
      <c r="G330" t="s">
        <v>2411</v>
      </c>
      <c r="I330">
        <f>_xlfn.XLOOKUP($F330,設計座標!$E$13:$E$2301,設計座標!$G$13:$G$2301,"n/a",0,1)</f>
        <v>65.365210379310014</v>
      </c>
      <c r="J330">
        <f>_xlfn.XLOOKUP($F330,設計座標!$E$13:$E$2301,設計座標!$H$13:$H$2301,"n/a",0,1)</f>
        <v>0</v>
      </c>
      <c r="K330">
        <f>_xlfn.XLOOKUP($F330,設計座標!$E$13:$E$2301,設計座標!$I$13:$I$2301,"n/a",0,1)</f>
        <v>57963.156778929988</v>
      </c>
      <c r="L330">
        <f>_xlfn.XLOOKUP($F330,設計座標!$E$13:$E$2301,設計座標!$J$13:$J$2301,"n/a",0,1)</f>
        <v>-270</v>
      </c>
      <c r="M330" s="2">
        <f t="shared" si="217"/>
        <v>5.8316982881292966E-2</v>
      </c>
      <c r="N330" s="2">
        <f t="shared" si="218"/>
        <v>57963.156778929988</v>
      </c>
      <c r="O330" s="23">
        <f t="shared" si="219"/>
        <v>-265.76193056296393</v>
      </c>
      <c r="P330" s="1">
        <f t="shared" si="224"/>
        <v>-269.98370455754809</v>
      </c>
      <c r="Q330" s="1">
        <f t="shared" si="257"/>
        <v>5.8316982881292966E-2</v>
      </c>
      <c r="R330">
        <f t="shared" si="238"/>
        <v>0</v>
      </c>
      <c r="S330" s="23">
        <f t="shared" si="256"/>
        <v>4.2380694370361027</v>
      </c>
      <c r="T330">
        <f>$S330+測地線補正!$Q$3*(lattice!$N330/1000)^3+測地線補正!$P$3*(lattice!$N330/1000)^2+測地線補正!$O$3*(lattice!$N330/1000)+測地線補正!$N$3</f>
        <v>1.6295442451918305E-2</v>
      </c>
      <c r="U330">
        <f>ATAN(($P$332-$P$330)/ABS($N$332-$N$330))</f>
        <v>5.5727051525081263E-5</v>
      </c>
      <c r="V330">
        <v>0</v>
      </c>
      <c r="W330">
        <f>-ATAN(($M$332-$M$330)/ABS($N$332-$N$330))</f>
        <v>-4.2381839228353945E-5</v>
      </c>
      <c r="X330">
        <f>SQRT(($M$330-$M$329)^2+($N$330-$N$329)^2)</f>
        <v>183.69680016497784</v>
      </c>
      <c r="Y330">
        <f>_xlfn.XLOOKUP($F330,設計座標!$E$13:$E$2301,設計座標!$L$13:$L$2301," ",0,1)</f>
        <v>1889.4492</v>
      </c>
      <c r="Z330">
        <f>SQRT(($M$331-$M$328)^2+($N$331-$N$328)^2)</f>
        <v>2073.1460018619141</v>
      </c>
    </row>
    <row r="331" spans="1:28">
      <c r="A331" t="s">
        <v>797</v>
      </c>
      <c r="B331" t="s">
        <v>3811</v>
      </c>
      <c r="C331" t="s">
        <v>804</v>
      </c>
      <c r="D331" t="s">
        <v>1152</v>
      </c>
      <c r="E331" t="s">
        <v>804</v>
      </c>
      <c r="F331" t="s">
        <v>1227</v>
      </c>
      <c r="G331" t="s">
        <v>2411</v>
      </c>
      <c r="I331">
        <f>_xlfn.XLOOKUP($F331,設計座標!$E$13:$E$2301,設計座標!$G$13:$G$2301,"n/a",0,1)</f>
        <v>66.309934979310015</v>
      </c>
      <c r="J331">
        <f>_xlfn.XLOOKUP($F331,設計座標!$E$13:$E$2301,設計座標!$H$13:$H$2301,"n/a",0,1)</f>
        <v>0</v>
      </c>
      <c r="K331">
        <f>_xlfn.XLOOKUP($F331,設計座標!$E$13:$E$2301,設計座標!$I$13:$I$2301,"n/a",0,1)</f>
        <v>58907.881378929989</v>
      </c>
      <c r="L331">
        <f>_xlfn.XLOOKUP($F331,設計座標!$E$13:$E$2301,設計座標!$J$13:$J$2301,"n/a",0,1)</f>
        <v>-270</v>
      </c>
      <c r="M331" s="2">
        <f t="shared" si="217"/>
        <v>9.8356149017537059E-2</v>
      </c>
      <c r="N331" s="2">
        <f t="shared" si="218"/>
        <v>58907.881378929989</v>
      </c>
      <c r="O331" s="23">
        <f t="shared" si="219"/>
        <v>-265.64469537749153</v>
      </c>
      <c r="P331" s="1">
        <f t="shared" si="224"/>
        <v>-269.9309135207925</v>
      </c>
      <c r="Q331" s="1">
        <f t="shared" si="257"/>
        <v>9.8356149017537059E-2</v>
      </c>
      <c r="R331">
        <f t="shared" si="238"/>
        <v>0</v>
      </c>
      <c r="S331" s="23">
        <f t="shared" si="256"/>
        <v>4.3553046225084673</v>
      </c>
      <c r="T331">
        <f>$S331+測地線補正!$Q$3*(lattice!$N331/1000)^3+測地線補正!$P$3*(lattice!$N331/1000)^2+測地線補正!$O$3*(lattice!$N331/1000)+測地線補正!$N$3</f>
        <v>6.9086479207500023E-2</v>
      </c>
      <c r="U331">
        <f t="shared" ref="U331:U332" si="262">ATAN(($P$332-$P$330)/ABS($N$332-$N$330))</f>
        <v>5.5727051525081263E-5</v>
      </c>
      <c r="V331">
        <v>0</v>
      </c>
      <c r="W331">
        <f t="shared" ref="W331:W332" si="263">-ATAN(($M$332-$M$330)/ABS($N$332-$N$330))</f>
        <v>-4.2381839228353945E-5</v>
      </c>
      <c r="X331" t="s">
        <v>3860</v>
      </c>
      <c r="Y331">
        <f>_xlfn.XLOOKUP($F331,設計座標!$E$13:$E$2301,設計座標!$L$13:$L$2301," ",0,1)</f>
        <v>1889.4492</v>
      </c>
      <c r="Z331">
        <f>SQRT(($M$331-$M$328)^2+($N$331-$N$328)^2)</f>
        <v>2073.1460018619141</v>
      </c>
    </row>
    <row r="332" spans="1:28">
      <c r="A332" t="s">
        <v>797</v>
      </c>
      <c r="B332" t="s">
        <v>3811</v>
      </c>
      <c r="C332" t="s">
        <v>804</v>
      </c>
      <c r="D332" t="s">
        <v>1152</v>
      </c>
      <c r="E332" t="s">
        <v>804</v>
      </c>
      <c r="F332" t="s">
        <v>1445</v>
      </c>
      <c r="G332" t="s">
        <v>2411</v>
      </c>
      <c r="I332">
        <f>_xlfn.XLOOKUP($F332,設計座標!$E$13:$E$2301,設計座標!$G$13:$G$2301,"n/a",0,1)</f>
        <v>67.254659579310015</v>
      </c>
      <c r="J332">
        <f>_xlfn.XLOOKUP($F332,設計座標!$E$13:$E$2301,設計座標!$H$13:$H$2301,"n/a",0,1)</f>
        <v>0</v>
      </c>
      <c r="K332">
        <f>_xlfn.XLOOKUP($F332,設計座標!$E$13:$E$2301,設計座標!$I$13:$I$2301,"n/a",0,1)</f>
        <v>59852.605978929991</v>
      </c>
      <c r="L332">
        <f>_xlfn.XLOOKUP($F332,設計座標!$E$13:$E$2301,設計座標!$J$13:$J$2301,"n/a",0,1)</f>
        <v>-270</v>
      </c>
      <c r="M332" s="2">
        <f t="shared" si="217"/>
        <v>0.13839531515378117</v>
      </c>
      <c r="N332" s="2">
        <f t="shared" si="218"/>
        <v>59852.605978929991</v>
      </c>
      <c r="O332" s="23">
        <f t="shared" si="219"/>
        <v>-265.52746019201919</v>
      </c>
      <c r="P332" s="1">
        <f t="shared" si="224"/>
        <v>-269.87841112451667</v>
      </c>
      <c r="Q332" s="1">
        <f t="shared" si="257"/>
        <v>0.13839531515378117</v>
      </c>
      <c r="R332">
        <f t="shared" si="238"/>
        <v>0</v>
      </c>
      <c r="S332" s="23">
        <f t="shared" si="256"/>
        <v>4.4725398079808327</v>
      </c>
      <c r="T332">
        <f>$S332+測地線補正!$Q$3*(lattice!$N332/1000)^3+測地線補正!$P$3*(lattice!$N332/1000)^2+測地線補正!$O$3*(lattice!$N332/1000)+測地線補正!$N$3</f>
        <v>0.12158887548333044</v>
      </c>
      <c r="U332">
        <f t="shared" si="262"/>
        <v>5.5727051525081263E-5</v>
      </c>
      <c r="V332">
        <v>0</v>
      </c>
      <c r="W332">
        <f t="shared" si="263"/>
        <v>-4.2381839228353945E-5</v>
      </c>
      <c r="X332" t="s">
        <v>3860</v>
      </c>
      <c r="Y332">
        <f>_xlfn.XLOOKUP($F332,設計座標!$E$13:$E$2301,設計座標!$L$13:$L$2301," ",0,1)</f>
        <v>1889.4492</v>
      </c>
      <c r="Z332">
        <f>SQRT(($M$331-$M$328)^2+($N$331-$N$328)^2)</f>
        <v>2073.1460018619141</v>
      </c>
    </row>
    <row r="333" spans="1:28">
      <c r="A333" t="s">
        <v>797</v>
      </c>
      <c r="B333" t="s">
        <v>3811</v>
      </c>
      <c r="C333" t="s">
        <v>1152</v>
      </c>
      <c r="D333" t="s">
        <v>1152</v>
      </c>
      <c r="E333" t="s">
        <v>804</v>
      </c>
      <c r="F333" t="s">
        <v>1977</v>
      </c>
      <c r="G333" t="s">
        <v>1977</v>
      </c>
      <c r="I333">
        <f>_xlfn.XLOOKUP($F333,設計座標!$E$13:$E$2301,設計座標!$G$13:$G$2301,"n/a",0,1)</f>
        <v>67.488052479310014</v>
      </c>
      <c r="J333">
        <f>_xlfn.XLOOKUP($F333,設計座標!$E$13:$E$2301,設計座標!$H$13:$H$2301,"n/a",0,1)</f>
        <v>0</v>
      </c>
      <c r="K333">
        <f>_xlfn.XLOOKUP($F333,設計座標!$E$13:$E$2301,設計座標!$I$13:$I$2301,"n/a",0,1)</f>
        <v>60085.99887892999</v>
      </c>
      <c r="L333">
        <f>_xlfn.XLOOKUP($F333,設計座標!$E$13:$E$2301,設計座標!$J$13:$J$2301,"n/a",0,1)</f>
        <v>-270</v>
      </c>
      <c r="M333" s="2">
        <f t="shared" si="217"/>
        <v>0.14828693552454292</v>
      </c>
      <c r="N333" s="2">
        <f t="shared" si="218"/>
        <v>60085.99887892999</v>
      </c>
      <c r="O333" s="23">
        <f t="shared" si="219"/>
        <v>-265.49849740231366</v>
      </c>
      <c r="P333" s="1">
        <f t="shared" si="224"/>
        <v>-269.86548736250364</v>
      </c>
      <c r="Q333" s="1">
        <f t="shared" si="257"/>
        <v>0.14828693552454292</v>
      </c>
      <c r="R333">
        <f t="shared" si="238"/>
        <v>0</v>
      </c>
      <c r="S333" s="23">
        <f t="shared" si="256"/>
        <v>4.5015025976863541</v>
      </c>
      <c r="T333">
        <f>$S333+測地線補正!$Q$3*(lattice!$N333/1000)^3+測地線補正!$P$3*(lattice!$N333/1000)^2+測地線補正!$O$3*(lattice!$N333/1000)+測地線補正!$N$3</f>
        <v>0.13451263749635359</v>
      </c>
      <c r="U333">
        <v>0</v>
      </c>
      <c r="V333">
        <v>0</v>
      </c>
      <c r="W333">
        <v>0</v>
      </c>
      <c r="X333">
        <f>SQRT(($M$333-$M$332)^2+($N$333-$N$332)^2)</f>
        <v>233.39290020961144</v>
      </c>
      <c r="Y333">
        <f>_xlfn.XLOOKUP($F333,設計座標!$E$13:$E$2301,設計座標!$L$13:$L$2301," ",0,1)</f>
        <v>0</v>
      </c>
      <c r="Z333">
        <f>SQRT(($M$333-$M$331)^2+($N$333-$N$331)^2)</f>
        <v>1178.1175010580796</v>
      </c>
    </row>
    <row r="334" spans="1:28">
      <c r="A334" t="s">
        <v>797</v>
      </c>
      <c r="B334" t="s">
        <v>3811</v>
      </c>
      <c r="C334" t="s">
        <v>804</v>
      </c>
      <c r="D334" t="s">
        <v>1152</v>
      </c>
      <c r="E334" t="s">
        <v>804</v>
      </c>
      <c r="F334" t="s">
        <v>1446</v>
      </c>
      <c r="G334" t="s">
        <v>2412</v>
      </c>
      <c r="I334">
        <f>_xlfn.XLOOKUP($F334,設計座標!$E$13:$E$2301,設計座標!$G$13:$G$2301,"n/a",0,1)</f>
        <v>67.622052379310006</v>
      </c>
      <c r="J334">
        <f>_xlfn.XLOOKUP($F334,設計座標!$E$13:$E$2301,設計座標!$H$13:$H$2301,"n/a",0,1)</f>
        <v>0</v>
      </c>
      <c r="K334">
        <f>_xlfn.XLOOKUP($F334,設計座標!$E$13:$E$2301,設計座標!$I$13:$I$2301,"n/a",0,1)</f>
        <v>60219.998778929985</v>
      </c>
      <c r="L334">
        <f>_xlfn.XLOOKUP($F334,設計座標!$E$13:$E$2301,設計座標!$J$13:$J$2301,"n/a",0,1)</f>
        <v>-270</v>
      </c>
      <c r="M334" s="2">
        <f t="shared" ref="M334:M399" si="264">$J334+$Q334</f>
        <v>0.15396609774635858</v>
      </c>
      <c r="N334" s="2">
        <f t="shared" ref="N334:N399" si="265">$K334</f>
        <v>60219.998778929985</v>
      </c>
      <c r="O334" s="23">
        <f t="shared" ref="O334:O399" si="266">$L334+$S334</f>
        <v>-265.48186874341161</v>
      </c>
      <c r="P334" s="1">
        <f t="shared" si="224"/>
        <v>-269.85807599207504</v>
      </c>
      <c r="Q334" s="1">
        <f t="shared" si="257"/>
        <v>0.15396609774635858</v>
      </c>
      <c r="R334">
        <f t="shared" si="238"/>
        <v>0</v>
      </c>
      <c r="S334" s="23">
        <f t="shared" si="256"/>
        <v>4.5181312565884069</v>
      </c>
      <c r="T334">
        <f>$S334+測地線補正!$Q$3*(lattice!$N334/1000)^3+測地線補正!$P$3*(lattice!$N334/1000)^2+測地線補正!$O$3*(lattice!$N334/1000)+測地線補正!$N$3</f>
        <v>0.14192400792495188</v>
      </c>
      <c r="U334">
        <f>ATAN(($P$338-$P$334)/ABS($N$338-$N$334))</f>
        <v>5.4933837226161348E-5</v>
      </c>
      <c r="V334">
        <v>0</v>
      </c>
      <c r="W334">
        <f>-ATAN(($M$338-$M$334)/ABS($N$338-$N$334))</f>
        <v>-4.2381839228353931E-5</v>
      </c>
      <c r="X334">
        <f>SQRT(($M$334-$M$333)^2+($N$334-$N$333)^2)</f>
        <v>133.99990012034192</v>
      </c>
      <c r="Y334">
        <f>_xlfn.XLOOKUP($F334,設計座標!$E$13:$E$2301,設計座標!$L$13:$L$2301," ",0,1)</f>
        <v>1889.4492</v>
      </c>
      <c r="Z334">
        <f>SQRT(($M$337-$M$335)^2+($N$337-$N$335)^2)</f>
        <v>311.22450027951049</v>
      </c>
    </row>
    <row r="335" spans="1:28">
      <c r="A335" t="s">
        <v>797</v>
      </c>
      <c r="B335" t="s">
        <v>3811</v>
      </c>
      <c r="C335" t="s">
        <v>3855</v>
      </c>
      <c r="D335" t="s">
        <v>1152</v>
      </c>
      <c r="E335" t="s">
        <v>804</v>
      </c>
      <c r="F335" t="s">
        <v>2230</v>
      </c>
      <c r="G335" t="s">
        <v>2230</v>
      </c>
      <c r="I335">
        <f>_xlfn.XLOOKUP($F335,設計座標!$E$13:$E$2301,設計座標!$G$13:$G$2301,"n/a",0,1)</f>
        <v>68.255552479310012</v>
      </c>
      <c r="J335">
        <f>_xlfn.XLOOKUP($F335,設計座標!$E$13:$E$2301,設計座標!$H$13:$H$2301,"n/a",0,1)</f>
        <v>0</v>
      </c>
      <c r="K335">
        <f>_xlfn.XLOOKUP($F335,設計座標!$E$13:$E$2301,設計座標!$I$13:$I$2301,"n/a",0,1)</f>
        <v>60853.49887892999</v>
      </c>
      <c r="L335">
        <f>_xlfn.XLOOKUP($F335,設計座標!$E$13:$E$2301,設計座標!$J$13:$J$2301,"n/a",0,1)</f>
        <v>-270</v>
      </c>
      <c r="M335" s="2">
        <f t="shared" si="264"/>
        <v>0.18081499715178043</v>
      </c>
      <c r="N335" s="2">
        <f t="shared" si="265"/>
        <v>60853.49887892999</v>
      </c>
      <c r="O335" s="23">
        <f t="shared" si="266"/>
        <v>-265.40325482595853</v>
      </c>
      <c r="P335" s="1">
        <f t="shared" si="224"/>
        <v>-269.82312543908608</v>
      </c>
      <c r="Q335" s="1">
        <f t="shared" si="257"/>
        <v>0.18081499715178043</v>
      </c>
      <c r="R335">
        <f t="shared" si="238"/>
        <v>0</v>
      </c>
      <c r="S335" s="23">
        <f t="shared" si="256"/>
        <v>4.5967451740414527</v>
      </c>
      <c r="T335">
        <f>$S335+測地線補正!$Q$3*(lattice!$N335/1000)^3+測地線補正!$P$3*(lattice!$N335/1000)^2+測地線補正!$O$3*(lattice!$N335/1000)+測地線補正!$N$3</f>
        <v>0.1768745609139081</v>
      </c>
      <c r="U335">
        <f t="shared" ref="U335:U336" si="267">ATAN(($P$338-$P$334)/ABS($N$338-$N$334))</f>
        <v>5.4933837226161348E-5</v>
      </c>
      <c r="V335">
        <v>0</v>
      </c>
      <c r="W335">
        <f t="shared" ref="W335:W336" si="268">-ATAN(($M$338-$M$334)/ABS($N$338-$N$334))</f>
        <v>-4.2381839228353931E-5</v>
      </c>
      <c r="X335" t="s">
        <v>3860</v>
      </c>
      <c r="Y335">
        <f>_xlfn.XLOOKUP($F335,設計座標!$E$13:$E$2301,設計座標!$L$13:$L$2301," ",0,1)</f>
        <v>1000</v>
      </c>
      <c r="Z335">
        <f>SQRT(($M$335-$M$333)^2+($N$335-$N$333)^2)</f>
        <v>767.50000068929955</v>
      </c>
      <c r="AA335">
        <f>_xlfn.XLOOKUP($G335,magnet_list!$A$2:$A$592,magnet_list!$AJ$2:$AJ$592,"n/a",0,1)</f>
        <v>0.95010000000000006</v>
      </c>
      <c r="AB335">
        <f>_xlfn.XLOOKUP($G335,magnet_list!$A$2:$A$592,magnet_list!$L$2:$L$592,"n/a",0,1)</f>
        <v>120</v>
      </c>
    </row>
    <row r="336" spans="1:28">
      <c r="A336" t="s">
        <v>797</v>
      </c>
      <c r="B336" t="s">
        <v>3811</v>
      </c>
      <c r="C336" t="s">
        <v>3855</v>
      </c>
      <c r="D336" t="s">
        <v>1152</v>
      </c>
      <c r="E336" t="s">
        <v>804</v>
      </c>
      <c r="F336" t="s">
        <v>2231</v>
      </c>
      <c r="G336" t="s">
        <v>2231</v>
      </c>
      <c r="I336">
        <f>_xlfn.XLOOKUP($F336,設計座標!$E$13:$E$2301,設計座標!$G$13:$G$2301,"n/a",0,1)</f>
        <v>68.255552479310012</v>
      </c>
      <c r="J336">
        <f>_xlfn.XLOOKUP($F336,設計座標!$E$13:$E$2301,設計座標!$H$13:$H$2301,"n/a",0,1)</f>
        <v>0</v>
      </c>
      <c r="K336">
        <f>_xlfn.XLOOKUP($F336,設計座標!$E$13:$E$2301,設計座標!$I$13:$I$2301,"n/a",0,1)</f>
        <v>60853.49887892999</v>
      </c>
      <c r="L336">
        <f>_xlfn.XLOOKUP($F336,設計座標!$E$13:$E$2301,設計座標!$J$13:$J$2301,"n/a",0,1)</f>
        <v>-270</v>
      </c>
      <c r="M336" s="2">
        <f t="shared" si="264"/>
        <v>0.18081499715178043</v>
      </c>
      <c r="N336" s="2">
        <f t="shared" si="265"/>
        <v>60853.49887892999</v>
      </c>
      <c r="O336" s="23">
        <f t="shared" si="266"/>
        <v>-265.40325482595853</v>
      </c>
      <c r="P336" s="1">
        <f t="shared" si="224"/>
        <v>-269.82312543908608</v>
      </c>
      <c r="Q336" s="1">
        <f t="shared" si="257"/>
        <v>0.18081499715178043</v>
      </c>
      <c r="R336">
        <f t="shared" si="238"/>
        <v>0</v>
      </c>
      <c r="S336" s="23">
        <f t="shared" si="256"/>
        <v>4.5967451740414527</v>
      </c>
      <c r="T336">
        <f>$S336+測地線補正!$Q$3*(lattice!$N336/1000)^3+測地線補正!$P$3*(lattice!$N336/1000)^2+測地線補正!$O$3*(lattice!$N336/1000)+測地線補正!$N$3</f>
        <v>0.1768745609139081</v>
      </c>
      <c r="U336">
        <f t="shared" si="267"/>
        <v>5.4933837226161348E-5</v>
      </c>
      <c r="V336">
        <v>0</v>
      </c>
      <c r="W336">
        <f t="shared" si="268"/>
        <v>-4.2381839228353931E-5</v>
      </c>
      <c r="X336" t="s">
        <v>3860</v>
      </c>
      <c r="Y336">
        <f>_xlfn.XLOOKUP($F336,設計座標!$E$13:$E$2301,設計座標!$L$13:$L$2301," ",0,1)</f>
        <v>1000</v>
      </c>
      <c r="Z336">
        <f>SQRT(($M$335-$M$333)^2+($N$335-$N$333)^2)</f>
        <v>767.50000068929955</v>
      </c>
      <c r="AA336">
        <f>_xlfn.XLOOKUP($G336,magnet_list!$A$2:$A$592,magnet_list!$AJ$2:$AJ$592,"n/a",0,1)</f>
        <v>0.95010000000000006</v>
      </c>
      <c r="AB336">
        <f>_xlfn.XLOOKUP($G336,magnet_list!$A$2:$A$592,magnet_list!$L$2:$L$592,"n/a",0,1)</f>
        <v>120</v>
      </c>
    </row>
    <row r="337" spans="1:28">
      <c r="A337" t="s">
        <v>797</v>
      </c>
      <c r="B337" t="s">
        <v>3811</v>
      </c>
      <c r="C337" t="s">
        <v>804</v>
      </c>
      <c r="D337" t="s">
        <v>1152</v>
      </c>
      <c r="E337" t="s">
        <v>804</v>
      </c>
      <c r="F337" t="s">
        <v>1282</v>
      </c>
      <c r="G337" t="s">
        <v>2412</v>
      </c>
      <c r="I337">
        <f>_xlfn.XLOOKUP($F337,設計座標!$E$13:$E$2301,設計座標!$G$13:$G$2301,"n/a",0,1)</f>
        <v>68.566776979310006</v>
      </c>
      <c r="J337">
        <f>_xlfn.XLOOKUP($F337,設計座標!$E$13:$E$2301,設計座標!$H$13:$H$2301,"n/a",0,1)</f>
        <v>0</v>
      </c>
      <c r="K337">
        <f>_xlfn.XLOOKUP($F337,設計座標!$E$13:$E$2301,設計座標!$I$13:$I$2301,"n/a",0,1)</f>
        <v>61164.723378929986</v>
      </c>
      <c r="L337">
        <f>_xlfn.XLOOKUP($F337,設計座標!$E$13:$E$2301,設計座標!$J$13:$J$2301,"n/a",0,1)</f>
        <v>-270</v>
      </c>
      <c r="M337" s="2">
        <f t="shared" si="264"/>
        <v>0.19400526388260267</v>
      </c>
      <c r="N337" s="2">
        <f t="shared" si="265"/>
        <v>61164.723378929986</v>
      </c>
      <c r="O337" s="23">
        <f t="shared" si="266"/>
        <v>-265.36463355793921</v>
      </c>
      <c r="P337" s="1">
        <f t="shared" si="224"/>
        <v>-269.8060092754734</v>
      </c>
      <c r="Q337" s="1">
        <f t="shared" si="257"/>
        <v>0.19400526388260267</v>
      </c>
      <c r="R337">
        <f t="shared" si="238"/>
        <v>0</v>
      </c>
      <c r="S337" s="23">
        <f t="shared" si="256"/>
        <v>4.6353664420607714</v>
      </c>
      <c r="T337">
        <f>$S337+測地線補正!$Q$3*(lattice!$N337/1000)^3+測地線補正!$P$3*(lattice!$N337/1000)^2+測地線補正!$O$3*(lattice!$N337/1000)+測地線補正!$N$3</f>
        <v>0.19399072452657698</v>
      </c>
      <c r="U337">
        <f t="shared" ref="U337:U338" si="269">ATAN(($P$338-$P$334)/ABS($N$338-$N$334))</f>
        <v>5.4933837226161348E-5</v>
      </c>
      <c r="V337">
        <v>0</v>
      </c>
      <c r="W337">
        <f t="shared" ref="W337:W338" si="270">-ATAN(($M$338-$M$334)/ABS($N$338-$N$334))</f>
        <v>-4.2381839228353931E-5</v>
      </c>
      <c r="X337" t="s">
        <v>3860</v>
      </c>
      <c r="Y337">
        <f>_xlfn.XLOOKUP($F337,設計座標!$E$13:$E$2301,設計座標!$L$13:$L$2301," ",0,1)</f>
        <v>1889.4492</v>
      </c>
      <c r="Z337">
        <f>SQRT(($M$337-$M$335)^2+($N$337-$N$335)^2)</f>
        <v>311.22450027951049</v>
      </c>
    </row>
    <row r="338" spans="1:28">
      <c r="A338" t="s">
        <v>797</v>
      </c>
      <c r="B338" t="s">
        <v>3811</v>
      </c>
      <c r="C338" t="s">
        <v>804</v>
      </c>
      <c r="D338" t="s">
        <v>1152</v>
      </c>
      <c r="E338" t="s">
        <v>804</v>
      </c>
      <c r="F338" t="s">
        <v>1447</v>
      </c>
      <c r="G338" t="s">
        <v>2412</v>
      </c>
      <c r="I338">
        <f>_xlfn.XLOOKUP($F338,設計座標!$E$13:$E$2301,設計座標!$G$13:$G$2301,"n/a",0,1)</f>
        <v>69.511501579310007</v>
      </c>
      <c r="J338">
        <f>_xlfn.XLOOKUP($F338,設計座標!$E$13:$E$2301,設計座標!$H$13:$H$2301,"n/a",0,1)</f>
        <v>0</v>
      </c>
      <c r="K338">
        <f>_xlfn.XLOOKUP($F338,設計座標!$E$13:$E$2301,設計座標!$I$13:$I$2301,"n/a",0,1)</f>
        <v>62109.447978929988</v>
      </c>
      <c r="L338">
        <f>_xlfn.XLOOKUP($F338,設計座標!$E$13:$E$2301,設計座標!$J$13:$J$2301,"n/a",0,1)</f>
        <v>-270</v>
      </c>
      <c r="M338" s="2">
        <f t="shared" si="264"/>
        <v>0.23404443001884676</v>
      </c>
      <c r="N338" s="2">
        <f t="shared" si="265"/>
        <v>62109.447978929988</v>
      </c>
      <c r="O338" s="23">
        <f t="shared" si="266"/>
        <v>-265.24739837246688</v>
      </c>
      <c r="P338" s="1">
        <f t="shared" ref="P338:P401" si="271">$L338+$T338</f>
        <v>-269.75428129717073</v>
      </c>
      <c r="Q338" s="1">
        <f t="shared" si="257"/>
        <v>0.23404443001884676</v>
      </c>
      <c r="R338">
        <f t="shared" si="238"/>
        <v>0</v>
      </c>
      <c r="S338" s="23">
        <f t="shared" si="256"/>
        <v>4.7526016275331369</v>
      </c>
      <c r="T338">
        <f>$S338+測地線補正!$Q$3*(lattice!$N338/1000)^3+測地線補正!$P$3*(lattice!$N338/1000)^2+測地線補正!$O$3*(lattice!$N338/1000)+測地線補正!$N$3</f>
        <v>0.24571870282928834</v>
      </c>
      <c r="U338">
        <f t="shared" si="269"/>
        <v>5.4933837226161348E-5</v>
      </c>
      <c r="V338">
        <v>0</v>
      </c>
      <c r="W338">
        <f t="shared" si="270"/>
        <v>-4.2381839228353931E-5</v>
      </c>
      <c r="X338" t="s">
        <v>3860</v>
      </c>
      <c r="Y338">
        <f>_xlfn.XLOOKUP($F338,設計座標!$E$13:$E$2301,設計座標!$L$13:$L$2301," ",0,1)</f>
        <v>1889.4492</v>
      </c>
      <c r="Z338">
        <f>SQRT(($M$337-$M$335)^2+($N$337-$N$335)^2)</f>
        <v>311.22450027951049</v>
      </c>
    </row>
    <row r="339" spans="1:28">
      <c r="A339" t="s">
        <v>797</v>
      </c>
      <c r="B339" t="s">
        <v>3811</v>
      </c>
      <c r="C339" t="s">
        <v>804</v>
      </c>
      <c r="D339" t="s">
        <v>1152</v>
      </c>
      <c r="E339" t="s">
        <v>804</v>
      </c>
      <c r="F339" t="s">
        <v>1448</v>
      </c>
      <c r="G339" t="s">
        <v>2413</v>
      </c>
      <c r="I339">
        <f>_xlfn.XLOOKUP($F339,設計座標!$E$13:$E$2301,設計座標!$G$13:$G$2301,"n/a",0,1)</f>
        <v>69.69519837931</v>
      </c>
      <c r="J339">
        <f>_xlfn.XLOOKUP($F339,設計座標!$E$13:$E$2301,設計座標!$H$13:$H$2301,"n/a",0,1)</f>
        <v>0</v>
      </c>
      <c r="K339">
        <f>_xlfn.XLOOKUP($F339,設計座標!$E$13:$E$2301,設計座標!$I$13:$I$2301,"n/a",0,1)</f>
        <v>62293.144778929985</v>
      </c>
      <c r="L339">
        <f>_xlfn.XLOOKUP($F339,設計座標!$E$13:$E$2301,設計座標!$J$13:$J$2301,"n/a",0,1)</f>
        <v>-270</v>
      </c>
      <c r="M339" s="2">
        <f t="shared" si="264"/>
        <v>0.24182983826787122</v>
      </c>
      <c r="N339" s="2">
        <f t="shared" si="265"/>
        <v>62293.144778929985</v>
      </c>
      <c r="O339" s="23">
        <f t="shared" si="266"/>
        <v>-265.22460259852528</v>
      </c>
      <c r="P339" s="1">
        <f t="shared" si="271"/>
        <v>-269.74426417798713</v>
      </c>
      <c r="Q339" s="1">
        <f t="shared" si="257"/>
        <v>0.24182983826787122</v>
      </c>
      <c r="R339">
        <f t="shared" si="238"/>
        <v>0</v>
      </c>
      <c r="S339" s="23">
        <f t="shared" si="256"/>
        <v>4.7753974014747484</v>
      </c>
      <c r="T339">
        <f>$S339+測地線補正!$Q$3*(lattice!$N339/1000)^3+測地線補正!$P$3*(lattice!$N339/1000)^2+測地線補正!$O$3*(lattice!$N339/1000)+測地線補正!$N$3</f>
        <v>0.25573582201286199</v>
      </c>
      <c r="U339">
        <f>ATAN(($P$341-$P$339)/ABS($N$341-$N$339))</f>
        <v>5.4093553416810857E-5</v>
      </c>
      <c r="V339">
        <v>0</v>
      </c>
      <c r="W339">
        <f>-ATAN(($M$341-$M$339)/ABS($N$341-$N$339))</f>
        <v>-4.2381839228353918E-5</v>
      </c>
      <c r="X339">
        <f>SQRT(($M$339-$M$338)^2+($N$339-$N$338)^2)</f>
        <v>183.69680016497784</v>
      </c>
      <c r="Y339">
        <f>_xlfn.XLOOKUP($F339,設計座標!$E$13:$E$2301,設計座標!$L$13:$L$2301," ",0,1)</f>
        <v>1889.4492</v>
      </c>
      <c r="Z339">
        <f>SQRT(($M$340-$M$337)^2+($N$340-$N$337)^2)</f>
        <v>2073.1460018619141</v>
      </c>
    </row>
    <row r="340" spans="1:28">
      <c r="A340" t="s">
        <v>797</v>
      </c>
      <c r="B340" t="s">
        <v>3811</v>
      </c>
      <c r="C340" t="s">
        <v>804</v>
      </c>
      <c r="D340" t="s">
        <v>1152</v>
      </c>
      <c r="E340" t="s">
        <v>804</v>
      </c>
      <c r="F340" t="s">
        <v>1336</v>
      </c>
      <c r="G340" t="s">
        <v>2413</v>
      </c>
      <c r="I340">
        <f>_xlfn.XLOOKUP($F340,設計座標!$E$13:$E$2301,設計座標!$G$13:$G$2301,"n/a",0,1)</f>
        <v>70.639922979310001</v>
      </c>
      <c r="J340">
        <f>_xlfn.XLOOKUP($F340,設計座標!$E$13:$E$2301,設計座標!$H$13:$H$2301,"n/a",0,1)</f>
        <v>0</v>
      </c>
      <c r="K340">
        <f>_xlfn.XLOOKUP($F340,設計座標!$E$13:$E$2301,設計座標!$I$13:$I$2301,"n/a",0,1)</f>
        <v>63237.869378929987</v>
      </c>
      <c r="L340">
        <f>_xlfn.XLOOKUP($F340,設計座標!$E$13:$E$2301,設計座標!$J$13:$J$2301,"n/a",0,1)</f>
        <v>-270</v>
      </c>
      <c r="M340" s="2">
        <f t="shared" si="264"/>
        <v>0.28186900440411528</v>
      </c>
      <c r="N340" s="2">
        <f t="shared" si="265"/>
        <v>63237.869378929987</v>
      </c>
      <c r="O340" s="23">
        <f t="shared" si="266"/>
        <v>-265.10736741305288</v>
      </c>
      <c r="P340" s="1">
        <f t="shared" si="271"/>
        <v>-269.69296828812378</v>
      </c>
      <c r="Q340" s="1">
        <f t="shared" si="257"/>
        <v>0.28186900440411528</v>
      </c>
      <c r="R340">
        <f t="shared" si="238"/>
        <v>0</v>
      </c>
      <c r="S340" s="23">
        <f t="shared" si="256"/>
        <v>4.8926325869471139</v>
      </c>
      <c r="T340">
        <f>$S340+測地線補正!$Q$3*(lattice!$N340/1000)^3+測地線補正!$P$3*(lattice!$N340/1000)^2+測地線補正!$O$3*(lattice!$N340/1000)+測地線補正!$N$3</f>
        <v>0.3070317118762011</v>
      </c>
      <c r="U340">
        <f t="shared" ref="U340:U341" si="272">ATAN(($P$341-$P$339)/ABS($N$341-$N$339))</f>
        <v>5.4093553416810857E-5</v>
      </c>
      <c r="V340">
        <v>0</v>
      </c>
      <c r="W340">
        <f t="shared" ref="W340:W341" si="273">-ATAN(($M$341-$M$339)/ABS($N$341-$N$339))</f>
        <v>-4.2381839228353918E-5</v>
      </c>
      <c r="X340" t="s">
        <v>3860</v>
      </c>
      <c r="Y340">
        <f>_xlfn.XLOOKUP($F340,設計座標!$E$13:$E$2301,設計座標!$L$13:$L$2301," ",0,1)</f>
        <v>1889.4492</v>
      </c>
      <c r="Z340">
        <f>SQRT(($M$340-$M$337)^2+($N$340-$N$337)^2)</f>
        <v>2073.1460018619141</v>
      </c>
    </row>
    <row r="341" spans="1:28">
      <c r="A341" t="s">
        <v>797</v>
      </c>
      <c r="B341" t="s">
        <v>3811</v>
      </c>
      <c r="C341" t="s">
        <v>804</v>
      </c>
      <c r="D341" t="s">
        <v>1152</v>
      </c>
      <c r="E341" t="s">
        <v>804</v>
      </c>
      <c r="F341" t="s">
        <v>1449</v>
      </c>
      <c r="G341" t="s">
        <v>2413</v>
      </c>
      <c r="I341">
        <f>_xlfn.XLOOKUP($F341,設計座標!$E$13:$E$2301,設計座標!$G$13:$G$2301,"n/a",0,1)</f>
        <v>71.584647579310001</v>
      </c>
      <c r="J341">
        <f>_xlfn.XLOOKUP($F341,設計座標!$E$13:$E$2301,設計座標!$H$13:$H$2301,"n/a",0,1)</f>
        <v>0</v>
      </c>
      <c r="K341">
        <f>_xlfn.XLOOKUP($F341,設計座標!$E$13:$E$2301,設計座標!$I$13:$I$2301,"n/a",0,1)</f>
        <v>64182.593978929988</v>
      </c>
      <c r="L341">
        <f>_xlfn.XLOOKUP($F341,設計座標!$E$13:$E$2301,設計座標!$J$13:$J$2301,"n/a",0,1)</f>
        <v>-270</v>
      </c>
      <c r="M341" s="2">
        <f t="shared" si="264"/>
        <v>0.32190817054035936</v>
      </c>
      <c r="N341" s="2">
        <f t="shared" si="265"/>
        <v>64182.593978929988</v>
      </c>
      <c r="O341" s="23">
        <f t="shared" si="266"/>
        <v>-264.99013222758055</v>
      </c>
      <c r="P341" s="1">
        <f t="shared" si="271"/>
        <v>-269.64205715665889</v>
      </c>
      <c r="Q341" s="1">
        <f t="shared" si="257"/>
        <v>0.32190817054035936</v>
      </c>
      <c r="R341">
        <f t="shared" si="238"/>
        <v>0</v>
      </c>
      <c r="S341" s="23">
        <f t="shared" si="256"/>
        <v>5.0098677724194793</v>
      </c>
      <c r="T341">
        <f>$S341+測地線補正!$Q$3*(lattice!$N341/1000)^3+測地線補正!$P$3*(lattice!$N341/1000)^2+測地線補正!$O$3*(lattice!$N341/1000)+測地線補正!$N$3</f>
        <v>0.35794284334112286</v>
      </c>
      <c r="U341">
        <f t="shared" si="272"/>
        <v>5.4093553416810857E-5</v>
      </c>
      <c r="V341">
        <v>0</v>
      </c>
      <c r="W341">
        <f t="shared" si="273"/>
        <v>-4.2381839228353918E-5</v>
      </c>
      <c r="X341" t="s">
        <v>3860</v>
      </c>
      <c r="Y341">
        <f>_xlfn.XLOOKUP($F341,設計座標!$E$13:$E$2301,設計座標!$L$13:$L$2301," ",0,1)</f>
        <v>1889.4492</v>
      </c>
      <c r="Z341">
        <f>SQRT(($M$340-$M$337)^2+($N$340-$N$337)^2)</f>
        <v>2073.1460018619141</v>
      </c>
    </row>
    <row r="342" spans="1:28">
      <c r="A342" t="s">
        <v>797</v>
      </c>
      <c r="B342" t="s">
        <v>3811</v>
      </c>
      <c r="C342" t="s">
        <v>1152</v>
      </c>
      <c r="D342" t="s">
        <v>1152</v>
      </c>
      <c r="E342" t="s">
        <v>804</v>
      </c>
      <c r="F342" t="s">
        <v>1978</v>
      </c>
      <c r="G342" t="s">
        <v>1978</v>
      </c>
      <c r="I342">
        <f>_xlfn.XLOOKUP($F342,設計座標!$E$13:$E$2301,設計座標!$G$13:$G$2301,"n/a",0,1)</f>
        <v>71.718647479309993</v>
      </c>
      <c r="J342">
        <f>_xlfn.XLOOKUP($F342,設計座標!$E$13:$E$2301,設計座標!$H$13:$H$2301,"n/a",0,1)</f>
        <v>0</v>
      </c>
      <c r="K342">
        <f>_xlfn.XLOOKUP($F342,設計座標!$E$13:$E$2301,設計座標!$I$13:$I$2301,"n/a",0,1)</f>
        <v>64316.593878929983</v>
      </c>
      <c r="L342">
        <f>_xlfn.XLOOKUP($F342,設計座標!$E$13:$E$2301,設計座標!$J$13:$J$2301,"n/a",0,1)</f>
        <v>-270</v>
      </c>
      <c r="M342" s="2">
        <f t="shared" si="264"/>
        <v>0.327587332762175</v>
      </c>
      <c r="N342" s="2">
        <f t="shared" si="265"/>
        <v>64316.593878929983</v>
      </c>
      <c r="O342" s="23">
        <f t="shared" si="266"/>
        <v>-264.9735035686785</v>
      </c>
      <c r="P342" s="1">
        <f t="shared" si="271"/>
        <v>-269.63486828295601</v>
      </c>
      <c r="Q342" s="1">
        <f t="shared" si="257"/>
        <v>0.327587332762175</v>
      </c>
      <c r="R342">
        <f t="shared" si="238"/>
        <v>0</v>
      </c>
      <c r="S342" s="23">
        <f t="shared" si="256"/>
        <v>5.0264964313215312</v>
      </c>
      <c r="T342">
        <f>$S342+測地線補正!$Q$3*(lattice!$N342/1000)^3+測地線補正!$P$3*(lattice!$N342/1000)^2+測地線補正!$O$3*(lattice!$N342/1000)+測地線補正!$N$3</f>
        <v>0.36513171704398689</v>
      </c>
      <c r="U342">
        <v>0</v>
      </c>
      <c r="V342">
        <v>0</v>
      </c>
      <c r="W342">
        <v>0</v>
      </c>
      <c r="X342">
        <f>SQRT(($M$342-$M$341)^2+($N$342-$N$341)^2)</f>
        <v>133.99990012034192</v>
      </c>
      <c r="Y342">
        <f>_xlfn.XLOOKUP($F342,設計座標!$E$13:$E$2301,設計座標!$L$13:$L$2301," ",0,1)</f>
        <v>0</v>
      </c>
      <c r="Z342">
        <f>SQRT(($M$342-$M$340)^2+($N$342-$N$340)^2)</f>
        <v>1078.7245009688102</v>
      </c>
    </row>
    <row r="343" spans="1:28">
      <c r="A343" t="s">
        <v>797</v>
      </c>
      <c r="B343" t="s">
        <v>3811</v>
      </c>
      <c r="C343" t="s">
        <v>805</v>
      </c>
      <c r="D343" t="s">
        <v>806</v>
      </c>
      <c r="F343" t="s">
        <v>40</v>
      </c>
      <c r="G343" t="s">
        <v>2414</v>
      </c>
      <c r="I343">
        <f>_xlfn.XLOOKUP($F343,設計座標!$E$13:$E$2301,設計座標!$G$13:$G$2301,"n/a",0,1)</f>
        <v>71.894327850170015</v>
      </c>
      <c r="J343">
        <f>_xlfn.XLOOKUP($F343,設計座標!$E$13:$E$2301,設計座標!$H$13:$H$2301,"n/a",0,1)</f>
        <v>0</v>
      </c>
      <c r="K343">
        <f>_xlfn.XLOOKUP($F343,設計座標!$E$13:$E$2301,設計座標!$I$13:$I$2301,"n/a",0,1)</f>
        <v>64492.274249790004</v>
      </c>
      <c r="L343">
        <f>_xlfn.XLOOKUP($F343,設計座標!$E$13:$E$2301,設計座標!$J$13:$J$2301,"n/a",0,1)</f>
        <v>-60</v>
      </c>
      <c r="M343" s="2">
        <f>_xlfn.XLOOKUP($F343,survey_data!$A$2:$A$833,survey_data!$B$2:$B$833,"n/a",0,1)</f>
        <v>0.33503298999999997</v>
      </c>
      <c r="N343" s="2">
        <f>_xlfn.XLOOKUP($F343,survey_data!$A$2:$A$833,survey_data!$C$2:$C$833,"n/a",0,1)</f>
        <v>64492.274249790004</v>
      </c>
      <c r="O343" s="23">
        <f>_xlfn.XLOOKUP($F343,survey_data!$A$2:$A$833,survey_data!$D$2:$D$833,"n/a",0,1)</f>
        <v>-54.951702589999996</v>
      </c>
      <c r="P343" s="1">
        <f t="shared" si="271"/>
        <v>-59.625455786879769</v>
      </c>
      <c r="Q343" s="1">
        <f t="shared" si="239"/>
        <v>0.33503298999999997</v>
      </c>
      <c r="R343">
        <f t="shared" si="238"/>
        <v>0</v>
      </c>
      <c r="S343" s="23">
        <f t="shared" si="240"/>
        <v>5.0482974100000035</v>
      </c>
      <c r="T343">
        <f>$S343+測地線補正!$Q$3*(lattice!$N343/1000)^3+測地線補正!$P$3*(lattice!$N343/1000)^2+測地線補正!$O$3*(lattice!$N343/1000)+測地線補正!$N$3</f>
        <v>0.3745442131202294</v>
      </c>
      <c r="U343">
        <f>ATAN(($P$344-$P$343)/ABS($N$344-$N$343))</f>
        <v>1.2587778398550977E-4</v>
      </c>
      <c r="V343">
        <v>0</v>
      </c>
      <c r="W343">
        <f>-ATAN(($M$344-$M$343)/ABS($N$344-$N$343))</f>
        <v>-3.0091883817230143E-4</v>
      </c>
      <c r="X343">
        <f>$Z$344-($Y$344+$Y$342)/2</f>
        <v>155.6803717399433</v>
      </c>
      <c r="Y343">
        <f>_xlfn.XLOOKUP($F343,設計座標!$E$13:$E$2301,設計座標!$L$13:$L$2301," ",0,1)</f>
        <v>120</v>
      </c>
      <c r="Z343">
        <f>SQRT(($M$344-$M$342)^2+($N$344-$N$342)^2)</f>
        <v>215.6803717399433</v>
      </c>
      <c r="AA343">
        <f>_xlfn.XLOOKUP($G343,magnet_list!$A$2:$A$592,magnet_list!$AJ$2:$AJ$592,"n/a",0,1)</f>
        <v>0.1333</v>
      </c>
      <c r="AB343">
        <f>_xlfn.XLOOKUP($G343,magnet_list!$A$2:$A$592,magnet_list!$L$2:$L$592,"n/a",0,1)</f>
        <v>23</v>
      </c>
    </row>
    <row r="344" spans="1:28">
      <c r="A344" t="s">
        <v>797</v>
      </c>
      <c r="B344" t="s">
        <v>3811</v>
      </c>
      <c r="C344" t="s">
        <v>805</v>
      </c>
      <c r="D344" t="s">
        <v>1152</v>
      </c>
      <c r="E344" t="s">
        <v>804</v>
      </c>
      <c r="F344" t="s">
        <v>559</v>
      </c>
      <c r="G344" t="s">
        <v>2414</v>
      </c>
      <c r="I344">
        <f>_xlfn.XLOOKUP($F344,設計座標!$E$13:$E$2301,設計座標!$G$13:$G$2301,"n/a",0,1)</f>
        <v>71.934327850170021</v>
      </c>
      <c r="J344">
        <f>_xlfn.XLOOKUP($F344,設計座標!$E$13:$E$2301,設計座標!$H$13:$H$2301,"n/a",0,1)</f>
        <v>0</v>
      </c>
      <c r="K344">
        <f>_xlfn.XLOOKUP($F344,設計座標!$E$13:$E$2301,設計座標!$I$13:$I$2301,"n/a",0,1)</f>
        <v>64532.274249790004</v>
      </c>
      <c r="L344">
        <f>_xlfn.XLOOKUP($F344,設計座標!$E$13:$E$2301,設計座標!$J$13:$J$2301,"n/a",0,1)</f>
        <v>-60</v>
      </c>
      <c r="M344" s="2">
        <f t="shared" si="264"/>
        <v>0.34706974389021</v>
      </c>
      <c r="N344" s="2">
        <f t="shared" si="265"/>
        <v>64532.274249790004</v>
      </c>
      <c r="O344" s="23">
        <f t="shared" si="266"/>
        <v>-54.943844802484463</v>
      </c>
      <c r="P344" s="1">
        <f t="shared" si="271"/>
        <v>-59.620420675493754</v>
      </c>
      <c r="Q344" s="1">
        <f>(Q$345-Q$343)/($N$345-$N$343)*($N344-$N$343)+Q$343</f>
        <v>0.34706974389021</v>
      </c>
      <c r="R344">
        <f t="shared" si="238"/>
        <v>0</v>
      </c>
      <c r="S344" s="23">
        <f>(S$345-S$343)/($N$345-$N$343)*($N344-$N$343)+S$343</f>
        <v>5.0561551975155368</v>
      </c>
      <c r="T344">
        <f>$S344+測地線補正!$Q$3*(lattice!$N344/1000)^3+測地線補正!$P$3*(lattice!$N344/1000)^2+測地線補正!$O$3*(lattice!$N344/1000)+測地線補正!$N$3</f>
        <v>0.37957932450624304</v>
      </c>
      <c r="U344">
        <f>ATAN(($P$344-$P$343)/ABS($N$344-$N$343))</f>
        <v>1.2587778398550977E-4</v>
      </c>
      <c r="V344">
        <v>0</v>
      </c>
      <c r="W344">
        <f>-ATAN(($M$344-$M$343)/ABS($N$344-$N$343))</f>
        <v>-3.0091883817230143E-4</v>
      </c>
      <c r="X344">
        <f>$Z$344-($Y$344+$Y$342)/2</f>
        <v>155.6803717399433</v>
      </c>
      <c r="Y344">
        <f>_xlfn.XLOOKUP($F344,設計座標!$E$13:$E$2301,設計座標!$L$13:$L$2301," ",0,1)</f>
        <v>120</v>
      </c>
      <c r="Z344">
        <f>SQRT(($M$344-$M$342)^2+($N$344-$N$342)^2)</f>
        <v>215.6803717399433</v>
      </c>
      <c r="AA344">
        <f>_xlfn.XLOOKUP($G344,magnet_list!$A$2:$A$592,magnet_list!$AJ$2:$AJ$592,"n/a",0,1)</f>
        <v>0.1333</v>
      </c>
      <c r="AB344">
        <f>_xlfn.XLOOKUP($G344,magnet_list!$A$2:$A$592,magnet_list!$L$2:$L$592,"n/a",0,1)</f>
        <v>23</v>
      </c>
    </row>
    <row r="345" spans="1:28">
      <c r="A345" t="s">
        <v>797</v>
      </c>
      <c r="B345" t="s">
        <v>3811</v>
      </c>
      <c r="C345" t="s">
        <v>805</v>
      </c>
      <c r="D345" t="s">
        <v>806</v>
      </c>
      <c r="F345" t="s">
        <v>41</v>
      </c>
      <c r="G345" t="s">
        <v>41</v>
      </c>
      <c r="I345">
        <f>_xlfn.XLOOKUP($F345,設計座標!$E$13:$E$2301,設計座標!$G$13:$G$2301,"n/a",0,1)</f>
        <v>72.114477503820012</v>
      </c>
      <c r="J345">
        <f>_xlfn.XLOOKUP($F345,設計座標!$E$13:$E$2301,設計座標!$H$13:$H$2301,"n/a",0,1)</f>
        <v>0</v>
      </c>
      <c r="K345">
        <f>_xlfn.XLOOKUP($F345,設計座標!$E$13:$E$2301,設計座標!$I$13:$I$2301,"n/a",0,1)</f>
        <v>64712.423903440002</v>
      </c>
      <c r="L345">
        <f>_xlfn.XLOOKUP($F345,設計座標!$E$13:$E$2301,設計座標!$J$13:$J$2301,"n/a",0,1)</f>
        <v>-60</v>
      </c>
      <c r="M345" s="2">
        <f>_xlfn.XLOOKUP($F345,survey_data!$A$2:$A$833,survey_data!$B$2:$B$833,"n/a",0,1)</f>
        <v>0.40128016999999999</v>
      </c>
      <c r="N345" s="2">
        <f>_xlfn.XLOOKUP($F345,survey_data!$A$2:$A$833,survey_data!$C$2:$C$833,"n/a",0,1)</f>
        <v>64712.423903440002</v>
      </c>
      <c r="O345" s="23">
        <f>_xlfn.XLOOKUP($F345,survey_data!$A$2:$A$833,survey_data!$D$2:$D$833,"n/a",0,1)</f>
        <v>-54.908455359999998</v>
      </c>
      <c r="P345" s="1">
        <f t="shared" si="271"/>
        <v>-59.59775304631718</v>
      </c>
      <c r="Q345" s="1">
        <f t="shared" si="239"/>
        <v>0.40128016999999999</v>
      </c>
      <c r="R345">
        <f t="shared" si="238"/>
        <v>0</v>
      </c>
      <c r="S345" s="23">
        <f t="shared" si="240"/>
        <v>5.0915446400000022</v>
      </c>
      <c r="T345">
        <f>$S345+測地線補正!$Q$3*(lattice!$N345/1000)^3+測地線補正!$P$3*(lattice!$N345/1000)^2+測地線補正!$O$3*(lattice!$N345/1000)+測地線補正!$N$3</f>
        <v>0.40224695368281721</v>
      </c>
      <c r="U345">
        <f>ATAN(($P$346-$P$345)/ABS($N$346-$N$345))</f>
        <v>5.7571939837458632E-5</v>
      </c>
      <c r="V345">
        <v>0</v>
      </c>
      <c r="W345">
        <f>-ATAN(($M$346-$M$345)/ABS($N$346-$N$345))</f>
        <v>5.3671026663154935E-5</v>
      </c>
      <c r="X345">
        <f>$Z$346-($Y$346+$Y$344)/2</f>
        <v>100.14965790784777</v>
      </c>
      <c r="Y345">
        <f>_xlfn.XLOOKUP($F345,設計座標!$E$13:$E$2301,設計座標!$L$13:$L$2301," ",0,1)</f>
        <v>240</v>
      </c>
      <c r="Z345">
        <f>SQRT(($M$346-$M$344)^2+($N$346-$N$344)^2)</f>
        <v>280.14965790784777</v>
      </c>
      <c r="AA345">
        <f>_xlfn.XLOOKUP($G345,magnet_list!$A$2:$A$592,magnet_list!$AJ$2:$AJ$592,"n/a",0,1)</f>
        <v>0.25219999999999998</v>
      </c>
      <c r="AB345">
        <f>_xlfn.XLOOKUP($G345,magnet_list!$A$2:$A$592,magnet_list!$L$2:$L$592,"n/a",0,1)</f>
        <v>23</v>
      </c>
    </row>
    <row r="346" spans="1:28">
      <c r="A346" t="s">
        <v>797</v>
      </c>
      <c r="B346" t="s">
        <v>3811</v>
      </c>
      <c r="C346" t="s">
        <v>805</v>
      </c>
      <c r="D346" t="s">
        <v>1152</v>
      </c>
      <c r="E346" t="s">
        <v>804</v>
      </c>
      <c r="F346" t="s">
        <v>560</v>
      </c>
      <c r="G346" t="s">
        <v>41</v>
      </c>
      <c r="I346">
        <f>_xlfn.XLOOKUP($F346,設計座標!$E$13:$E$2301,設計座標!$G$13:$G$2301,"n/a",0,1)</f>
        <v>72.214477503820007</v>
      </c>
      <c r="J346">
        <f>_xlfn.XLOOKUP($F346,設計座標!$E$13:$E$2301,設計座標!$H$13:$H$2301,"n/a",0,1)</f>
        <v>0</v>
      </c>
      <c r="K346">
        <f>_xlfn.XLOOKUP($F346,設計座標!$E$13:$E$2301,設計座標!$I$13:$I$2301,"n/a",0,1)</f>
        <v>64812.423903440002</v>
      </c>
      <c r="L346">
        <f>_xlfn.XLOOKUP($F346,設計座標!$E$13:$E$2301,設計座標!$J$13:$J$2301,"n/a",0,1)</f>
        <v>-60</v>
      </c>
      <c r="M346" s="2">
        <f t="shared" si="264"/>
        <v>0.39591306732853104</v>
      </c>
      <c r="N346" s="2">
        <f t="shared" si="265"/>
        <v>64812.423903440002</v>
      </c>
      <c r="O346" s="23">
        <f t="shared" si="266"/>
        <v>-54.89562982016264</v>
      </c>
      <c r="P346" s="1">
        <f t="shared" si="271"/>
        <v>-59.591995852327074</v>
      </c>
      <c r="Q346" s="1">
        <f>(Q$348-Q$345)/($N$348-$N$345)*($N346-$N$345)+Q$345</f>
        <v>0.39591306732853104</v>
      </c>
      <c r="R346">
        <f t="shared" si="238"/>
        <v>0</v>
      </c>
      <c r="S346" s="23">
        <f t="shared" ref="S346:S347" si="274">(S$348-S$345)/($N$348-$N$345)*($N346-$N$345)+S$345</f>
        <v>5.104370179837364</v>
      </c>
      <c r="T346">
        <f>$S346+測地線補正!$Q$3*(lattice!$N346/1000)^3+測地線補正!$P$3*(lattice!$N346/1000)^2+測地線補正!$O$3*(lattice!$N346/1000)+測地線補正!$N$3</f>
        <v>0.40800414767292831</v>
      </c>
      <c r="U346">
        <f>ATAN(($P$346-$P$345)/ABS($N$346-$N$345))</f>
        <v>5.7571939837458632E-5</v>
      </c>
      <c r="V346">
        <v>0</v>
      </c>
      <c r="W346">
        <f>-ATAN(($M$346-$M$345)/ABS($N$346-$N$345))</f>
        <v>5.3671026663154935E-5</v>
      </c>
      <c r="X346">
        <f>$Z$346-($Y$346+$Y$344)/2</f>
        <v>100.14965790784777</v>
      </c>
      <c r="Y346">
        <f>_xlfn.XLOOKUP($F346,設計座標!$E$13:$E$2301,設計座標!$L$13:$L$2301," ",0,1)</f>
        <v>240</v>
      </c>
      <c r="Z346">
        <f>SQRT(($M$346-$M$344)^2+($N$346-$N$344)^2)</f>
        <v>280.14965790784777</v>
      </c>
      <c r="AA346">
        <f>_xlfn.XLOOKUP($G346,magnet_list!$A$2:$A$592,magnet_list!$AJ$2:$AJ$592,"n/a",0,1)</f>
        <v>0.25219999999999998</v>
      </c>
      <c r="AB346">
        <f>_xlfn.XLOOKUP($G346,magnet_list!$A$2:$A$592,magnet_list!$L$2:$L$592,"n/a",0,1)</f>
        <v>23</v>
      </c>
    </row>
    <row r="347" spans="1:28">
      <c r="A347" t="s">
        <v>797</v>
      </c>
      <c r="B347" t="s">
        <v>3811</v>
      </c>
      <c r="C347" t="s">
        <v>805</v>
      </c>
      <c r="D347" t="s">
        <v>1152</v>
      </c>
      <c r="E347" t="s">
        <v>804</v>
      </c>
      <c r="F347" t="s">
        <v>561</v>
      </c>
      <c r="G347" t="s">
        <v>2414</v>
      </c>
      <c r="I347">
        <f>_xlfn.XLOOKUP($F347,設計座標!$E$13:$E$2301,設計座標!$G$13:$G$2301,"n/a",0,1)</f>
        <v>72.494788076969996</v>
      </c>
      <c r="J347">
        <f>_xlfn.XLOOKUP($F347,設計座標!$E$13:$E$2301,設計座標!$H$13:$H$2301,"n/a",0,1)</f>
        <v>0</v>
      </c>
      <c r="K347">
        <f>_xlfn.XLOOKUP($F347,設計座標!$E$13:$E$2301,設計座標!$I$13:$I$2301,"n/a",0,1)</f>
        <v>65092.734476589998</v>
      </c>
      <c r="L347">
        <f>_xlfn.XLOOKUP($F347,設計座標!$E$13:$E$2301,設計座標!$J$13:$J$2301,"n/a",0,1)</f>
        <v>-60</v>
      </c>
      <c r="M347" s="2">
        <f t="shared" si="264"/>
        <v>0.3808685110685876</v>
      </c>
      <c r="N347" s="2">
        <f t="shared" si="265"/>
        <v>65092.734476589998</v>
      </c>
      <c r="O347" s="23">
        <f t="shared" si="266"/>
        <v>-54.859678475934949</v>
      </c>
      <c r="P347" s="1">
        <f t="shared" si="271"/>
        <v>-59.575882974675977</v>
      </c>
      <c r="Q347" s="1">
        <f>(Q$348-Q$345)/($N$348-$N$345)*($N347-$N$345)+Q$345</f>
        <v>0.3808685110685876</v>
      </c>
      <c r="R347">
        <f t="shared" si="238"/>
        <v>0</v>
      </c>
      <c r="S347" s="23">
        <f t="shared" si="274"/>
        <v>5.1403215240650537</v>
      </c>
      <c r="T347">
        <f>$S347+測地線補正!$Q$3*(lattice!$N347/1000)^3+測地線補正!$P$3*(lattice!$N347/1000)^2+測地線補正!$O$3*(lattice!$N347/1000)+測地線補正!$N$3</f>
        <v>0.4241170253240229</v>
      </c>
      <c r="U347">
        <f>ATAN(($P$348-$P$347)/ABS($N$348-$N$347))</f>
        <v>5.740612045706049E-5</v>
      </c>
      <c r="V347">
        <v>0</v>
      </c>
      <c r="W347">
        <f>-ATAN(($M$348-$M$347)/ABS($N$348-$N$347))</f>
        <v>5.3671026663155213E-5</v>
      </c>
      <c r="X347">
        <f>$Z$347-($Y$347+$Y$346)/2</f>
        <v>100.31057355372474</v>
      </c>
      <c r="Y347">
        <f>_xlfn.XLOOKUP($F347,設計座標!$E$13:$E$2301,設計座標!$L$13:$L$2301," ",0,1)</f>
        <v>120</v>
      </c>
      <c r="Z347">
        <f>SQRT(($M$347-$M$346)^2+($N$347-$N$346)^2)</f>
        <v>280.31057355372474</v>
      </c>
      <c r="AA347">
        <f>_xlfn.XLOOKUP($G347,magnet_list!$A$2:$A$592,magnet_list!$AJ$2:$AJ$592,"n/a",0,1)</f>
        <v>0.1333</v>
      </c>
      <c r="AB347">
        <f>_xlfn.XLOOKUP($G347,magnet_list!$A$2:$A$592,magnet_list!$L$2:$L$592,"n/a",0,1)</f>
        <v>23</v>
      </c>
    </row>
    <row r="348" spans="1:28">
      <c r="A348" t="s">
        <v>797</v>
      </c>
      <c r="B348" t="s">
        <v>3811</v>
      </c>
      <c r="C348" t="s">
        <v>805</v>
      </c>
      <c r="D348" t="s">
        <v>806</v>
      </c>
      <c r="F348" t="s">
        <v>42</v>
      </c>
      <c r="G348" t="s">
        <v>2414</v>
      </c>
      <c r="I348">
        <f>_xlfn.XLOOKUP($F348,設計座標!$E$13:$E$2301,設計座標!$G$13:$G$2301,"n/a",0,1)</f>
        <v>72.534788076970003</v>
      </c>
      <c r="J348">
        <f>_xlfn.XLOOKUP($F348,設計座標!$E$13:$E$2301,設計座標!$H$13:$H$2301,"n/a",0,1)</f>
        <v>0</v>
      </c>
      <c r="K348">
        <f>_xlfn.XLOOKUP($F348,設計座標!$E$13:$E$2301,設計座標!$I$13:$I$2301,"n/a",0,1)</f>
        <v>65132.734476589998</v>
      </c>
      <c r="L348">
        <f>_xlfn.XLOOKUP($F348,設計座標!$E$13:$E$2301,設計座標!$J$13:$J$2301,"n/a",0,1)</f>
        <v>-60</v>
      </c>
      <c r="M348" s="2">
        <f>_xlfn.XLOOKUP($F348,survey_data!$A$2:$A$833,survey_data!$B$2:$B$833,"n/a",0,1)</f>
        <v>0.37872167000000001</v>
      </c>
      <c r="N348" s="2">
        <f>_xlfn.XLOOKUP($F348,survey_data!$A$2:$A$833,survey_data!$C$2:$C$833,"n/a",0,1)</f>
        <v>65132.734476589998</v>
      </c>
      <c r="O348" s="23">
        <f>_xlfn.XLOOKUP($F348,survey_data!$A$2:$A$833,survey_data!$D$2:$D$833,"n/a",0,1)</f>
        <v>-54.854548260000001</v>
      </c>
      <c r="P348" s="1">
        <f t="shared" si="271"/>
        <v>-59.573586729855172</v>
      </c>
      <c r="Q348" s="1">
        <f t="shared" si="239"/>
        <v>0.37872167000000001</v>
      </c>
      <c r="R348">
        <f t="shared" si="238"/>
        <v>0</v>
      </c>
      <c r="S348" s="23">
        <f t="shared" si="240"/>
        <v>5.1454517399999986</v>
      </c>
      <c r="T348">
        <f>$S348+測地線補正!$Q$3*(lattice!$N348/1000)^3+測地線補正!$P$3*(lattice!$N348/1000)^2+測地線補正!$O$3*(lattice!$N348/1000)+測地線補正!$N$3</f>
        <v>0.42641327014482683</v>
      </c>
      <c r="U348">
        <f>ATAN(($P$348-$P$347)/ABS($N$348-$N$347))</f>
        <v>5.740612045706049E-5</v>
      </c>
      <c r="V348">
        <v>0</v>
      </c>
      <c r="W348">
        <f>-ATAN(($M$348-$M$347)/ABS($N$348-$N$347))</f>
        <v>5.3671026663155213E-5</v>
      </c>
      <c r="X348">
        <f>$Z$347-($Y$347+$Y$346)/2</f>
        <v>100.31057355372474</v>
      </c>
      <c r="Y348">
        <f>_xlfn.XLOOKUP($F348,設計座標!$E$13:$E$2301,設計座標!$L$13:$L$2301," ",0,1)</f>
        <v>120</v>
      </c>
      <c r="Z348">
        <f>SQRT(($M$347-$M$346)^2+($N$347-$N$346)^2)</f>
        <v>280.31057355372474</v>
      </c>
      <c r="AA348">
        <f>_xlfn.XLOOKUP($G348,magnet_list!$A$2:$A$592,magnet_list!$AJ$2:$AJ$592,"n/a",0,1)</f>
        <v>0.1333</v>
      </c>
      <c r="AB348">
        <f>_xlfn.XLOOKUP($G348,magnet_list!$A$2:$A$592,magnet_list!$L$2:$L$592,"n/a",0,1)</f>
        <v>23</v>
      </c>
    </row>
    <row r="349" spans="1:28">
      <c r="A349" t="s">
        <v>797</v>
      </c>
      <c r="B349" t="s">
        <v>3811</v>
      </c>
      <c r="C349" t="s">
        <v>2288</v>
      </c>
      <c r="D349" t="s">
        <v>1152</v>
      </c>
      <c r="E349" t="s">
        <v>804</v>
      </c>
      <c r="F349" t="s">
        <v>2330</v>
      </c>
      <c r="G349" t="s">
        <v>2330</v>
      </c>
      <c r="I349">
        <f>_xlfn.XLOOKUP($F349,設計座標!$E$13:$E$2301,設計座標!$G$13:$G$2301,"n/a",0,1)</f>
        <v>72.758064479309994</v>
      </c>
      <c r="J349">
        <f>_xlfn.XLOOKUP($F349,設計座標!$E$13:$E$2301,設計座標!$H$13:$H$2301,"n/a",0,1)</f>
        <v>0</v>
      </c>
      <c r="K349">
        <f>_xlfn.XLOOKUP($F349,設計座標!$E$13:$E$2301,設計座標!$I$13:$I$2301,"n/a",0,1)</f>
        <v>65356.010878929985</v>
      </c>
      <c r="L349">
        <f>_xlfn.XLOOKUP($F349,設計座標!$E$13:$E$2301,設計座標!$J$13:$J$2301,"n/a",0,1)</f>
        <v>-270</v>
      </c>
      <c r="M349" s="2">
        <f t="shared" si="264"/>
        <v>0.37806744529040248</v>
      </c>
      <c r="N349" s="2">
        <f t="shared" si="265"/>
        <v>65356.010878929985</v>
      </c>
      <c r="O349" s="23">
        <f t="shared" si="266"/>
        <v>-264.84607058075028</v>
      </c>
      <c r="P349" s="1">
        <f t="shared" si="271"/>
        <v>-269.58094212307878</v>
      </c>
      <c r="Q349" s="1">
        <f>(Q$368-Q$348)/($N$368-$N$348)*($N349-$N$348)+Q$348</f>
        <v>0.37806744529040248</v>
      </c>
      <c r="R349">
        <f t="shared" si="238"/>
        <v>0</v>
      </c>
      <c r="S349" s="23">
        <f t="shared" ref="S349:S367" si="275">(S$368-S$348)/($N$368-$N$348)*($N349-$N$348)+S$348</f>
        <v>5.1539294192497254</v>
      </c>
      <c r="T349">
        <f>$S349+測地線補正!$Q$3*(lattice!$N349/1000)^3+測地線補正!$P$3*(lattice!$N349/1000)^2+測地線補正!$O$3*(lattice!$N349/1000)+測地線補正!$N$3</f>
        <v>0.4190578769212287</v>
      </c>
      <c r="U349">
        <v>0</v>
      </c>
      <c r="V349">
        <v>0</v>
      </c>
      <c r="W349">
        <v>0</v>
      </c>
      <c r="X349">
        <f>$Z$349-($Y$349+$Y$348)/2</f>
        <v>203.27640235488747</v>
      </c>
      <c r="Y349">
        <f>_xlfn.XLOOKUP($F349,設計座標!$E$13:$E$2301,設計座標!$L$13:$L$2301," ",0,1)</f>
        <v>0</v>
      </c>
      <c r="Z349">
        <f>SQRT(($M$349-$M$347)^2+($N$349-$N$347)^2)</f>
        <v>263.27640235488747</v>
      </c>
    </row>
    <row r="350" spans="1:28">
      <c r="A350" t="s">
        <v>797</v>
      </c>
      <c r="B350" t="s">
        <v>3811</v>
      </c>
      <c r="C350" t="s">
        <v>804</v>
      </c>
      <c r="D350" t="s">
        <v>1152</v>
      </c>
      <c r="E350" t="s">
        <v>804</v>
      </c>
      <c r="F350" t="s">
        <v>1450</v>
      </c>
      <c r="G350" t="s">
        <v>2415</v>
      </c>
      <c r="I350">
        <f>_xlfn.XLOOKUP($F350,設計座標!$E$13:$E$2301,設計座標!$G$13:$G$2301,"n/a",0,1)</f>
        <v>72.892064379309986</v>
      </c>
      <c r="J350">
        <f>_xlfn.XLOOKUP($F350,設計座標!$E$13:$E$2301,設計座標!$H$13:$H$2301,"n/a",0,1)</f>
        <v>0</v>
      </c>
      <c r="K350">
        <f>_xlfn.XLOOKUP($F350,設計座標!$E$13:$E$2301,設計座標!$I$13:$I$2301,"n/a",0,1)</f>
        <v>65490.01077892998</v>
      </c>
      <c r="L350">
        <f>_xlfn.XLOOKUP($F350,設計座標!$E$13:$E$2301,設計座標!$J$13:$J$2301,"n/a",0,1)</f>
        <v>-270</v>
      </c>
      <c r="M350" s="2">
        <f t="shared" si="264"/>
        <v>0.37767481066916692</v>
      </c>
      <c r="N350" s="2">
        <f t="shared" si="265"/>
        <v>65490.01077892998</v>
      </c>
      <c r="O350" s="23">
        <f t="shared" si="266"/>
        <v>-264.84098268001475</v>
      </c>
      <c r="P350" s="1">
        <f t="shared" si="271"/>
        <v>-269.58536804380765</v>
      </c>
      <c r="Q350" s="1">
        <f t="shared" ref="Q350:Q367" si="276">(Q$368-Q$348)/($N$368-$N$348)*($N350-$N$348)+Q$348</f>
        <v>0.37767481066916692</v>
      </c>
      <c r="R350">
        <f t="shared" si="238"/>
        <v>0</v>
      </c>
      <c r="S350" s="23">
        <f t="shared" si="275"/>
        <v>5.1590173199852698</v>
      </c>
      <c r="T350">
        <f>$S350+測地線補正!$Q$3*(lattice!$N350/1000)^3+測地線補正!$P$3*(lattice!$N350/1000)^2+測地線補正!$O$3*(lattice!$N350/1000)+測地線補正!$N$3</f>
        <v>0.41463195619232457</v>
      </c>
      <c r="U350">
        <f>ATAN(($P$354-$P$350)/ABS($N$354-$N$350))</f>
        <v>-3.3536833818767137E-5</v>
      </c>
      <c r="V350">
        <v>0</v>
      </c>
      <c r="W350">
        <f>-ATAN(($M$354-$M$350)/ABS($N$354-$N$350))</f>
        <v>2.9301113003400486E-6</v>
      </c>
      <c r="X350">
        <f>SQRT(($M$350-$M$349)^2+($N$350-$N$349)^2)</f>
        <v>133.99990000057048</v>
      </c>
      <c r="Y350">
        <f>_xlfn.XLOOKUP($F350,設計座標!$E$13:$E$2301,設計座標!$L$13:$L$2301," ",0,1)</f>
        <v>1889.4492</v>
      </c>
      <c r="Z350">
        <f>SQRT(($M$353-$M$351)^2+($N$353-$N$351)^2)</f>
        <v>311.22450000133261</v>
      </c>
    </row>
    <row r="351" spans="1:28">
      <c r="A351" t="s">
        <v>797</v>
      </c>
      <c r="B351" t="s">
        <v>3811</v>
      </c>
      <c r="C351" t="s">
        <v>3855</v>
      </c>
      <c r="D351" t="s">
        <v>1152</v>
      </c>
      <c r="E351" t="s">
        <v>804</v>
      </c>
      <c r="F351" t="s">
        <v>2232</v>
      </c>
      <c r="G351" t="s">
        <v>2232</v>
      </c>
      <c r="I351">
        <f>_xlfn.XLOOKUP($F351,設計座標!$E$13:$E$2301,設計座標!$G$13:$G$2301,"n/a",0,1)</f>
        <v>73.525564479309992</v>
      </c>
      <c r="J351">
        <f>_xlfn.XLOOKUP($F351,設計座標!$E$13:$E$2301,設計座標!$H$13:$H$2301,"n/a",0,1)</f>
        <v>0</v>
      </c>
      <c r="K351">
        <f>_xlfn.XLOOKUP($F351,設計座標!$E$13:$E$2301,設計座標!$I$13:$I$2301,"n/a",0,1)</f>
        <v>66123.510878929985</v>
      </c>
      <c r="L351">
        <f>_xlfn.XLOOKUP($F351,設計座標!$E$13:$E$2301,設計座標!$J$13:$J$2301,"n/a",0,1)</f>
        <v>-270</v>
      </c>
      <c r="M351" s="2">
        <f t="shared" si="264"/>
        <v>0.37581858486738506</v>
      </c>
      <c r="N351" s="2">
        <f t="shared" si="265"/>
        <v>66123.510878929985</v>
      </c>
      <c r="O351" s="23">
        <f t="shared" si="266"/>
        <v>-264.81692903799888</v>
      </c>
      <c r="P351" s="1">
        <f t="shared" si="271"/>
        <v>-269.60641152543042</v>
      </c>
      <c r="Q351" s="1">
        <f t="shared" si="276"/>
        <v>0.37581858486738506</v>
      </c>
      <c r="R351">
        <f t="shared" si="238"/>
        <v>0</v>
      </c>
      <c r="S351" s="23">
        <f t="shared" si="275"/>
        <v>5.1830709620011053</v>
      </c>
      <c r="T351">
        <f>$S351+測地線補正!$Q$3*(lattice!$N351/1000)^3+測地線補正!$P$3*(lattice!$N351/1000)^2+測地線補正!$O$3*(lattice!$N351/1000)+測地線補正!$N$3</f>
        <v>0.39358847456956098</v>
      </c>
      <c r="U351">
        <f t="shared" ref="U351:U352" si="277">ATAN(($P$354-$P$350)/ABS($N$354-$N$350))</f>
        <v>-3.3536833818767137E-5</v>
      </c>
      <c r="V351">
        <v>0</v>
      </c>
      <c r="W351">
        <f t="shared" ref="W351:W352" si="278">-ATAN(($M$354-$M$350)/ABS($N$354-$N$350))</f>
        <v>2.9301113003400486E-6</v>
      </c>
      <c r="X351" t="s">
        <v>3860</v>
      </c>
      <c r="Y351">
        <f>_xlfn.XLOOKUP($F351,設計座標!$E$13:$E$2301,設計座標!$L$13:$L$2301," ",0,1)</f>
        <v>1000</v>
      </c>
      <c r="Z351">
        <f>SQRT(($M$351-$M$349)^2+($N$351-$N$349)^2)</f>
        <v>767.50000000329476</v>
      </c>
      <c r="AA351">
        <f>_xlfn.XLOOKUP($G351,magnet_list!$A$2:$A$592,magnet_list!$AJ$2:$AJ$592,"n/a",0,1)</f>
        <v>0.95010000000000006</v>
      </c>
      <c r="AB351">
        <f>_xlfn.XLOOKUP($G351,magnet_list!$A$2:$A$592,magnet_list!$L$2:$L$592,"n/a",0,1)</f>
        <v>120</v>
      </c>
    </row>
    <row r="352" spans="1:28">
      <c r="A352" t="s">
        <v>797</v>
      </c>
      <c r="B352" t="s">
        <v>3811</v>
      </c>
      <c r="C352" t="s">
        <v>3855</v>
      </c>
      <c r="D352" t="s">
        <v>1152</v>
      </c>
      <c r="E352" t="s">
        <v>804</v>
      </c>
      <c r="F352" t="s">
        <v>2233</v>
      </c>
      <c r="G352" t="s">
        <v>2233</v>
      </c>
      <c r="I352">
        <f>_xlfn.XLOOKUP($F352,設計座標!$E$13:$E$2301,設計座標!$G$13:$G$2301,"n/a",0,1)</f>
        <v>73.525564479309992</v>
      </c>
      <c r="J352">
        <f>_xlfn.XLOOKUP($F352,設計座標!$E$13:$E$2301,設計座標!$H$13:$H$2301,"n/a",0,1)</f>
        <v>0</v>
      </c>
      <c r="K352">
        <f>_xlfn.XLOOKUP($F352,設計座標!$E$13:$E$2301,設計座標!$I$13:$I$2301,"n/a",0,1)</f>
        <v>66123.510878929985</v>
      </c>
      <c r="L352">
        <f>_xlfn.XLOOKUP($F352,設計座標!$E$13:$E$2301,設計座標!$J$13:$J$2301,"n/a",0,1)</f>
        <v>-270</v>
      </c>
      <c r="M352" s="2">
        <f t="shared" si="264"/>
        <v>0.37581858486738506</v>
      </c>
      <c r="N352" s="2">
        <f t="shared" si="265"/>
        <v>66123.510878929985</v>
      </c>
      <c r="O352" s="23">
        <f t="shared" si="266"/>
        <v>-264.81692903799888</v>
      </c>
      <c r="P352" s="1">
        <f t="shared" si="271"/>
        <v>-269.60641152543042</v>
      </c>
      <c r="Q352" s="1">
        <f t="shared" si="276"/>
        <v>0.37581858486738506</v>
      </c>
      <c r="R352">
        <f t="shared" si="238"/>
        <v>0</v>
      </c>
      <c r="S352" s="23">
        <f t="shared" si="275"/>
        <v>5.1830709620011053</v>
      </c>
      <c r="T352">
        <f>$S352+測地線補正!$Q$3*(lattice!$N352/1000)^3+測地線補正!$P$3*(lattice!$N352/1000)^2+測地線補正!$O$3*(lattice!$N352/1000)+測地線補正!$N$3</f>
        <v>0.39358847456956098</v>
      </c>
      <c r="U352">
        <f t="shared" si="277"/>
        <v>-3.3536833818767137E-5</v>
      </c>
      <c r="V352">
        <v>0</v>
      </c>
      <c r="W352">
        <f t="shared" si="278"/>
        <v>2.9301113003400486E-6</v>
      </c>
      <c r="X352" t="s">
        <v>3860</v>
      </c>
      <c r="Y352">
        <f>_xlfn.XLOOKUP($F352,設計座標!$E$13:$E$2301,設計座標!$L$13:$L$2301," ",0,1)</f>
        <v>1000</v>
      </c>
      <c r="Z352">
        <f>SQRT(($M$351-$M$349)^2+($N$351-$N$349)^2)</f>
        <v>767.50000000329476</v>
      </c>
      <c r="AA352">
        <f>_xlfn.XLOOKUP($G352,magnet_list!$A$2:$A$592,magnet_list!$AJ$2:$AJ$592,"n/a",0,1)</f>
        <v>0.95010000000000006</v>
      </c>
      <c r="AB352">
        <f>_xlfn.XLOOKUP($G352,magnet_list!$A$2:$A$592,magnet_list!$L$2:$L$592,"n/a",0,1)</f>
        <v>120</v>
      </c>
    </row>
    <row r="353" spans="1:28">
      <c r="A353" t="s">
        <v>797</v>
      </c>
      <c r="B353" t="s">
        <v>3811</v>
      </c>
      <c r="C353" t="s">
        <v>804</v>
      </c>
      <c r="D353" t="s">
        <v>1152</v>
      </c>
      <c r="E353" t="s">
        <v>804</v>
      </c>
      <c r="F353" t="s">
        <v>1172</v>
      </c>
      <c r="G353" t="s">
        <v>2415</v>
      </c>
      <c r="I353">
        <f>_xlfn.XLOOKUP($F353,設計座標!$E$13:$E$2301,設計座標!$G$13:$G$2301,"n/a",0,1)</f>
        <v>73.836788979309986</v>
      </c>
      <c r="J353">
        <f>_xlfn.XLOOKUP($F353,設計座標!$E$13:$E$2301,設計座標!$H$13:$H$2301,"n/a",0,1)</f>
        <v>0</v>
      </c>
      <c r="K353">
        <f>_xlfn.XLOOKUP($F353,設計座標!$E$13:$E$2301,設計座標!$I$13:$I$2301,"n/a",0,1)</f>
        <v>66434.735378929981</v>
      </c>
      <c r="L353">
        <f>_xlfn.XLOOKUP($F353,設計座標!$E$13:$E$2301,設計座標!$J$13:$J$2301,"n/a",0,1)</f>
        <v>-270</v>
      </c>
      <c r="M353" s="2">
        <f t="shared" si="264"/>
        <v>0.37490666244298976</v>
      </c>
      <c r="N353" s="2">
        <f t="shared" si="265"/>
        <v>66434.735378929981</v>
      </c>
      <c r="O353" s="23">
        <f t="shared" si="266"/>
        <v>-264.80511201901254</v>
      </c>
      <c r="P353" s="1">
        <f t="shared" si="271"/>
        <v>-269.61682325420736</v>
      </c>
      <c r="Q353" s="1">
        <f t="shared" si="276"/>
        <v>0.37490666244298976</v>
      </c>
      <c r="R353">
        <f t="shared" si="238"/>
        <v>0</v>
      </c>
      <c r="S353" s="23">
        <f t="shared" si="275"/>
        <v>5.1948879809874589</v>
      </c>
      <c r="T353">
        <f>$S353+測地線補正!$Q$3*(lattice!$N353/1000)^3+測地線補正!$P$3*(lattice!$N353/1000)^2+測地線補正!$O$3*(lattice!$N353/1000)+測地線補正!$N$3</f>
        <v>0.38317674579264266</v>
      </c>
      <c r="U353">
        <f t="shared" ref="U353:U354" si="279">ATAN(($P$354-$P$350)/ABS($N$354-$N$350))</f>
        <v>-3.3536833818767137E-5</v>
      </c>
      <c r="V353">
        <v>0</v>
      </c>
      <c r="W353">
        <f t="shared" ref="W353:W354" si="280">-ATAN(($M$354-$M$350)/ABS($N$354-$N$350))</f>
        <v>2.9301113003400486E-6</v>
      </c>
      <c r="X353" t="s">
        <v>3860</v>
      </c>
      <c r="Y353">
        <f>_xlfn.XLOOKUP($F353,設計座標!$E$13:$E$2301,設計座標!$L$13:$L$2301," ",0,1)</f>
        <v>1889.4492</v>
      </c>
      <c r="Z353">
        <f>SQRT(($M$353-$M$351)^2+($N$353-$N$351)^2)</f>
        <v>311.22450000133261</v>
      </c>
    </row>
    <row r="354" spans="1:28">
      <c r="A354" t="s">
        <v>797</v>
      </c>
      <c r="B354" t="s">
        <v>3811</v>
      </c>
      <c r="C354" t="s">
        <v>804</v>
      </c>
      <c r="D354" t="s">
        <v>1152</v>
      </c>
      <c r="E354" t="s">
        <v>804</v>
      </c>
      <c r="F354" t="s">
        <v>1451</v>
      </c>
      <c r="G354" t="s">
        <v>2415</v>
      </c>
      <c r="I354">
        <f>_xlfn.XLOOKUP($F354,設計座標!$E$13:$E$2301,設計座標!$G$13:$G$2301,"n/a",0,1)</f>
        <v>74.781513579309987</v>
      </c>
      <c r="J354">
        <f>_xlfn.XLOOKUP($F354,設計座標!$E$13:$E$2301,設計座標!$H$13:$H$2301,"n/a",0,1)</f>
        <v>0</v>
      </c>
      <c r="K354">
        <f>_xlfn.XLOOKUP($F354,設計座標!$E$13:$E$2301,設計座標!$I$13:$I$2301,"n/a",0,1)</f>
        <v>67379.459978929983</v>
      </c>
      <c r="L354">
        <f>_xlfn.XLOOKUP($F354,設計座標!$E$13:$E$2301,設計座標!$J$13:$J$2301,"n/a",0,1)</f>
        <v>-270</v>
      </c>
      <c r="M354" s="2">
        <f t="shared" si="264"/>
        <v>0.3721385142168126</v>
      </c>
      <c r="N354" s="2">
        <f t="shared" si="265"/>
        <v>67379.459978929983</v>
      </c>
      <c r="O354" s="23">
        <f t="shared" si="266"/>
        <v>-264.76924135801033</v>
      </c>
      <c r="P354" s="1">
        <f t="shared" si="271"/>
        <v>-269.64873418766081</v>
      </c>
      <c r="Q354" s="1">
        <f t="shared" si="276"/>
        <v>0.3721385142168126</v>
      </c>
      <c r="R354">
        <f t="shared" si="238"/>
        <v>0</v>
      </c>
      <c r="S354" s="23">
        <f t="shared" si="275"/>
        <v>5.2307586419896488</v>
      </c>
      <c r="T354">
        <f>$S354+測地線補正!$Q$3*(lattice!$N354/1000)^3+測地線補正!$P$3*(lattice!$N354/1000)^2+測地線補正!$O$3*(lattice!$N354/1000)+測地線補正!$N$3</f>
        <v>0.35126581233917448</v>
      </c>
      <c r="U354">
        <f t="shared" si="279"/>
        <v>-3.3536833818767137E-5</v>
      </c>
      <c r="V354">
        <v>0</v>
      </c>
      <c r="W354">
        <f t="shared" si="280"/>
        <v>2.9301113003400486E-6</v>
      </c>
      <c r="X354" t="s">
        <v>3860</v>
      </c>
      <c r="Y354">
        <f>_xlfn.XLOOKUP($F354,設計座標!$E$13:$E$2301,設計座標!$L$13:$L$2301," ",0,1)</f>
        <v>1889.4492</v>
      </c>
      <c r="Z354">
        <f>SQRT(($M$353-$M$351)^2+($N$353-$N$351)^2)</f>
        <v>311.22450000133261</v>
      </c>
    </row>
    <row r="355" spans="1:28">
      <c r="A355" t="s">
        <v>797</v>
      </c>
      <c r="B355" t="s">
        <v>3811</v>
      </c>
      <c r="C355" t="s">
        <v>804</v>
      </c>
      <c r="D355" t="s">
        <v>1152</v>
      </c>
      <c r="E355" t="s">
        <v>804</v>
      </c>
      <c r="F355" t="s">
        <v>1452</v>
      </c>
      <c r="G355" t="s">
        <v>2416</v>
      </c>
      <c r="I355">
        <f>_xlfn.XLOOKUP($F355,設計座標!$E$13:$E$2301,設計座標!$G$13:$G$2301,"n/a",0,1)</f>
        <v>74.96521037930998</v>
      </c>
      <c r="J355">
        <f>_xlfn.XLOOKUP($F355,設計座標!$E$13:$E$2301,設計座標!$H$13:$H$2301,"n/a",0,1)</f>
        <v>0</v>
      </c>
      <c r="K355">
        <f>_xlfn.XLOOKUP($F355,設計座標!$E$13:$E$2301,設計座標!$I$13:$I$2301,"n/a",0,1)</f>
        <v>67563.156778929973</v>
      </c>
      <c r="L355">
        <f>_xlfn.XLOOKUP($F355,設計座標!$E$13:$E$2301,設計座標!$J$13:$J$2301,"n/a",0,1)</f>
        <v>-270</v>
      </c>
      <c r="M355" s="2">
        <f t="shared" si="264"/>
        <v>0.37160026214729475</v>
      </c>
      <c r="N355" s="2">
        <f t="shared" si="265"/>
        <v>67563.156778929973</v>
      </c>
      <c r="O355" s="23">
        <f t="shared" si="266"/>
        <v>-264.76226649397063</v>
      </c>
      <c r="P355" s="1">
        <f t="shared" si="271"/>
        <v>-269.65499380625931</v>
      </c>
      <c r="Q355" s="1">
        <f t="shared" si="276"/>
        <v>0.37160026214729475</v>
      </c>
      <c r="R355">
        <f t="shared" si="238"/>
        <v>0</v>
      </c>
      <c r="S355" s="23">
        <f t="shared" si="275"/>
        <v>5.237733506029377</v>
      </c>
      <c r="T355">
        <f>$S355+測地線補正!$Q$3*(lattice!$N355/1000)^3+測地線補正!$P$3*(lattice!$N355/1000)^2+測地線補正!$O$3*(lattice!$N355/1000)+測地線補正!$N$3</f>
        <v>0.34500619374068558</v>
      </c>
      <c r="U355">
        <f>ATAN(($P$357-$P$355)/ABS($N$357-$N$355))</f>
        <v>-3.4648854587109897E-5</v>
      </c>
      <c r="V355">
        <v>0</v>
      </c>
      <c r="W355">
        <f>-ATAN(($M$357-$M$355)/ABS($N$357-$N$355))</f>
        <v>2.9301113003400486E-6</v>
      </c>
      <c r="X355">
        <f>SQRT(($M$355-$M$354)^2+($N$355-$N$354)^2)</f>
        <v>183.69680000077918</v>
      </c>
      <c r="Y355">
        <f>_xlfn.XLOOKUP($F355,設計座標!$E$13:$E$2301,設計座標!$L$13:$L$2301," ",0,1)</f>
        <v>1889.4492</v>
      </c>
      <c r="Z355">
        <f>SQRT(($M$356-$M$353)^2+($N$356-$N$353)^2)</f>
        <v>2073.1460000088928</v>
      </c>
    </row>
    <row r="356" spans="1:28">
      <c r="A356" t="s">
        <v>797</v>
      </c>
      <c r="B356" t="s">
        <v>3811</v>
      </c>
      <c r="C356" t="s">
        <v>804</v>
      </c>
      <c r="D356" t="s">
        <v>1152</v>
      </c>
      <c r="E356" t="s">
        <v>804</v>
      </c>
      <c r="F356" t="s">
        <v>1228</v>
      </c>
      <c r="G356" t="s">
        <v>2416</v>
      </c>
      <c r="I356">
        <f>_xlfn.XLOOKUP($F356,設計座標!$E$13:$E$2301,設計座標!$G$13:$G$2301,"n/a",0,1)</f>
        <v>75.90993497930998</v>
      </c>
      <c r="J356">
        <f>_xlfn.XLOOKUP($F356,設計座標!$E$13:$E$2301,設計座標!$H$13:$H$2301,"n/a",0,1)</f>
        <v>0</v>
      </c>
      <c r="K356">
        <f>_xlfn.XLOOKUP($F356,設計座標!$E$13:$E$2301,設計座標!$I$13:$I$2301,"n/a",0,1)</f>
        <v>68507.881378929975</v>
      </c>
      <c r="L356">
        <f>_xlfn.XLOOKUP($F356,設計座標!$E$13:$E$2301,設計座標!$J$13:$J$2301,"n/a",0,1)</f>
        <v>-270</v>
      </c>
      <c r="M356" s="2">
        <f t="shared" si="264"/>
        <v>0.36883211392111759</v>
      </c>
      <c r="N356" s="2">
        <f t="shared" si="265"/>
        <v>68507.881378929975</v>
      </c>
      <c r="O356" s="23">
        <f t="shared" si="266"/>
        <v>-264.72639583296842</v>
      </c>
      <c r="P356" s="1">
        <f t="shared" si="271"/>
        <v>-269.68747655998601</v>
      </c>
      <c r="Q356" s="1">
        <f t="shared" si="276"/>
        <v>0.36883211392111759</v>
      </c>
      <c r="R356">
        <f t="shared" si="238"/>
        <v>0</v>
      </c>
      <c r="S356" s="23">
        <f t="shared" si="275"/>
        <v>5.2736041670315661</v>
      </c>
      <c r="T356">
        <f>$S356+測地線補正!$Q$3*(lattice!$N356/1000)^3+測地線補正!$P$3*(lattice!$N356/1000)^2+測地線補正!$O$3*(lattice!$N356/1000)+測地線補正!$N$3</f>
        <v>0.31252344001396198</v>
      </c>
      <c r="U356">
        <f t="shared" ref="U356:U357" si="281">ATAN(($P$357-$P$355)/ABS($N$357-$N$355))</f>
        <v>-3.4648854587109897E-5</v>
      </c>
      <c r="V356">
        <v>0</v>
      </c>
      <c r="W356">
        <f t="shared" ref="W356:W357" si="282">-ATAN(($M$357-$M$355)/ABS($N$357-$N$355))</f>
        <v>2.9301113003400486E-6</v>
      </c>
      <c r="X356" t="s">
        <v>3860</v>
      </c>
      <c r="Y356">
        <f>_xlfn.XLOOKUP($F356,設計座標!$E$13:$E$2301,設計座標!$L$13:$L$2301," ",0,1)</f>
        <v>1889.4492</v>
      </c>
      <c r="Z356">
        <f>SQRT(($M$356-$M$353)^2+($N$356-$N$353)^2)</f>
        <v>2073.1460000088928</v>
      </c>
    </row>
    <row r="357" spans="1:28">
      <c r="A357" t="s">
        <v>797</v>
      </c>
      <c r="B357" t="s">
        <v>3811</v>
      </c>
      <c r="C357" t="s">
        <v>804</v>
      </c>
      <c r="D357" t="s">
        <v>1152</v>
      </c>
      <c r="E357" t="s">
        <v>804</v>
      </c>
      <c r="F357" t="s">
        <v>1453</v>
      </c>
      <c r="G357" t="s">
        <v>2416</v>
      </c>
      <c r="I357">
        <f>_xlfn.XLOOKUP($F357,設計座標!$E$13:$E$2301,設計座標!$G$13:$G$2301,"n/a",0,1)</f>
        <v>76.854659579309981</v>
      </c>
      <c r="J357">
        <f>_xlfn.XLOOKUP($F357,設計座標!$E$13:$E$2301,設計座標!$H$13:$H$2301,"n/a",0,1)</f>
        <v>0</v>
      </c>
      <c r="K357">
        <f>_xlfn.XLOOKUP($F357,設計座標!$E$13:$E$2301,設計座標!$I$13:$I$2301,"n/a",0,1)</f>
        <v>69452.605978929976</v>
      </c>
      <c r="L357">
        <f>_xlfn.XLOOKUP($F357,設計座標!$E$13:$E$2301,設計座標!$J$13:$J$2301,"n/a",0,1)</f>
        <v>-270</v>
      </c>
      <c r="M357" s="2">
        <f t="shared" si="264"/>
        <v>0.36606396569494043</v>
      </c>
      <c r="N357" s="2">
        <f t="shared" si="265"/>
        <v>69452.605978929976</v>
      </c>
      <c r="O357" s="23">
        <f t="shared" si="266"/>
        <v>-264.69052517196627</v>
      </c>
      <c r="P357" s="1">
        <f t="shared" si="271"/>
        <v>-269.72046105686604</v>
      </c>
      <c r="Q357" s="1">
        <f t="shared" si="276"/>
        <v>0.36606396569494043</v>
      </c>
      <c r="R357">
        <f t="shared" si="238"/>
        <v>0</v>
      </c>
      <c r="S357" s="23">
        <f t="shared" si="275"/>
        <v>5.3094748280337551</v>
      </c>
      <c r="T357">
        <f>$S357+測地線補正!$Q$3*(lattice!$N357/1000)^3+測地線補正!$P$3*(lattice!$N357/1000)^2+測地線補正!$O$3*(lattice!$N357/1000)+測地線補正!$N$3</f>
        <v>0.27953894313394584</v>
      </c>
      <c r="U357">
        <f t="shared" si="281"/>
        <v>-3.4648854587109897E-5</v>
      </c>
      <c r="V357">
        <v>0</v>
      </c>
      <c r="W357">
        <f t="shared" si="282"/>
        <v>2.9301113003400486E-6</v>
      </c>
      <c r="X357" t="s">
        <v>3860</v>
      </c>
      <c r="Y357">
        <f>_xlfn.XLOOKUP($F357,設計座標!$E$13:$E$2301,設計座標!$L$13:$L$2301," ",0,1)</f>
        <v>1889.4492</v>
      </c>
      <c r="Z357">
        <f>SQRT(($M$356-$M$353)^2+($N$356-$N$353)^2)</f>
        <v>2073.1460000088928</v>
      </c>
    </row>
    <row r="358" spans="1:28">
      <c r="A358" t="s">
        <v>797</v>
      </c>
      <c r="B358" t="s">
        <v>3811</v>
      </c>
      <c r="C358" t="s">
        <v>1152</v>
      </c>
      <c r="D358" t="s">
        <v>1152</v>
      </c>
      <c r="E358" t="s">
        <v>804</v>
      </c>
      <c r="F358" t="s">
        <v>1979</v>
      </c>
      <c r="G358" t="s">
        <v>1979</v>
      </c>
      <c r="I358">
        <f>_xlfn.XLOOKUP($F358,設計座標!$E$13:$E$2301,設計座標!$G$13:$G$2301,"n/a",0,1)</f>
        <v>77.08805247930998</v>
      </c>
      <c r="J358">
        <f>_xlfn.XLOOKUP($F358,設計座標!$E$13:$E$2301,設計座標!$H$13:$H$2301,"n/a",0,1)</f>
        <v>0</v>
      </c>
      <c r="K358">
        <f>_xlfn.XLOOKUP($F358,設計座標!$E$13:$E$2301,設計座標!$I$13:$I$2301,"n/a",0,1)</f>
        <v>69685.998878929968</v>
      </c>
      <c r="L358">
        <f>_xlfn.XLOOKUP($F358,設計座標!$E$13:$E$2301,設計座標!$J$13:$J$2301,"n/a",0,1)</f>
        <v>-270</v>
      </c>
      <c r="M358" s="2">
        <f t="shared" si="264"/>
        <v>0.36538009852122938</v>
      </c>
      <c r="N358" s="2">
        <f t="shared" si="265"/>
        <v>69685.998878929968</v>
      </c>
      <c r="O358" s="23">
        <f t="shared" si="266"/>
        <v>-264.68166337499787</v>
      </c>
      <c r="P358" s="1">
        <f t="shared" si="271"/>
        <v>-269.72868953955629</v>
      </c>
      <c r="Q358" s="1">
        <f t="shared" si="276"/>
        <v>0.36538009852122938</v>
      </c>
      <c r="R358">
        <f t="shared" si="238"/>
        <v>0</v>
      </c>
      <c r="S358" s="23">
        <f t="shared" si="275"/>
        <v>5.318336625002118</v>
      </c>
      <c r="T358">
        <f>$S358+測地線補正!$Q$3*(lattice!$N358/1000)^3+測地線補正!$P$3*(lattice!$N358/1000)^2+測地線補正!$O$3*(lattice!$N358/1000)+測地線補正!$N$3</f>
        <v>0.27131046044371682</v>
      </c>
      <c r="U358">
        <v>0</v>
      </c>
      <c r="V358">
        <v>0</v>
      </c>
      <c r="W358">
        <v>0</v>
      </c>
      <c r="X358">
        <f>SQRT(($M$358-$M$357)^2+($N$358-$N$357)^2)</f>
        <v>233.39290000099356</v>
      </c>
      <c r="Y358">
        <f>_xlfn.XLOOKUP($F358,設計座標!$E$13:$E$2301,設計座標!$L$13:$L$2301," ",0,1)</f>
        <v>0</v>
      </c>
      <c r="Z358">
        <f>SQRT(($M$358-$M$356)^2+($N$358-$N$356)^2)</f>
        <v>1178.1175000050505</v>
      </c>
    </row>
    <row r="359" spans="1:28">
      <c r="A359" t="s">
        <v>797</v>
      </c>
      <c r="B359" t="s">
        <v>3811</v>
      </c>
      <c r="C359" t="s">
        <v>804</v>
      </c>
      <c r="D359" t="s">
        <v>1152</v>
      </c>
      <c r="E359" t="s">
        <v>804</v>
      </c>
      <c r="F359" t="s">
        <v>1454</v>
      </c>
      <c r="G359" t="s">
        <v>2417</v>
      </c>
      <c r="I359">
        <f>_xlfn.XLOOKUP($F359,設計座標!$E$13:$E$2301,設計座標!$G$13:$G$2301,"n/a",0,1)</f>
        <v>77.222052379309972</v>
      </c>
      <c r="J359">
        <f>_xlfn.XLOOKUP($F359,設計座標!$E$13:$E$2301,設計座標!$H$13:$H$2301,"n/a",0,1)</f>
        <v>0</v>
      </c>
      <c r="K359">
        <f>_xlfn.XLOOKUP($F359,設計座標!$E$13:$E$2301,設計座標!$I$13:$I$2301,"n/a",0,1)</f>
        <v>69819.998778929963</v>
      </c>
      <c r="L359">
        <f>_xlfn.XLOOKUP($F359,設計座標!$E$13:$E$2301,設計座標!$J$13:$J$2301,"n/a",0,1)</f>
        <v>-270</v>
      </c>
      <c r="M359" s="2">
        <f t="shared" si="264"/>
        <v>0.36498746389999381</v>
      </c>
      <c r="N359" s="2">
        <f t="shared" si="265"/>
        <v>69819.998778929963</v>
      </c>
      <c r="O359" s="23">
        <f t="shared" si="266"/>
        <v>-264.67657547426234</v>
      </c>
      <c r="P359" s="1">
        <f t="shared" si="271"/>
        <v>-269.73342836912582</v>
      </c>
      <c r="Q359" s="1">
        <f t="shared" si="276"/>
        <v>0.36498746389999381</v>
      </c>
      <c r="R359">
        <f t="shared" si="238"/>
        <v>0</v>
      </c>
      <c r="S359" s="23">
        <f t="shared" si="275"/>
        <v>5.3234245257376624</v>
      </c>
      <c r="T359">
        <f>$S359+測地線補正!$Q$3*(lattice!$N359/1000)^3+測地線補正!$P$3*(lattice!$N359/1000)^2+測地線補正!$O$3*(lattice!$N359/1000)+測地線補正!$N$3</f>
        <v>0.26657163087420804</v>
      </c>
      <c r="U359">
        <f>ATAN(($P$363-$P$359)/ABS($N$363-$N$359))</f>
        <v>-3.5980933426175076E-5</v>
      </c>
      <c r="V359">
        <v>0</v>
      </c>
      <c r="W359">
        <f>-ATAN(($M$363-$M$359)/ABS($N$363-$N$359))</f>
        <v>2.9301113003400486E-6</v>
      </c>
      <c r="X359">
        <f>SQRT(($M$359-$M$358)^2+($N$359-$N$358)^2)</f>
        <v>133.99990000057048</v>
      </c>
      <c r="Y359">
        <f>_xlfn.XLOOKUP($F359,設計座標!$E$13:$E$2301,設計座標!$L$13:$L$2301," ",0,1)</f>
        <v>1889.4492</v>
      </c>
      <c r="Z359">
        <f>SQRT(($M$362-$M$360)^2+($N$362-$N$360)^2)</f>
        <v>311.22450000133261</v>
      </c>
    </row>
    <row r="360" spans="1:28">
      <c r="A360" t="s">
        <v>797</v>
      </c>
      <c r="B360" t="s">
        <v>3811</v>
      </c>
      <c r="C360" t="s">
        <v>3855</v>
      </c>
      <c r="D360" t="s">
        <v>1152</v>
      </c>
      <c r="E360" t="s">
        <v>804</v>
      </c>
      <c r="F360" t="s">
        <v>2234</v>
      </c>
      <c r="G360" t="s">
        <v>2234</v>
      </c>
      <c r="I360">
        <f>_xlfn.XLOOKUP($F360,設計座標!$E$13:$E$2301,設計座標!$G$13:$G$2301,"n/a",0,1)</f>
        <v>77.855552479309978</v>
      </c>
      <c r="J360">
        <f>_xlfn.XLOOKUP($F360,設計座標!$E$13:$E$2301,設計座標!$H$13:$H$2301,"n/a",0,1)</f>
        <v>0</v>
      </c>
      <c r="K360">
        <f>_xlfn.XLOOKUP($F360,設計座標!$E$13:$E$2301,設計座標!$I$13:$I$2301,"n/a",0,1)</f>
        <v>70453.498878929968</v>
      </c>
      <c r="L360">
        <f>_xlfn.XLOOKUP($F360,設計座標!$E$13:$E$2301,設計座標!$J$13:$J$2301,"n/a",0,1)</f>
        <v>-270</v>
      </c>
      <c r="M360" s="2">
        <f t="shared" si="264"/>
        <v>0.36313123809821191</v>
      </c>
      <c r="N360" s="2">
        <f t="shared" si="265"/>
        <v>70453.498878929968</v>
      </c>
      <c r="O360" s="23">
        <f t="shared" si="266"/>
        <v>-264.65252183224652</v>
      </c>
      <c r="P360" s="1">
        <f t="shared" si="271"/>
        <v>-269.75597734482318</v>
      </c>
      <c r="Q360" s="1">
        <f t="shared" si="276"/>
        <v>0.36313123809821191</v>
      </c>
      <c r="R360">
        <f t="shared" si="238"/>
        <v>0</v>
      </c>
      <c r="S360" s="23">
        <f t="shared" si="275"/>
        <v>5.3474781677534979</v>
      </c>
      <c r="T360">
        <f>$S360+測地線補正!$Q$3*(lattice!$N360/1000)^3+測地線補正!$P$3*(lattice!$N360/1000)^2+測地線補正!$O$3*(lattice!$N360/1000)+測地線補正!$N$3</f>
        <v>0.24402265517680202</v>
      </c>
      <c r="U360">
        <f t="shared" ref="U360:U361" si="283">ATAN(($P$363-$P$359)/ABS($N$363-$N$359))</f>
        <v>-3.5980933426175076E-5</v>
      </c>
      <c r="V360">
        <v>0</v>
      </c>
      <c r="W360">
        <f t="shared" ref="W360:W361" si="284">-ATAN(($M$363-$M$359)/ABS($N$363-$N$359))</f>
        <v>2.9301113003400486E-6</v>
      </c>
      <c r="X360" t="s">
        <v>3860</v>
      </c>
      <c r="Y360">
        <f>_xlfn.XLOOKUP($F360,設計座標!$E$13:$E$2301,設計座標!$L$13:$L$2301," ",0,1)</f>
        <v>1000</v>
      </c>
      <c r="Z360">
        <f>SQRT(($M$360-$M$358)^2+($N$360-$N$358)^2)</f>
        <v>767.50000000329476</v>
      </c>
      <c r="AA360">
        <f>_xlfn.XLOOKUP($G360,magnet_list!$A$2:$A$592,magnet_list!$AJ$2:$AJ$592,"n/a",0,1)</f>
        <v>0.95010000000000006</v>
      </c>
      <c r="AB360">
        <f>_xlfn.XLOOKUP($G360,magnet_list!$A$2:$A$592,magnet_list!$L$2:$L$592,"n/a",0,1)</f>
        <v>120</v>
      </c>
    </row>
    <row r="361" spans="1:28">
      <c r="A361" t="s">
        <v>797</v>
      </c>
      <c r="B361" t="s">
        <v>3811</v>
      </c>
      <c r="C361" t="s">
        <v>3855</v>
      </c>
      <c r="D361" t="s">
        <v>1152</v>
      </c>
      <c r="E361" t="s">
        <v>804</v>
      </c>
      <c r="F361" t="s">
        <v>2235</v>
      </c>
      <c r="G361" t="s">
        <v>2235</v>
      </c>
      <c r="I361">
        <f>_xlfn.XLOOKUP($F361,設計座標!$E$13:$E$2301,設計座標!$G$13:$G$2301,"n/a",0,1)</f>
        <v>77.855552479309978</v>
      </c>
      <c r="J361">
        <f>_xlfn.XLOOKUP($F361,設計座標!$E$13:$E$2301,設計座標!$H$13:$H$2301,"n/a",0,1)</f>
        <v>0</v>
      </c>
      <c r="K361">
        <f>_xlfn.XLOOKUP($F361,設計座標!$E$13:$E$2301,設計座標!$I$13:$I$2301,"n/a",0,1)</f>
        <v>70453.498878929968</v>
      </c>
      <c r="L361">
        <f>_xlfn.XLOOKUP($F361,設計座標!$E$13:$E$2301,設計座標!$J$13:$J$2301,"n/a",0,1)</f>
        <v>-270</v>
      </c>
      <c r="M361" s="2">
        <f t="shared" si="264"/>
        <v>0.36313123809821191</v>
      </c>
      <c r="N361" s="2">
        <f t="shared" si="265"/>
        <v>70453.498878929968</v>
      </c>
      <c r="O361" s="23">
        <f t="shared" si="266"/>
        <v>-264.65252183224652</v>
      </c>
      <c r="P361" s="1">
        <f t="shared" si="271"/>
        <v>-269.75597734482318</v>
      </c>
      <c r="Q361" s="1">
        <f t="shared" si="276"/>
        <v>0.36313123809821191</v>
      </c>
      <c r="R361">
        <f t="shared" ref="R361:R424" si="285">$N361-$K361</f>
        <v>0</v>
      </c>
      <c r="S361" s="23">
        <f t="shared" si="275"/>
        <v>5.3474781677534979</v>
      </c>
      <c r="T361">
        <f>$S361+測地線補正!$Q$3*(lattice!$N361/1000)^3+測地線補正!$P$3*(lattice!$N361/1000)^2+測地線補正!$O$3*(lattice!$N361/1000)+測地線補正!$N$3</f>
        <v>0.24402265517680202</v>
      </c>
      <c r="U361">
        <f t="shared" si="283"/>
        <v>-3.5980933426175076E-5</v>
      </c>
      <c r="V361">
        <v>0</v>
      </c>
      <c r="W361">
        <f t="shared" si="284"/>
        <v>2.9301113003400486E-6</v>
      </c>
      <c r="X361" t="s">
        <v>3860</v>
      </c>
      <c r="Y361">
        <f>_xlfn.XLOOKUP($F361,設計座標!$E$13:$E$2301,設計座標!$L$13:$L$2301," ",0,1)</f>
        <v>1000</v>
      </c>
      <c r="Z361">
        <f>SQRT(($M$360-$M$358)^2+($N$360-$N$358)^2)</f>
        <v>767.50000000329476</v>
      </c>
      <c r="AA361">
        <f>_xlfn.XLOOKUP($G361,magnet_list!$A$2:$A$592,magnet_list!$AJ$2:$AJ$592,"n/a",0,1)</f>
        <v>0.95010000000000006</v>
      </c>
      <c r="AB361">
        <f>_xlfn.XLOOKUP($G361,magnet_list!$A$2:$A$592,magnet_list!$L$2:$L$592,"n/a",0,1)</f>
        <v>120</v>
      </c>
    </row>
    <row r="362" spans="1:28">
      <c r="A362" t="s">
        <v>797</v>
      </c>
      <c r="B362" t="s">
        <v>3811</v>
      </c>
      <c r="C362" t="s">
        <v>804</v>
      </c>
      <c r="D362" t="s">
        <v>1152</v>
      </c>
      <c r="E362" t="s">
        <v>804</v>
      </c>
      <c r="F362" t="s">
        <v>1283</v>
      </c>
      <c r="G362" t="s">
        <v>2417</v>
      </c>
      <c r="I362">
        <f>_xlfn.XLOOKUP($F362,設計座標!$E$13:$E$2301,設計座標!$G$13:$G$2301,"n/a",0,1)</f>
        <v>78.166776979309972</v>
      </c>
      <c r="J362">
        <f>_xlfn.XLOOKUP($F362,設計座標!$E$13:$E$2301,設計座標!$H$13:$H$2301,"n/a",0,1)</f>
        <v>0</v>
      </c>
      <c r="K362">
        <f>_xlfn.XLOOKUP($F362,設計座標!$E$13:$E$2301,設計座標!$I$13:$I$2301,"n/a",0,1)</f>
        <v>70764.723378929964</v>
      </c>
      <c r="L362">
        <f>_xlfn.XLOOKUP($F362,設計座標!$E$13:$E$2301,設計座標!$J$13:$J$2301,"n/a",0,1)</f>
        <v>-270</v>
      </c>
      <c r="M362" s="2">
        <f t="shared" si="264"/>
        <v>0.36221931567381666</v>
      </c>
      <c r="N362" s="2">
        <f t="shared" si="265"/>
        <v>70764.723378929964</v>
      </c>
      <c r="O362" s="23">
        <f t="shared" si="266"/>
        <v>-264.64070481326013</v>
      </c>
      <c r="P362" s="1">
        <f t="shared" si="271"/>
        <v>-269.76714452159291</v>
      </c>
      <c r="Q362" s="1">
        <f t="shared" si="276"/>
        <v>0.36221931567381666</v>
      </c>
      <c r="R362">
        <f t="shared" si="285"/>
        <v>0</v>
      </c>
      <c r="S362" s="23">
        <f t="shared" si="275"/>
        <v>5.3592951867398524</v>
      </c>
      <c r="T362">
        <f>$S362+測地線補正!$Q$3*(lattice!$N362/1000)^3+測地線補正!$P$3*(lattice!$N362/1000)^2+測地線補正!$O$3*(lattice!$N362/1000)+測地線補正!$N$3</f>
        <v>0.23285547840707657</v>
      </c>
      <c r="U362">
        <f t="shared" ref="U362:U363" si="286">ATAN(($P$363-$P$359)/ABS($N$363-$N$359))</f>
        <v>-3.5980933426175076E-5</v>
      </c>
      <c r="V362">
        <v>0</v>
      </c>
      <c r="W362">
        <f t="shared" ref="W362:W363" si="287">-ATAN(($M$363-$M$359)/ABS($N$363-$N$359))</f>
        <v>2.9301113003400486E-6</v>
      </c>
      <c r="X362" t="s">
        <v>3860</v>
      </c>
      <c r="Y362">
        <f>_xlfn.XLOOKUP($F362,設計座標!$E$13:$E$2301,設計座標!$L$13:$L$2301," ",0,1)</f>
        <v>1889.4492</v>
      </c>
      <c r="Z362">
        <f>SQRT(($M$362-$M$360)^2+($N$362-$N$360)^2)</f>
        <v>311.22450000133261</v>
      </c>
    </row>
    <row r="363" spans="1:28">
      <c r="A363" t="s">
        <v>797</v>
      </c>
      <c r="B363" t="s">
        <v>3811</v>
      </c>
      <c r="C363" t="s">
        <v>804</v>
      </c>
      <c r="D363" t="s">
        <v>1152</v>
      </c>
      <c r="E363" t="s">
        <v>804</v>
      </c>
      <c r="F363" t="s">
        <v>1455</v>
      </c>
      <c r="G363" t="s">
        <v>2417</v>
      </c>
      <c r="I363">
        <f>_xlfn.XLOOKUP($F363,設計座標!$E$13:$E$2301,設計座標!$G$13:$G$2301,"n/a",0,1)</f>
        <v>79.111501579309973</v>
      </c>
      <c r="J363">
        <f>_xlfn.XLOOKUP($F363,設計座標!$E$13:$E$2301,設計座標!$H$13:$H$2301,"n/a",0,1)</f>
        <v>0</v>
      </c>
      <c r="K363">
        <f>_xlfn.XLOOKUP($F363,設計座標!$E$13:$E$2301,設計座標!$I$13:$I$2301,"n/a",0,1)</f>
        <v>71709.447978929966</v>
      </c>
      <c r="L363">
        <f>_xlfn.XLOOKUP($F363,設計座標!$E$13:$E$2301,設計座標!$J$13:$J$2301,"n/a",0,1)</f>
        <v>-270</v>
      </c>
      <c r="M363" s="2">
        <f t="shared" si="264"/>
        <v>0.3594511674476395</v>
      </c>
      <c r="N363" s="2">
        <f t="shared" si="265"/>
        <v>71709.447978929966</v>
      </c>
      <c r="O363" s="23">
        <f t="shared" si="266"/>
        <v>-264.60483415225798</v>
      </c>
      <c r="P363" s="1">
        <f t="shared" si="271"/>
        <v>-269.8014125150325</v>
      </c>
      <c r="Q363" s="1">
        <f t="shared" si="276"/>
        <v>0.3594511674476395</v>
      </c>
      <c r="R363">
        <f t="shared" si="285"/>
        <v>0</v>
      </c>
      <c r="S363" s="23">
        <f t="shared" si="275"/>
        <v>5.3951658477420414</v>
      </c>
      <c r="T363">
        <f>$S363+測地線補正!$Q$3*(lattice!$N363/1000)^3+測地線補正!$P$3*(lattice!$N363/1000)^2+測地線補正!$O$3*(lattice!$N363/1000)+測地線補正!$N$3</f>
        <v>0.19858748496748926</v>
      </c>
      <c r="U363">
        <f t="shared" si="286"/>
        <v>-3.5980933426175076E-5</v>
      </c>
      <c r="V363">
        <v>0</v>
      </c>
      <c r="W363">
        <f t="shared" si="287"/>
        <v>2.9301113003400486E-6</v>
      </c>
      <c r="X363" t="s">
        <v>3860</v>
      </c>
      <c r="Y363">
        <f>_xlfn.XLOOKUP($F363,設計座標!$E$13:$E$2301,設計座標!$L$13:$L$2301," ",0,1)</f>
        <v>1889.4492</v>
      </c>
      <c r="Z363">
        <f>SQRT(($M$362-$M$360)^2+($N$362-$N$360)^2)</f>
        <v>311.22450000133261</v>
      </c>
    </row>
    <row r="364" spans="1:28">
      <c r="A364" t="s">
        <v>797</v>
      </c>
      <c r="B364" t="s">
        <v>3811</v>
      </c>
      <c r="C364" t="s">
        <v>804</v>
      </c>
      <c r="D364" t="s">
        <v>1152</v>
      </c>
      <c r="E364" t="s">
        <v>804</v>
      </c>
      <c r="F364" t="s">
        <v>1456</v>
      </c>
      <c r="G364" t="s">
        <v>2418</v>
      </c>
      <c r="I364">
        <f>_xlfn.XLOOKUP($F364,設計座標!$E$13:$E$2301,設計座標!$G$13:$G$2301,"n/a",0,1)</f>
        <v>79.295198379309966</v>
      </c>
      <c r="J364">
        <f>_xlfn.XLOOKUP($F364,設計座標!$E$13:$E$2301,設計座標!$H$13:$H$2301,"n/a",0,1)</f>
        <v>0</v>
      </c>
      <c r="K364">
        <f>_xlfn.XLOOKUP($F364,設計座標!$E$13:$E$2301,設計座標!$I$13:$I$2301,"n/a",0,1)</f>
        <v>71893.144778929956</v>
      </c>
      <c r="L364">
        <f>_xlfn.XLOOKUP($F364,設計座標!$E$13:$E$2301,設計座標!$J$13:$J$2301,"n/a",0,1)</f>
        <v>-270</v>
      </c>
      <c r="M364" s="2">
        <f t="shared" si="264"/>
        <v>0.35891291537812164</v>
      </c>
      <c r="N364" s="2">
        <f t="shared" si="265"/>
        <v>71893.144778929956</v>
      </c>
      <c r="O364" s="23">
        <f t="shared" si="266"/>
        <v>-264.59785928821822</v>
      </c>
      <c r="P364" s="1">
        <f t="shared" si="271"/>
        <v>-269.80814161359012</v>
      </c>
      <c r="Q364" s="1">
        <f t="shared" si="276"/>
        <v>0.35891291537812164</v>
      </c>
      <c r="R364">
        <f t="shared" si="285"/>
        <v>0</v>
      </c>
      <c r="S364" s="23">
        <f t="shared" si="275"/>
        <v>5.4021407117817697</v>
      </c>
      <c r="T364">
        <f>$S364+測地線補正!$Q$3*(lattice!$N364/1000)^3+測地線補正!$P$3*(lattice!$N364/1000)^2+測地線補正!$O$3*(lattice!$N364/1000)+測地線補正!$N$3</f>
        <v>0.19185838640987476</v>
      </c>
      <c r="U364">
        <f>ATAN(($P$366-$P$364)/ABS($N$366-$N$364))</f>
        <v>-3.7316220813995073E-5</v>
      </c>
      <c r="V364">
        <v>0</v>
      </c>
      <c r="W364">
        <f>-ATAN(($M$366-$M$364)/ABS($N$366-$N$364))</f>
        <v>2.9301113003400486E-6</v>
      </c>
      <c r="X364">
        <f>SQRT(($M$364-$M$363)^2+($N$364-$N$363)^2)</f>
        <v>183.69680000077918</v>
      </c>
      <c r="Y364">
        <f>_xlfn.XLOOKUP($F364,設計座標!$E$13:$E$2301,設計座標!$L$13:$L$2301," ",0,1)</f>
        <v>1889.4492</v>
      </c>
      <c r="Z364">
        <f>SQRT(($M$365-$M$362)^2+($N$365-$N$362)^2)</f>
        <v>2073.1460000088928</v>
      </c>
    </row>
    <row r="365" spans="1:28">
      <c r="A365" t="s">
        <v>797</v>
      </c>
      <c r="B365" t="s">
        <v>3811</v>
      </c>
      <c r="C365" t="s">
        <v>804</v>
      </c>
      <c r="D365" t="s">
        <v>1152</v>
      </c>
      <c r="E365" t="s">
        <v>804</v>
      </c>
      <c r="F365" t="s">
        <v>1337</v>
      </c>
      <c r="G365" t="s">
        <v>2418</v>
      </c>
      <c r="I365">
        <f>_xlfn.XLOOKUP($F365,設計座標!$E$13:$E$2301,設計座標!$G$13:$G$2301,"n/a",0,1)</f>
        <v>80.239922979309966</v>
      </c>
      <c r="J365">
        <f>_xlfn.XLOOKUP($F365,設計座標!$E$13:$E$2301,設計座標!$H$13:$H$2301,"n/a",0,1)</f>
        <v>0</v>
      </c>
      <c r="K365">
        <f>_xlfn.XLOOKUP($F365,設計座標!$E$13:$E$2301,設計座標!$I$13:$I$2301,"n/a",0,1)</f>
        <v>72837.869378929958</v>
      </c>
      <c r="L365">
        <f>_xlfn.XLOOKUP($F365,設計座標!$E$13:$E$2301,設計座標!$J$13:$J$2301,"n/a",0,1)</f>
        <v>-270</v>
      </c>
      <c r="M365" s="2">
        <f t="shared" si="264"/>
        <v>0.35614476715194449</v>
      </c>
      <c r="N365" s="2">
        <f t="shared" si="265"/>
        <v>72837.869378929958</v>
      </c>
      <c r="O365" s="23">
        <f t="shared" si="266"/>
        <v>-264.56198862721607</v>
      </c>
      <c r="P365" s="1">
        <f t="shared" si="271"/>
        <v>-269.84309623485251</v>
      </c>
      <c r="Q365" s="1">
        <f t="shared" si="276"/>
        <v>0.35614476715194449</v>
      </c>
      <c r="R365">
        <f t="shared" si="285"/>
        <v>0</v>
      </c>
      <c r="S365" s="23">
        <f t="shared" si="275"/>
        <v>5.4380113727839596</v>
      </c>
      <c r="T365">
        <f>$S365+測地線補正!$Q$3*(lattice!$N365/1000)^3+測地線補正!$P$3*(lattice!$N365/1000)^2+測地線補正!$O$3*(lattice!$N365/1000)+測地線補正!$N$3</f>
        <v>0.15690376514746532</v>
      </c>
      <c r="U365">
        <f t="shared" ref="U365:U366" si="288">ATAN(($P$366-$P$364)/ABS($N$366-$N$364))</f>
        <v>-3.7316220813995073E-5</v>
      </c>
      <c r="V365">
        <v>0</v>
      </c>
      <c r="W365">
        <f t="shared" ref="W365:W366" si="289">-ATAN(($M$366-$M$364)/ABS($N$366-$N$364))</f>
        <v>2.9301113003400486E-6</v>
      </c>
      <c r="X365" t="s">
        <v>3860</v>
      </c>
      <c r="Y365">
        <f>_xlfn.XLOOKUP($F365,設計座標!$E$13:$E$2301,設計座標!$L$13:$L$2301," ",0,1)</f>
        <v>1889.4492</v>
      </c>
      <c r="Z365">
        <f>SQRT(($M$365-$M$362)^2+($N$365-$N$362)^2)</f>
        <v>2073.1460000088928</v>
      </c>
    </row>
    <row r="366" spans="1:28">
      <c r="A366" t="s">
        <v>797</v>
      </c>
      <c r="B366" t="s">
        <v>3811</v>
      </c>
      <c r="C366" t="s">
        <v>804</v>
      </c>
      <c r="D366" t="s">
        <v>1152</v>
      </c>
      <c r="E366" t="s">
        <v>804</v>
      </c>
      <c r="F366" t="s">
        <v>1457</v>
      </c>
      <c r="G366" t="s">
        <v>2418</v>
      </c>
      <c r="I366">
        <f>_xlfn.XLOOKUP($F366,設計座標!$E$13:$E$2301,設計座標!$G$13:$G$2301,"n/a",0,1)</f>
        <v>81.184647579309967</v>
      </c>
      <c r="J366">
        <f>_xlfn.XLOOKUP($F366,設計座標!$E$13:$E$2301,設計座標!$H$13:$H$2301,"n/a",0,1)</f>
        <v>0</v>
      </c>
      <c r="K366">
        <f>_xlfn.XLOOKUP($F366,設計座標!$E$13:$E$2301,設計座標!$I$13:$I$2301,"n/a",0,1)</f>
        <v>73782.593978929959</v>
      </c>
      <c r="L366">
        <f>_xlfn.XLOOKUP($F366,設計座標!$E$13:$E$2301,設計座標!$J$13:$J$2301,"n/a",0,1)</f>
        <v>-270</v>
      </c>
      <c r="M366" s="2">
        <f t="shared" si="264"/>
        <v>0.35337661892576733</v>
      </c>
      <c r="N366" s="2">
        <f t="shared" si="265"/>
        <v>73782.593978929959</v>
      </c>
      <c r="O366" s="23">
        <f t="shared" si="266"/>
        <v>-264.52611796621386</v>
      </c>
      <c r="P366" s="1">
        <f t="shared" si="271"/>
        <v>-269.87864871718688</v>
      </c>
      <c r="Q366" s="1">
        <f t="shared" si="276"/>
        <v>0.35337661892576733</v>
      </c>
      <c r="R366">
        <f t="shared" si="285"/>
        <v>0</v>
      </c>
      <c r="S366" s="23">
        <f t="shared" si="275"/>
        <v>5.4738820337861487</v>
      </c>
      <c r="T366">
        <f>$S366+測地線補正!$Q$3*(lattice!$N366/1000)^3+測地線補正!$P$3*(lattice!$N366/1000)^2+測地線補正!$O$3*(lattice!$N366/1000)+測地線補正!$N$3</f>
        <v>0.12135128281309551</v>
      </c>
      <c r="U366">
        <f t="shared" si="288"/>
        <v>-3.7316220813995073E-5</v>
      </c>
      <c r="V366">
        <v>0</v>
      </c>
      <c r="W366">
        <f t="shared" si="289"/>
        <v>2.9301113003400486E-6</v>
      </c>
      <c r="X366" t="s">
        <v>3860</v>
      </c>
      <c r="Y366">
        <f>_xlfn.XLOOKUP($F366,設計座標!$E$13:$E$2301,設計座標!$L$13:$L$2301," ",0,1)</f>
        <v>1889.4492</v>
      </c>
      <c r="Z366">
        <f>SQRT(($M$365-$M$362)^2+($N$365-$N$362)^2)</f>
        <v>2073.1460000088928</v>
      </c>
    </row>
    <row r="367" spans="1:28">
      <c r="A367" t="s">
        <v>797</v>
      </c>
      <c r="B367" t="s">
        <v>3811</v>
      </c>
      <c r="C367" t="s">
        <v>1152</v>
      </c>
      <c r="D367" t="s">
        <v>1152</v>
      </c>
      <c r="E367" t="s">
        <v>804</v>
      </c>
      <c r="F367" t="s">
        <v>1980</v>
      </c>
      <c r="G367" t="s">
        <v>1980</v>
      </c>
      <c r="I367">
        <f>_xlfn.XLOOKUP($F367,設計座標!$E$13:$E$2301,設計座標!$G$13:$G$2301,"n/a",0,1)</f>
        <v>81.318647479309959</v>
      </c>
      <c r="J367">
        <f>_xlfn.XLOOKUP($F367,設計座標!$E$13:$E$2301,設計座標!$H$13:$H$2301,"n/a",0,1)</f>
        <v>0</v>
      </c>
      <c r="K367">
        <f>_xlfn.XLOOKUP($F367,設計座標!$E$13:$E$2301,設計座標!$I$13:$I$2301,"n/a",0,1)</f>
        <v>73916.593878929954</v>
      </c>
      <c r="L367">
        <f>_xlfn.XLOOKUP($F367,設計座標!$E$13:$E$2301,設計座標!$J$13:$J$2301,"n/a",0,1)</f>
        <v>-270</v>
      </c>
      <c r="M367" s="2">
        <f t="shared" si="264"/>
        <v>0.35298398430453176</v>
      </c>
      <c r="N367" s="2">
        <f t="shared" si="265"/>
        <v>73916.593878929954</v>
      </c>
      <c r="O367" s="23">
        <f t="shared" si="266"/>
        <v>-264.52103006547833</v>
      </c>
      <c r="P367" s="1">
        <f t="shared" si="271"/>
        <v>-269.88374111428669</v>
      </c>
      <c r="Q367" s="1">
        <f t="shared" si="276"/>
        <v>0.35298398430453176</v>
      </c>
      <c r="R367">
        <f t="shared" si="285"/>
        <v>0</v>
      </c>
      <c r="S367" s="23">
        <f t="shared" si="275"/>
        <v>5.4789699345216931</v>
      </c>
      <c r="T367">
        <f>$S367+測地線補正!$Q$3*(lattice!$N367/1000)^3+測地線補正!$P$3*(lattice!$N367/1000)^2+測地線補正!$O$3*(lattice!$N367/1000)+測地線補正!$N$3</f>
        <v>0.11625888571329415</v>
      </c>
      <c r="U367">
        <v>0</v>
      </c>
      <c r="V367">
        <v>0</v>
      </c>
      <c r="W367">
        <v>0</v>
      </c>
      <c r="X367">
        <f>SQRT(($M$367-$M$366)^2+($N$367-$N$366)^2)</f>
        <v>133.99990000057048</v>
      </c>
      <c r="Y367">
        <f>_xlfn.XLOOKUP($F367,設計座標!$E$13:$E$2301,設計座標!$L$13:$L$2301," ",0,1)</f>
        <v>0</v>
      </c>
      <c r="Z367">
        <f>SQRT(($M$367-$M$365)^2+($N$367-$N$365)^2)</f>
        <v>1078.7245000046273</v>
      </c>
    </row>
    <row r="368" spans="1:28">
      <c r="A368" t="s">
        <v>797</v>
      </c>
      <c r="B368" t="s">
        <v>3811</v>
      </c>
      <c r="C368" t="s">
        <v>805</v>
      </c>
      <c r="D368" t="s">
        <v>806</v>
      </c>
      <c r="F368" t="s">
        <v>43</v>
      </c>
      <c r="G368" t="s">
        <v>2419</v>
      </c>
      <c r="I368">
        <f>_xlfn.XLOOKUP($F368,設計座標!$E$13:$E$2301,設計座標!$G$13:$G$2301,"n/a",0,1)</f>
        <v>81.491342047079996</v>
      </c>
      <c r="J368">
        <f>_xlfn.XLOOKUP($F368,設計座標!$E$13:$E$2301,設計座標!$H$13:$H$2301,"n/a",0,1)</f>
        <v>0</v>
      </c>
      <c r="K368">
        <f>_xlfn.XLOOKUP($F368,設計座標!$E$13:$E$2301,設計座標!$I$13:$I$2301,"n/a",0,1)</f>
        <v>74089.288446699997</v>
      </c>
      <c r="L368">
        <f>_xlfn.XLOOKUP($F368,設計座標!$E$13:$E$2301,設計座標!$J$13:$J$2301,"n/a",0,1)</f>
        <v>-60</v>
      </c>
      <c r="M368" s="2">
        <f>_xlfn.XLOOKUP($F368,survey_data!$A$2:$A$833,survey_data!$B$2:$B$833,"n/a",0,1)</f>
        <v>0.35247796999999997</v>
      </c>
      <c r="N368" s="2">
        <f>_xlfn.XLOOKUP($F368,survey_data!$A$2:$A$833,survey_data!$C$2:$C$833,"n/a",0,1)</f>
        <v>74089.288446699997</v>
      </c>
      <c r="O368" s="23">
        <f>_xlfn.XLOOKUP($F368,survey_data!$A$2:$A$833,survey_data!$D$2:$D$833,"n/a",0,1)</f>
        <v>-54.514472949999998</v>
      </c>
      <c r="P368" s="1">
        <f t="shared" si="271"/>
        <v>-59.890322483162947</v>
      </c>
      <c r="Q368" s="1">
        <f t="shared" ref="Q368:Q423" si="290">$M368-$J368</f>
        <v>0.35247796999999997</v>
      </c>
      <c r="R368">
        <f t="shared" si="285"/>
        <v>0</v>
      </c>
      <c r="S368" s="23">
        <f t="shared" ref="S368:S423" si="291">$O368-$L368</f>
        <v>5.4855270500000017</v>
      </c>
      <c r="T368">
        <f>$S368+測地線補正!$Q$3*(lattice!$N368/1000)^3+測地線補正!$P$3*(lattice!$N368/1000)^2+測地線補正!$O$3*(lattice!$N368/1000)+測地線補正!$N$3</f>
        <v>0.10967751683704932</v>
      </c>
      <c r="U368">
        <f>ATAN(($P$369-$P$368)/ABS($N$369-$N$368))</f>
        <v>-2.0166512059452635E-4</v>
      </c>
      <c r="V368">
        <v>0</v>
      </c>
      <c r="W368">
        <f>-ATAN(($M$369-$M$368)/ABS($N$369-$N$368))</f>
        <v>4.4766641778947846E-4</v>
      </c>
      <c r="X368">
        <f>$Z$369-($Y$369+$Y$367)/2</f>
        <v>152.69456856702203</v>
      </c>
      <c r="Y368">
        <f>_xlfn.XLOOKUP($F368,設計座標!$E$13:$E$2301,設計座標!$L$13:$L$2301," ",0,1)</f>
        <v>120</v>
      </c>
      <c r="Z368">
        <f>SQRT(($M$369-$M$367)^2+($N$369-$N$367)^2)</f>
        <v>212.69456856702203</v>
      </c>
      <c r="AA368">
        <f>_xlfn.XLOOKUP($G368,magnet_list!$A$2:$A$592,magnet_list!$AJ$2:$AJ$592,"n/a",0,1)</f>
        <v>0.1333</v>
      </c>
      <c r="AB368">
        <f>_xlfn.XLOOKUP($G368,magnet_list!$A$2:$A$592,magnet_list!$L$2:$L$592,"n/a",0,1)</f>
        <v>23</v>
      </c>
    </row>
    <row r="369" spans="1:28">
      <c r="A369" t="s">
        <v>797</v>
      </c>
      <c r="B369" t="s">
        <v>3811</v>
      </c>
      <c r="C369" t="s">
        <v>805</v>
      </c>
      <c r="D369" t="s">
        <v>1152</v>
      </c>
      <c r="E369" t="s">
        <v>804</v>
      </c>
      <c r="F369" t="s">
        <v>562</v>
      </c>
      <c r="G369" t="s">
        <v>2419</v>
      </c>
      <c r="I369">
        <f>_xlfn.XLOOKUP($F369,設計座標!$E$13:$E$2301,設計座標!$G$13:$G$2301,"n/a",0,1)</f>
        <v>81.531342047080003</v>
      </c>
      <c r="J369">
        <f>_xlfn.XLOOKUP($F369,設計座標!$E$13:$E$2301,設計座標!$H$13:$H$2301,"n/a",0,1)</f>
        <v>0</v>
      </c>
      <c r="K369">
        <f>_xlfn.XLOOKUP($F369,設計座標!$E$13:$E$2301,設計座標!$I$13:$I$2301,"n/a",0,1)</f>
        <v>74129.288446699997</v>
      </c>
      <c r="L369">
        <f>_xlfn.XLOOKUP($F369,設計座標!$E$13:$E$2301,設計座標!$J$13:$J$2301,"n/a",0,1)</f>
        <v>-60</v>
      </c>
      <c r="M369" s="2">
        <f t="shared" si="264"/>
        <v>0.3345713120922249</v>
      </c>
      <c r="N369" s="2">
        <f t="shared" si="265"/>
        <v>74129.288446699997</v>
      </c>
      <c r="O369" s="23">
        <f t="shared" si="266"/>
        <v>-54.519493405075941</v>
      </c>
      <c r="P369" s="1">
        <f t="shared" si="271"/>
        <v>-59.898389088096081</v>
      </c>
      <c r="Q369" s="1">
        <f>(Q$370-Q$368)/($N$370-$N$368)*($N369-$N$368)+Q$368</f>
        <v>0.3345713120922249</v>
      </c>
      <c r="R369">
        <f t="shared" si="285"/>
        <v>0</v>
      </c>
      <c r="S369" s="23">
        <f>(S$370-S$368)/($N$370-$N$368)*($N369-$N$368)+S$368</f>
        <v>5.4805065949240594</v>
      </c>
      <c r="T369">
        <f>$S369+測地線補正!$Q$3*(lattice!$N369/1000)^3+測地線補正!$P$3*(lattice!$N369/1000)^2+測地線補正!$O$3*(lattice!$N369/1000)+測地線補正!$N$3</f>
        <v>0.10161091190391783</v>
      </c>
      <c r="U369">
        <f>ATAN(($P$369-$P$368)/ABS($N$369-$N$368))</f>
        <v>-2.0166512059452635E-4</v>
      </c>
      <c r="V369">
        <v>0</v>
      </c>
      <c r="W369">
        <f>-ATAN(($M$369-$M$368)/ABS($N$369-$N$368))</f>
        <v>4.4766641778947846E-4</v>
      </c>
      <c r="X369">
        <f>$Z$369-($Y$369+$Y$367)/2</f>
        <v>152.69456856702203</v>
      </c>
      <c r="Y369">
        <f>_xlfn.XLOOKUP($F369,設計座標!$E$13:$E$2301,設計座標!$L$13:$L$2301," ",0,1)</f>
        <v>120</v>
      </c>
      <c r="Z369">
        <f>SQRT(($M$369-$M$367)^2+($N$369-$N$367)^2)</f>
        <v>212.69456856702203</v>
      </c>
      <c r="AA369">
        <f>_xlfn.XLOOKUP($G369,magnet_list!$A$2:$A$592,magnet_list!$AJ$2:$AJ$592,"n/a",0,1)</f>
        <v>0.1333</v>
      </c>
      <c r="AB369">
        <f>_xlfn.XLOOKUP($G369,magnet_list!$A$2:$A$592,magnet_list!$L$2:$L$592,"n/a",0,1)</f>
        <v>23</v>
      </c>
    </row>
    <row r="370" spans="1:28">
      <c r="A370" t="s">
        <v>797</v>
      </c>
      <c r="B370" t="s">
        <v>3811</v>
      </c>
      <c r="C370" t="s">
        <v>805</v>
      </c>
      <c r="D370" t="s">
        <v>806</v>
      </c>
      <c r="F370" t="s">
        <v>44</v>
      </c>
      <c r="G370" t="s">
        <v>44</v>
      </c>
      <c r="I370">
        <f>_xlfn.XLOOKUP($F370,設計座標!$E$13:$E$2301,設計座標!$G$13:$G$2301,"n/a",0,1)</f>
        <v>81.71154997311001</v>
      </c>
      <c r="J370">
        <f>_xlfn.XLOOKUP($F370,設計座標!$E$13:$E$2301,設計座標!$H$13:$H$2301,"n/a",0,1)</f>
        <v>0</v>
      </c>
      <c r="K370">
        <f>_xlfn.XLOOKUP($F370,設計座標!$E$13:$E$2301,設計座標!$I$13:$I$2301,"n/a",0,1)</f>
        <v>74309.496372730006</v>
      </c>
      <c r="L370">
        <f>_xlfn.XLOOKUP($F370,設計座標!$E$13:$E$2301,設計座標!$J$13:$J$2301,"n/a",0,1)</f>
        <v>-60</v>
      </c>
      <c r="M370" s="2">
        <f>_xlfn.XLOOKUP($F370,survey_data!$A$2:$A$833,survey_data!$B$2:$B$833,"n/a",0,1)</f>
        <v>0.25389826999999998</v>
      </c>
      <c r="N370" s="2">
        <f>_xlfn.XLOOKUP($F370,survey_data!$A$2:$A$833,survey_data!$C$2:$C$833,"n/a",0,1)</f>
        <v>74309.496372730006</v>
      </c>
      <c r="O370" s="23">
        <f>_xlfn.XLOOKUP($F370,survey_data!$A$2:$A$833,survey_data!$D$2:$D$833,"n/a",0,1)</f>
        <v>-54.542111550000001</v>
      </c>
      <c r="P370" s="1">
        <f t="shared" si="271"/>
        <v>-59.934744693374178</v>
      </c>
      <c r="Q370" s="1">
        <f t="shared" si="290"/>
        <v>0.25389826999999998</v>
      </c>
      <c r="R370">
        <f t="shared" si="285"/>
        <v>0</v>
      </c>
      <c r="S370" s="23">
        <f t="shared" si="291"/>
        <v>5.4578884499999987</v>
      </c>
      <c r="T370">
        <f>$S370+測地線補正!$Q$3*(lattice!$N370/1000)^3+測地線補正!$P$3*(lattice!$N370/1000)^2+測地線補正!$O$3*(lattice!$N370/1000)+測地線補正!$N$3</f>
        <v>6.5255306625822268E-2</v>
      </c>
      <c r="U370">
        <f>ATAN(($P$371-$P$370)/ABS($N$371-$N$370))</f>
        <v>2.4454151060158524E-4</v>
      </c>
      <c r="V370">
        <v>0</v>
      </c>
      <c r="W370">
        <f>-ATAN(($M$371-$M$370)/ABS($N$371-$N$370))</f>
        <v>-9.0792256416202094E-5</v>
      </c>
      <c r="X370">
        <f>$Z$371-($Y$371+$Y$369)/2</f>
        <v>100.20793517620706</v>
      </c>
      <c r="Y370">
        <f>_xlfn.XLOOKUP($F370,設計座標!$E$13:$E$2301,設計座標!$L$13:$L$2301," ",0,1)</f>
        <v>240</v>
      </c>
      <c r="Z370">
        <f>SQRT(($M$371-$M$369)^2+($N$371-$N$369)^2)</f>
        <v>280.20793517620706</v>
      </c>
      <c r="AA370">
        <f>_xlfn.XLOOKUP($G370,magnet_list!$A$2:$A$592,magnet_list!$AJ$2:$AJ$592,"n/a",0,1)</f>
        <v>0.25219999999999998</v>
      </c>
      <c r="AB370">
        <f>_xlfn.XLOOKUP($G370,magnet_list!$A$2:$A$592,magnet_list!$L$2:$L$592,"n/a",0,1)</f>
        <v>23</v>
      </c>
    </row>
    <row r="371" spans="1:28">
      <c r="A371" t="s">
        <v>797</v>
      </c>
      <c r="B371" t="s">
        <v>3811</v>
      </c>
      <c r="C371" t="s">
        <v>805</v>
      </c>
      <c r="D371" t="s">
        <v>1152</v>
      </c>
      <c r="E371" t="s">
        <v>804</v>
      </c>
      <c r="F371" t="s">
        <v>563</v>
      </c>
      <c r="G371" t="s">
        <v>44</v>
      </c>
      <c r="I371">
        <f>_xlfn.XLOOKUP($F371,設計座標!$E$13:$E$2301,設計座標!$G$13:$G$2301,"n/a",0,1)</f>
        <v>81.811549973110004</v>
      </c>
      <c r="J371">
        <f>_xlfn.XLOOKUP($F371,設計座標!$E$13:$E$2301,設計座標!$H$13:$H$2301,"n/a",0,1)</f>
        <v>0</v>
      </c>
      <c r="K371">
        <f>_xlfn.XLOOKUP($F371,設計座標!$E$13:$E$2301,設計座標!$I$13:$I$2301,"n/a",0,1)</f>
        <v>74409.496372730006</v>
      </c>
      <c r="L371">
        <f>_xlfn.XLOOKUP($F371,設計座標!$E$13:$E$2301,設計座標!$J$13:$J$2301,"n/a",0,1)</f>
        <v>-60</v>
      </c>
      <c r="M371" s="2">
        <f t="shared" si="264"/>
        <v>0.26297749566656758</v>
      </c>
      <c r="N371" s="2">
        <f t="shared" si="265"/>
        <v>74409.496372730006</v>
      </c>
      <c r="O371" s="23">
        <f t="shared" si="266"/>
        <v>-54.510024393214351</v>
      </c>
      <c r="P371" s="1">
        <f t="shared" si="271"/>
        <v>-59.910290541826562</v>
      </c>
      <c r="Q371" s="1">
        <f>(Q$373-Q$370)/($N$373-$N$370)*($N371-$N$370)+Q$370</f>
        <v>0.26297749566656758</v>
      </c>
      <c r="R371">
        <f t="shared" si="285"/>
        <v>0</v>
      </c>
      <c r="S371" s="23">
        <f t="shared" ref="S371:S372" si="292">(S$373-S$370)/($N$373-$N$370)*($N371-$N$370)+S$370</f>
        <v>5.4899756067856513</v>
      </c>
      <c r="T371">
        <f>$S371+測地線補正!$Q$3*(lattice!$N371/1000)^3+測地線補正!$P$3*(lattice!$N371/1000)^2+測地線補正!$O$3*(lattice!$N371/1000)+測地線補正!$N$3</f>
        <v>8.9709458173435369E-2</v>
      </c>
      <c r="U371">
        <f>ATAN(($P$371-$P$370)/ABS($N$371-$N$370))</f>
        <v>2.4454151060158524E-4</v>
      </c>
      <c r="V371">
        <v>0</v>
      </c>
      <c r="W371">
        <f>-ATAN(($M$371-$M$370)/ABS($N$371-$N$370))</f>
        <v>-9.0792256416202094E-5</v>
      </c>
      <c r="X371">
        <f>$Z$371-($Y$371+$Y$369)/2</f>
        <v>100.20793517620706</v>
      </c>
      <c r="Y371">
        <f>_xlfn.XLOOKUP($F371,設計座標!$E$13:$E$2301,設計座標!$L$13:$L$2301," ",0,1)</f>
        <v>240</v>
      </c>
      <c r="Z371">
        <f>SQRT(($M$371-$M$369)^2+($N$371-$N$369)^2)</f>
        <v>280.20793517620706</v>
      </c>
      <c r="AA371">
        <f>_xlfn.XLOOKUP($G371,magnet_list!$A$2:$A$592,magnet_list!$AJ$2:$AJ$592,"n/a",0,1)</f>
        <v>0.25219999999999998</v>
      </c>
      <c r="AB371">
        <f>_xlfn.XLOOKUP($G371,magnet_list!$A$2:$A$592,magnet_list!$L$2:$L$592,"n/a",0,1)</f>
        <v>23</v>
      </c>
    </row>
    <row r="372" spans="1:28">
      <c r="A372" t="s">
        <v>797</v>
      </c>
      <c r="B372" t="s">
        <v>3811</v>
      </c>
      <c r="C372" t="s">
        <v>805</v>
      </c>
      <c r="D372" t="s">
        <v>1152</v>
      </c>
      <c r="E372" t="s">
        <v>804</v>
      </c>
      <c r="F372" t="s">
        <v>564</v>
      </c>
      <c r="G372" t="s">
        <v>2419</v>
      </c>
      <c r="I372">
        <f>_xlfn.XLOOKUP($F372,設計座標!$E$13:$E$2301,設計座標!$G$13:$G$2301,"n/a",0,1)</f>
        <v>82.09186907742</v>
      </c>
      <c r="J372">
        <f>_xlfn.XLOOKUP($F372,設計座標!$E$13:$E$2301,設計座標!$H$13:$H$2301,"n/a",0,1)</f>
        <v>0</v>
      </c>
      <c r="K372">
        <f>_xlfn.XLOOKUP($F372,設計座標!$E$13:$E$2301,設計座標!$I$13:$I$2301,"n/a",0,1)</f>
        <v>74689.81547704</v>
      </c>
      <c r="L372">
        <f>_xlfn.XLOOKUP($F372,設計座標!$E$13:$E$2301,設計座標!$J$13:$J$2301,"n/a",0,1)</f>
        <v>-60</v>
      </c>
      <c r="M372" s="2">
        <f t="shared" si="264"/>
        <v>0.28842829973337297</v>
      </c>
      <c r="N372" s="2">
        <f t="shared" si="265"/>
        <v>74689.81547704</v>
      </c>
      <c r="O372" s="23">
        <f t="shared" si="266"/>
        <v>-54.420077962714259</v>
      </c>
      <c r="P372" s="1">
        <f t="shared" si="271"/>
        <v>-59.841778754194792</v>
      </c>
      <c r="Q372" s="1">
        <f>(Q$373-Q$370)/($N$373-$N$370)*($N372-$N$370)+Q$370</f>
        <v>0.28842829973337297</v>
      </c>
      <c r="R372">
        <f t="shared" si="285"/>
        <v>0</v>
      </c>
      <c r="S372" s="23">
        <f t="shared" si="292"/>
        <v>5.579922037285737</v>
      </c>
      <c r="T372">
        <f>$S372+測地線補正!$Q$3*(lattice!$N372/1000)^3+測地線補正!$P$3*(lattice!$N372/1000)^2+測地線補正!$O$3*(lattice!$N372/1000)+測地線補正!$N$3</f>
        <v>0.15822124580520761</v>
      </c>
      <c r="U372">
        <f>ATAN(($P$373-$P$372)/ABS($N$373-$N$372))</f>
        <v>2.4429206722737819E-4</v>
      </c>
      <c r="V372">
        <v>0</v>
      </c>
      <c r="W372">
        <f>-ATAN(($M$373-$M$372)/ABS($N$373-$N$372))</f>
        <v>-9.0792256416201539E-5</v>
      </c>
      <c r="X372">
        <f>$Z$372-($Y$372+$Y$371)/2</f>
        <v>100.3191054653621</v>
      </c>
      <c r="Y372">
        <f>_xlfn.XLOOKUP($F372,設計座標!$E$13:$E$2301,設計座標!$L$13:$L$2301," ",0,1)</f>
        <v>120</v>
      </c>
      <c r="Z372">
        <f>SQRT(($M$372-$M$371)^2+($N$372-$N$371)^2)</f>
        <v>280.3191054653621</v>
      </c>
      <c r="AA372">
        <f>_xlfn.XLOOKUP($G372,magnet_list!$A$2:$A$592,magnet_list!$AJ$2:$AJ$592,"n/a",0,1)</f>
        <v>0.1333</v>
      </c>
      <c r="AB372">
        <f>_xlfn.XLOOKUP($G372,magnet_list!$A$2:$A$592,magnet_list!$L$2:$L$592,"n/a",0,1)</f>
        <v>23</v>
      </c>
    </row>
    <row r="373" spans="1:28">
      <c r="A373" t="s">
        <v>797</v>
      </c>
      <c r="B373" t="s">
        <v>3811</v>
      </c>
      <c r="C373" t="s">
        <v>805</v>
      </c>
      <c r="D373" t="s">
        <v>806</v>
      </c>
      <c r="F373" t="s">
        <v>45</v>
      </c>
      <c r="G373" t="s">
        <v>2419</v>
      </c>
      <c r="I373">
        <f>_xlfn.XLOOKUP($F373,設計座標!$E$13:$E$2301,設計座標!$G$13:$G$2301,"n/a",0,1)</f>
        <v>82.131869077420006</v>
      </c>
      <c r="J373">
        <f>_xlfn.XLOOKUP($F373,設計座標!$E$13:$E$2301,設計座標!$H$13:$H$2301,"n/a",0,1)</f>
        <v>0</v>
      </c>
      <c r="K373">
        <f>_xlfn.XLOOKUP($F373,設計座標!$E$13:$E$2301,設計座標!$I$13:$I$2301,"n/a",0,1)</f>
        <v>74729.81547704</v>
      </c>
      <c r="L373">
        <f>_xlfn.XLOOKUP($F373,設計座標!$E$13:$E$2301,設計座標!$J$13:$J$2301,"n/a",0,1)</f>
        <v>-60</v>
      </c>
      <c r="M373" s="2">
        <f>_xlfn.XLOOKUP($F373,survey_data!$A$2:$A$833,survey_data!$B$2:$B$833,"n/a",0,1)</f>
        <v>0.29205998999999999</v>
      </c>
      <c r="N373" s="2">
        <f>_xlfn.XLOOKUP($F373,survey_data!$A$2:$A$833,survey_data!$C$2:$C$833,"n/a",0,1)</f>
        <v>74729.81547704</v>
      </c>
      <c r="O373" s="23">
        <f>_xlfn.XLOOKUP($F373,survey_data!$A$2:$A$833,survey_data!$D$2:$D$833,"n/a",0,1)</f>
        <v>-54.407243100000002</v>
      </c>
      <c r="P373" s="1">
        <f t="shared" si="271"/>
        <v>-59.83200707131131</v>
      </c>
      <c r="Q373" s="1">
        <f t="shared" si="290"/>
        <v>0.29205998999999999</v>
      </c>
      <c r="R373">
        <f t="shared" si="285"/>
        <v>0</v>
      </c>
      <c r="S373" s="23">
        <f t="shared" si="291"/>
        <v>5.5927568999999977</v>
      </c>
      <c r="T373">
        <f>$S373+測地線補正!$Q$3*(lattice!$N373/1000)^3+測地線補正!$P$3*(lattice!$N373/1000)^2+測地線補正!$O$3*(lattice!$N373/1000)+測地線補正!$N$3</f>
        <v>0.1679929286886869</v>
      </c>
      <c r="U373">
        <f>ATAN(($P$373-$P$372)/ABS($N$373-$N$372))</f>
        <v>2.4429206722737819E-4</v>
      </c>
      <c r="V373">
        <v>0</v>
      </c>
      <c r="W373">
        <f>-ATAN(($M$373-$M$372)/ABS($N$373-$N$372))</f>
        <v>-9.0792256416201539E-5</v>
      </c>
      <c r="X373">
        <f>$Z$372-($Y$372+$Y$371)/2</f>
        <v>100.3191054653621</v>
      </c>
      <c r="Y373">
        <f>_xlfn.XLOOKUP($F373,設計座標!$E$13:$E$2301,設計座標!$L$13:$L$2301," ",0,1)</f>
        <v>120</v>
      </c>
      <c r="Z373">
        <f>SQRT(($M$372-$M$371)^2+($N$372-$N$371)^2)</f>
        <v>280.3191054653621</v>
      </c>
      <c r="AA373">
        <f>_xlfn.XLOOKUP($G373,magnet_list!$A$2:$A$592,magnet_list!$AJ$2:$AJ$592,"n/a",0,1)</f>
        <v>0.1333</v>
      </c>
      <c r="AB373">
        <f>_xlfn.XLOOKUP($G373,magnet_list!$A$2:$A$592,magnet_list!$L$2:$L$592,"n/a",0,1)</f>
        <v>23</v>
      </c>
    </row>
    <row r="374" spans="1:28">
      <c r="A374" t="s">
        <v>797</v>
      </c>
      <c r="B374" t="s">
        <v>3811</v>
      </c>
      <c r="C374" t="s">
        <v>2288</v>
      </c>
      <c r="D374" t="s">
        <v>1152</v>
      </c>
      <c r="E374" t="s">
        <v>804</v>
      </c>
      <c r="F374" t="s">
        <v>2331</v>
      </c>
      <c r="G374" t="s">
        <v>2331</v>
      </c>
      <c r="I374">
        <f>_xlfn.XLOOKUP($F374,設計座標!$E$13:$E$2301,設計座標!$G$13:$G$2301,"n/a",0,1)</f>
        <v>82.358064479309959</v>
      </c>
      <c r="J374">
        <f>_xlfn.XLOOKUP($F374,設計座標!$E$13:$E$2301,設計座標!$H$13:$H$2301,"n/a",0,1)</f>
        <v>0</v>
      </c>
      <c r="K374">
        <f>_xlfn.XLOOKUP($F374,設計座標!$E$13:$E$2301,設計座標!$I$13:$I$2301,"n/a",0,1)</f>
        <v>74956.010878929956</v>
      </c>
      <c r="L374">
        <f>_xlfn.XLOOKUP($F374,設計座標!$E$13:$E$2301,設計座標!$J$13:$J$2301,"n/a",0,1)</f>
        <v>-270</v>
      </c>
      <c r="M374" s="2">
        <f t="shared" si="264"/>
        <v>0.28933630920472936</v>
      </c>
      <c r="N374" s="2">
        <f t="shared" si="265"/>
        <v>74956.010878929956</v>
      </c>
      <c r="O374" s="23">
        <f t="shared" si="266"/>
        <v>-264.38519435105889</v>
      </c>
      <c r="P374" s="1">
        <f t="shared" si="271"/>
        <v>-269.8273018824741</v>
      </c>
      <c r="Q374" s="1">
        <f>(Q$393-Q$373)/($N$393-$N$373)*($N374-$N$373)+Q$373</f>
        <v>0.28933630920472936</v>
      </c>
      <c r="R374">
        <f t="shared" si="285"/>
        <v>0</v>
      </c>
      <c r="S374" s="23">
        <f t="shared" ref="S374:S392" si="293">(S$393-S$373)/($N$393-$N$373)*($N374-$N$373)+S$373</f>
        <v>5.6148056489411164</v>
      </c>
      <c r="T374">
        <f>$S374+測地線補正!$Q$3*(lattice!$N374/1000)^3+測地線補正!$P$3*(lattice!$N374/1000)^2+測地線補正!$O$3*(lattice!$N374/1000)+測地線補正!$N$3</f>
        <v>0.17269811752592115</v>
      </c>
      <c r="U374">
        <v>0</v>
      </c>
      <c r="V374">
        <v>0</v>
      </c>
      <c r="W374">
        <v>0</v>
      </c>
      <c r="X374">
        <f>$Z$374-($Y$374+$Y$373)/2</f>
        <v>206.19540189150462</v>
      </c>
      <c r="Y374">
        <f>_xlfn.XLOOKUP($F374,設計座標!$E$13:$E$2301,設計座標!$L$13:$L$2301," ",0,1)</f>
        <v>0</v>
      </c>
      <c r="Z374">
        <f>SQRT(($M$374-$M$372)^2+($N$374-$N$372)^2)</f>
        <v>266.19540189150462</v>
      </c>
    </row>
    <row r="375" spans="1:28">
      <c r="A375" t="s">
        <v>797</v>
      </c>
      <c r="B375" t="s">
        <v>3811</v>
      </c>
      <c r="C375" t="s">
        <v>804</v>
      </c>
      <c r="D375" t="s">
        <v>1152</v>
      </c>
      <c r="E375" t="s">
        <v>804</v>
      </c>
      <c r="F375" t="s">
        <v>1458</v>
      </c>
      <c r="G375" t="s">
        <v>2420</v>
      </c>
      <c r="I375">
        <f>_xlfn.XLOOKUP($F375,設計座標!$E$13:$E$2301,設計座標!$G$13:$G$2301,"n/a",0,1)</f>
        <v>82.492064379309952</v>
      </c>
      <c r="J375">
        <f>_xlfn.XLOOKUP($F375,設計座標!$E$13:$E$2301,設計座標!$H$13:$H$2301,"n/a",0,1)</f>
        <v>0</v>
      </c>
      <c r="K375">
        <f>_xlfn.XLOOKUP($F375,設計座標!$E$13:$E$2301,設計座標!$I$13:$I$2301,"n/a",0,1)</f>
        <v>75090.010778929951</v>
      </c>
      <c r="L375">
        <f>_xlfn.XLOOKUP($F375,設計座標!$E$13:$E$2301,設計座標!$J$13:$J$2301,"n/a",0,1)</f>
        <v>-270</v>
      </c>
      <c r="M375" s="2">
        <f t="shared" si="264"/>
        <v>0.28772277970258803</v>
      </c>
      <c r="N375" s="2">
        <f t="shared" si="265"/>
        <v>75090.010778929951</v>
      </c>
      <c r="O375" s="23">
        <f t="shared" si="266"/>
        <v>-264.3721325021948</v>
      </c>
      <c r="P375" s="1">
        <f t="shared" si="271"/>
        <v>-269.82453191125433</v>
      </c>
      <c r="Q375" s="1">
        <f t="shared" ref="Q375:Q392" si="294">(Q$393-Q$373)/($N$393-$N$373)*($N375-$N$373)+Q$373</f>
        <v>0.28772277970258803</v>
      </c>
      <c r="R375">
        <f t="shared" si="285"/>
        <v>0</v>
      </c>
      <c r="S375" s="23">
        <f t="shared" si="293"/>
        <v>5.6278674978051901</v>
      </c>
      <c r="T375">
        <f>$S375+測地線補正!$Q$3*(lattice!$N375/1000)^3+測地線補正!$P$3*(lattice!$N375/1000)^2+測地線補正!$O$3*(lattice!$N375/1000)+測地線補正!$N$3</f>
        <v>0.17546808874568867</v>
      </c>
      <c r="U375">
        <f>ATAN(($P$379-$P$375)/ABS($N$379-$N$375))</f>
        <v>1.9922323682953057E-5</v>
      </c>
      <c r="V375">
        <v>0</v>
      </c>
      <c r="W375">
        <f>-ATAN(($M$379-$M$375)/ABS($N$379-$N$375))</f>
        <v>1.2041273926797353E-5</v>
      </c>
      <c r="X375">
        <f>SQRT(($M$375-$M$374)^2+($N$375-$N$374)^2)</f>
        <v>133.99990000970973</v>
      </c>
      <c r="Y375">
        <f>_xlfn.XLOOKUP($F375,設計座標!$E$13:$E$2301,設計座標!$L$13:$L$2301," ",0,1)</f>
        <v>1889.4492</v>
      </c>
      <c r="Z375">
        <f>SQRT(($M$378-$M$376)^2+($N$378-$N$376)^2)</f>
        <v>311.2245000225592</v>
      </c>
    </row>
    <row r="376" spans="1:28">
      <c r="A376" t="s">
        <v>797</v>
      </c>
      <c r="B376" t="s">
        <v>3811</v>
      </c>
      <c r="C376" t="s">
        <v>3855</v>
      </c>
      <c r="D376" t="s">
        <v>1152</v>
      </c>
      <c r="E376" t="s">
        <v>804</v>
      </c>
      <c r="F376" t="s">
        <v>2236</v>
      </c>
      <c r="G376" t="s">
        <v>2236</v>
      </c>
      <c r="I376">
        <f>_xlfn.XLOOKUP($F376,設計座標!$E$13:$E$2301,設計座標!$G$13:$G$2301,"n/a",0,1)</f>
        <v>83.125564479309958</v>
      </c>
      <c r="J376">
        <f>_xlfn.XLOOKUP($F376,設計座標!$E$13:$E$2301,設計座標!$H$13:$H$2301,"n/a",0,1)</f>
        <v>0</v>
      </c>
      <c r="K376">
        <f>_xlfn.XLOOKUP($F376,設計座標!$E$13:$E$2301,設計座標!$I$13:$I$2301,"n/a",0,1)</f>
        <v>75723.510878929956</v>
      </c>
      <c r="L376">
        <f>_xlfn.XLOOKUP($F376,設計座標!$E$13:$E$2301,設計座標!$J$13:$J$2301,"n/a",0,1)</f>
        <v>-270</v>
      </c>
      <c r="M376" s="2">
        <f t="shared" si="264"/>
        <v>0.28009463146546576</v>
      </c>
      <c r="N376" s="2">
        <f t="shared" si="265"/>
        <v>75723.510878929956</v>
      </c>
      <c r="O376" s="23">
        <f t="shared" si="266"/>
        <v>-264.31038109371184</v>
      </c>
      <c r="P376" s="1">
        <f t="shared" si="271"/>
        <v>-269.81161402358595</v>
      </c>
      <c r="Q376" s="1">
        <f t="shared" si="294"/>
        <v>0.28009463146546576</v>
      </c>
      <c r="R376">
        <f t="shared" si="285"/>
        <v>0</v>
      </c>
      <c r="S376" s="23">
        <f t="shared" si="293"/>
        <v>5.6896189062881488</v>
      </c>
      <c r="T376">
        <f>$S376+測地線補正!$Q$3*(lattice!$N376/1000)^3+測地線補正!$P$3*(lattice!$N376/1000)^2+測地線補正!$O$3*(lattice!$N376/1000)+測地線補正!$N$3</f>
        <v>0.18838597641404423</v>
      </c>
      <c r="U376">
        <f t="shared" ref="U376:U377" si="295">ATAN(($P$379-$P$375)/ABS($N$379-$N$375))</f>
        <v>1.9922323682953057E-5</v>
      </c>
      <c r="V376">
        <v>0</v>
      </c>
      <c r="W376">
        <f t="shared" ref="W376:W377" si="296">-ATAN(($M$379-$M$375)/ABS($N$379-$N$375))</f>
        <v>1.2041273926797353E-5</v>
      </c>
      <c r="X376" t="s">
        <v>3860</v>
      </c>
      <c r="Y376">
        <f>_xlfn.XLOOKUP($F376,設計座標!$E$13:$E$2301,設計座標!$L$13:$L$2301," ",0,1)</f>
        <v>1000</v>
      </c>
      <c r="Z376">
        <f>SQRT(($M$376-$M$374)^2+($N$376-$N$374)^2)</f>
        <v>767.50000005564073</v>
      </c>
      <c r="AA376">
        <f>_xlfn.XLOOKUP($G376,magnet_list!$A$2:$A$592,magnet_list!$AJ$2:$AJ$592,"n/a",0,1)</f>
        <v>0.95010000000000006</v>
      </c>
      <c r="AB376">
        <f>_xlfn.XLOOKUP($G376,magnet_list!$A$2:$A$592,magnet_list!$L$2:$L$592,"n/a",0,1)</f>
        <v>120</v>
      </c>
    </row>
    <row r="377" spans="1:28">
      <c r="A377" t="s">
        <v>797</v>
      </c>
      <c r="B377" t="s">
        <v>3811</v>
      </c>
      <c r="C377" t="s">
        <v>3855</v>
      </c>
      <c r="D377" t="s">
        <v>1152</v>
      </c>
      <c r="E377" t="s">
        <v>804</v>
      </c>
      <c r="F377" t="s">
        <v>2237</v>
      </c>
      <c r="G377" t="s">
        <v>2237</v>
      </c>
      <c r="I377">
        <f>_xlfn.XLOOKUP($F377,設計座標!$E$13:$E$2301,設計座標!$G$13:$G$2301,"n/a",0,1)</f>
        <v>83.125564479309958</v>
      </c>
      <c r="J377">
        <f>_xlfn.XLOOKUP($F377,設計座標!$E$13:$E$2301,設計座標!$H$13:$H$2301,"n/a",0,1)</f>
        <v>0</v>
      </c>
      <c r="K377">
        <f>_xlfn.XLOOKUP($F377,設計座標!$E$13:$E$2301,設計座標!$I$13:$I$2301,"n/a",0,1)</f>
        <v>75723.510878929956</v>
      </c>
      <c r="L377">
        <f>_xlfn.XLOOKUP($F377,設計座標!$E$13:$E$2301,設計座標!$J$13:$J$2301,"n/a",0,1)</f>
        <v>-270</v>
      </c>
      <c r="M377" s="2">
        <f t="shared" si="264"/>
        <v>0.28009463146546576</v>
      </c>
      <c r="N377" s="2">
        <f t="shared" si="265"/>
        <v>75723.510878929956</v>
      </c>
      <c r="O377" s="23">
        <f t="shared" si="266"/>
        <v>-264.31038109371184</v>
      </c>
      <c r="P377" s="1">
        <f t="shared" si="271"/>
        <v>-269.81161402358595</v>
      </c>
      <c r="Q377" s="1">
        <f t="shared" si="294"/>
        <v>0.28009463146546576</v>
      </c>
      <c r="R377">
        <f t="shared" si="285"/>
        <v>0</v>
      </c>
      <c r="S377" s="23">
        <f t="shared" si="293"/>
        <v>5.6896189062881488</v>
      </c>
      <c r="T377">
        <f>$S377+測地線補正!$Q$3*(lattice!$N377/1000)^3+測地線補正!$P$3*(lattice!$N377/1000)^2+測地線補正!$O$3*(lattice!$N377/1000)+測地線補正!$N$3</f>
        <v>0.18838597641404423</v>
      </c>
      <c r="U377">
        <f t="shared" si="295"/>
        <v>1.9922323682953057E-5</v>
      </c>
      <c r="V377">
        <v>0</v>
      </c>
      <c r="W377">
        <f t="shared" si="296"/>
        <v>1.2041273926797353E-5</v>
      </c>
      <c r="X377" t="s">
        <v>3860</v>
      </c>
      <c r="Y377">
        <f>_xlfn.XLOOKUP($F377,設計座標!$E$13:$E$2301,設計座標!$L$13:$L$2301," ",0,1)</f>
        <v>1000</v>
      </c>
      <c r="Z377">
        <f>SQRT(($M$376-$M$374)^2+($N$376-$N$374)^2)</f>
        <v>767.50000005564073</v>
      </c>
      <c r="AA377">
        <f>_xlfn.XLOOKUP($G377,magnet_list!$A$2:$A$592,magnet_list!$AJ$2:$AJ$592,"n/a",0,1)</f>
        <v>0.95010000000000006</v>
      </c>
      <c r="AB377">
        <f>_xlfn.XLOOKUP($G377,magnet_list!$A$2:$A$592,magnet_list!$L$2:$L$592,"n/a",0,1)</f>
        <v>120</v>
      </c>
    </row>
    <row r="378" spans="1:28">
      <c r="A378" t="s">
        <v>797</v>
      </c>
      <c r="B378" t="s">
        <v>3811</v>
      </c>
      <c r="C378" t="s">
        <v>804</v>
      </c>
      <c r="D378" t="s">
        <v>1152</v>
      </c>
      <c r="E378" t="s">
        <v>804</v>
      </c>
      <c r="F378" t="s">
        <v>1173</v>
      </c>
      <c r="G378" t="s">
        <v>2420</v>
      </c>
      <c r="I378">
        <f>_xlfn.XLOOKUP($F378,設計座標!$E$13:$E$2301,設計座標!$G$13:$G$2301,"n/a",0,1)</f>
        <v>83.436788979309952</v>
      </c>
      <c r="J378">
        <f>_xlfn.XLOOKUP($F378,設計座標!$E$13:$E$2301,設計座標!$H$13:$H$2301,"n/a",0,1)</f>
        <v>0</v>
      </c>
      <c r="K378">
        <f>_xlfn.XLOOKUP($F378,設計座標!$E$13:$E$2301,設計座標!$I$13:$I$2301,"n/a",0,1)</f>
        <v>76034.735378929952</v>
      </c>
      <c r="L378">
        <f>_xlfn.XLOOKUP($F378,設計座標!$E$13:$E$2301,設計座標!$J$13:$J$2301,"n/a",0,1)</f>
        <v>-270</v>
      </c>
      <c r="M378" s="2">
        <f t="shared" si="264"/>
        <v>0.27634709200805413</v>
      </c>
      <c r="N378" s="2">
        <f t="shared" si="265"/>
        <v>76034.735378929952</v>
      </c>
      <c r="O378" s="23">
        <f t="shared" si="266"/>
        <v>-264.2800440010588</v>
      </c>
      <c r="P378" s="1">
        <f t="shared" si="271"/>
        <v>-269.80537638911574</v>
      </c>
      <c r="Q378" s="1">
        <f t="shared" si="294"/>
        <v>0.27634709200805413</v>
      </c>
      <c r="R378">
        <f t="shared" si="285"/>
        <v>0</v>
      </c>
      <c r="S378" s="23">
        <f t="shared" si="293"/>
        <v>5.7199559989411801</v>
      </c>
      <c r="T378">
        <f>$S378+測地線補正!$Q$3*(lattice!$N378/1000)^3+測地線補正!$P$3*(lattice!$N378/1000)^2+測地線補正!$O$3*(lattice!$N378/1000)+測地線補正!$N$3</f>
        <v>0.19462361088428551</v>
      </c>
      <c r="U378">
        <f t="shared" ref="U378:U379" si="297">ATAN(($P$379-$P$375)/ABS($N$379-$N$375))</f>
        <v>1.9922323682953057E-5</v>
      </c>
      <c r="V378">
        <v>0</v>
      </c>
      <c r="W378">
        <f t="shared" ref="W378:W379" si="298">-ATAN(($M$379-$M$375)/ABS($N$379-$N$375))</f>
        <v>1.2041273926797353E-5</v>
      </c>
      <c r="X378" t="s">
        <v>3860</v>
      </c>
      <c r="Y378">
        <f>_xlfn.XLOOKUP($F378,設計座標!$E$13:$E$2301,設計座標!$L$13:$L$2301," ",0,1)</f>
        <v>1889.4492</v>
      </c>
      <c r="Z378">
        <f>SQRT(($M$378-$M$376)^2+($N$378-$N$376)^2)</f>
        <v>311.2245000225592</v>
      </c>
    </row>
    <row r="379" spans="1:28">
      <c r="A379" t="s">
        <v>797</v>
      </c>
      <c r="B379" t="s">
        <v>3811</v>
      </c>
      <c r="C379" t="s">
        <v>804</v>
      </c>
      <c r="D379" t="s">
        <v>1152</v>
      </c>
      <c r="E379" t="s">
        <v>804</v>
      </c>
      <c r="F379" t="s">
        <v>1459</v>
      </c>
      <c r="G379" t="s">
        <v>2420</v>
      </c>
      <c r="I379">
        <f>_xlfn.XLOOKUP($F379,設計座標!$E$13:$E$2301,設計座標!$G$13:$G$2301,"n/a",0,1)</f>
        <v>84.381513579309953</v>
      </c>
      <c r="J379">
        <f>_xlfn.XLOOKUP($F379,設計座標!$E$13:$E$2301,設計座標!$H$13:$H$2301,"n/a",0,1)</f>
        <v>0</v>
      </c>
      <c r="K379">
        <f>_xlfn.XLOOKUP($F379,設計座標!$E$13:$E$2301,設計座標!$I$13:$I$2301,"n/a",0,1)</f>
        <v>76979.459978929954</v>
      </c>
      <c r="L379">
        <f>_xlfn.XLOOKUP($F379,設計座標!$E$13:$E$2301,設計座標!$J$13:$J$2301,"n/a",0,1)</f>
        <v>-270</v>
      </c>
      <c r="M379" s="2">
        <f t="shared" si="264"/>
        <v>0.26497140431352029</v>
      </c>
      <c r="N379" s="2">
        <f t="shared" si="265"/>
        <v>76979.459978929954</v>
      </c>
      <c r="O379" s="23">
        <f t="shared" si="266"/>
        <v>-264.18795549992285</v>
      </c>
      <c r="P379" s="1">
        <f t="shared" si="271"/>
        <v>-269.78688969270445</v>
      </c>
      <c r="Q379" s="1">
        <f t="shared" si="294"/>
        <v>0.26497140431352029</v>
      </c>
      <c r="R379">
        <f t="shared" si="285"/>
        <v>0</v>
      </c>
      <c r="S379" s="23">
        <f t="shared" si="293"/>
        <v>5.8120445000771701</v>
      </c>
      <c r="T379">
        <f>$S379+測地線補正!$Q$3*(lattice!$N379/1000)^3+測地線補正!$P$3*(lattice!$N379/1000)^2+測地線補正!$O$3*(lattice!$N379/1000)+測地線補正!$N$3</f>
        <v>0.21311030729555394</v>
      </c>
      <c r="U379">
        <f t="shared" si="297"/>
        <v>1.9922323682953057E-5</v>
      </c>
      <c r="V379">
        <v>0</v>
      </c>
      <c r="W379">
        <f t="shared" si="298"/>
        <v>1.2041273926797353E-5</v>
      </c>
      <c r="X379" t="s">
        <v>3860</v>
      </c>
      <c r="Y379">
        <f>_xlfn.XLOOKUP($F379,設計座標!$E$13:$E$2301,設計座標!$L$13:$L$2301," ",0,1)</f>
        <v>1889.4492</v>
      </c>
      <c r="Z379">
        <f>SQRT(($M$378-$M$376)^2+($N$378-$N$376)^2)</f>
        <v>311.2245000225592</v>
      </c>
    </row>
    <row r="380" spans="1:28">
      <c r="A380" t="s">
        <v>797</v>
      </c>
      <c r="B380" t="s">
        <v>3811</v>
      </c>
      <c r="C380" t="s">
        <v>804</v>
      </c>
      <c r="D380" t="s">
        <v>1152</v>
      </c>
      <c r="E380" t="s">
        <v>804</v>
      </c>
      <c r="F380" t="s">
        <v>1460</v>
      </c>
      <c r="G380" t="s">
        <v>2421</v>
      </c>
      <c r="I380">
        <f>_xlfn.XLOOKUP($F380,設計座標!$E$13:$E$2301,設計座標!$G$13:$G$2301,"n/a",0,1)</f>
        <v>84.565210379309946</v>
      </c>
      <c r="J380">
        <f>_xlfn.XLOOKUP($F380,設計座標!$E$13:$E$2301,設計座標!$H$13:$H$2301,"n/a",0,1)</f>
        <v>0</v>
      </c>
      <c r="K380">
        <f>_xlfn.XLOOKUP($F380,設計座標!$E$13:$E$2301,設計座標!$I$13:$I$2301,"n/a",0,1)</f>
        <v>77163.156778929944</v>
      </c>
      <c r="L380">
        <f>_xlfn.XLOOKUP($F380,設計座標!$E$13:$E$2301,設計座標!$J$13:$J$2301,"n/a",0,1)</f>
        <v>-270</v>
      </c>
      <c r="M380" s="2">
        <f t="shared" si="264"/>
        <v>0.26275946082513735</v>
      </c>
      <c r="N380" s="2">
        <f t="shared" si="265"/>
        <v>77163.156778929944</v>
      </c>
      <c r="O380" s="23">
        <f t="shared" si="266"/>
        <v>-264.17004936836292</v>
      </c>
      <c r="P380" s="1">
        <f t="shared" si="271"/>
        <v>-269.78337450042301</v>
      </c>
      <c r="Q380" s="1">
        <f t="shared" si="294"/>
        <v>0.26275946082513735</v>
      </c>
      <c r="R380">
        <f t="shared" si="285"/>
        <v>0</v>
      </c>
      <c r="S380" s="23">
        <f t="shared" si="293"/>
        <v>5.8299506316370726</v>
      </c>
      <c r="T380">
        <f>$S380+測地線補正!$Q$3*(lattice!$N380/1000)^3+測地線補正!$P$3*(lattice!$N380/1000)^2+測地線補正!$O$3*(lattice!$N380/1000)+測地線補正!$N$3</f>
        <v>0.21662549957700619</v>
      </c>
      <c r="U380">
        <f>ATAN(($P$382-$P$380)/ABS($N$382-$N$380))</f>
        <v>1.8315299336139409E-5</v>
      </c>
      <c r="V380">
        <v>0</v>
      </c>
      <c r="W380">
        <f>-ATAN(($M$382-$M$380)/ABS($N$382-$N$380))</f>
        <v>1.2041273926797337E-5</v>
      </c>
      <c r="X380">
        <f>SQRT(($M$380-$M$379)^2+($N$380-$N$379)^2)</f>
        <v>183.69680001330792</v>
      </c>
      <c r="Y380">
        <f>_xlfn.XLOOKUP($F380,設計座標!$E$13:$E$2301,設計座標!$L$13:$L$2301," ",0,1)</f>
        <v>1889.4492</v>
      </c>
      <c r="Z380">
        <f>SQRT(($M$381-$M$378)^2+($N$381-$N$378)^2)</f>
        <v>2073.1460001502887</v>
      </c>
    </row>
    <row r="381" spans="1:28">
      <c r="A381" t="s">
        <v>797</v>
      </c>
      <c r="B381" t="s">
        <v>3811</v>
      </c>
      <c r="C381" t="s">
        <v>804</v>
      </c>
      <c r="D381" t="s">
        <v>1152</v>
      </c>
      <c r="E381" t="s">
        <v>804</v>
      </c>
      <c r="F381" t="s">
        <v>1229</v>
      </c>
      <c r="G381" t="s">
        <v>2421</v>
      </c>
      <c r="I381">
        <f>_xlfn.XLOOKUP($F381,設計座標!$E$13:$E$2301,設計座標!$G$13:$G$2301,"n/a",0,1)</f>
        <v>85.509934979309946</v>
      </c>
      <c r="J381">
        <f>_xlfn.XLOOKUP($F381,設計座標!$E$13:$E$2301,設計座標!$H$13:$H$2301,"n/a",0,1)</f>
        <v>0</v>
      </c>
      <c r="K381">
        <f>_xlfn.XLOOKUP($F381,設計座標!$E$13:$E$2301,設計座標!$I$13:$I$2301,"n/a",0,1)</f>
        <v>78107.881378929946</v>
      </c>
      <c r="L381">
        <f>_xlfn.XLOOKUP($F381,設計座標!$E$13:$E$2301,設計座標!$J$13:$J$2301,"n/a",0,1)</f>
        <v>-270</v>
      </c>
      <c r="M381" s="2">
        <f t="shared" si="264"/>
        <v>0.25138377313060351</v>
      </c>
      <c r="N381" s="2">
        <f t="shared" si="265"/>
        <v>78107.881378929946</v>
      </c>
      <c r="O381" s="23">
        <f t="shared" si="266"/>
        <v>-264.07796086722692</v>
      </c>
      <c r="P381" s="1">
        <f t="shared" si="271"/>
        <v>-269.76571416366841</v>
      </c>
      <c r="Q381" s="1">
        <f t="shared" si="294"/>
        <v>0.25138377313060351</v>
      </c>
      <c r="R381">
        <f t="shared" si="285"/>
        <v>0</v>
      </c>
      <c r="S381" s="23">
        <f t="shared" si="293"/>
        <v>5.9220391327730626</v>
      </c>
      <c r="T381">
        <f>$S381+測地線補正!$Q$3*(lattice!$N381/1000)^3+測地線補正!$P$3*(lattice!$N381/1000)^2+測地線補正!$O$3*(lattice!$N381/1000)+測地線補正!$N$3</f>
        <v>0.23428583633156666</v>
      </c>
      <c r="U381">
        <f t="shared" ref="U381:U382" si="299">ATAN(($P$382-$P$380)/ABS($N$382-$N$380))</f>
        <v>1.8315299336139409E-5</v>
      </c>
      <c r="V381">
        <v>0</v>
      </c>
      <c r="W381">
        <f t="shared" ref="W381:W382" si="300">-ATAN(($M$382-$M$380)/ABS($N$382-$N$380))</f>
        <v>1.2041273926797337E-5</v>
      </c>
      <c r="X381" t="s">
        <v>3860</v>
      </c>
      <c r="Y381">
        <f>_xlfn.XLOOKUP($F381,設計座標!$E$13:$E$2301,設計座標!$L$13:$L$2301," ",0,1)</f>
        <v>1889.4492</v>
      </c>
      <c r="Z381">
        <f>SQRT(($M$381-$M$378)^2+($N$381-$N$378)^2)</f>
        <v>2073.1460001502887</v>
      </c>
    </row>
    <row r="382" spans="1:28">
      <c r="A382" t="s">
        <v>797</v>
      </c>
      <c r="B382" t="s">
        <v>3811</v>
      </c>
      <c r="C382" t="s">
        <v>804</v>
      </c>
      <c r="D382" t="s">
        <v>1152</v>
      </c>
      <c r="E382" t="s">
        <v>804</v>
      </c>
      <c r="F382" t="s">
        <v>1461</v>
      </c>
      <c r="G382" t="s">
        <v>2421</v>
      </c>
      <c r="I382">
        <f>_xlfn.XLOOKUP($F382,設計座標!$E$13:$E$2301,設計座標!$G$13:$G$2301,"n/a",0,1)</f>
        <v>86.454659579309947</v>
      </c>
      <c r="J382">
        <f>_xlfn.XLOOKUP($F382,設計座標!$E$13:$E$2301,設計座標!$H$13:$H$2301,"n/a",0,1)</f>
        <v>0</v>
      </c>
      <c r="K382">
        <f>_xlfn.XLOOKUP($F382,設計座標!$E$13:$E$2301,設計座標!$I$13:$I$2301,"n/a",0,1)</f>
        <v>79052.605978929947</v>
      </c>
      <c r="L382">
        <f>_xlfn.XLOOKUP($F382,設計座標!$E$13:$E$2301,設計座標!$J$13:$J$2301,"n/a",0,1)</f>
        <v>-270</v>
      </c>
      <c r="M382" s="2">
        <f t="shared" si="264"/>
        <v>0.24000808543606963</v>
      </c>
      <c r="N382" s="2">
        <f t="shared" si="265"/>
        <v>79052.605978929947</v>
      </c>
      <c r="O382" s="23">
        <f t="shared" si="266"/>
        <v>-263.98587236609097</v>
      </c>
      <c r="P382" s="1">
        <f t="shared" si="271"/>
        <v>-269.74876867274071</v>
      </c>
      <c r="Q382" s="1">
        <f t="shared" si="294"/>
        <v>0.24000808543606963</v>
      </c>
      <c r="R382">
        <f t="shared" si="285"/>
        <v>0</v>
      </c>
      <c r="S382" s="23">
        <f t="shared" si="293"/>
        <v>6.0141276339090526</v>
      </c>
      <c r="T382">
        <f>$S382+測地線補正!$Q$3*(lattice!$N382/1000)^3+測地線補正!$P$3*(lattice!$N382/1000)^2+測地線補正!$O$3*(lattice!$N382/1000)+測地線補正!$N$3</f>
        <v>0.25123132725929603</v>
      </c>
      <c r="U382">
        <f t="shared" si="299"/>
        <v>1.8315299336139409E-5</v>
      </c>
      <c r="V382">
        <v>0</v>
      </c>
      <c r="W382">
        <f t="shared" si="300"/>
        <v>1.2041273926797337E-5</v>
      </c>
      <c r="X382" t="s">
        <v>3860</v>
      </c>
      <c r="Y382">
        <f>_xlfn.XLOOKUP($F382,設計座標!$E$13:$E$2301,設計座標!$L$13:$L$2301," ",0,1)</f>
        <v>1889.4492</v>
      </c>
      <c r="Z382">
        <f>SQRT(($M$381-$M$378)^2+($N$381-$N$378)^2)</f>
        <v>2073.1460001502887</v>
      </c>
    </row>
    <row r="383" spans="1:28">
      <c r="A383" t="s">
        <v>797</v>
      </c>
      <c r="B383" t="s">
        <v>3811</v>
      </c>
      <c r="C383" t="s">
        <v>1152</v>
      </c>
      <c r="D383" t="s">
        <v>1152</v>
      </c>
      <c r="E383" t="s">
        <v>804</v>
      </c>
      <c r="F383" t="s">
        <v>1981</v>
      </c>
      <c r="G383" t="s">
        <v>1981</v>
      </c>
      <c r="I383">
        <f>_xlfn.XLOOKUP($F383,設計座標!$E$13:$E$2301,設計座標!$G$13:$G$2301,"n/a",0,1)</f>
        <v>86.688052479309945</v>
      </c>
      <c r="J383">
        <f>_xlfn.XLOOKUP($F383,設計座標!$E$13:$E$2301,設計座標!$H$13:$H$2301,"n/a",0,1)</f>
        <v>0</v>
      </c>
      <c r="K383">
        <f>_xlfn.XLOOKUP($F383,設計座標!$E$13:$E$2301,設計座標!$I$13:$I$2301,"n/a",0,1)</f>
        <v>79285.998878929939</v>
      </c>
      <c r="L383">
        <f>_xlfn.XLOOKUP($F383,設計座標!$E$13:$E$2301,設計座標!$J$13:$J$2301,"n/a",0,1)</f>
        <v>-270</v>
      </c>
      <c r="M383" s="2">
        <f t="shared" si="264"/>
        <v>0.23719773759446428</v>
      </c>
      <c r="N383" s="2">
        <f t="shared" si="265"/>
        <v>79285.998878929939</v>
      </c>
      <c r="O383" s="23">
        <f t="shared" si="266"/>
        <v>-263.96312202981647</v>
      </c>
      <c r="P383" s="1">
        <f t="shared" si="271"/>
        <v>-269.74469484781594</v>
      </c>
      <c r="Q383" s="1">
        <f t="shared" si="294"/>
        <v>0.23719773759446428</v>
      </c>
      <c r="R383">
        <f t="shared" si="285"/>
        <v>0</v>
      </c>
      <c r="S383" s="23">
        <f t="shared" si="293"/>
        <v>6.0368779701835411</v>
      </c>
      <c r="T383">
        <f>$S383+測地線補正!$Q$3*(lattice!$N383/1000)^3+測地線補正!$P$3*(lattice!$N383/1000)^2+測地線補正!$O$3*(lattice!$N383/1000)+測地線補正!$N$3</f>
        <v>0.25530515218407074</v>
      </c>
      <c r="U383">
        <v>0</v>
      </c>
      <c r="V383">
        <v>0</v>
      </c>
      <c r="W383">
        <v>0</v>
      </c>
      <c r="X383">
        <f>SQRT(($M$383-$M$382)^2+($N$383-$N$382)^2)</f>
        <v>233.39290001691174</v>
      </c>
      <c r="Y383">
        <f>_xlfn.XLOOKUP($F383,設計座標!$E$13:$E$2301,設計座標!$L$13:$L$2301," ",0,1)</f>
        <v>0</v>
      </c>
      <c r="Z383">
        <f>SQRT(($M$383-$M$381)^2+($N$383-$N$381)^2)</f>
        <v>1178.1175000854021</v>
      </c>
    </row>
    <row r="384" spans="1:28">
      <c r="A384" t="s">
        <v>797</v>
      </c>
      <c r="B384" t="s">
        <v>3811</v>
      </c>
      <c r="C384" t="s">
        <v>804</v>
      </c>
      <c r="D384" t="s">
        <v>1152</v>
      </c>
      <c r="E384" t="s">
        <v>804</v>
      </c>
      <c r="F384" t="s">
        <v>1462</v>
      </c>
      <c r="G384" t="s">
        <v>2422</v>
      </c>
      <c r="I384">
        <f>_xlfn.XLOOKUP($F384,設計座標!$E$13:$E$2301,設計座標!$G$13:$G$2301,"n/a",0,1)</f>
        <v>86.822052379309937</v>
      </c>
      <c r="J384">
        <f>_xlfn.XLOOKUP($F384,設計座標!$E$13:$E$2301,設計座標!$H$13:$H$2301,"n/a",0,1)</f>
        <v>0</v>
      </c>
      <c r="K384">
        <f>_xlfn.XLOOKUP($F384,設計座標!$E$13:$E$2301,設計座標!$I$13:$I$2301,"n/a",0,1)</f>
        <v>79419.998778929934</v>
      </c>
      <c r="L384">
        <f>_xlfn.XLOOKUP($F384,設計座標!$E$13:$E$2301,設計座標!$J$13:$J$2301,"n/a",0,1)</f>
        <v>-270</v>
      </c>
      <c r="M384" s="2">
        <f t="shared" si="264"/>
        <v>0.23558420809232289</v>
      </c>
      <c r="N384" s="2">
        <f t="shared" si="265"/>
        <v>79419.998778929934</v>
      </c>
      <c r="O384" s="23">
        <f t="shared" si="266"/>
        <v>-263.95006018095239</v>
      </c>
      <c r="P384" s="1">
        <f t="shared" si="271"/>
        <v>-269.74237632366106</v>
      </c>
      <c r="Q384" s="1">
        <f t="shared" si="294"/>
        <v>0.23558420809232289</v>
      </c>
      <c r="R384">
        <f t="shared" si="285"/>
        <v>0</v>
      </c>
      <c r="S384" s="23">
        <f t="shared" si="293"/>
        <v>6.0499398190476139</v>
      </c>
      <c r="T384">
        <f>$S384+測地線補正!$Q$3*(lattice!$N384/1000)^3+測地線補正!$P$3*(lattice!$N384/1000)^2+測地線補正!$O$3*(lattice!$N384/1000)+測地線補正!$N$3</f>
        <v>0.25762367633891808</v>
      </c>
      <c r="U384">
        <f>ATAN(($P$388-$P$384)/ABS($N$388-$N$384))</f>
        <v>1.6444355956539953E-5</v>
      </c>
      <c r="V384">
        <v>0</v>
      </c>
      <c r="W384">
        <f>-ATAN(($M$388-$M$384)/ABS($N$388-$N$384))</f>
        <v>1.2041273926797353E-5</v>
      </c>
      <c r="X384">
        <f>SQRT(($M$384-$M$383)^2+($N$384-$N$383)^2)</f>
        <v>133.99990000970973</v>
      </c>
      <c r="Y384">
        <f>_xlfn.XLOOKUP($F384,設計座標!$E$13:$E$2301,設計座標!$L$13:$L$2301," ",0,1)</f>
        <v>1889.4492</v>
      </c>
      <c r="Z384">
        <f>SQRT(($M$387-$M$385)^2+($N$387-$N$385)^2)</f>
        <v>311.2245000225592</v>
      </c>
    </row>
    <row r="385" spans="1:28">
      <c r="A385" t="s">
        <v>797</v>
      </c>
      <c r="B385" t="s">
        <v>3811</v>
      </c>
      <c r="C385" t="s">
        <v>3855</v>
      </c>
      <c r="D385" t="s">
        <v>1152</v>
      </c>
      <c r="E385" t="s">
        <v>804</v>
      </c>
      <c r="F385" t="s">
        <v>2238</v>
      </c>
      <c r="G385" t="s">
        <v>2238</v>
      </c>
      <c r="I385">
        <f>_xlfn.XLOOKUP($F385,設計座標!$E$13:$E$2301,設計座標!$G$13:$G$2301,"n/a",0,1)</f>
        <v>87.455552479309944</v>
      </c>
      <c r="J385">
        <f>_xlfn.XLOOKUP($F385,設計座標!$E$13:$E$2301,設計座標!$H$13:$H$2301,"n/a",0,1)</f>
        <v>0</v>
      </c>
      <c r="K385">
        <f>_xlfn.XLOOKUP($F385,設計座標!$E$13:$E$2301,設計座標!$I$13:$I$2301,"n/a",0,1)</f>
        <v>80053.498878929939</v>
      </c>
      <c r="L385">
        <f>_xlfn.XLOOKUP($F385,設計座標!$E$13:$E$2301,設計座標!$J$13:$J$2301,"n/a",0,1)</f>
        <v>-270</v>
      </c>
      <c r="M385" s="2">
        <f t="shared" si="264"/>
        <v>0.22795605985520065</v>
      </c>
      <c r="N385" s="2">
        <f t="shared" si="265"/>
        <v>80053.498878929939</v>
      </c>
      <c r="O385" s="23">
        <f t="shared" si="266"/>
        <v>-263.88830877246943</v>
      </c>
      <c r="P385" s="1">
        <f t="shared" si="271"/>
        <v>-269.73161888562299</v>
      </c>
      <c r="Q385" s="1">
        <f t="shared" si="294"/>
        <v>0.22795605985520065</v>
      </c>
      <c r="R385">
        <f t="shared" si="285"/>
        <v>0</v>
      </c>
      <c r="S385" s="23">
        <f t="shared" si="293"/>
        <v>6.1116912275305735</v>
      </c>
      <c r="T385">
        <f>$S385+測地線補正!$Q$3*(lattice!$N385/1000)^3+測地線補正!$P$3*(lattice!$N385/1000)^2+測地線補正!$O$3*(lattice!$N385/1000)+測地線補正!$N$3</f>
        <v>0.268381114377018</v>
      </c>
      <c r="U385">
        <f t="shared" ref="U385:U386" si="301">ATAN(($P$388-$P$384)/ABS($N$388-$N$384))</f>
        <v>1.6444355956539953E-5</v>
      </c>
      <c r="V385">
        <v>0</v>
      </c>
      <c r="W385">
        <f t="shared" ref="W385:W386" si="302">-ATAN(($M$388-$M$384)/ABS($N$388-$N$384))</f>
        <v>1.2041273926797353E-5</v>
      </c>
      <c r="X385" t="s">
        <v>3860</v>
      </c>
      <c r="Y385">
        <f>_xlfn.XLOOKUP($F385,設計座標!$E$13:$E$2301,設計座標!$L$13:$L$2301," ",0,1)</f>
        <v>1000</v>
      </c>
      <c r="Z385">
        <f>SQRT(($M$385-$M$383)^2+($N$385-$N$383)^2)</f>
        <v>767.50000005564073</v>
      </c>
      <c r="AA385">
        <f>_xlfn.XLOOKUP($G385,magnet_list!$A$2:$A$592,magnet_list!$AJ$2:$AJ$592,"n/a",0,1)</f>
        <v>0.95010000000000006</v>
      </c>
      <c r="AB385">
        <f>_xlfn.XLOOKUP($G385,magnet_list!$A$2:$A$592,magnet_list!$L$2:$L$592,"n/a",0,1)</f>
        <v>120</v>
      </c>
    </row>
    <row r="386" spans="1:28">
      <c r="A386" t="s">
        <v>797</v>
      </c>
      <c r="B386" t="s">
        <v>3811</v>
      </c>
      <c r="C386" t="s">
        <v>3855</v>
      </c>
      <c r="D386" t="s">
        <v>1152</v>
      </c>
      <c r="E386" t="s">
        <v>804</v>
      </c>
      <c r="F386" t="s">
        <v>2239</v>
      </c>
      <c r="G386" t="s">
        <v>2239</v>
      </c>
      <c r="I386">
        <f>_xlfn.XLOOKUP($F386,設計座標!$E$13:$E$2301,設計座標!$G$13:$G$2301,"n/a",0,1)</f>
        <v>87.455552479309944</v>
      </c>
      <c r="J386">
        <f>_xlfn.XLOOKUP($F386,設計座標!$E$13:$E$2301,設計座標!$H$13:$H$2301,"n/a",0,1)</f>
        <v>0</v>
      </c>
      <c r="K386">
        <f>_xlfn.XLOOKUP($F386,設計座標!$E$13:$E$2301,設計座標!$I$13:$I$2301,"n/a",0,1)</f>
        <v>80053.498878929939</v>
      </c>
      <c r="L386">
        <f>_xlfn.XLOOKUP($F386,設計座標!$E$13:$E$2301,設計座標!$J$13:$J$2301,"n/a",0,1)</f>
        <v>-270</v>
      </c>
      <c r="M386" s="2">
        <f t="shared" si="264"/>
        <v>0.22795605985520065</v>
      </c>
      <c r="N386" s="2">
        <f t="shared" si="265"/>
        <v>80053.498878929939</v>
      </c>
      <c r="O386" s="23">
        <f t="shared" si="266"/>
        <v>-263.88830877246943</v>
      </c>
      <c r="P386" s="1">
        <f t="shared" si="271"/>
        <v>-269.73161888562299</v>
      </c>
      <c r="Q386" s="1">
        <f t="shared" si="294"/>
        <v>0.22795605985520065</v>
      </c>
      <c r="R386">
        <f t="shared" si="285"/>
        <v>0</v>
      </c>
      <c r="S386" s="23">
        <f t="shared" si="293"/>
        <v>6.1116912275305735</v>
      </c>
      <c r="T386">
        <f>$S386+測地線補正!$Q$3*(lattice!$N386/1000)^3+測地線補正!$P$3*(lattice!$N386/1000)^2+測地線補正!$O$3*(lattice!$N386/1000)+測地線補正!$N$3</f>
        <v>0.268381114377018</v>
      </c>
      <c r="U386">
        <f t="shared" si="301"/>
        <v>1.6444355956539953E-5</v>
      </c>
      <c r="V386">
        <v>0</v>
      </c>
      <c r="W386">
        <f t="shared" si="302"/>
        <v>1.2041273926797353E-5</v>
      </c>
      <c r="X386" t="s">
        <v>3860</v>
      </c>
      <c r="Y386">
        <f>_xlfn.XLOOKUP($F386,設計座標!$E$13:$E$2301,設計座標!$L$13:$L$2301," ",0,1)</f>
        <v>1000</v>
      </c>
      <c r="Z386">
        <f>SQRT(($M$385-$M$383)^2+($N$385-$N$383)^2)</f>
        <v>767.50000005564073</v>
      </c>
      <c r="AA386">
        <f>_xlfn.XLOOKUP($G386,magnet_list!$A$2:$A$592,magnet_list!$AJ$2:$AJ$592,"n/a",0,1)</f>
        <v>0.95010000000000006</v>
      </c>
      <c r="AB386">
        <f>_xlfn.XLOOKUP($G386,magnet_list!$A$2:$A$592,magnet_list!$L$2:$L$592,"n/a",0,1)</f>
        <v>120</v>
      </c>
    </row>
    <row r="387" spans="1:28">
      <c r="A387" t="s">
        <v>797</v>
      </c>
      <c r="B387" t="s">
        <v>3811</v>
      </c>
      <c r="C387" t="s">
        <v>804</v>
      </c>
      <c r="D387" t="s">
        <v>1152</v>
      </c>
      <c r="E387" t="s">
        <v>804</v>
      </c>
      <c r="F387" t="s">
        <v>1284</v>
      </c>
      <c r="G387" t="s">
        <v>2422</v>
      </c>
      <c r="I387">
        <f>_xlfn.XLOOKUP($F387,設計座標!$E$13:$E$2301,設計座標!$G$13:$G$2301,"n/a",0,1)</f>
        <v>87.766776979309938</v>
      </c>
      <c r="J387">
        <f>_xlfn.XLOOKUP($F387,設計座標!$E$13:$E$2301,設計座標!$H$13:$H$2301,"n/a",0,1)</f>
        <v>0</v>
      </c>
      <c r="K387">
        <f>_xlfn.XLOOKUP($F387,設計座標!$E$13:$E$2301,設計座標!$I$13:$I$2301,"n/a",0,1)</f>
        <v>80364.723378929935</v>
      </c>
      <c r="L387">
        <f>_xlfn.XLOOKUP($F387,設計座標!$E$13:$E$2301,設計座標!$J$13:$J$2301,"n/a",0,1)</f>
        <v>-270</v>
      </c>
      <c r="M387" s="2">
        <f t="shared" si="264"/>
        <v>0.22420852039778905</v>
      </c>
      <c r="N387" s="2">
        <f t="shared" si="265"/>
        <v>80364.723378929935</v>
      </c>
      <c r="O387" s="23">
        <f t="shared" si="266"/>
        <v>-263.85797167981639</v>
      </c>
      <c r="P387" s="1">
        <f t="shared" si="271"/>
        <v>-269.72645846423336</v>
      </c>
      <c r="Q387" s="1">
        <f t="shared" si="294"/>
        <v>0.22420852039778905</v>
      </c>
      <c r="R387">
        <f t="shared" si="285"/>
        <v>0</v>
      </c>
      <c r="S387" s="23">
        <f t="shared" si="293"/>
        <v>6.1420283201836039</v>
      </c>
      <c r="T387">
        <f>$S387+測地線補正!$Q$3*(lattice!$N387/1000)^3+測地線補正!$P$3*(lattice!$N387/1000)^2+測地線補正!$O$3*(lattice!$N387/1000)+測地線補正!$N$3</f>
        <v>0.27354153576661683</v>
      </c>
      <c r="U387">
        <f t="shared" ref="U387:U388" si="303">ATAN(($P$388-$P$384)/ABS($N$388-$N$384))</f>
        <v>1.6444355956539953E-5</v>
      </c>
      <c r="V387">
        <v>0</v>
      </c>
      <c r="W387">
        <f t="shared" ref="W387:W388" si="304">-ATAN(($M$388-$M$384)/ABS($N$388-$N$384))</f>
        <v>1.2041273926797353E-5</v>
      </c>
      <c r="X387" t="s">
        <v>3860</v>
      </c>
      <c r="Y387">
        <f>_xlfn.XLOOKUP($F387,設計座標!$E$13:$E$2301,設計座標!$L$13:$L$2301," ",0,1)</f>
        <v>1889.4492</v>
      </c>
      <c r="Z387">
        <f>SQRT(($M$387-$M$385)^2+($N$387-$N$385)^2)</f>
        <v>311.2245000225592</v>
      </c>
    </row>
    <row r="388" spans="1:28">
      <c r="A388" t="s">
        <v>797</v>
      </c>
      <c r="B388" t="s">
        <v>3811</v>
      </c>
      <c r="C388" t="s">
        <v>804</v>
      </c>
      <c r="D388" t="s">
        <v>1152</v>
      </c>
      <c r="E388" t="s">
        <v>804</v>
      </c>
      <c r="F388" t="s">
        <v>1463</v>
      </c>
      <c r="G388" t="s">
        <v>2422</v>
      </c>
      <c r="I388">
        <f>_xlfn.XLOOKUP($F388,設計座標!$E$13:$E$2301,設計座標!$G$13:$G$2301,"n/a",0,1)</f>
        <v>88.711501579309939</v>
      </c>
      <c r="J388">
        <f>_xlfn.XLOOKUP($F388,設計座標!$E$13:$E$2301,設計座標!$H$13:$H$2301,"n/a",0,1)</f>
        <v>0</v>
      </c>
      <c r="K388">
        <f>_xlfn.XLOOKUP($F388,設計座標!$E$13:$E$2301,設計座標!$I$13:$I$2301,"n/a",0,1)</f>
        <v>81309.447978929937</v>
      </c>
      <c r="L388">
        <f>_xlfn.XLOOKUP($F388,設計座標!$E$13:$E$2301,設計座標!$J$13:$J$2301,"n/a",0,1)</f>
        <v>-270</v>
      </c>
      <c r="M388" s="2">
        <f t="shared" si="264"/>
        <v>0.21283283270325515</v>
      </c>
      <c r="N388" s="2">
        <f t="shared" si="265"/>
        <v>81309.447978929937</v>
      </c>
      <c r="O388" s="23">
        <f t="shared" si="266"/>
        <v>-263.76588317868038</v>
      </c>
      <c r="P388" s="1">
        <f t="shared" si="271"/>
        <v>-269.71130554845166</v>
      </c>
      <c r="Q388" s="1">
        <f t="shared" si="294"/>
        <v>0.21283283270325515</v>
      </c>
      <c r="R388">
        <f t="shared" si="285"/>
        <v>0</v>
      </c>
      <c r="S388" s="23">
        <f t="shared" si="293"/>
        <v>6.2341168213195939</v>
      </c>
      <c r="T388">
        <f>$S388+測地線補正!$Q$3*(lattice!$N388/1000)^3+測地線補正!$P$3*(lattice!$N388/1000)^2+測地線補正!$O$3*(lattice!$N388/1000)+測地線補正!$N$3</f>
        <v>0.28869445154832468</v>
      </c>
      <c r="U388">
        <f t="shared" si="303"/>
        <v>1.6444355956539953E-5</v>
      </c>
      <c r="V388">
        <v>0</v>
      </c>
      <c r="W388">
        <f t="shared" si="304"/>
        <v>1.2041273926797353E-5</v>
      </c>
      <c r="X388" t="s">
        <v>3860</v>
      </c>
      <c r="Y388">
        <f>_xlfn.XLOOKUP($F388,設計座標!$E$13:$E$2301,設計座標!$L$13:$L$2301," ",0,1)</f>
        <v>1889.4492</v>
      </c>
      <c r="Z388">
        <f>SQRT(($M$387-$M$385)^2+($N$387-$N$385)^2)</f>
        <v>311.2245000225592</v>
      </c>
    </row>
    <row r="389" spans="1:28">
      <c r="A389" t="s">
        <v>797</v>
      </c>
      <c r="B389" t="s">
        <v>3811</v>
      </c>
      <c r="C389" t="s">
        <v>804</v>
      </c>
      <c r="D389" t="s">
        <v>1152</v>
      </c>
      <c r="E389" t="s">
        <v>804</v>
      </c>
      <c r="F389" t="s">
        <v>1464</v>
      </c>
      <c r="G389" t="s">
        <v>2423</v>
      </c>
      <c r="I389">
        <f>_xlfn.XLOOKUP($F389,設計座標!$E$13:$E$2301,設計座標!$G$13:$G$2301,"n/a",0,1)</f>
        <v>88.895198379309932</v>
      </c>
      <c r="J389">
        <f>_xlfn.XLOOKUP($F389,設計座標!$E$13:$E$2301,設計座標!$H$13:$H$2301,"n/a",0,1)</f>
        <v>0</v>
      </c>
      <c r="K389">
        <f>_xlfn.XLOOKUP($F389,設計座標!$E$13:$E$2301,設計座標!$I$13:$I$2301,"n/a",0,1)</f>
        <v>81493.144778929927</v>
      </c>
      <c r="L389">
        <f>_xlfn.XLOOKUP($F389,設計座標!$E$13:$E$2301,設計座標!$J$13:$J$2301,"n/a",0,1)</f>
        <v>-270</v>
      </c>
      <c r="M389" s="2">
        <f t="shared" si="264"/>
        <v>0.21062088921487226</v>
      </c>
      <c r="N389" s="2">
        <f t="shared" si="265"/>
        <v>81493.144778929927</v>
      </c>
      <c r="O389" s="23">
        <f t="shared" si="266"/>
        <v>-263.74797704712051</v>
      </c>
      <c r="P389" s="1">
        <f t="shared" si="271"/>
        <v>-269.70844975439411</v>
      </c>
      <c r="Q389" s="1">
        <f t="shared" si="294"/>
        <v>0.21062088921487226</v>
      </c>
      <c r="R389">
        <f t="shared" si="285"/>
        <v>0</v>
      </c>
      <c r="S389" s="23">
        <f t="shared" si="293"/>
        <v>6.2520229528794973</v>
      </c>
      <c r="T389">
        <f>$S389+測地線補正!$Q$3*(lattice!$N389/1000)^3+測地線補正!$P$3*(lattice!$N389/1000)^2+測地線補正!$O$3*(lattice!$N389/1000)+測地線補正!$N$3</f>
        <v>0.29155024560590731</v>
      </c>
      <c r="U389">
        <f>ATAN(($P$391-$P$389)/ABS($N$391-$N$389))</f>
        <v>1.461406498963228E-5</v>
      </c>
      <c r="V389">
        <v>0</v>
      </c>
      <c r="W389">
        <f>-ATAN(($M$391-$M$389)/ABS($N$391-$N$389))</f>
        <v>1.2041273926797353E-5</v>
      </c>
      <c r="X389">
        <f>SQRT(($M$389-$M$388)^2+($N$389-$N$388)^2)</f>
        <v>183.69680001330792</v>
      </c>
      <c r="Y389">
        <f>_xlfn.XLOOKUP($F389,設計座標!$E$13:$E$2301,設計座標!$L$13:$L$2301," ",0,1)</f>
        <v>1889.4492</v>
      </c>
      <c r="Z389">
        <f>SQRT(($M$390-$M$387)^2+($N$390-$N$387)^2)</f>
        <v>2073.1460001502887</v>
      </c>
    </row>
    <row r="390" spans="1:28">
      <c r="A390" t="s">
        <v>797</v>
      </c>
      <c r="B390" t="s">
        <v>3811</v>
      </c>
      <c r="C390" t="s">
        <v>804</v>
      </c>
      <c r="D390" t="s">
        <v>1152</v>
      </c>
      <c r="E390" t="s">
        <v>804</v>
      </c>
      <c r="F390" t="s">
        <v>1338</v>
      </c>
      <c r="G390" t="s">
        <v>2423</v>
      </c>
      <c r="I390">
        <f>_xlfn.XLOOKUP($F390,設計座標!$E$13:$E$2301,設計座標!$G$13:$G$2301,"n/a",0,1)</f>
        <v>89.839922979309932</v>
      </c>
      <c r="J390">
        <f>_xlfn.XLOOKUP($F390,設計座標!$E$13:$E$2301,設計座標!$H$13:$H$2301,"n/a",0,1)</f>
        <v>0</v>
      </c>
      <c r="K390">
        <f>_xlfn.XLOOKUP($F390,設計座標!$E$13:$E$2301,設計座標!$I$13:$I$2301,"n/a",0,1)</f>
        <v>82437.869378929929</v>
      </c>
      <c r="L390">
        <f>_xlfn.XLOOKUP($F390,設計座標!$E$13:$E$2301,設計座標!$J$13:$J$2301,"n/a",0,1)</f>
        <v>-270</v>
      </c>
      <c r="M390" s="2">
        <f t="shared" si="264"/>
        <v>0.19924520152033839</v>
      </c>
      <c r="N390" s="2">
        <f t="shared" si="265"/>
        <v>82437.869378929929</v>
      </c>
      <c r="O390" s="23">
        <f t="shared" si="266"/>
        <v>-263.65588854598451</v>
      </c>
      <c r="P390" s="1">
        <f t="shared" si="271"/>
        <v>-269.69423800581865</v>
      </c>
      <c r="Q390" s="1">
        <f t="shared" si="294"/>
        <v>0.19924520152033839</v>
      </c>
      <c r="R390">
        <f t="shared" si="285"/>
        <v>0</v>
      </c>
      <c r="S390" s="23">
        <f t="shared" si="293"/>
        <v>6.3441114540154873</v>
      </c>
      <c r="T390">
        <f>$S390+測地線補正!$Q$3*(lattice!$N390/1000)^3+測地線補正!$P$3*(lattice!$N390/1000)^2+測地線補正!$O$3*(lattice!$N390/1000)+測地線補正!$N$3</f>
        <v>0.30576199418133337</v>
      </c>
      <c r="U390">
        <f t="shared" ref="U390:U391" si="305">ATAN(($P$391-$P$389)/ABS($N$391-$N$389))</f>
        <v>1.461406498963228E-5</v>
      </c>
      <c r="V390">
        <v>0</v>
      </c>
      <c r="W390">
        <f t="shared" ref="W390:W391" si="306">-ATAN(($M$391-$M$389)/ABS($N$391-$N$389))</f>
        <v>1.2041273926797353E-5</v>
      </c>
      <c r="X390" t="s">
        <v>3860</v>
      </c>
      <c r="Y390">
        <f>_xlfn.XLOOKUP($F390,設計座標!$E$13:$E$2301,設計座標!$L$13:$L$2301," ",0,1)</f>
        <v>1889.4492</v>
      </c>
      <c r="Z390">
        <f>SQRT(($M$390-$M$387)^2+($N$390-$N$387)^2)</f>
        <v>2073.1460001502887</v>
      </c>
    </row>
    <row r="391" spans="1:28">
      <c r="A391" t="s">
        <v>797</v>
      </c>
      <c r="B391" t="s">
        <v>3811</v>
      </c>
      <c r="C391" t="s">
        <v>804</v>
      </c>
      <c r="D391" t="s">
        <v>1152</v>
      </c>
      <c r="E391" t="s">
        <v>804</v>
      </c>
      <c r="F391" t="s">
        <v>1465</v>
      </c>
      <c r="G391" t="s">
        <v>2423</v>
      </c>
      <c r="I391">
        <f>_xlfn.XLOOKUP($F391,設計座標!$E$13:$E$2301,設計座標!$G$13:$G$2301,"n/a",0,1)</f>
        <v>90.784647579309933</v>
      </c>
      <c r="J391">
        <f>_xlfn.XLOOKUP($F391,設計座標!$E$13:$E$2301,設計座標!$H$13:$H$2301,"n/a",0,1)</f>
        <v>0</v>
      </c>
      <c r="K391">
        <f>_xlfn.XLOOKUP($F391,設計座標!$E$13:$E$2301,設計座標!$I$13:$I$2301,"n/a",0,1)</f>
        <v>83382.59397892993</v>
      </c>
      <c r="L391">
        <f>_xlfn.XLOOKUP($F391,設計座標!$E$13:$E$2301,設計座標!$J$13:$J$2301,"n/a",0,1)</f>
        <v>-270</v>
      </c>
      <c r="M391" s="2">
        <f t="shared" si="264"/>
        <v>0.18786951382580452</v>
      </c>
      <c r="N391" s="2">
        <f t="shared" si="265"/>
        <v>83382.59397892993</v>
      </c>
      <c r="O391" s="23">
        <f t="shared" si="266"/>
        <v>-263.56380004484851</v>
      </c>
      <c r="P391" s="1">
        <f t="shared" si="271"/>
        <v>-269.68083722098874</v>
      </c>
      <c r="Q391" s="1">
        <f t="shared" si="294"/>
        <v>0.18786951382580452</v>
      </c>
      <c r="R391">
        <f t="shared" si="285"/>
        <v>0</v>
      </c>
      <c r="S391" s="23">
        <f t="shared" si="293"/>
        <v>6.4361999551514772</v>
      </c>
      <c r="T391">
        <f>$S391+測地線補正!$Q$3*(lattice!$N391/1000)^3+測地線補正!$P$3*(lattice!$N391/1000)^2+測地線補正!$O$3*(lattice!$N391/1000)+測地線補正!$N$3</f>
        <v>0.31916277901126583</v>
      </c>
      <c r="U391">
        <f t="shared" si="305"/>
        <v>1.461406498963228E-5</v>
      </c>
      <c r="V391">
        <v>0</v>
      </c>
      <c r="W391">
        <f t="shared" si="306"/>
        <v>1.2041273926797353E-5</v>
      </c>
      <c r="X391" t="s">
        <v>3860</v>
      </c>
      <c r="Y391">
        <f>_xlfn.XLOOKUP($F391,設計座標!$E$13:$E$2301,設計座標!$L$13:$L$2301," ",0,1)</f>
        <v>1889.4492</v>
      </c>
      <c r="Z391">
        <f>SQRT(($M$390-$M$387)^2+($N$390-$N$387)^2)</f>
        <v>2073.1460001502887</v>
      </c>
    </row>
    <row r="392" spans="1:28">
      <c r="A392" t="s">
        <v>797</v>
      </c>
      <c r="B392" t="s">
        <v>3811</v>
      </c>
      <c r="C392" t="s">
        <v>1152</v>
      </c>
      <c r="D392" t="s">
        <v>1152</v>
      </c>
      <c r="E392" t="s">
        <v>804</v>
      </c>
      <c r="F392" t="s">
        <v>1982</v>
      </c>
      <c r="G392" t="s">
        <v>1982</v>
      </c>
      <c r="I392">
        <f>_xlfn.XLOOKUP($F392,設計座標!$E$13:$E$2301,設計座標!$G$13:$G$2301,"n/a",0,1)</f>
        <v>90.918647479309925</v>
      </c>
      <c r="J392">
        <f>_xlfn.XLOOKUP($F392,設計座標!$E$13:$E$2301,設計座標!$H$13:$H$2301,"n/a",0,1)</f>
        <v>0</v>
      </c>
      <c r="K392">
        <f>_xlfn.XLOOKUP($F392,設計座標!$E$13:$E$2301,設計座標!$I$13:$I$2301,"n/a",0,1)</f>
        <v>83516.593878929925</v>
      </c>
      <c r="L392">
        <f>_xlfn.XLOOKUP($F392,設計座標!$E$13:$E$2301,設計座標!$J$13:$J$2301,"n/a",0,1)</f>
        <v>-270</v>
      </c>
      <c r="M392" s="2">
        <f t="shared" si="264"/>
        <v>0.18625598432366314</v>
      </c>
      <c r="N392" s="2">
        <f t="shared" si="265"/>
        <v>83516.593878929925</v>
      </c>
      <c r="O392" s="23">
        <f t="shared" si="266"/>
        <v>-263.55073819598442</v>
      </c>
      <c r="P392" s="1">
        <f t="shared" si="271"/>
        <v>-269.67900333516872</v>
      </c>
      <c r="Q392" s="1">
        <f t="shared" si="294"/>
        <v>0.18625598432366314</v>
      </c>
      <c r="R392">
        <f t="shared" si="285"/>
        <v>0</v>
      </c>
      <c r="S392" s="23">
        <f t="shared" si="293"/>
        <v>6.4492618040155509</v>
      </c>
      <c r="T392">
        <f>$S392+測地線補正!$Q$3*(lattice!$N392/1000)^3+測地線補正!$P$3*(lattice!$N392/1000)^2+測地線補正!$O$3*(lattice!$N392/1000)+測地線補正!$N$3</f>
        <v>0.32099666483126493</v>
      </c>
      <c r="U392">
        <v>0</v>
      </c>
      <c r="V392">
        <v>0</v>
      </c>
      <c r="W392">
        <v>0</v>
      </c>
      <c r="X392">
        <f>SQRT(($M$392-$M$391)^2+($N$392-$N$391)^2)</f>
        <v>133.99990000970973</v>
      </c>
      <c r="Y392">
        <f>_xlfn.XLOOKUP($F392,設計座標!$E$13:$E$2301,設計座標!$L$13:$L$2301," ",0,1)</f>
        <v>0</v>
      </c>
      <c r="Z392">
        <f>SQRT(($M$392-$M$390)^2+($N$392-$N$390)^2)</f>
        <v>1078.7245000782</v>
      </c>
    </row>
    <row r="393" spans="1:28">
      <c r="A393" t="s">
        <v>797</v>
      </c>
      <c r="B393" t="s">
        <v>3811</v>
      </c>
      <c r="C393" t="s">
        <v>805</v>
      </c>
      <c r="D393" t="s">
        <v>806</v>
      </c>
      <c r="F393" t="s">
        <v>46</v>
      </c>
      <c r="G393" t="s">
        <v>2424</v>
      </c>
      <c r="I393">
        <f>_xlfn.XLOOKUP($F393,設計座標!$E$13:$E$2301,設計座標!$G$13:$G$2301,"n/a",0,1)</f>
        <v>91.093226542650001</v>
      </c>
      <c r="J393">
        <f>_xlfn.XLOOKUP($F393,設計座標!$E$13:$E$2301,設計座標!$H$13:$H$2301,"n/a",0,1)</f>
        <v>0</v>
      </c>
      <c r="K393">
        <f>_xlfn.XLOOKUP($F393,設計座標!$E$13:$E$2301,設計座標!$I$13:$I$2301,"n/a",0,1)</f>
        <v>83691.172942270001</v>
      </c>
      <c r="L393">
        <f>_xlfn.XLOOKUP($F393,設計座標!$E$13:$E$2301,設計座標!$J$13:$J$2301,"n/a",0,1)</f>
        <v>-60</v>
      </c>
      <c r="M393" s="2">
        <f>_xlfn.XLOOKUP($F393,survey_data!$A$2:$A$833,survey_data!$B$2:$B$833,"n/a",0,1)</f>
        <v>0.18415382999999999</v>
      </c>
      <c r="N393" s="2">
        <f>_xlfn.XLOOKUP($F393,survey_data!$A$2:$A$833,survey_data!$C$2:$C$833,"n/a",0,1)</f>
        <v>83691.172942270001</v>
      </c>
      <c r="O393" s="23">
        <f>_xlfn.XLOOKUP($F393,survey_data!$A$2:$A$833,survey_data!$D$2:$D$833,"n/a",0,1)</f>
        <v>-53.53372083</v>
      </c>
      <c r="P393" s="1">
        <f t="shared" si="271"/>
        <v>-59.676639300626995</v>
      </c>
      <c r="Q393" s="1">
        <f t="shared" si="290"/>
        <v>0.18415382999999999</v>
      </c>
      <c r="R393">
        <f t="shared" si="285"/>
        <v>0</v>
      </c>
      <c r="S393" s="23">
        <f t="shared" si="291"/>
        <v>6.46627917</v>
      </c>
      <c r="T393">
        <f>$S393+測地線補正!$Q$3*(lattice!$N393/1000)^3+測地線補正!$P$3*(lattice!$N393/1000)^2+測地線補正!$O$3*(lattice!$N393/1000)+測地線補正!$N$3</f>
        <v>0.3233606993730051</v>
      </c>
      <c r="U393">
        <f>ATAN(($P$394-$P$393)/ABS($N$394-$N$393))</f>
        <v>-6.0351911072625375E-4</v>
      </c>
      <c r="V393">
        <v>0</v>
      </c>
      <c r="W393">
        <f>-ATAN(($M$394-$M$393)/ABS($N$394-$N$393))</f>
        <v>2.6529046348538203E-5</v>
      </c>
      <c r="X393">
        <f>$Z$394-($Y$394+$Y$392)/2</f>
        <v>154.57906336339241</v>
      </c>
      <c r="Y393">
        <f>_xlfn.XLOOKUP($F393,設計座標!$E$13:$E$2301,設計座標!$L$13:$L$2301," ",0,1)</f>
        <v>120</v>
      </c>
      <c r="Z393">
        <f>SQRT(($M$394-$M$392)^2+($N$394-$N$392)^2)</f>
        <v>214.57906336339241</v>
      </c>
      <c r="AA393">
        <f>_xlfn.XLOOKUP($G393,magnet_list!$A$2:$A$592,magnet_list!$AJ$2:$AJ$592,"n/a",0,1)</f>
        <v>0.1333</v>
      </c>
      <c r="AB393">
        <f>_xlfn.XLOOKUP($G393,magnet_list!$A$2:$A$592,magnet_list!$L$2:$L$592,"n/a",0,1)</f>
        <v>23</v>
      </c>
    </row>
    <row r="394" spans="1:28">
      <c r="A394" t="s">
        <v>797</v>
      </c>
      <c r="B394" t="s">
        <v>3811</v>
      </c>
      <c r="C394" t="s">
        <v>805</v>
      </c>
      <c r="D394" t="s">
        <v>1152</v>
      </c>
      <c r="E394" t="s">
        <v>804</v>
      </c>
      <c r="F394" t="s">
        <v>565</v>
      </c>
      <c r="G394" t="s">
        <v>2424</v>
      </c>
      <c r="I394">
        <f>_xlfn.XLOOKUP($F394,設計座標!$E$13:$E$2301,設計座標!$G$13:$G$2301,"n/a",0,1)</f>
        <v>91.133226542650007</v>
      </c>
      <c r="J394">
        <f>_xlfn.XLOOKUP($F394,設計座標!$E$13:$E$2301,設計座標!$H$13:$H$2301,"n/a",0,1)</f>
        <v>0</v>
      </c>
      <c r="K394">
        <f>_xlfn.XLOOKUP($F394,設計座標!$E$13:$E$2301,設計座標!$I$13:$I$2301,"n/a",0,1)</f>
        <v>83731.172942270001</v>
      </c>
      <c r="L394">
        <f>_xlfn.XLOOKUP($F394,設計座標!$E$13:$E$2301,設計座標!$J$13:$J$2301,"n/a",0,1)</f>
        <v>-60</v>
      </c>
      <c r="M394" s="2">
        <f t="shared" si="264"/>
        <v>0.18309266814580952</v>
      </c>
      <c r="N394" s="2">
        <f t="shared" si="265"/>
        <v>83731.172942270001</v>
      </c>
      <c r="O394" s="23">
        <f t="shared" si="266"/>
        <v>-53.554500160224876</v>
      </c>
      <c r="P394" s="1">
        <f t="shared" si="271"/>
        <v>-59.700780067987019</v>
      </c>
      <c r="Q394" s="1">
        <f>(Q$395-Q$393)/($N$395-$N$393)*($N394-$N$393)+Q$393</f>
        <v>0.18309266814580952</v>
      </c>
      <c r="R394">
        <f t="shared" si="285"/>
        <v>0</v>
      </c>
      <c r="S394" s="23">
        <f>(S$395-S$393)/($N$395-$N$393)*($N394-$N$393)+S$393</f>
        <v>6.4454998397751231</v>
      </c>
      <c r="T394">
        <f>$S394+測地線補正!$Q$3*(lattice!$N394/1000)^3+測地線補正!$P$3*(lattice!$N394/1000)^2+測地線補正!$O$3*(lattice!$N394/1000)+測地線補正!$N$3</f>
        <v>0.29921993201298064</v>
      </c>
      <c r="U394">
        <f>ATAN(($P$394-$P$393)/ABS($N$394-$N$393))</f>
        <v>-6.0351911072625375E-4</v>
      </c>
      <c r="V394">
        <v>0</v>
      </c>
      <c r="W394">
        <f>-ATAN(($M$394-$M$393)/ABS($N$394-$N$393))</f>
        <v>2.6529046348538203E-5</v>
      </c>
      <c r="X394">
        <f>$Z$394-($Y$394+$Y$392)/2</f>
        <v>154.57906336339241</v>
      </c>
      <c r="Y394">
        <f>_xlfn.XLOOKUP($F394,設計座標!$E$13:$E$2301,設計座標!$L$13:$L$2301," ",0,1)</f>
        <v>120</v>
      </c>
      <c r="Z394">
        <f>SQRT(($M$394-$M$392)^2+($N$394-$N$392)^2)</f>
        <v>214.57906336339241</v>
      </c>
      <c r="AA394">
        <f>_xlfn.XLOOKUP($G394,magnet_list!$A$2:$A$592,magnet_list!$AJ$2:$AJ$592,"n/a",0,1)</f>
        <v>0.1333</v>
      </c>
      <c r="AB394">
        <f>_xlfn.XLOOKUP($G394,magnet_list!$A$2:$A$592,magnet_list!$L$2:$L$592,"n/a",0,1)</f>
        <v>23</v>
      </c>
    </row>
    <row r="395" spans="1:28">
      <c r="A395" t="s">
        <v>797</v>
      </c>
      <c r="B395" t="s">
        <v>3811</v>
      </c>
      <c r="C395" t="s">
        <v>805</v>
      </c>
      <c r="D395" t="s">
        <v>806</v>
      </c>
      <c r="F395" t="s">
        <v>47</v>
      </c>
      <c r="G395" t="s">
        <v>47</v>
      </c>
      <c r="I395">
        <f>_xlfn.XLOOKUP($F395,設計座標!$E$13:$E$2301,設計座標!$G$13:$G$2301,"n/a",0,1)</f>
        <v>91.312293218560001</v>
      </c>
      <c r="J395">
        <f>_xlfn.XLOOKUP($F395,設計座標!$E$13:$E$2301,設計座標!$H$13:$H$2301,"n/a",0,1)</f>
        <v>0</v>
      </c>
      <c r="K395">
        <f>_xlfn.XLOOKUP($F395,設計座標!$E$13:$E$2301,設計座標!$I$13:$I$2301,"n/a",0,1)</f>
        <v>83910.23961818</v>
      </c>
      <c r="L395">
        <f>_xlfn.XLOOKUP($F395,設計座標!$E$13:$E$2301,設計座標!$J$13:$J$2301,"n/a",0,1)</f>
        <v>-60</v>
      </c>
      <c r="M395" s="2">
        <f>_xlfn.XLOOKUP($F395,survey_data!$A$2:$A$833,survey_data!$B$2:$B$833,"n/a",0,1)</f>
        <v>0.17834220000000001</v>
      </c>
      <c r="N395" s="2">
        <f>_xlfn.XLOOKUP($F395,survey_data!$A$2:$A$833,survey_data!$C$2:$C$833,"n/a",0,1)</f>
        <v>83910.23961818</v>
      </c>
      <c r="O395" s="23">
        <f>_xlfn.XLOOKUP($F395,survey_data!$A$2:$A$833,survey_data!$D$2:$D$833,"n/a",0,1)</f>
        <v>-53.647522299999999</v>
      </c>
      <c r="P395" s="1">
        <f t="shared" si="271"/>
        <v>-59.808868717460861</v>
      </c>
      <c r="Q395" s="1">
        <f t="shared" si="290"/>
        <v>0.17834220000000001</v>
      </c>
      <c r="R395">
        <f t="shared" si="285"/>
        <v>0</v>
      </c>
      <c r="S395" s="23">
        <f t="shared" si="291"/>
        <v>6.3524777000000014</v>
      </c>
      <c r="T395">
        <f>$S395+測地線補正!$Q$3*(lattice!$N395/1000)^3+測地線補正!$P$3*(lattice!$N395/1000)^2+測地線補正!$O$3*(lattice!$N395/1000)+測地線補正!$N$3</f>
        <v>0.1911312825391375</v>
      </c>
      <c r="U395">
        <f>ATAN(($P$396-$P$395)/ABS($N$396-$N$395))</f>
        <v>1.8441364136206907E-5</v>
      </c>
      <c r="V395">
        <v>0</v>
      </c>
      <c r="W395">
        <f>-ATAN(($M$396-$M$395)/ABS($N$396-$N$395))</f>
        <v>-2.7721096551798529E-4</v>
      </c>
      <c r="X395">
        <f>$Z$396-($Y$396+$Y$394)/2</f>
        <v>99.066676855381615</v>
      </c>
      <c r="Y395">
        <f>_xlfn.XLOOKUP($F395,設計座標!$E$13:$E$2301,設計座標!$L$13:$L$2301," ",0,1)</f>
        <v>240</v>
      </c>
      <c r="Z395">
        <f>SQRT(($M$396-$M$394)^2+($N$396-$N$394)^2)</f>
        <v>279.06667685538162</v>
      </c>
      <c r="AA395">
        <f>_xlfn.XLOOKUP($G395,magnet_list!$A$2:$A$592,magnet_list!$AJ$2:$AJ$592,"n/a",0,1)</f>
        <v>0.25219999999999998</v>
      </c>
      <c r="AB395">
        <f>_xlfn.XLOOKUP($G395,magnet_list!$A$2:$A$592,magnet_list!$L$2:$L$592,"n/a",0,1)</f>
        <v>23</v>
      </c>
    </row>
    <row r="396" spans="1:28">
      <c r="A396" t="s">
        <v>797</v>
      </c>
      <c r="B396" t="s">
        <v>3811</v>
      </c>
      <c r="C396" t="s">
        <v>805</v>
      </c>
      <c r="D396" t="s">
        <v>1152</v>
      </c>
      <c r="E396" t="s">
        <v>804</v>
      </c>
      <c r="F396" t="s">
        <v>566</v>
      </c>
      <c r="G396" t="s">
        <v>47</v>
      </c>
      <c r="I396">
        <f>_xlfn.XLOOKUP($F396,設計座標!$E$13:$E$2301,設計座標!$G$13:$G$2301,"n/a",0,1)</f>
        <v>91.412293218559995</v>
      </c>
      <c r="J396">
        <f>_xlfn.XLOOKUP($F396,設計座標!$E$13:$E$2301,設計座標!$H$13:$H$2301,"n/a",0,1)</f>
        <v>0</v>
      </c>
      <c r="K396">
        <f>_xlfn.XLOOKUP($F396,設計座標!$E$13:$E$2301,設計座標!$I$13:$I$2301,"n/a",0,1)</f>
        <v>84010.23961818</v>
      </c>
      <c r="L396">
        <f>_xlfn.XLOOKUP($F396,設計座標!$E$13:$E$2301,設計座標!$J$13:$J$2301,"n/a",0,1)</f>
        <v>-60</v>
      </c>
      <c r="M396" s="2">
        <f t="shared" si="264"/>
        <v>0.20606329726188294</v>
      </c>
      <c r="N396" s="2">
        <f t="shared" si="265"/>
        <v>84010.23961818</v>
      </c>
      <c r="O396" s="23">
        <f t="shared" si="266"/>
        <v>-53.637251072805057</v>
      </c>
      <c r="P396" s="1">
        <f t="shared" si="271"/>
        <v>-59.807024581047031</v>
      </c>
      <c r="Q396" s="1">
        <f>(Q$398-Q$395)/($N$398-$N$395)*($N396-$N$395)+Q$395</f>
        <v>0.20606329726188294</v>
      </c>
      <c r="R396">
        <f t="shared" si="285"/>
        <v>0</v>
      </c>
      <c r="S396" s="23">
        <f t="shared" ref="S396:S397" si="307">(S$398-S$395)/($N$398-$N$395)*($N396-$N$395)+S$395</f>
        <v>6.3627489271949464</v>
      </c>
      <c r="T396">
        <f>$S396+測地線補正!$Q$3*(lattice!$N396/1000)^3+測地線補正!$P$3*(lattice!$N396/1000)^2+測地線補正!$O$3*(lattice!$N396/1000)+測地線補正!$N$3</f>
        <v>0.19297541895296991</v>
      </c>
      <c r="U396">
        <f>ATAN(($P$396-$P$395)/ABS($N$396-$N$395))</f>
        <v>1.8441364136206907E-5</v>
      </c>
      <c r="V396">
        <v>0</v>
      </c>
      <c r="W396">
        <f>-ATAN(($M$396-$M$395)/ABS($N$396-$N$395))</f>
        <v>-2.7721096551798529E-4</v>
      </c>
      <c r="X396">
        <f>$Z$396-($Y$396+$Y$394)/2</f>
        <v>99.066676855381615</v>
      </c>
      <c r="Y396">
        <f>_xlfn.XLOOKUP($F396,設計座標!$E$13:$E$2301,設計座標!$L$13:$L$2301," ",0,1)</f>
        <v>240</v>
      </c>
      <c r="Z396">
        <f>SQRT(($M$396-$M$394)^2+($N$396-$N$394)^2)</f>
        <v>279.06667685538162</v>
      </c>
      <c r="AA396">
        <f>_xlfn.XLOOKUP($G396,magnet_list!$A$2:$A$592,magnet_list!$AJ$2:$AJ$592,"n/a",0,1)</f>
        <v>0.25219999999999998</v>
      </c>
      <c r="AB396">
        <f>_xlfn.XLOOKUP($G396,magnet_list!$A$2:$A$592,magnet_list!$L$2:$L$592,"n/a",0,1)</f>
        <v>23</v>
      </c>
    </row>
    <row r="397" spans="1:28">
      <c r="A397" t="s">
        <v>797</v>
      </c>
      <c r="B397" t="s">
        <v>3811</v>
      </c>
      <c r="C397" t="s">
        <v>805</v>
      </c>
      <c r="D397" t="s">
        <v>1152</v>
      </c>
      <c r="E397" t="s">
        <v>804</v>
      </c>
      <c r="F397" t="s">
        <v>567</v>
      </c>
      <c r="G397" t="s">
        <v>2424</v>
      </c>
      <c r="I397">
        <f>_xlfn.XLOOKUP($F397,設計座標!$E$13:$E$2301,設計座標!$G$13:$G$2301,"n/a",0,1)</f>
        <v>91.692303108139996</v>
      </c>
      <c r="J397">
        <f>_xlfn.XLOOKUP($F397,設計座標!$E$13:$E$2301,設計座標!$H$13:$H$2301,"n/a",0,1)</f>
        <v>0</v>
      </c>
      <c r="K397">
        <f>_xlfn.XLOOKUP($F397,設計座標!$E$13:$E$2301,設計座標!$I$13:$I$2301,"n/a",0,1)</f>
        <v>84290.249507760003</v>
      </c>
      <c r="L397">
        <f>_xlfn.XLOOKUP($F397,設計座標!$E$13:$E$2301,設計座標!$J$13:$J$2301,"n/a",0,1)</f>
        <v>-60</v>
      </c>
      <c r="M397" s="2">
        <f t="shared" si="264"/>
        <v>0.28368511109524686</v>
      </c>
      <c r="N397" s="2">
        <f t="shared" si="265"/>
        <v>84290.249507760003</v>
      </c>
      <c r="O397" s="23">
        <f t="shared" si="266"/>
        <v>-53.608490620877973</v>
      </c>
      <c r="P397" s="1">
        <f t="shared" si="271"/>
        <v>-59.801911319284741</v>
      </c>
      <c r="Q397" s="1">
        <f>(Q$398-Q$395)/($N$398-$N$395)*($N397-$N$395)+Q$395</f>
        <v>0.28368511109524686</v>
      </c>
      <c r="R397">
        <f t="shared" si="285"/>
        <v>0</v>
      </c>
      <c r="S397" s="23">
        <f t="shared" si="307"/>
        <v>6.3915093791220245</v>
      </c>
      <c r="T397">
        <f>$S397+測地線補正!$Q$3*(lattice!$N397/1000)^3+測地線補正!$P$3*(lattice!$N397/1000)^2+測地線補正!$O$3*(lattice!$N397/1000)+測地線補正!$N$3</f>
        <v>0.19808868071525879</v>
      </c>
      <c r="U397">
        <f>ATAN(($P$398-$P$397)/ABS($N$398-$N$397))</f>
        <v>1.8108564196391981E-5</v>
      </c>
      <c r="V397">
        <v>0</v>
      </c>
      <c r="W397">
        <f>-ATAN(($M$398-$M$397)/ABS($N$398-$N$397))</f>
        <v>-2.7721096551798442E-4</v>
      </c>
      <c r="X397">
        <f>$Z$397-($Y$397+$Y$396)/2</f>
        <v>100.00990033881283</v>
      </c>
      <c r="Y397">
        <f>_xlfn.XLOOKUP($F397,設計座標!$E$13:$E$2301,設計座標!$L$13:$L$2301," ",0,1)</f>
        <v>120</v>
      </c>
      <c r="Z397">
        <f>SQRT(($M$397-$M$396)^2+($N$397-$N$396)^2)</f>
        <v>280.00990033881283</v>
      </c>
      <c r="AA397">
        <f>_xlfn.XLOOKUP($G397,magnet_list!$A$2:$A$592,magnet_list!$AJ$2:$AJ$592,"n/a",0,1)</f>
        <v>0.1333</v>
      </c>
      <c r="AB397">
        <f>_xlfn.XLOOKUP($G397,magnet_list!$A$2:$A$592,magnet_list!$L$2:$L$592,"n/a",0,1)</f>
        <v>23</v>
      </c>
    </row>
    <row r="398" spans="1:28">
      <c r="A398" t="s">
        <v>797</v>
      </c>
      <c r="B398" t="s">
        <v>3811</v>
      </c>
      <c r="C398" t="s">
        <v>805</v>
      </c>
      <c r="D398" t="s">
        <v>806</v>
      </c>
      <c r="F398" t="s">
        <v>48</v>
      </c>
      <c r="G398" t="s">
        <v>2424</v>
      </c>
      <c r="I398">
        <f>_xlfn.XLOOKUP($F398,設計座標!$E$13:$E$2301,設計座標!$G$13:$G$2301,"n/a",0,1)</f>
        <v>91.732303108140002</v>
      </c>
      <c r="J398">
        <f>_xlfn.XLOOKUP($F398,設計座標!$E$13:$E$2301,設計座標!$H$13:$H$2301,"n/a",0,1)</f>
        <v>0</v>
      </c>
      <c r="K398">
        <f>_xlfn.XLOOKUP($F398,設計座標!$E$13:$E$2301,設計座標!$I$13:$I$2301,"n/a",0,1)</f>
        <v>84330.249507760003</v>
      </c>
      <c r="L398">
        <f>_xlfn.XLOOKUP($F398,設計座標!$E$13:$E$2301,設計座標!$J$13:$J$2301,"n/a",0,1)</f>
        <v>-60</v>
      </c>
      <c r="M398" s="2">
        <f>_xlfn.XLOOKUP($F398,survey_data!$A$2:$A$833,survey_data!$B$2:$B$833,"n/a",0,1)</f>
        <v>0.29477355</v>
      </c>
      <c r="N398" s="2">
        <f>_xlfn.XLOOKUP($F398,survey_data!$A$2:$A$833,survey_data!$C$2:$C$833,"n/a",0,1)</f>
        <v>84330.249507760003</v>
      </c>
      <c r="O398" s="23">
        <f>_xlfn.XLOOKUP($F398,survey_data!$A$2:$A$833,survey_data!$D$2:$D$833,"n/a",0,1)</f>
        <v>-53.604382129999998</v>
      </c>
      <c r="P398" s="1">
        <f t="shared" si="271"/>
        <v>-59.801186976716806</v>
      </c>
      <c r="Q398" s="1">
        <f t="shared" si="290"/>
        <v>0.29477355</v>
      </c>
      <c r="R398">
        <f t="shared" si="285"/>
        <v>0</v>
      </c>
      <c r="S398" s="23">
        <f t="shared" si="291"/>
        <v>6.3956178700000024</v>
      </c>
      <c r="T398">
        <f>$S398+測地線補正!$Q$3*(lattice!$N398/1000)^3+測地線補正!$P$3*(lattice!$N398/1000)^2+測地線補正!$O$3*(lattice!$N398/1000)+測地線補正!$N$3</f>
        <v>0.19881302328319364</v>
      </c>
      <c r="U398">
        <f>ATAN(($P$398-$P$397)/ABS($N$398-$N$397))</f>
        <v>1.8108564196391981E-5</v>
      </c>
      <c r="V398">
        <v>0</v>
      </c>
      <c r="W398">
        <f>-ATAN(($M$398-$M$397)/ABS($N$398-$N$397))</f>
        <v>-2.7721096551798442E-4</v>
      </c>
      <c r="X398">
        <f>$Z$397-($Y$397+$Y$396)/2</f>
        <v>100.00990033881283</v>
      </c>
      <c r="Y398">
        <f>_xlfn.XLOOKUP($F398,設計座標!$E$13:$E$2301,設計座標!$L$13:$L$2301," ",0,1)</f>
        <v>120</v>
      </c>
      <c r="Z398">
        <f>SQRT(($M$397-$M$396)^2+($N$397-$N$396)^2)</f>
        <v>280.00990033881283</v>
      </c>
      <c r="AA398">
        <f>_xlfn.XLOOKUP($G398,magnet_list!$A$2:$A$592,magnet_list!$AJ$2:$AJ$592,"n/a",0,1)</f>
        <v>0.1333</v>
      </c>
      <c r="AB398">
        <f>_xlfn.XLOOKUP($G398,magnet_list!$A$2:$A$592,magnet_list!$L$2:$L$592,"n/a",0,1)</f>
        <v>23</v>
      </c>
    </row>
    <row r="399" spans="1:28">
      <c r="A399" t="s">
        <v>797</v>
      </c>
      <c r="B399" t="s">
        <v>3811</v>
      </c>
      <c r="C399" t="s">
        <v>2288</v>
      </c>
      <c r="D399" t="s">
        <v>1152</v>
      </c>
      <c r="E399" t="s">
        <v>804</v>
      </c>
      <c r="F399" t="s">
        <v>2332</v>
      </c>
      <c r="G399" t="s">
        <v>2332</v>
      </c>
      <c r="I399">
        <f>_xlfn.XLOOKUP($F399,設計座標!$E$13:$E$2301,設計座標!$G$13:$G$2301,"n/a",0,1)</f>
        <v>91.958064479309925</v>
      </c>
      <c r="J399">
        <f>_xlfn.XLOOKUP($F399,設計座標!$E$13:$E$2301,設計座標!$H$13:$H$2301,"n/a",0,1)</f>
        <v>0</v>
      </c>
      <c r="K399">
        <f>_xlfn.XLOOKUP($F399,設計座標!$E$13:$E$2301,設計座標!$I$13:$I$2301,"n/a",0,1)</f>
        <v>84556.010878929927</v>
      </c>
      <c r="L399">
        <f>_xlfn.XLOOKUP($F399,設計座標!$E$13:$E$2301,設計座標!$J$13:$J$2301,"n/a",0,1)</f>
        <v>-270</v>
      </c>
      <c r="M399" s="2">
        <f t="shared" si="264"/>
        <v>0.28595133310716969</v>
      </c>
      <c r="N399" s="2">
        <f t="shared" si="265"/>
        <v>84556.010878929927</v>
      </c>
      <c r="O399" s="23">
        <f t="shared" si="266"/>
        <v>-263.58666264014846</v>
      </c>
      <c r="P399" s="1">
        <f t="shared" si="271"/>
        <v>-269.802596452643</v>
      </c>
      <c r="Q399" s="1">
        <f>(Q$418-Q$398)/($N$418-$N$398)*($N399-$N$398)+Q$398</f>
        <v>0.28595133310716969</v>
      </c>
      <c r="R399">
        <f t="shared" si="285"/>
        <v>0</v>
      </c>
      <c r="S399" s="23">
        <f t="shared" ref="S399:S417" si="308">(S$418-S$398)/($N$418-$N$398)*($N399-$N$398)+S$398</f>
        <v>6.4133373598515293</v>
      </c>
      <c r="T399">
        <f>$S399+測地線補正!$Q$3*(lattice!$N399/1000)^3+測地線補正!$P$3*(lattice!$N399/1000)^2+測地線補正!$O$3*(lattice!$N399/1000)+測地線補正!$N$3</f>
        <v>0.19740354735698876</v>
      </c>
      <c r="U399">
        <v>0</v>
      </c>
      <c r="V399">
        <v>0</v>
      </c>
      <c r="W399">
        <v>0</v>
      </c>
      <c r="X399">
        <f>$Z$399-($Y$399+$Y$398)/2</f>
        <v>205.76137117958558</v>
      </c>
      <c r="Y399">
        <f>_xlfn.XLOOKUP($F399,設計座標!$E$13:$E$2301,設計座標!$L$13:$L$2301," ",0,1)</f>
        <v>0</v>
      </c>
      <c r="Z399">
        <f>SQRT(($M$399-$M$397)^2+($N$399-$N$397)^2)</f>
        <v>265.76137117958558</v>
      </c>
    </row>
    <row r="400" spans="1:28">
      <c r="A400" t="s">
        <v>797</v>
      </c>
      <c r="B400" t="s">
        <v>3811</v>
      </c>
      <c r="C400" t="s">
        <v>804</v>
      </c>
      <c r="D400" t="s">
        <v>1152</v>
      </c>
      <c r="E400" t="s">
        <v>804</v>
      </c>
      <c r="F400" t="s">
        <v>1466</v>
      </c>
      <c r="G400" t="s">
        <v>2425</v>
      </c>
      <c r="I400">
        <f>_xlfn.XLOOKUP($F400,設計座標!$E$13:$E$2301,設計座標!$G$13:$G$2301,"n/a",0,1)</f>
        <v>92.092064379309917</v>
      </c>
      <c r="J400">
        <f>_xlfn.XLOOKUP($F400,設計座標!$E$13:$E$2301,設計座標!$H$13:$H$2301,"n/a",0,1)</f>
        <v>0</v>
      </c>
      <c r="K400">
        <f>_xlfn.XLOOKUP($F400,設計座標!$E$13:$E$2301,設計座標!$I$13:$I$2301,"n/a",0,1)</f>
        <v>84690.010778929922</v>
      </c>
      <c r="L400">
        <f>_xlfn.XLOOKUP($F400,設計座標!$E$13:$E$2301,設計座標!$J$13:$J$2301,"n/a",0,1)</f>
        <v>-270</v>
      </c>
      <c r="M400" s="2">
        <f t="shared" ref="M400:M463" si="309">$J400+$Q400</f>
        <v>0.28071493604202363</v>
      </c>
      <c r="N400" s="2">
        <f t="shared" ref="N400:N463" si="310">$K400</f>
        <v>84690.010778929922</v>
      </c>
      <c r="O400" s="23">
        <f t="shared" ref="O400:O463" si="311">$L400+$S400</f>
        <v>-263.57614529674356</v>
      </c>
      <c r="P400" s="1">
        <f t="shared" si="271"/>
        <v>-269.80345619563485</v>
      </c>
      <c r="Q400" s="1">
        <f t="shared" ref="Q400:Q417" si="312">(Q$418-Q$398)/($N$418-$N$398)*($N400-$N$398)+Q$398</f>
        <v>0.28071493604202363</v>
      </c>
      <c r="R400">
        <f t="shared" si="285"/>
        <v>0</v>
      </c>
      <c r="S400" s="23">
        <f t="shared" si="308"/>
        <v>6.4238547032564304</v>
      </c>
      <c r="T400">
        <f>$S400+測地線補正!$Q$3*(lattice!$N400/1000)^3+測地線補正!$P$3*(lattice!$N400/1000)^2+測地線補正!$O$3*(lattice!$N400/1000)+測地線補正!$N$3</f>
        <v>0.19654380436515254</v>
      </c>
      <c r="U400">
        <f>ATAN(($P$404-$P$400)/ABS($N$404-$N$400))</f>
        <v>-7.4066847607363109E-6</v>
      </c>
      <c r="V400">
        <v>0</v>
      </c>
      <c r="W400">
        <f>-ATAN(($M$404-$M$400)/ABS($N$404-$N$400))</f>
        <v>3.9077619180915821E-5</v>
      </c>
      <c r="X400">
        <f>SQRT(($M$400-$M$399)^2+($N$400-$N$399)^2)</f>
        <v>133.9999001023082</v>
      </c>
      <c r="Y400">
        <f>_xlfn.XLOOKUP($F400,設計座標!$E$13:$E$2301,設計座標!$L$13:$L$2301," ",0,1)</f>
        <v>1889.4492</v>
      </c>
      <c r="Z400">
        <f>SQRT(($M$403-$M$401)^2+($N$403-$N$401)^2)</f>
        <v>311.22450023762593</v>
      </c>
    </row>
    <row r="401" spans="1:28">
      <c r="A401" t="s">
        <v>797</v>
      </c>
      <c r="B401" t="s">
        <v>3811</v>
      </c>
      <c r="C401" t="s">
        <v>3855</v>
      </c>
      <c r="D401" t="s">
        <v>1152</v>
      </c>
      <c r="E401" t="s">
        <v>804</v>
      </c>
      <c r="F401" t="s">
        <v>2240</v>
      </c>
      <c r="G401" t="s">
        <v>2240</v>
      </c>
      <c r="I401">
        <f>_xlfn.XLOOKUP($F401,設計座標!$E$13:$E$2301,設計座標!$G$13:$G$2301,"n/a",0,1)</f>
        <v>92.725564479309924</v>
      </c>
      <c r="J401">
        <f>_xlfn.XLOOKUP($F401,設計座標!$E$13:$E$2301,設計座標!$H$13:$H$2301,"n/a",0,1)</f>
        <v>0</v>
      </c>
      <c r="K401">
        <f>_xlfn.XLOOKUP($F401,設計座標!$E$13:$E$2301,設計座標!$I$13:$I$2301,"n/a",0,1)</f>
        <v>85323.510878929927</v>
      </c>
      <c r="L401">
        <f>_xlfn.XLOOKUP($F401,設計座標!$E$13:$E$2301,設計座標!$J$13:$J$2301,"n/a",0,1)</f>
        <v>-270</v>
      </c>
      <c r="M401" s="2">
        <f t="shared" si="309"/>
        <v>0.25595926037055022</v>
      </c>
      <c r="N401" s="2">
        <f t="shared" si="310"/>
        <v>85323.510878929927</v>
      </c>
      <c r="O401" s="23">
        <f t="shared" si="311"/>
        <v>-263.52642333352765</v>
      </c>
      <c r="P401" s="1">
        <f t="shared" si="271"/>
        <v>-269.80775624989201</v>
      </c>
      <c r="Q401" s="1">
        <f t="shared" si="312"/>
        <v>0.25595926037055022</v>
      </c>
      <c r="R401">
        <f t="shared" si="285"/>
        <v>0</v>
      </c>
      <c r="S401" s="23">
        <f t="shared" si="308"/>
        <v>6.4735766664723711</v>
      </c>
      <c r="T401">
        <f>$S401+測地線補正!$Q$3*(lattice!$N401/1000)^3+測地線補正!$P$3*(lattice!$N401/1000)^2+測地線補正!$O$3*(lattice!$N401/1000)+測地線補正!$N$3</f>
        <v>0.19224375010801711</v>
      </c>
      <c r="U401">
        <f t="shared" ref="U401:U402" si="313">ATAN(($P$404-$P$400)/ABS($N$404-$N$400))</f>
        <v>-7.4066847607363109E-6</v>
      </c>
      <c r="V401">
        <v>0</v>
      </c>
      <c r="W401">
        <f t="shared" ref="W401:W402" si="314">-ATAN(($M$404-$M$400)/ABS($N$404-$N$400))</f>
        <v>3.9077619180915821E-5</v>
      </c>
      <c r="X401" t="s">
        <v>3860</v>
      </c>
      <c r="Y401">
        <f>_xlfn.XLOOKUP($F401,設計座標!$E$13:$E$2301,設計座標!$L$13:$L$2301," ",0,1)</f>
        <v>1000</v>
      </c>
      <c r="Z401">
        <f>SQRT(($M$401-$M$399)^2+($N$401-$N$399)^2)</f>
        <v>767.50000058600938</v>
      </c>
      <c r="AA401">
        <f>_xlfn.XLOOKUP($G401,magnet_list!$A$2:$A$592,magnet_list!$AJ$2:$AJ$592,"n/a",0,1)</f>
        <v>0.95010000000000006</v>
      </c>
      <c r="AB401">
        <f>_xlfn.XLOOKUP($G401,magnet_list!$A$2:$A$592,magnet_list!$L$2:$L$592,"n/a",0,1)</f>
        <v>120</v>
      </c>
    </row>
    <row r="402" spans="1:28">
      <c r="A402" t="s">
        <v>797</v>
      </c>
      <c r="B402" t="s">
        <v>3811</v>
      </c>
      <c r="C402" t="s">
        <v>3855</v>
      </c>
      <c r="D402" t="s">
        <v>1152</v>
      </c>
      <c r="E402" t="s">
        <v>804</v>
      </c>
      <c r="F402" t="s">
        <v>2241</v>
      </c>
      <c r="G402" t="s">
        <v>2241</v>
      </c>
      <c r="I402">
        <f>_xlfn.XLOOKUP($F402,設計座標!$E$13:$E$2301,設計座標!$G$13:$G$2301,"n/a",0,1)</f>
        <v>92.725564479309924</v>
      </c>
      <c r="J402">
        <f>_xlfn.XLOOKUP($F402,設計座標!$E$13:$E$2301,設計座標!$H$13:$H$2301,"n/a",0,1)</f>
        <v>0</v>
      </c>
      <c r="K402">
        <f>_xlfn.XLOOKUP($F402,設計座標!$E$13:$E$2301,設計座標!$I$13:$I$2301,"n/a",0,1)</f>
        <v>85323.510878929927</v>
      </c>
      <c r="L402">
        <f>_xlfn.XLOOKUP($F402,設計座標!$E$13:$E$2301,設計座標!$J$13:$J$2301,"n/a",0,1)</f>
        <v>-270</v>
      </c>
      <c r="M402" s="2">
        <f t="shared" si="309"/>
        <v>0.25595926037055022</v>
      </c>
      <c r="N402" s="2">
        <f t="shared" si="310"/>
        <v>85323.510878929927</v>
      </c>
      <c r="O402" s="23">
        <f t="shared" si="311"/>
        <v>-263.52642333352765</v>
      </c>
      <c r="P402" s="1">
        <f t="shared" ref="P402:P465" si="315">$L402+$T402</f>
        <v>-269.80775624989201</v>
      </c>
      <c r="Q402" s="1">
        <f t="shared" si="312"/>
        <v>0.25595926037055022</v>
      </c>
      <c r="R402">
        <f t="shared" si="285"/>
        <v>0</v>
      </c>
      <c r="S402" s="23">
        <f t="shared" si="308"/>
        <v>6.4735766664723711</v>
      </c>
      <c r="T402">
        <f>$S402+測地線補正!$Q$3*(lattice!$N402/1000)^3+測地線補正!$P$3*(lattice!$N402/1000)^2+測地線補正!$O$3*(lattice!$N402/1000)+測地線補正!$N$3</f>
        <v>0.19224375010801711</v>
      </c>
      <c r="U402">
        <f t="shared" si="313"/>
        <v>-7.4066847607363109E-6</v>
      </c>
      <c r="V402">
        <v>0</v>
      </c>
      <c r="W402">
        <f t="shared" si="314"/>
        <v>3.9077619180915821E-5</v>
      </c>
      <c r="X402" t="s">
        <v>3860</v>
      </c>
      <c r="Y402">
        <f>_xlfn.XLOOKUP($F402,設計座標!$E$13:$E$2301,設計座標!$L$13:$L$2301," ",0,1)</f>
        <v>1000</v>
      </c>
      <c r="Z402">
        <f>SQRT(($M$401-$M$399)^2+($N$401-$N$399)^2)</f>
        <v>767.50000058600938</v>
      </c>
      <c r="AA402">
        <f>_xlfn.XLOOKUP($G402,magnet_list!$A$2:$A$592,magnet_list!$AJ$2:$AJ$592,"n/a",0,1)</f>
        <v>0.95010000000000006</v>
      </c>
      <c r="AB402">
        <f>_xlfn.XLOOKUP($G402,magnet_list!$A$2:$A$592,magnet_list!$L$2:$L$592,"n/a",0,1)</f>
        <v>120</v>
      </c>
    </row>
    <row r="403" spans="1:28">
      <c r="A403" t="s">
        <v>797</v>
      </c>
      <c r="B403" t="s">
        <v>3811</v>
      </c>
      <c r="C403" t="s">
        <v>804</v>
      </c>
      <c r="D403" t="s">
        <v>1152</v>
      </c>
      <c r="E403" t="s">
        <v>804</v>
      </c>
      <c r="F403" t="s">
        <v>1174</v>
      </c>
      <c r="G403" t="s">
        <v>2425</v>
      </c>
      <c r="I403">
        <f>_xlfn.XLOOKUP($F403,設計座標!$E$13:$E$2301,設計座標!$G$13:$G$2301,"n/a",0,1)</f>
        <v>93.036788979309918</v>
      </c>
      <c r="J403">
        <f>_xlfn.XLOOKUP($F403,設計座標!$E$13:$E$2301,設計座標!$H$13:$H$2301,"n/a",0,1)</f>
        <v>0</v>
      </c>
      <c r="K403">
        <f>_xlfn.XLOOKUP($F403,設計座標!$E$13:$E$2301,設計座標!$I$13:$I$2301,"n/a",0,1)</f>
        <v>85634.735378929923</v>
      </c>
      <c r="L403">
        <f>_xlfn.XLOOKUP($F403,設計座標!$E$13:$E$2301,設計座標!$J$13:$J$2301,"n/a",0,1)</f>
        <v>-270</v>
      </c>
      <c r="M403" s="2">
        <f t="shared" si="309"/>
        <v>0.24379734787358875</v>
      </c>
      <c r="N403" s="2">
        <f t="shared" si="310"/>
        <v>85634.735378929923</v>
      </c>
      <c r="O403" s="23">
        <f t="shared" si="311"/>
        <v>-263.50199603960789</v>
      </c>
      <c r="P403" s="1">
        <f t="shared" si="315"/>
        <v>-269.81001250873243</v>
      </c>
      <c r="Q403" s="1">
        <f t="shared" si="312"/>
        <v>0.24379734787358875</v>
      </c>
      <c r="R403">
        <f t="shared" si="285"/>
        <v>0</v>
      </c>
      <c r="S403" s="23">
        <f t="shared" si="308"/>
        <v>6.4980039603921336</v>
      </c>
      <c r="T403">
        <f>$S403+測地線補正!$Q$3*(lattice!$N403/1000)^3+測地線補正!$P$3*(lattice!$N403/1000)^2+測地線補正!$O$3*(lattice!$N403/1000)+測地線補正!$N$3</f>
        <v>0.18998749126754891</v>
      </c>
      <c r="U403">
        <f t="shared" ref="U403:U404" si="316">ATAN(($P$404-$P$400)/ABS($N$404-$N$400))</f>
        <v>-7.4066847607363109E-6</v>
      </c>
      <c r="V403">
        <v>0</v>
      </c>
      <c r="W403">
        <f t="shared" ref="W403:W404" si="317">-ATAN(($M$404-$M$400)/ABS($N$404-$N$400))</f>
        <v>3.9077619180915821E-5</v>
      </c>
      <c r="X403" t="s">
        <v>3860</v>
      </c>
      <c r="Y403">
        <f>_xlfn.XLOOKUP($F403,設計座標!$E$13:$E$2301,設計座標!$L$13:$L$2301," ",0,1)</f>
        <v>1889.4492</v>
      </c>
      <c r="Z403">
        <f>SQRT(($M$403-$M$401)^2+($N$403-$N$401)^2)</f>
        <v>311.22450023762593</v>
      </c>
    </row>
    <row r="404" spans="1:28">
      <c r="A404" t="s">
        <v>797</v>
      </c>
      <c r="B404" t="s">
        <v>3811</v>
      </c>
      <c r="C404" t="s">
        <v>804</v>
      </c>
      <c r="D404" t="s">
        <v>1152</v>
      </c>
      <c r="E404" t="s">
        <v>804</v>
      </c>
      <c r="F404" t="s">
        <v>1467</v>
      </c>
      <c r="G404" t="s">
        <v>2425</v>
      </c>
      <c r="I404">
        <f>_xlfn.XLOOKUP($F404,設計座標!$E$13:$E$2301,設計座標!$G$13:$G$2301,"n/a",0,1)</f>
        <v>93.981513579309919</v>
      </c>
      <c r="J404">
        <f>_xlfn.XLOOKUP($F404,設計座標!$E$13:$E$2301,設計座標!$H$13:$H$2301,"n/a",0,1)</f>
        <v>0</v>
      </c>
      <c r="K404">
        <f>_xlfn.XLOOKUP($F404,設計座標!$E$13:$E$2301,設計座標!$I$13:$I$2301,"n/a",0,1)</f>
        <v>86579.459978929925</v>
      </c>
      <c r="L404">
        <f>_xlfn.XLOOKUP($F404,設計座標!$E$13:$E$2301,設計座標!$J$13:$J$2301,"n/a",0,1)</f>
        <v>-270</v>
      </c>
      <c r="M404" s="2">
        <f t="shared" si="309"/>
        <v>0.20687975970515388</v>
      </c>
      <c r="N404" s="2">
        <f t="shared" si="310"/>
        <v>86579.459978929925</v>
      </c>
      <c r="O404" s="23">
        <f t="shared" si="311"/>
        <v>-263.42784678247216</v>
      </c>
      <c r="P404" s="1">
        <f t="shared" si="315"/>
        <v>-269.81745075023093</v>
      </c>
      <c r="Q404" s="1">
        <f t="shared" si="312"/>
        <v>0.20687975970515388</v>
      </c>
      <c r="R404">
        <f t="shared" si="285"/>
        <v>0</v>
      </c>
      <c r="S404" s="23">
        <f t="shared" si="308"/>
        <v>6.5721532175278377</v>
      </c>
      <c r="T404">
        <f>$S404+測地線補正!$Q$3*(lattice!$N404/1000)^3+測地線補正!$P$3*(lattice!$N404/1000)^2+測地線補正!$O$3*(lattice!$N404/1000)+測地線補正!$N$3</f>
        <v>0.18254924976908452</v>
      </c>
      <c r="U404">
        <f t="shared" si="316"/>
        <v>-7.4066847607363109E-6</v>
      </c>
      <c r="V404">
        <v>0</v>
      </c>
      <c r="W404">
        <f t="shared" si="317"/>
        <v>3.9077619180915821E-5</v>
      </c>
      <c r="X404" t="s">
        <v>3860</v>
      </c>
      <c r="Y404">
        <f>_xlfn.XLOOKUP($F404,設計座標!$E$13:$E$2301,設計座標!$L$13:$L$2301," ",0,1)</f>
        <v>1889.4492</v>
      </c>
      <c r="Z404">
        <f>SQRT(($M$403-$M$401)^2+($N$403-$N$401)^2)</f>
        <v>311.22450023762593</v>
      </c>
    </row>
    <row r="405" spans="1:28">
      <c r="A405" t="s">
        <v>797</v>
      </c>
      <c r="B405" t="s">
        <v>3811</v>
      </c>
      <c r="C405" t="s">
        <v>804</v>
      </c>
      <c r="D405" t="s">
        <v>1152</v>
      </c>
      <c r="E405" t="s">
        <v>804</v>
      </c>
      <c r="F405" t="s">
        <v>1468</v>
      </c>
      <c r="G405" t="s">
        <v>2426</v>
      </c>
      <c r="I405">
        <f>_xlfn.XLOOKUP($F405,設計座標!$E$13:$E$2301,設計座標!$G$13:$G$2301,"n/a",0,1)</f>
        <v>94.165210379309912</v>
      </c>
      <c r="J405">
        <f>_xlfn.XLOOKUP($F405,設計座標!$E$13:$E$2301,設計座標!$H$13:$H$2301,"n/a",0,1)</f>
        <v>0</v>
      </c>
      <c r="K405">
        <f>_xlfn.XLOOKUP($F405,設計座標!$E$13:$E$2301,設計座標!$I$13:$I$2301,"n/a",0,1)</f>
        <v>86763.156778929915</v>
      </c>
      <c r="L405">
        <f>_xlfn.XLOOKUP($F405,設計座標!$E$13:$E$2301,設計座標!$J$13:$J$2301,"n/a",0,1)</f>
        <v>-270</v>
      </c>
      <c r="M405" s="2">
        <f t="shared" si="309"/>
        <v>0.19970132610634744</v>
      </c>
      <c r="N405" s="2">
        <f t="shared" si="310"/>
        <v>86763.156778929915</v>
      </c>
      <c r="O405" s="23">
        <f t="shared" si="311"/>
        <v>-263.41342884389172</v>
      </c>
      <c r="P405" s="1">
        <f t="shared" si="315"/>
        <v>-269.81900127463484</v>
      </c>
      <c r="Q405" s="1">
        <f t="shared" si="312"/>
        <v>0.19970132610634744</v>
      </c>
      <c r="R405">
        <f t="shared" si="285"/>
        <v>0</v>
      </c>
      <c r="S405" s="23">
        <f t="shared" si="308"/>
        <v>6.5865711561082501</v>
      </c>
      <c r="T405">
        <f>$S405+測地線補正!$Q$3*(lattice!$N405/1000)^3+測地線補正!$P$3*(lattice!$N405/1000)^2+測地線補正!$O$3*(lattice!$N405/1000)+測地線補正!$N$3</f>
        <v>0.18099872536514031</v>
      </c>
      <c r="U405">
        <f>ATAN(($P$407-$P$405)/ABS($N$407-$N$405))</f>
        <v>-9.5087126857525891E-6</v>
      </c>
      <c r="V405">
        <v>0</v>
      </c>
      <c r="W405">
        <f>-ATAN(($M$407-$M$405)/ABS($N$407-$N$405))</f>
        <v>3.9077619180915808E-5</v>
      </c>
      <c r="X405">
        <f>SQRT(($M$405-$M$404)^2+($N$405-$N$404)^2)</f>
        <v>183.69680014024868</v>
      </c>
      <c r="Y405">
        <f>_xlfn.XLOOKUP($F405,設計座標!$E$13:$E$2301,設計座標!$L$13:$L$2301," ",0,1)</f>
        <v>1889.4492</v>
      </c>
      <c r="Z405">
        <f>SQRT(($M$406-$M$403)^2+($N$406-$N$403)^2)</f>
        <v>2073.146001582903</v>
      </c>
    </row>
    <row r="406" spans="1:28">
      <c r="A406" t="s">
        <v>797</v>
      </c>
      <c r="B406" t="s">
        <v>3811</v>
      </c>
      <c r="C406" t="s">
        <v>804</v>
      </c>
      <c r="D406" t="s">
        <v>1152</v>
      </c>
      <c r="E406" t="s">
        <v>804</v>
      </c>
      <c r="F406" t="s">
        <v>1230</v>
      </c>
      <c r="G406" t="s">
        <v>2426</v>
      </c>
      <c r="I406">
        <f>_xlfn.XLOOKUP($F406,設計座標!$E$13:$E$2301,設計座標!$G$13:$G$2301,"n/a",0,1)</f>
        <v>95.109934979309912</v>
      </c>
      <c r="J406">
        <f>_xlfn.XLOOKUP($F406,設計座標!$E$13:$E$2301,設計座標!$H$13:$H$2301,"n/a",0,1)</f>
        <v>0</v>
      </c>
      <c r="K406">
        <f>_xlfn.XLOOKUP($F406,設計座標!$E$13:$E$2301,設計座標!$I$13:$I$2301,"n/a",0,1)</f>
        <v>87707.881378929917</v>
      </c>
      <c r="L406">
        <f>_xlfn.XLOOKUP($F406,設計座標!$E$13:$E$2301,設計座標!$J$13:$J$2301,"n/a",0,1)</f>
        <v>-270</v>
      </c>
      <c r="M406" s="2">
        <f t="shared" si="309"/>
        <v>0.16278373793791256</v>
      </c>
      <c r="N406" s="2">
        <f t="shared" si="310"/>
        <v>87707.881378929917</v>
      </c>
      <c r="O406" s="23">
        <f t="shared" si="311"/>
        <v>-263.33927958675605</v>
      </c>
      <c r="P406" s="1">
        <f t="shared" si="315"/>
        <v>-269.82752041517347</v>
      </c>
      <c r="Q406" s="1">
        <f t="shared" si="312"/>
        <v>0.16278373793791256</v>
      </c>
      <c r="R406">
        <f t="shared" si="285"/>
        <v>0</v>
      </c>
      <c r="S406" s="23">
        <f t="shared" si="308"/>
        <v>6.6607204132439533</v>
      </c>
      <c r="T406">
        <f>$S406+測地線補正!$Q$3*(lattice!$N406/1000)^3+測地線補正!$P$3*(lattice!$N406/1000)^2+測地線補正!$O$3*(lattice!$N406/1000)+測地線補正!$N$3</f>
        <v>0.17247958482650919</v>
      </c>
      <c r="U406">
        <f t="shared" ref="U406:U407" si="318">ATAN(($P$407-$P$405)/ABS($N$407-$N$405))</f>
        <v>-9.5087126857525891E-6</v>
      </c>
      <c r="V406">
        <v>0</v>
      </c>
      <c r="W406">
        <f t="shared" ref="W406:W407" si="319">-ATAN(($M$407-$M$405)/ABS($N$407-$N$405))</f>
        <v>3.9077619180915808E-5</v>
      </c>
      <c r="X406" t="s">
        <v>3860</v>
      </c>
      <c r="Y406">
        <f>_xlfn.XLOOKUP($F406,設計座標!$E$13:$E$2301,設計座標!$L$13:$L$2301," ",0,1)</f>
        <v>1889.4492</v>
      </c>
      <c r="Z406">
        <f>SQRT(($M$406-$M$403)^2+($N$406-$N$403)^2)</f>
        <v>2073.146001582903</v>
      </c>
    </row>
    <row r="407" spans="1:28">
      <c r="A407" t="s">
        <v>797</v>
      </c>
      <c r="B407" t="s">
        <v>3811</v>
      </c>
      <c r="C407" t="s">
        <v>804</v>
      </c>
      <c r="D407" t="s">
        <v>1152</v>
      </c>
      <c r="E407" t="s">
        <v>804</v>
      </c>
      <c r="F407" t="s">
        <v>1469</v>
      </c>
      <c r="G407" t="s">
        <v>2426</v>
      </c>
      <c r="I407">
        <f>_xlfn.XLOOKUP($F407,設計座標!$E$13:$E$2301,設計座標!$G$13:$G$2301,"n/a",0,1)</f>
        <v>96.054659579309913</v>
      </c>
      <c r="J407">
        <f>_xlfn.XLOOKUP($F407,設計座標!$E$13:$E$2301,設計座標!$H$13:$H$2301,"n/a",0,1)</f>
        <v>0</v>
      </c>
      <c r="K407">
        <f>_xlfn.XLOOKUP($F407,設計座標!$E$13:$E$2301,設計座標!$I$13:$I$2301,"n/a",0,1)</f>
        <v>88652.605978929918</v>
      </c>
      <c r="L407">
        <f>_xlfn.XLOOKUP($F407,設計座標!$E$13:$E$2301,設計座標!$J$13:$J$2301,"n/a",0,1)</f>
        <v>-270</v>
      </c>
      <c r="M407" s="2">
        <f t="shared" si="309"/>
        <v>0.12586614976947771</v>
      </c>
      <c r="N407" s="2">
        <f t="shared" si="310"/>
        <v>88652.605978929918</v>
      </c>
      <c r="O407" s="23">
        <f t="shared" si="311"/>
        <v>-263.26513032962032</v>
      </c>
      <c r="P407" s="1">
        <f t="shared" si="315"/>
        <v>-269.83696750421251</v>
      </c>
      <c r="Q407" s="1">
        <f t="shared" si="312"/>
        <v>0.12586614976947771</v>
      </c>
      <c r="R407">
        <f t="shared" si="285"/>
        <v>0</v>
      </c>
      <c r="S407" s="23">
        <f t="shared" si="308"/>
        <v>6.7348696703796573</v>
      </c>
      <c r="T407">
        <f>$S407+測地線補正!$Q$3*(lattice!$N407/1000)^3+測地線補正!$P$3*(lattice!$N407/1000)^2+測地線補正!$O$3*(lattice!$N407/1000)+測地線補正!$N$3</f>
        <v>0.16303249578751103</v>
      </c>
      <c r="U407">
        <f t="shared" si="318"/>
        <v>-9.5087126857525891E-6</v>
      </c>
      <c r="V407">
        <v>0</v>
      </c>
      <c r="W407">
        <f t="shared" si="319"/>
        <v>3.9077619180915808E-5</v>
      </c>
      <c r="X407" t="s">
        <v>3860</v>
      </c>
      <c r="Y407">
        <f>_xlfn.XLOOKUP($F407,設計座標!$E$13:$E$2301,設計座標!$L$13:$L$2301," ",0,1)</f>
        <v>1889.4492</v>
      </c>
      <c r="Z407">
        <f>SQRT(($M$406-$M$403)^2+($N$406-$N$403)^2)</f>
        <v>2073.146001582903</v>
      </c>
    </row>
    <row r="408" spans="1:28">
      <c r="A408" t="s">
        <v>797</v>
      </c>
      <c r="B408" t="s">
        <v>3811</v>
      </c>
      <c r="C408" t="s">
        <v>1152</v>
      </c>
      <c r="D408" t="s">
        <v>1152</v>
      </c>
      <c r="E408" t="s">
        <v>804</v>
      </c>
      <c r="F408" t="s">
        <v>3844</v>
      </c>
      <c r="G408" t="s">
        <v>1981</v>
      </c>
      <c r="I408">
        <f>_xlfn.XLOOKUP($F408,設計座標!$E$13:$E$2301,設計座標!$G$13:$G$2301,"n/a",0,1)</f>
        <v>96.288052479309911</v>
      </c>
      <c r="J408">
        <f>_xlfn.XLOOKUP($F408,設計座標!$E$13:$E$2301,設計座標!$H$13:$H$2301,"n/a",0,1)</f>
        <v>0</v>
      </c>
      <c r="K408">
        <f>_xlfn.XLOOKUP($F408,設計座標!$E$13:$E$2301,設計座標!$I$13:$I$2301,"n/a",0,1)</f>
        <v>88885.99887892991</v>
      </c>
      <c r="L408">
        <f>_xlfn.XLOOKUP($F408,設計座標!$E$13:$E$2301,設計座標!$J$13:$J$2301,"n/a",0,1)</f>
        <v>-270</v>
      </c>
      <c r="M408" s="2">
        <f t="shared" si="309"/>
        <v>0.11674571089910599</v>
      </c>
      <c r="N408" s="2">
        <f t="shared" si="310"/>
        <v>88885.99887892991</v>
      </c>
      <c r="O408" s="23">
        <f t="shared" si="311"/>
        <v>-263.24681185865455</v>
      </c>
      <c r="P408" s="1">
        <f t="shared" si="315"/>
        <v>-269.83944675601259</v>
      </c>
      <c r="Q408" s="1">
        <f t="shared" si="312"/>
        <v>0.11674571089910599</v>
      </c>
      <c r="R408">
        <f t="shared" si="285"/>
        <v>0</v>
      </c>
      <c r="S408" s="23">
        <f t="shared" si="308"/>
        <v>6.7531881413454249</v>
      </c>
      <c r="T408">
        <f>$S408+測地線補正!$Q$3*(lattice!$N408/1000)^3+測地線補正!$P$3*(lattice!$N408/1000)^2+測地線補正!$O$3*(lattice!$N408/1000)+測地線補正!$N$3</f>
        <v>0.16055324398741991</v>
      </c>
      <c r="U408">
        <v>0</v>
      </c>
      <c r="V408">
        <v>0</v>
      </c>
      <c r="W408">
        <v>0</v>
      </c>
      <c r="X408">
        <f>SQRT(($M$408-$M$407)^2+($N$408-$N$407)^2)</f>
        <v>233.39290017819417</v>
      </c>
      <c r="Y408">
        <f>_xlfn.XLOOKUP($F408,設計座標!$E$13:$E$2301,設計座標!$L$13:$L$2301," ",0,1)</f>
        <v>0</v>
      </c>
      <c r="Z408">
        <f>SQRT(($M$408-$M$406)^2+($N$408-$N$406)^2)</f>
        <v>1178.1175008995212</v>
      </c>
    </row>
    <row r="409" spans="1:28">
      <c r="A409" t="s">
        <v>797</v>
      </c>
      <c r="B409" t="s">
        <v>3811</v>
      </c>
      <c r="C409" t="s">
        <v>804</v>
      </c>
      <c r="D409" t="s">
        <v>1152</v>
      </c>
      <c r="E409" t="s">
        <v>804</v>
      </c>
      <c r="F409" t="s">
        <v>1470</v>
      </c>
      <c r="G409" t="s">
        <v>2427</v>
      </c>
      <c r="I409">
        <f>_xlfn.XLOOKUP($F409,設計座標!$E$13:$E$2301,設計座標!$G$13:$G$2301,"n/a",0,1)</f>
        <v>96.422052379309903</v>
      </c>
      <c r="J409">
        <f>_xlfn.XLOOKUP($F409,設計座標!$E$13:$E$2301,設計座標!$H$13:$H$2301,"n/a",0,1)</f>
        <v>0</v>
      </c>
      <c r="K409">
        <f>_xlfn.XLOOKUP($F409,設計座標!$E$13:$E$2301,設計座標!$I$13:$I$2301,"n/a",0,1)</f>
        <v>89019.998778929905</v>
      </c>
      <c r="L409">
        <f>_xlfn.XLOOKUP($F409,設計座標!$E$13:$E$2301,設計座標!$J$13:$J$2301,"n/a",0,1)</f>
        <v>-270</v>
      </c>
      <c r="M409" s="2">
        <f t="shared" si="309"/>
        <v>0.11150931383395993</v>
      </c>
      <c r="N409" s="2">
        <f t="shared" si="310"/>
        <v>89019.998778929905</v>
      </c>
      <c r="O409" s="23">
        <f t="shared" si="311"/>
        <v>-263.23629451524965</v>
      </c>
      <c r="P409" s="1">
        <f t="shared" si="315"/>
        <v>-269.84089648429364</v>
      </c>
      <c r="Q409" s="1">
        <f t="shared" si="312"/>
        <v>0.11150931383395993</v>
      </c>
      <c r="R409">
        <f t="shared" si="285"/>
        <v>0</v>
      </c>
      <c r="S409" s="23">
        <f t="shared" si="308"/>
        <v>6.7637054847503268</v>
      </c>
      <c r="T409">
        <f>$S409+測地線補正!$Q$3*(lattice!$N409/1000)^3+測地線補正!$P$3*(lattice!$N409/1000)^2+測地線補正!$O$3*(lattice!$N409/1000)+測地線補正!$N$3</f>
        <v>0.15910351570635153</v>
      </c>
      <c r="U409">
        <f>ATAN(($P$413-$P$409)/ABS($N$413-$N$409))</f>
        <v>-1.1918520605018261E-5</v>
      </c>
      <c r="V409">
        <v>0</v>
      </c>
      <c r="W409">
        <f>-ATAN(($M$413-$M$409)/ABS($N$413-$N$409))</f>
        <v>3.9077619180915808E-5</v>
      </c>
      <c r="X409">
        <f>SQRT(($M$409-$M$408)^2+($N$409-$N$408)^2)</f>
        <v>133.9999001023082</v>
      </c>
      <c r="Y409">
        <f>_xlfn.XLOOKUP($F409,設計座標!$E$13:$E$2301,設計座標!$L$13:$L$2301," ",0,1)</f>
        <v>1889.4492</v>
      </c>
      <c r="Z409">
        <f>SQRT(($M$412-$M$410)^2+($N$412-$N$410)^2)</f>
        <v>311.22450023762593</v>
      </c>
    </row>
    <row r="410" spans="1:28">
      <c r="A410" t="s">
        <v>797</v>
      </c>
      <c r="B410" t="s">
        <v>3811</v>
      </c>
      <c r="C410" t="s">
        <v>3855</v>
      </c>
      <c r="D410" t="s">
        <v>1152</v>
      </c>
      <c r="E410" t="s">
        <v>804</v>
      </c>
      <c r="F410" t="s">
        <v>2242</v>
      </c>
      <c r="G410" t="s">
        <v>2242</v>
      </c>
      <c r="I410">
        <f>_xlfn.XLOOKUP($F410,設計座標!$E$13:$E$2301,設計座標!$G$13:$G$2301,"n/a",0,1)</f>
        <v>97.05555247930991</v>
      </c>
      <c r="J410">
        <f>_xlfn.XLOOKUP($F410,設計座標!$E$13:$E$2301,設計座標!$H$13:$H$2301,"n/a",0,1)</f>
        <v>0</v>
      </c>
      <c r="K410">
        <f>_xlfn.XLOOKUP($F410,設計座標!$E$13:$E$2301,設計座標!$I$13:$I$2301,"n/a",0,1)</f>
        <v>89653.49887892991</v>
      </c>
      <c r="L410">
        <f>_xlfn.XLOOKUP($F410,設計座標!$E$13:$E$2301,設計座標!$J$13:$J$2301,"n/a",0,1)</f>
        <v>-270</v>
      </c>
      <c r="M410" s="2">
        <f t="shared" si="309"/>
        <v>8.6753638162486546E-2</v>
      </c>
      <c r="N410" s="2">
        <f t="shared" si="310"/>
        <v>89653.49887892991</v>
      </c>
      <c r="O410" s="23">
        <f t="shared" si="311"/>
        <v>-263.18657255203374</v>
      </c>
      <c r="P410" s="1">
        <f t="shared" si="315"/>
        <v>-269.84801194373665</v>
      </c>
      <c r="Q410" s="1">
        <f t="shared" si="312"/>
        <v>8.6753638162486546E-2</v>
      </c>
      <c r="R410">
        <f t="shared" si="285"/>
        <v>0</v>
      </c>
      <c r="S410" s="23">
        <f t="shared" si="308"/>
        <v>6.8134274479662666</v>
      </c>
      <c r="T410">
        <f>$S410+測地線補正!$Q$3*(lattice!$N410/1000)^3+測地線補正!$P$3*(lattice!$N410/1000)^2+測地線補正!$O$3*(lattice!$N410/1000)+測地線補正!$N$3</f>
        <v>0.15198805626334635</v>
      </c>
      <c r="U410">
        <f t="shared" ref="U410:U411" si="320">ATAN(($P$413-$P$409)/ABS($N$413-$N$409))</f>
        <v>-1.1918520605018261E-5</v>
      </c>
      <c r="V410">
        <v>0</v>
      </c>
      <c r="W410">
        <f t="shared" ref="W410:W411" si="321">-ATAN(($M$413-$M$409)/ABS($N$413-$N$409))</f>
        <v>3.9077619180915808E-5</v>
      </c>
      <c r="X410" t="s">
        <v>3860</v>
      </c>
      <c r="Y410">
        <f>_xlfn.XLOOKUP($F410,設計座標!$E$13:$E$2301,設計座標!$L$13:$L$2301," ",0,1)</f>
        <v>1000</v>
      </c>
      <c r="Z410">
        <f>SQRT(($M$410-$M$408)^2+($N$410-$N$408)^2)</f>
        <v>767.50000058600938</v>
      </c>
      <c r="AA410">
        <f>_xlfn.XLOOKUP($G410,magnet_list!$A$2:$A$592,magnet_list!$AJ$2:$AJ$592,"n/a",0,1)</f>
        <v>0.95010000000000006</v>
      </c>
      <c r="AB410">
        <f>_xlfn.XLOOKUP($G410,magnet_list!$A$2:$A$592,magnet_list!$L$2:$L$592,"n/a",0,1)</f>
        <v>120</v>
      </c>
    </row>
    <row r="411" spans="1:28">
      <c r="A411" t="s">
        <v>797</v>
      </c>
      <c r="B411" t="s">
        <v>3811</v>
      </c>
      <c r="C411" t="s">
        <v>3855</v>
      </c>
      <c r="D411" t="s">
        <v>1152</v>
      </c>
      <c r="E411" t="s">
        <v>804</v>
      </c>
      <c r="F411" t="s">
        <v>2243</v>
      </c>
      <c r="G411" t="s">
        <v>2243</v>
      </c>
      <c r="I411">
        <f>_xlfn.XLOOKUP($F411,設計座標!$E$13:$E$2301,設計座標!$G$13:$G$2301,"n/a",0,1)</f>
        <v>97.05555247930991</v>
      </c>
      <c r="J411">
        <f>_xlfn.XLOOKUP($F411,設計座標!$E$13:$E$2301,設計座標!$H$13:$H$2301,"n/a",0,1)</f>
        <v>0</v>
      </c>
      <c r="K411">
        <f>_xlfn.XLOOKUP($F411,設計座標!$E$13:$E$2301,設計座標!$I$13:$I$2301,"n/a",0,1)</f>
        <v>89653.49887892991</v>
      </c>
      <c r="L411">
        <f>_xlfn.XLOOKUP($F411,設計座標!$E$13:$E$2301,設計座標!$J$13:$J$2301,"n/a",0,1)</f>
        <v>-270</v>
      </c>
      <c r="M411" s="2">
        <f t="shared" si="309"/>
        <v>8.6753638162486546E-2</v>
      </c>
      <c r="N411" s="2">
        <f t="shared" si="310"/>
        <v>89653.49887892991</v>
      </c>
      <c r="O411" s="23">
        <f t="shared" si="311"/>
        <v>-263.18657255203374</v>
      </c>
      <c r="P411" s="1">
        <f t="shared" si="315"/>
        <v>-269.84801194373665</v>
      </c>
      <c r="Q411" s="1">
        <f t="shared" si="312"/>
        <v>8.6753638162486546E-2</v>
      </c>
      <c r="R411">
        <f t="shared" si="285"/>
        <v>0</v>
      </c>
      <c r="S411" s="23">
        <f t="shared" si="308"/>
        <v>6.8134274479662666</v>
      </c>
      <c r="T411">
        <f>$S411+測地線補正!$Q$3*(lattice!$N411/1000)^3+測地線補正!$P$3*(lattice!$N411/1000)^2+測地線補正!$O$3*(lattice!$N411/1000)+測地線補正!$N$3</f>
        <v>0.15198805626334635</v>
      </c>
      <c r="U411">
        <f t="shared" si="320"/>
        <v>-1.1918520605018261E-5</v>
      </c>
      <c r="V411">
        <v>0</v>
      </c>
      <c r="W411">
        <f t="shared" si="321"/>
        <v>3.9077619180915808E-5</v>
      </c>
      <c r="X411" t="s">
        <v>3860</v>
      </c>
      <c r="Y411">
        <f>_xlfn.XLOOKUP($F411,設計座標!$E$13:$E$2301,設計座標!$L$13:$L$2301," ",0,1)</f>
        <v>1000</v>
      </c>
      <c r="Z411">
        <f>SQRT(($M$410-$M$408)^2+($N$410-$N$408)^2)</f>
        <v>767.50000058600938</v>
      </c>
      <c r="AA411">
        <f>_xlfn.XLOOKUP($G411,magnet_list!$A$2:$A$592,magnet_list!$AJ$2:$AJ$592,"n/a",0,1)</f>
        <v>0.95010000000000006</v>
      </c>
      <c r="AB411">
        <f>_xlfn.XLOOKUP($G411,magnet_list!$A$2:$A$592,magnet_list!$L$2:$L$592,"n/a",0,1)</f>
        <v>120</v>
      </c>
    </row>
    <row r="412" spans="1:28">
      <c r="A412" t="s">
        <v>797</v>
      </c>
      <c r="B412" t="s">
        <v>3811</v>
      </c>
      <c r="C412" t="s">
        <v>804</v>
      </c>
      <c r="D412" t="s">
        <v>1152</v>
      </c>
      <c r="E412" t="s">
        <v>804</v>
      </c>
      <c r="F412" t="s">
        <v>1285</v>
      </c>
      <c r="G412" t="s">
        <v>2427</v>
      </c>
      <c r="I412">
        <f>_xlfn.XLOOKUP($F412,設計座標!$E$13:$E$2301,設計座標!$G$13:$G$2301,"n/a",0,1)</f>
        <v>97.366776979309904</v>
      </c>
      <c r="J412">
        <f>_xlfn.XLOOKUP($F412,設計座標!$E$13:$E$2301,設計座標!$H$13:$H$2301,"n/a",0,1)</f>
        <v>0</v>
      </c>
      <c r="K412">
        <f>_xlfn.XLOOKUP($F412,設計座標!$E$13:$E$2301,設計座標!$I$13:$I$2301,"n/a",0,1)</f>
        <v>89964.723378929906</v>
      </c>
      <c r="L412">
        <f>_xlfn.XLOOKUP($F412,設計座標!$E$13:$E$2301,設計座標!$J$13:$J$2301,"n/a",0,1)</f>
        <v>-270</v>
      </c>
      <c r="M412" s="2">
        <f t="shared" si="309"/>
        <v>7.4591725665525077E-2</v>
      </c>
      <c r="N412" s="2">
        <f t="shared" si="310"/>
        <v>89964.723378929906</v>
      </c>
      <c r="O412" s="23">
        <f t="shared" si="311"/>
        <v>-263.16214525811398</v>
      </c>
      <c r="P412" s="1">
        <f t="shared" si="315"/>
        <v>-269.85166718074561</v>
      </c>
      <c r="Q412" s="1">
        <f t="shared" si="312"/>
        <v>7.4591725665525077E-2</v>
      </c>
      <c r="R412">
        <f t="shared" si="285"/>
        <v>0</v>
      </c>
      <c r="S412" s="23">
        <f t="shared" si="308"/>
        <v>6.83785474188603</v>
      </c>
      <c r="T412">
        <f>$S412+測地線補正!$Q$3*(lattice!$N412/1000)^3+測地線補正!$P$3*(lattice!$N412/1000)^2+測地線補正!$O$3*(lattice!$N412/1000)+測地線補正!$N$3</f>
        <v>0.14833281925440747</v>
      </c>
      <c r="U412">
        <f t="shared" ref="U412:U413" si="322">ATAN(($P$413-$P$409)/ABS($N$413-$N$409))</f>
        <v>-1.1918520605018261E-5</v>
      </c>
      <c r="V412">
        <v>0</v>
      </c>
      <c r="W412">
        <f t="shared" ref="W412:W413" si="323">-ATAN(($M$413-$M$409)/ABS($N$413-$N$409))</f>
        <v>3.9077619180915808E-5</v>
      </c>
      <c r="X412" t="s">
        <v>3860</v>
      </c>
      <c r="Y412">
        <f>_xlfn.XLOOKUP($F412,設計座標!$E$13:$E$2301,設計座標!$L$13:$L$2301," ",0,1)</f>
        <v>1889.4492</v>
      </c>
      <c r="Z412">
        <f>SQRT(($M$412-$M$410)^2+($N$412-$N$410)^2)</f>
        <v>311.22450023762593</v>
      </c>
    </row>
    <row r="413" spans="1:28">
      <c r="A413" t="s">
        <v>797</v>
      </c>
      <c r="B413" t="s">
        <v>3811</v>
      </c>
      <c r="C413" t="s">
        <v>804</v>
      </c>
      <c r="D413" t="s">
        <v>1152</v>
      </c>
      <c r="E413" t="s">
        <v>804</v>
      </c>
      <c r="F413" t="s">
        <v>1471</v>
      </c>
      <c r="G413" t="s">
        <v>2427</v>
      </c>
      <c r="I413">
        <f>_xlfn.XLOOKUP($F413,設計座標!$E$13:$E$2301,設計座標!$G$13:$G$2301,"n/a",0,1)</f>
        <v>98.311501579309905</v>
      </c>
      <c r="J413">
        <f>_xlfn.XLOOKUP($F413,設計座標!$E$13:$E$2301,設計座標!$H$13:$H$2301,"n/a",0,1)</f>
        <v>0</v>
      </c>
      <c r="K413">
        <f>_xlfn.XLOOKUP($F413,設計座標!$E$13:$E$2301,設計座標!$I$13:$I$2301,"n/a",0,1)</f>
        <v>90909.447978929908</v>
      </c>
      <c r="L413">
        <f>_xlfn.XLOOKUP($F413,設計座標!$E$13:$E$2301,設計座標!$J$13:$J$2301,"n/a",0,1)</f>
        <v>-270</v>
      </c>
      <c r="M413" s="2">
        <f t="shared" si="309"/>
        <v>3.7674137497090199E-2</v>
      </c>
      <c r="N413" s="2">
        <f t="shared" si="310"/>
        <v>90909.447978929908</v>
      </c>
      <c r="O413" s="23">
        <f t="shared" si="311"/>
        <v>-263.08799600097825</v>
      </c>
      <c r="P413" s="1">
        <f t="shared" si="315"/>
        <v>-269.86341592351704</v>
      </c>
      <c r="Q413" s="1">
        <f t="shared" si="312"/>
        <v>3.7674137497090199E-2</v>
      </c>
      <c r="R413">
        <f t="shared" si="285"/>
        <v>0</v>
      </c>
      <c r="S413" s="23">
        <f t="shared" si="308"/>
        <v>6.9120039990217332</v>
      </c>
      <c r="T413">
        <f>$S413+測地線補正!$Q$3*(lattice!$N413/1000)^3+測地線補正!$P$3*(lattice!$N413/1000)^2+測地線補正!$O$3*(lattice!$N413/1000)+測地線補正!$N$3</f>
        <v>0.13658407648293394</v>
      </c>
      <c r="U413">
        <f t="shared" si="322"/>
        <v>-1.1918520605018261E-5</v>
      </c>
      <c r="V413">
        <v>0</v>
      </c>
      <c r="W413">
        <f t="shared" si="323"/>
        <v>3.9077619180915808E-5</v>
      </c>
      <c r="X413" t="s">
        <v>3860</v>
      </c>
      <c r="Y413">
        <f>_xlfn.XLOOKUP($F413,設計座標!$E$13:$E$2301,設計座標!$L$13:$L$2301," ",0,1)</f>
        <v>1889.4492</v>
      </c>
      <c r="Z413">
        <f>SQRT(($M$412-$M$410)^2+($N$412-$N$410)^2)</f>
        <v>311.22450023762593</v>
      </c>
    </row>
    <row r="414" spans="1:28">
      <c r="A414" t="s">
        <v>797</v>
      </c>
      <c r="B414" t="s">
        <v>3811</v>
      </c>
      <c r="C414" t="s">
        <v>804</v>
      </c>
      <c r="D414" t="s">
        <v>1152</v>
      </c>
      <c r="E414" t="s">
        <v>804</v>
      </c>
      <c r="F414" t="s">
        <v>1472</v>
      </c>
      <c r="G414" t="s">
        <v>2428</v>
      </c>
      <c r="I414">
        <f>_xlfn.XLOOKUP($F414,設計座標!$E$13:$E$2301,設計座標!$G$13:$G$2301,"n/a",0,1)</f>
        <v>98.495198379309898</v>
      </c>
      <c r="J414">
        <f>_xlfn.XLOOKUP($F414,設計座標!$E$13:$E$2301,設計座標!$H$13:$H$2301,"n/a",0,1)</f>
        <v>0</v>
      </c>
      <c r="K414">
        <f>_xlfn.XLOOKUP($F414,設計座標!$E$13:$E$2301,設計座標!$I$13:$I$2301,"n/a",0,1)</f>
        <v>91093.144778929898</v>
      </c>
      <c r="L414">
        <f>_xlfn.XLOOKUP($F414,設計座標!$E$13:$E$2301,設計座標!$J$13:$J$2301,"n/a",0,1)</f>
        <v>-270</v>
      </c>
      <c r="M414" s="2">
        <f t="shared" si="309"/>
        <v>3.0495703898283766E-2</v>
      </c>
      <c r="N414" s="2">
        <f t="shared" si="310"/>
        <v>91093.144778929898</v>
      </c>
      <c r="O414" s="23">
        <f t="shared" si="311"/>
        <v>-263.07357806239787</v>
      </c>
      <c r="P414" s="1">
        <f t="shared" si="315"/>
        <v>-269.8658157644096</v>
      </c>
      <c r="Q414" s="1">
        <f t="shared" si="312"/>
        <v>3.0495703898283766E-2</v>
      </c>
      <c r="R414">
        <f t="shared" si="285"/>
        <v>0</v>
      </c>
      <c r="S414" s="23">
        <f t="shared" si="308"/>
        <v>6.9264219376021465</v>
      </c>
      <c r="T414">
        <f>$S414+測地線補正!$Q$3*(lattice!$N414/1000)^3+測地線補正!$P$3*(lattice!$N414/1000)^2+測地線補正!$O$3*(lattice!$N414/1000)+測地線補正!$N$3</f>
        <v>0.13418423559037254</v>
      </c>
      <c r="U414">
        <f>ATAN(($P$416-$P$414)/ABS($N$416-$N$414))</f>
        <v>-1.4243815149764975E-5</v>
      </c>
      <c r="V414">
        <v>0</v>
      </c>
      <c r="W414">
        <f>-ATAN(($M$416-$M$414)/ABS($N$416-$N$414))</f>
        <v>3.9077619180915821E-5</v>
      </c>
      <c r="X414">
        <f>SQRT(($M$414-$M$413)^2+($N$414-$N$413)^2)</f>
        <v>183.69680014024868</v>
      </c>
      <c r="Y414">
        <f>_xlfn.XLOOKUP($F414,設計座標!$E$13:$E$2301,設計座標!$L$13:$L$2301," ",0,1)</f>
        <v>1889.4492</v>
      </c>
      <c r="Z414">
        <f>SQRT(($M$415-$M$412)^2+($N$415-$N$412)^2)</f>
        <v>2073.146001582903</v>
      </c>
    </row>
    <row r="415" spans="1:28">
      <c r="A415" t="s">
        <v>797</v>
      </c>
      <c r="B415" t="s">
        <v>3811</v>
      </c>
      <c r="C415" t="s">
        <v>804</v>
      </c>
      <c r="D415" t="s">
        <v>1152</v>
      </c>
      <c r="E415" t="s">
        <v>804</v>
      </c>
      <c r="F415" t="s">
        <v>1339</v>
      </c>
      <c r="G415" t="s">
        <v>2428</v>
      </c>
      <c r="I415">
        <f>_xlfn.XLOOKUP($F415,設計座標!$E$13:$E$2301,設計座標!$G$13:$G$2301,"n/a",0,1)</f>
        <v>99.439922979309898</v>
      </c>
      <c r="J415">
        <f>_xlfn.XLOOKUP($F415,設計座標!$E$13:$E$2301,設計座標!$H$13:$H$2301,"n/a",0,1)</f>
        <v>0</v>
      </c>
      <c r="K415">
        <f>_xlfn.XLOOKUP($F415,設計座標!$E$13:$E$2301,設計座標!$I$13:$I$2301,"n/a",0,1)</f>
        <v>92037.8693789299</v>
      </c>
      <c r="L415">
        <f>_xlfn.XLOOKUP($F415,設計座標!$E$13:$E$2301,設計座標!$J$13:$J$2301,"n/a",0,1)</f>
        <v>-270</v>
      </c>
      <c r="M415" s="2">
        <f t="shared" si="309"/>
        <v>-6.4218842701511125E-3</v>
      </c>
      <c r="N415" s="2">
        <f t="shared" si="310"/>
        <v>92037.8693789299</v>
      </c>
      <c r="O415" s="23">
        <f t="shared" si="311"/>
        <v>-262.99942880526214</v>
      </c>
      <c r="P415" s="1">
        <f t="shared" si="315"/>
        <v>-269.87876021377082</v>
      </c>
      <c r="Q415" s="1">
        <f t="shared" si="312"/>
        <v>-6.4218842701511125E-3</v>
      </c>
      <c r="R415">
        <f t="shared" si="285"/>
        <v>0</v>
      </c>
      <c r="S415" s="23">
        <f t="shared" si="308"/>
        <v>7.0005711947378497</v>
      </c>
      <c r="T415">
        <f>$S415+測地線補正!$Q$3*(lattice!$N415/1000)^3+測地線補正!$P$3*(lattice!$N415/1000)^2+測地線補正!$O$3*(lattice!$N415/1000)+測地線補正!$N$3</f>
        <v>0.12123978622916556</v>
      </c>
      <c r="U415">
        <f t="shared" ref="U415:U416" si="324">ATAN(($P$416-$P$414)/ABS($N$416-$N$414))</f>
        <v>-1.4243815149764975E-5</v>
      </c>
      <c r="V415">
        <v>0</v>
      </c>
      <c r="W415">
        <f t="shared" ref="W415:W416" si="325">-ATAN(($M$416-$M$414)/ABS($N$416-$N$414))</f>
        <v>3.9077619180915821E-5</v>
      </c>
      <c r="X415" t="s">
        <v>3860</v>
      </c>
      <c r="Y415">
        <f>_xlfn.XLOOKUP($F415,設計座標!$E$13:$E$2301,設計座標!$L$13:$L$2301," ",0,1)</f>
        <v>1889.4492</v>
      </c>
      <c r="Z415">
        <f>SQRT(($M$415-$M$412)^2+($N$415-$N$412)^2)</f>
        <v>2073.146001582903</v>
      </c>
    </row>
    <row r="416" spans="1:28">
      <c r="A416" t="s">
        <v>797</v>
      </c>
      <c r="B416" t="s">
        <v>3811</v>
      </c>
      <c r="C416" t="s">
        <v>804</v>
      </c>
      <c r="D416" t="s">
        <v>1152</v>
      </c>
      <c r="E416" t="s">
        <v>804</v>
      </c>
      <c r="F416" t="s">
        <v>1473</v>
      </c>
      <c r="G416" t="s">
        <v>2428</v>
      </c>
      <c r="I416">
        <f>_xlfn.XLOOKUP($F416,設計座標!$E$13:$E$2301,設計座標!$G$13:$G$2301,"n/a",0,1)</f>
        <v>100.3846475793099</v>
      </c>
      <c r="J416">
        <f>_xlfn.XLOOKUP($F416,設計座標!$E$13:$E$2301,設計座標!$H$13:$H$2301,"n/a",0,1)</f>
        <v>0</v>
      </c>
      <c r="K416">
        <f>_xlfn.XLOOKUP($F416,設計座標!$E$13:$E$2301,設計座標!$I$13:$I$2301,"n/a",0,1)</f>
        <v>92982.593978929901</v>
      </c>
      <c r="L416">
        <f>_xlfn.XLOOKUP($F416,設計座標!$E$13:$E$2301,設計座標!$J$13:$J$2301,"n/a",0,1)</f>
        <v>-270</v>
      </c>
      <c r="M416" s="2">
        <f t="shared" si="309"/>
        <v>-4.3339472438585991E-2</v>
      </c>
      <c r="N416" s="2">
        <f t="shared" si="310"/>
        <v>92982.593978929901</v>
      </c>
      <c r="O416" s="23">
        <f t="shared" si="311"/>
        <v>-262.92527954812647</v>
      </c>
      <c r="P416" s="1">
        <f t="shared" si="315"/>
        <v>-269.8927287295511</v>
      </c>
      <c r="Q416" s="1">
        <f t="shared" si="312"/>
        <v>-4.3339472438585991E-2</v>
      </c>
      <c r="R416">
        <f t="shared" si="285"/>
        <v>0</v>
      </c>
      <c r="S416" s="23">
        <f t="shared" si="308"/>
        <v>7.0747204518735529</v>
      </c>
      <c r="T416">
        <f>$S416+測地線補正!$Q$3*(lattice!$N416/1000)^3+測地線補正!$P$3*(lattice!$N416/1000)^2+測地線補正!$O$3*(lattice!$N416/1000)+測地線補正!$N$3</f>
        <v>0.10727127044892196</v>
      </c>
      <c r="U416">
        <f t="shared" si="324"/>
        <v>-1.4243815149764975E-5</v>
      </c>
      <c r="V416">
        <v>0</v>
      </c>
      <c r="W416">
        <f t="shared" si="325"/>
        <v>3.9077619180915821E-5</v>
      </c>
      <c r="X416" t="s">
        <v>3860</v>
      </c>
      <c r="Y416">
        <f>_xlfn.XLOOKUP($F416,設計座標!$E$13:$E$2301,設計座標!$L$13:$L$2301," ",0,1)</f>
        <v>1889.4492</v>
      </c>
      <c r="Z416">
        <f>SQRT(($M$415-$M$412)^2+($N$415-$N$412)^2)</f>
        <v>2073.146001582903</v>
      </c>
    </row>
    <row r="417" spans="1:28">
      <c r="A417" t="s">
        <v>797</v>
      </c>
      <c r="B417" t="s">
        <v>3811</v>
      </c>
      <c r="C417" t="s">
        <v>1152</v>
      </c>
      <c r="D417" t="s">
        <v>1152</v>
      </c>
      <c r="E417" t="s">
        <v>804</v>
      </c>
      <c r="F417" t="s">
        <v>1983</v>
      </c>
      <c r="G417" t="s">
        <v>1983</v>
      </c>
      <c r="I417">
        <f>_xlfn.XLOOKUP($F417,設計座標!$E$13:$E$2301,設計座標!$G$13:$G$2301,"n/a",0,1)</f>
        <v>100.51864747930989</v>
      </c>
      <c r="J417">
        <f>_xlfn.XLOOKUP($F417,設計座標!$E$13:$E$2301,設計座標!$H$13:$H$2301,"n/a",0,1)</f>
        <v>0</v>
      </c>
      <c r="K417">
        <f>_xlfn.XLOOKUP($F417,設計座標!$E$13:$E$2301,設計座標!$I$13:$I$2301,"n/a",0,1)</f>
        <v>93116.593878929896</v>
      </c>
      <c r="L417">
        <f>_xlfn.XLOOKUP($F417,設計座標!$E$13:$E$2301,設計座標!$J$13:$J$2301,"n/a",0,1)</f>
        <v>-270</v>
      </c>
      <c r="M417" s="2">
        <f t="shared" si="309"/>
        <v>-4.8575869503731994E-2</v>
      </c>
      <c r="N417" s="2">
        <f t="shared" si="310"/>
        <v>93116.593878929896</v>
      </c>
      <c r="O417" s="23">
        <f t="shared" si="311"/>
        <v>-262.91476220472157</v>
      </c>
      <c r="P417" s="1">
        <f t="shared" si="315"/>
        <v>-269.89479416697156</v>
      </c>
      <c r="Q417" s="1">
        <f t="shared" si="312"/>
        <v>-4.8575869503731994E-2</v>
      </c>
      <c r="R417">
        <f t="shared" si="285"/>
        <v>0</v>
      </c>
      <c r="S417" s="23">
        <f t="shared" si="308"/>
        <v>7.085237795278454</v>
      </c>
      <c r="T417">
        <f>$S417+測地線補正!$Q$3*(lattice!$N417/1000)^3+測地線補正!$P$3*(lattice!$N417/1000)^2+測地線補正!$O$3*(lattice!$N417/1000)+測地線補正!$N$3</f>
        <v>0.10520583302844524</v>
      </c>
      <c r="U417">
        <v>0</v>
      </c>
      <c r="V417">
        <v>0</v>
      </c>
      <c r="W417">
        <v>0</v>
      </c>
      <c r="X417">
        <f>SQRT(($M$417-$M$416)^2+($N$417-$N$416)^2)</f>
        <v>133.9999001023082</v>
      </c>
      <c r="Y417">
        <f>_xlfn.XLOOKUP($F417,設計座標!$E$13:$E$2301,設計座標!$L$13:$L$2301," ",0,1)</f>
        <v>0</v>
      </c>
      <c r="Z417">
        <f>SQRT(($M$417-$M$415)^2+($N$417-$N$415)^2)</f>
        <v>1078.7245008236355</v>
      </c>
    </row>
    <row r="418" spans="1:28">
      <c r="A418" t="s">
        <v>797</v>
      </c>
      <c r="B418" t="s">
        <v>3811</v>
      </c>
      <c r="C418" t="s">
        <v>805</v>
      </c>
      <c r="D418" t="s">
        <v>806</v>
      </c>
      <c r="F418" t="s">
        <v>49</v>
      </c>
      <c r="G418" t="s">
        <v>2429</v>
      </c>
      <c r="I418">
        <f>_xlfn.XLOOKUP($F418,設計座標!$E$13:$E$2301,設計座標!$G$13:$G$2301,"n/a",0,1)</f>
        <v>100.68619889698</v>
      </c>
      <c r="J418">
        <f>_xlfn.XLOOKUP($F418,設計座標!$E$13:$E$2301,設計座標!$H$13:$H$2301,"n/a",0,1)</f>
        <v>0</v>
      </c>
      <c r="K418">
        <f>_xlfn.XLOOKUP($F418,設計座標!$E$13:$E$2301,設計座標!$I$13:$I$2301,"n/a",0,1)</f>
        <v>93284.145296600007</v>
      </c>
      <c r="L418">
        <f>_xlfn.XLOOKUP($F418,設計座標!$E$13:$E$2301,設計座標!$J$13:$J$2301,"n/a",0,1)</f>
        <v>-60</v>
      </c>
      <c r="M418" s="2">
        <f>_xlfn.XLOOKUP($F418,survey_data!$A$2:$A$833,survey_data!$B$2:$B$833,"n/a",0,1)</f>
        <v>-5.512338E-2</v>
      </c>
      <c r="N418" s="2">
        <f>_xlfn.XLOOKUP($F418,survey_data!$A$2:$A$833,survey_data!$C$2:$C$833,"n/a",0,1)</f>
        <v>93284.145296600007</v>
      </c>
      <c r="O418" s="23">
        <f>_xlfn.XLOOKUP($F418,survey_data!$A$2:$A$833,survey_data!$D$2:$D$833,"n/a",0,1)</f>
        <v>-52.90161148</v>
      </c>
      <c r="P418" s="1">
        <f t="shared" si="315"/>
        <v>-59.89740642961447</v>
      </c>
      <c r="Q418" s="1">
        <f t="shared" si="290"/>
        <v>-5.512338E-2</v>
      </c>
      <c r="R418">
        <f t="shared" si="285"/>
        <v>0</v>
      </c>
      <c r="S418" s="23">
        <f t="shared" si="291"/>
        <v>7.0983885200000003</v>
      </c>
      <c r="T418">
        <f>$S418+測地線補正!$Q$3*(lattice!$N418/1000)^3+測地線補正!$P$3*(lattice!$N418/1000)^2+測地線補正!$O$3*(lattice!$N418/1000)+測地線補正!$N$3</f>
        <v>0.10259357038552888</v>
      </c>
      <c r="U418">
        <f>ATAN(($P$419-$P$418)/ABS($N$419-$N$418))</f>
        <v>-1.1007309760186598E-3</v>
      </c>
      <c r="V418">
        <v>0</v>
      </c>
      <c r="W418">
        <f>-ATAN(($M$419-$M$418)/ABS($N$419-$N$418))</f>
        <v>1.9071979129585572E-4</v>
      </c>
      <c r="X418">
        <f>$Z$419-($Y$419+$Y$417)/2</f>
        <v>147.55141815425</v>
      </c>
      <c r="Y418">
        <f>_xlfn.XLOOKUP($F418,設計座標!$E$13:$E$2301,設計座標!$L$13:$L$2301," ",0,1)</f>
        <v>120</v>
      </c>
      <c r="Z418">
        <f>SQRT(($M$419-$M$417)^2+($N$419-$N$417)^2)</f>
        <v>207.55141815425</v>
      </c>
      <c r="AA418">
        <f>_xlfn.XLOOKUP($G418,magnet_list!$A$2:$A$592,magnet_list!$AJ$2:$AJ$592,"n/a",0,1)</f>
        <v>0.1333</v>
      </c>
      <c r="AB418">
        <f>_xlfn.XLOOKUP($G418,magnet_list!$A$2:$A$592,magnet_list!$L$2:$L$592,"n/a",0,1)</f>
        <v>23</v>
      </c>
    </row>
    <row r="419" spans="1:28">
      <c r="A419" t="s">
        <v>797</v>
      </c>
      <c r="B419" t="s">
        <v>3811</v>
      </c>
      <c r="C419" t="s">
        <v>805</v>
      </c>
      <c r="D419" t="s">
        <v>1152</v>
      </c>
      <c r="E419" t="s">
        <v>804</v>
      </c>
      <c r="F419" t="s">
        <v>568</v>
      </c>
      <c r="G419" t="s">
        <v>2429</v>
      </c>
      <c r="I419">
        <f>_xlfn.XLOOKUP($F419,設計座標!$E$13:$E$2301,設計座標!$G$13:$G$2301,"n/a",0,1)</f>
        <v>100.72619889698001</v>
      </c>
      <c r="J419">
        <f>_xlfn.XLOOKUP($F419,設計座標!$E$13:$E$2301,設計座標!$H$13:$H$2301,"n/a",0,1)</f>
        <v>0</v>
      </c>
      <c r="K419">
        <f>_xlfn.XLOOKUP($F419,設計座標!$E$13:$E$2301,設計座標!$I$13:$I$2301,"n/a",0,1)</f>
        <v>93324.145296600007</v>
      </c>
      <c r="L419">
        <f>_xlfn.XLOOKUP($F419,設計座標!$E$13:$E$2301,設計座標!$J$13:$J$2301,"n/a",0,1)</f>
        <v>-60</v>
      </c>
      <c r="M419" s="2">
        <f t="shared" si="309"/>
        <v>-6.2752171744330884E-2</v>
      </c>
      <c r="N419" s="2">
        <f t="shared" si="310"/>
        <v>93324.145296600007</v>
      </c>
      <c r="O419" s="23">
        <f t="shared" si="311"/>
        <v>-52.941872709307063</v>
      </c>
      <c r="P419" s="1">
        <f t="shared" si="315"/>
        <v>-59.941435686437295</v>
      </c>
      <c r="Q419" s="1">
        <f>(Q$420-Q$418)/($N$420-$N$418)*($N419-$N$418)+Q$418</f>
        <v>-6.2752171744330884E-2</v>
      </c>
      <c r="R419">
        <f t="shared" si="285"/>
        <v>0</v>
      </c>
      <c r="S419" s="23">
        <f>(S$420-S$418)/($N$420-$N$418)*($N419-$N$418)+S$418</f>
        <v>7.0581272906929362</v>
      </c>
      <c r="T419">
        <f>$S419+測地線補正!$Q$3*(lattice!$N419/1000)^3+測地線補正!$P$3*(lattice!$N419/1000)^2+測地線補正!$O$3*(lattice!$N419/1000)+測地線補正!$N$3</f>
        <v>5.8564313562704445E-2</v>
      </c>
      <c r="U419">
        <f>ATAN(($P$419-$P$418)/ABS($N$419-$N$418))</f>
        <v>-1.1007309760186598E-3</v>
      </c>
      <c r="V419">
        <v>0</v>
      </c>
      <c r="W419">
        <f>-ATAN(($M$419-$M$418)/ABS($N$419-$N$418))</f>
        <v>1.9071979129585572E-4</v>
      </c>
      <c r="X419">
        <f>$Z$419-($Y$419+$Y$417)/2</f>
        <v>147.55141815425</v>
      </c>
      <c r="Y419">
        <f>_xlfn.XLOOKUP($F419,設計座標!$E$13:$E$2301,設計座標!$L$13:$L$2301," ",0,1)</f>
        <v>120</v>
      </c>
      <c r="Z419">
        <f>SQRT(($M$419-$M$417)^2+($N$419-$N$417)^2)</f>
        <v>207.55141815425</v>
      </c>
      <c r="AA419">
        <f>_xlfn.XLOOKUP($G419,magnet_list!$A$2:$A$592,magnet_list!$AJ$2:$AJ$592,"n/a",0,1)</f>
        <v>0.1333</v>
      </c>
      <c r="AB419">
        <f>_xlfn.XLOOKUP($G419,magnet_list!$A$2:$A$592,magnet_list!$L$2:$L$592,"n/a",0,1)</f>
        <v>23</v>
      </c>
    </row>
    <row r="420" spans="1:28">
      <c r="A420" t="s">
        <v>797</v>
      </c>
      <c r="B420" t="s">
        <v>3811</v>
      </c>
      <c r="C420" t="s">
        <v>805</v>
      </c>
      <c r="D420" t="s">
        <v>806</v>
      </c>
      <c r="F420" t="s">
        <v>50</v>
      </c>
      <c r="G420" t="s">
        <v>50</v>
      </c>
      <c r="I420">
        <f>_xlfn.XLOOKUP($F420,設計座標!$E$13:$E$2301,設計座標!$G$13:$G$2301,"n/a",0,1)</f>
        <v>100.90591479120999</v>
      </c>
      <c r="J420">
        <f>_xlfn.XLOOKUP($F420,設計座標!$E$13:$E$2301,設計座標!$H$13:$H$2301,"n/a",0,1)</f>
        <v>0</v>
      </c>
      <c r="K420">
        <f>_xlfn.XLOOKUP($F420,設計座標!$E$13:$E$2301,設計座標!$I$13:$I$2301,"n/a",0,1)</f>
        <v>93503.861190829994</v>
      </c>
      <c r="L420">
        <f>_xlfn.XLOOKUP($F420,設計座標!$E$13:$E$2301,設計座標!$J$13:$J$2301,"n/a",0,1)</f>
        <v>-60</v>
      </c>
      <c r="M420" s="2">
        <f>_xlfn.XLOOKUP($F420,survey_data!$A$2:$A$833,survey_data!$B$2:$B$833,"n/a",0,1)</f>
        <v>-9.7027550000000004E-2</v>
      </c>
      <c r="N420" s="2">
        <f>_xlfn.XLOOKUP($F420,survey_data!$A$2:$A$833,survey_data!$C$2:$C$833,"n/a",0,1)</f>
        <v>93503.861190829994</v>
      </c>
      <c r="O420" s="23">
        <f>_xlfn.XLOOKUP($F420,survey_data!$A$2:$A$833,survey_data!$D$2:$D$833,"n/a",0,1)</f>
        <v>-53.122762280000003</v>
      </c>
      <c r="P420" s="1">
        <f t="shared" si="315"/>
        <v>-60.139277926003736</v>
      </c>
      <c r="Q420" s="1">
        <f t="shared" si="290"/>
        <v>-9.7027550000000004E-2</v>
      </c>
      <c r="R420">
        <f t="shared" si="285"/>
        <v>0</v>
      </c>
      <c r="S420" s="23">
        <f t="shared" si="291"/>
        <v>6.8772377199999966</v>
      </c>
      <c r="T420">
        <f>$S420+測地線補正!$Q$3*(lattice!$N420/1000)^3+測地線補正!$P$3*(lattice!$N420/1000)^2+測地線補正!$O$3*(lattice!$N420/1000)+測地線補正!$N$3</f>
        <v>-0.13927792600373476</v>
      </c>
      <c r="U420">
        <f>ATAN(($P$421-$P$420)/ABS($N$421-$N$420))</f>
        <v>-3.373311532409771E-4</v>
      </c>
      <c r="V420">
        <v>0</v>
      </c>
      <c r="W420">
        <f>-ATAN(($M$421-$M$420)/ABS($N$421-$N$420))</f>
        <v>-1.1399419871757901E-4</v>
      </c>
      <c r="X420">
        <f>$Z$421-($Y$421+$Y$419)/2</f>
        <v>99.715895165416953</v>
      </c>
      <c r="Y420">
        <f>_xlfn.XLOOKUP($F420,設計座標!$E$13:$E$2301,設計座標!$L$13:$L$2301," ",0,1)</f>
        <v>240</v>
      </c>
      <c r="Z420">
        <f>SQRT(($M$421-$M$419)^2+($N$421-$N$419)^2)</f>
        <v>279.71589516541695</v>
      </c>
      <c r="AA420">
        <f>_xlfn.XLOOKUP($G420,magnet_list!$A$2:$A$592,magnet_list!$AJ$2:$AJ$592,"n/a",0,1)</f>
        <v>0.25219999999999998</v>
      </c>
      <c r="AB420">
        <f>_xlfn.XLOOKUP($G420,magnet_list!$A$2:$A$592,magnet_list!$L$2:$L$592,"n/a",0,1)</f>
        <v>23</v>
      </c>
    </row>
    <row r="421" spans="1:28">
      <c r="A421" t="s">
        <v>797</v>
      </c>
      <c r="B421" t="s">
        <v>3811</v>
      </c>
      <c r="C421" t="s">
        <v>805</v>
      </c>
      <c r="D421" t="s">
        <v>1152</v>
      </c>
      <c r="E421" t="s">
        <v>804</v>
      </c>
      <c r="F421" t="s">
        <v>569</v>
      </c>
      <c r="G421" t="s">
        <v>50</v>
      </c>
      <c r="I421">
        <f>_xlfn.XLOOKUP($F421,設計座標!$E$13:$E$2301,設計座標!$G$13:$G$2301,"n/a",0,1)</f>
        <v>101.00591479120999</v>
      </c>
      <c r="J421">
        <f>_xlfn.XLOOKUP($F421,設計座標!$E$13:$E$2301,設計座標!$H$13:$H$2301,"n/a",0,1)</f>
        <v>0</v>
      </c>
      <c r="K421">
        <f>_xlfn.XLOOKUP($F421,設計座標!$E$13:$E$2301,設計座標!$I$13:$I$2301,"n/a",0,1)</f>
        <v>93603.861190829994</v>
      </c>
      <c r="L421">
        <f>_xlfn.XLOOKUP($F421,設計座標!$E$13:$E$2301,設計座標!$J$13:$J$2301,"n/a",0,1)</f>
        <v>-60</v>
      </c>
      <c r="M421" s="2">
        <f t="shared" si="309"/>
        <v>-8.5628130078864842E-2</v>
      </c>
      <c r="N421" s="2">
        <f t="shared" si="310"/>
        <v>93603.861190829994</v>
      </c>
      <c r="O421" s="23">
        <f t="shared" si="311"/>
        <v>-53.147045810338149</v>
      </c>
      <c r="P421" s="1">
        <f t="shared" si="315"/>
        <v>-60.173011042607357</v>
      </c>
      <c r="Q421" s="1">
        <f>(Q$423-Q$420)/($N$423-$N$420)*($N421-$N$420)+Q$420</f>
        <v>-8.5628130078864842E-2</v>
      </c>
      <c r="R421">
        <f t="shared" si="285"/>
        <v>0</v>
      </c>
      <c r="S421" s="23">
        <f t="shared" ref="S421:S422" si="326">(S$423-S$420)/($N$423-$N$420)*($N421-$N$420)+S$420</f>
        <v>6.8529541896618538</v>
      </c>
      <c r="T421">
        <f>$S421+測地線補正!$Q$3*(lattice!$N421/1000)^3+測地線補正!$P$3*(lattice!$N421/1000)^2+測地線補正!$O$3*(lattice!$N421/1000)+測地線補正!$N$3</f>
        <v>-0.17301104260735375</v>
      </c>
      <c r="U421">
        <f>ATAN(($P$421-$P$420)/ABS($N$421-$N$420))</f>
        <v>-3.373311532409771E-4</v>
      </c>
      <c r="V421">
        <v>0</v>
      </c>
      <c r="W421">
        <f>-ATAN(($M$421-$M$420)/ABS($N$421-$N$420))</f>
        <v>-1.1399419871757901E-4</v>
      </c>
      <c r="X421">
        <f>$Z$421-($Y$421+$Y$419)/2</f>
        <v>99.715895165416953</v>
      </c>
      <c r="Y421">
        <f>_xlfn.XLOOKUP($F421,設計座標!$E$13:$E$2301,設計座標!$L$13:$L$2301," ",0,1)</f>
        <v>240</v>
      </c>
      <c r="Z421">
        <f>SQRT(($M$421-$M$419)^2+($N$421-$N$419)^2)</f>
        <v>279.71589516541695</v>
      </c>
      <c r="AA421">
        <f>_xlfn.XLOOKUP($G421,magnet_list!$A$2:$A$592,magnet_list!$AJ$2:$AJ$592,"n/a",0,1)</f>
        <v>0.25219999999999998</v>
      </c>
      <c r="AB421">
        <f>_xlfn.XLOOKUP($G421,magnet_list!$A$2:$A$592,magnet_list!$L$2:$L$592,"n/a",0,1)</f>
        <v>23</v>
      </c>
    </row>
    <row r="422" spans="1:28">
      <c r="A422" t="s">
        <v>797</v>
      </c>
      <c r="B422" t="s">
        <v>3811</v>
      </c>
      <c r="C422" t="s">
        <v>805</v>
      </c>
      <c r="D422" t="s">
        <v>1152</v>
      </c>
      <c r="E422" t="s">
        <v>804</v>
      </c>
      <c r="F422" t="s">
        <v>570</v>
      </c>
      <c r="G422" t="s">
        <v>2429</v>
      </c>
      <c r="I422">
        <f>_xlfn.XLOOKUP($F422,設計座標!$E$13:$E$2301,設計座標!$G$13:$G$2301,"n/a",0,1)</f>
        <v>101.28601581679999</v>
      </c>
      <c r="J422">
        <f>_xlfn.XLOOKUP($F422,設計座標!$E$13:$E$2301,設計座標!$H$13:$H$2301,"n/a",0,1)</f>
        <v>0</v>
      </c>
      <c r="K422">
        <f>_xlfn.XLOOKUP($F422,設計座標!$E$13:$E$2301,設計座標!$I$13:$I$2301,"n/a",0,1)</f>
        <v>93883.962216419997</v>
      </c>
      <c r="L422">
        <f>_xlfn.XLOOKUP($F422,設計座標!$E$13:$E$2301,設計座標!$J$13:$J$2301,"n/a",0,1)</f>
        <v>-60</v>
      </c>
      <c r="M422" s="2">
        <f t="shared" si="309"/>
        <v>-5.3698237968454063E-2</v>
      </c>
      <c r="N422" s="2">
        <f t="shared" si="310"/>
        <v>93883.962216419997</v>
      </c>
      <c r="O422" s="23">
        <f t="shared" si="311"/>
        <v>-53.215064227864744</v>
      </c>
      <c r="P422" s="1">
        <f t="shared" si="315"/>
        <v>-60.26756108138661</v>
      </c>
      <c r="Q422" s="1">
        <f>(Q$423-Q$420)/($N$423-$N$420)*($N422-$N$420)+Q$420</f>
        <v>-5.3698237968454063E-2</v>
      </c>
      <c r="R422">
        <f t="shared" si="285"/>
        <v>0</v>
      </c>
      <c r="S422" s="23">
        <f t="shared" si="326"/>
        <v>6.7849357721352579</v>
      </c>
      <c r="T422">
        <f>$S422+測地線補正!$Q$3*(lattice!$N422/1000)^3+測地線補正!$P$3*(lattice!$N422/1000)^2+測地線補正!$O$3*(lattice!$N422/1000)+測地線補正!$N$3</f>
        <v>-0.26756108138661078</v>
      </c>
      <c r="U422">
        <f>ATAN(($P$423-$P$422)/ABS($N$423-$N$422))</f>
        <v>-3.3774757801608617E-4</v>
      </c>
      <c r="V422">
        <v>0</v>
      </c>
      <c r="W422">
        <f>-ATAN(($M$423-$M$422)/ABS($N$423-$N$422))</f>
        <v>-1.1399419871757905E-4</v>
      </c>
      <c r="X422">
        <f>$Z$422-($Y$422+$Y$421)/2</f>
        <v>100.10102740991493</v>
      </c>
      <c r="Y422">
        <f>_xlfn.XLOOKUP($F422,設計座標!$E$13:$E$2301,設計座標!$L$13:$L$2301," ",0,1)</f>
        <v>120</v>
      </c>
      <c r="Z422">
        <f>SQRT(($M$422-$M$421)^2+($N$422-$N$421)^2)</f>
        <v>280.10102740991493</v>
      </c>
      <c r="AA422">
        <f>_xlfn.XLOOKUP($G422,magnet_list!$A$2:$A$592,magnet_list!$AJ$2:$AJ$592,"n/a",0,1)</f>
        <v>0.1333</v>
      </c>
      <c r="AB422">
        <f>_xlfn.XLOOKUP($G422,magnet_list!$A$2:$A$592,magnet_list!$L$2:$L$592,"n/a",0,1)</f>
        <v>23</v>
      </c>
    </row>
    <row r="423" spans="1:28">
      <c r="A423" t="s">
        <v>797</v>
      </c>
      <c r="B423" t="s">
        <v>3811</v>
      </c>
      <c r="C423" t="s">
        <v>805</v>
      </c>
      <c r="D423" t="s">
        <v>806</v>
      </c>
      <c r="F423" t="s">
        <v>51</v>
      </c>
      <c r="G423" t="s">
        <v>2429</v>
      </c>
      <c r="I423">
        <f>_xlfn.XLOOKUP($F423,設計座標!$E$13:$E$2301,設計座標!$G$13:$G$2301,"n/a",0,1)</f>
        <v>101.32601581679999</v>
      </c>
      <c r="J423">
        <f>_xlfn.XLOOKUP($F423,設計座標!$E$13:$E$2301,設計座標!$H$13:$H$2301,"n/a",0,1)</f>
        <v>0</v>
      </c>
      <c r="K423">
        <f>_xlfn.XLOOKUP($F423,設計座標!$E$13:$E$2301,設計座標!$I$13:$I$2301,"n/a",0,1)</f>
        <v>93923.962216419997</v>
      </c>
      <c r="L423">
        <f>_xlfn.XLOOKUP($F423,設計座標!$E$13:$E$2301,設計座標!$J$13:$J$2301,"n/a",0,1)</f>
        <v>-60</v>
      </c>
      <c r="M423" s="2">
        <f>_xlfn.XLOOKUP($F423,survey_data!$A$2:$A$833,survey_data!$B$2:$B$833,"n/a",0,1)</f>
        <v>-4.9138469999999997E-2</v>
      </c>
      <c r="N423" s="2">
        <f>_xlfn.XLOOKUP($F423,survey_data!$A$2:$A$833,survey_data!$C$2:$C$833,"n/a",0,1)</f>
        <v>93923.962216419997</v>
      </c>
      <c r="O423" s="23">
        <f>_xlfn.XLOOKUP($F423,survey_data!$A$2:$A$833,survey_data!$D$2:$D$833,"n/a",0,1)</f>
        <v>-53.224777639999999</v>
      </c>
      <c r="P423" s="1">
        <f t="shared" si="315"/>
        <v>-60.281070985020961</v>
      </c>
      <c r="Q423" s="1">
        <f t="shared" si="290"/>
        <v>-4.9138469999999997E-2</v>
      </c>
      <c r="R423">
        <f t="shared" si="285"/>
        <v>0</v>
      </c>
      <c r="S423" s="23">
        <f t="shared" si="291"/>
        <v>6.7752223600000008</v>
      </c>
      <c r="T423">
        <f>$S423+測地線補正!$Q$3*(lattice!$N423/1000)^3+測地線補正!$P$3*(lattice!$N423/1000)^2+測地線補正!$O$3*(lattice!$N423/1000)+測地線補正!$N$3</f>
        <v>-0.28107098502095945</v>
      </c>
      <c r="U423">
        <f>ATAN(($P$423-$P$422)/ABS($N$423-$N$422))</f>
        <v>-3.3774757801608617E-4</v>
      </c>
      <c r="V423">
        <v>0</v>
      </c>
      <c r="W423">
        <f>-ATAN(($M$423-$M$422)/ABS($N$423-$N$422))</f>
        <v>-1.1399419871757905E-4</v>
      </c>
      <c r="X423">
        <f>$Z$422-($Y$422+$Y$421)/2</f>
        <v>100.10102740991493</v>
      </c>
      <c r="Y423">
        <f>_xlfn.XLOOKUP($F423,設計座標!$E$13:$E$2301,設計座標!$L$13:$L$2301," ",0,1)</f>
        <v>120</v>
      </c>
      <c r="Z423">
        <f>SQRT(($M$422-$M$421)^2+($N$422-$N$421)^2)</f>
        <v>280.10102740991493</v>
      </c>
      <c r="AA423">
        <f>_xlfn.XLOOKUP($G423,magnet_list!$A$2:$A$592,magnet_list!$AJ$2:$AJ$592,"n/a",0,1)</f>
        <v>0.1333</v>
      </c>
      <c r="AB423">
        <f>_xlfn.XLOOKUP($G423,magnet_list!$A$2:$A$592,magnet_list!$L$2:$L$592,"n/a",0,1)</f>
        <v>23</v>
      </c>
    </row>
    <row r="424" spans="1:28">
      <c r="A424" t="s">
        <v>797</v>
      </c>
      <c r="B424" t="s">
        <v>3811</v>
      </c>
      <c r="C424" t="s">
        <v>2288</v>
      </c>
      <c r="D424" t="s">
        <v>1152</v>
      </c>
      <c r="E424" t="s">
        <v>804</v>
      </c>
      <c r="F424" t="s">
        <v>2333</v>
      </c>
      <c r="G424" t="s">
        <v>2333</v>
      </c>
      <c r="I424">
        <f>_xlfn.XLOOKUP($F424,設計座標!$E$13:$E$2301,設計座標!$G$13:$G$2301,"n/a",0,1)</f>
        <v>101.55806447930989</v>
      </c>
      <c r="J424">
        <f>_xlfn.XLOOKUP($F424,設計座標!$E$13:$E$2301,設計座標!$H$13:$H$2301,"n/a",0,1)</f>
        <v>0</v>
      </c>
      <c r="K424">
        <f>_xlfn.XLOOKUP($F424,設計座標!$E$13:$E$2301,設計座標!$I$13:$I$2301,"n/a",0,1)</f>
        <v>94156.010878929897</v>
      </c>
      <c r="L424">
        <f>_xlfn.XLOOKUP($F424,設計座標!$E$13:$E$2301,設計座標!$J$13:$J$2301,"n/a",0,1)</f>
        <v>-270</v>
      </c>
      <c r="M424" s="2">
        <f t="shared" si="309"/>
        <v>-4.6553325270392049E-2</v>
      </c>
      <c r="N424" s="2">
        <f t="shared" si="310"/>
        <v>94156.010878929897</v>
      </c>
      <c r="O424" s="23">
        <f t="shared" si="311"/>
        <v>-263.1951023891491</v>
      </c>
      <c r="P424" s="1">
        <f t="shared" si="315"/>
        <v>-270.27345775156044</v>
      </c>
      <c r="Q424" s="1">
        <f>(Q$443-Q$423)/($N$443-$N$423)*($N424-$N$423)+Q$423</f>
        <v>-4.6553325270392049E-2</v>
      </c>
      <c r="R424">
        <f t="shared" si="285"/>
        <v>0</v>
      </c>
      <c r="S424" s="23">
        <f t="shared" ref="S424:S442" si="327">(S$443-S$423)/($N$443-$N$423)*($N424-$N$423)+S$423</f>
        <v>6.8048976108508779</v>
      </c>
      <c r="T424">
        <f>$S424+測地線補正!$Q$3*(lattice!$N424/1000)^3+測地線補正!$P$3*(lattice!$N424/1000)^2+測地線補正!$O$3*(lattice!$N424/1000)+測地線補正!$N$3</f>
        <v>-0.27345775156045599</v>
      </c>
      <c r="U424">
        <v>0</v>
      </c>
      <c r="V424">
        <v>0</v>
      </c>
      <c r="W424">
        <v>0</v>
      </c>
      <c r="X424">
        <f>$Z$424-($Y$424+$Y$423)/2</f>
        <v>212.04866260372489</v>
      </c>
      <c r="Y424">
        <f>_xlfn.XLOOKUP($F424,設計座標!$E$13:$E$2301,設計座標!$L$13:$L$2301," ",0,1)</f>
        <v>0</v>
      </c>
      <c r="Z424">
        <f>SQRT(($M$424-$M$422)^2+($N$424-$N$422)^2)</f>
        <v>272.04866260372489</v>
      </c>
    </row>
    <row r="425" spans="1:28">
      <c r="A425" t="s">
        <v>797</v>
      </c>
      <c r="B425" t="s">
        <v>3811</v>
      </c>
      <c r="C425" t="s">
        <v>804</v>
      </c>
      <c r="D425" t="s">
        <v>1152</v>
      </c>
      <c r="E425" t="s">
        <v>804</v>
      </c>
      <c r="F425" t="s">
        <v>1474</v>
      </c>
      <c r="G425" t="s">
        <v>2430</v>
      </c>
      <c r="I425">
        <f>_xlfn.XLOOKUP($F425,設計座標!$E$13:$E$2301,設計座標!$G$13:$G$2301,"n/a",0,1)</f>
        <v>101.69206437930988</v>
      </c>
      <c r="J425">
        <f>_xlfn.XLOOKUP($F425,設計座標!$E$13:$E$2301,設計座標!$H$13:$H$2301,"n/a",0,1)</f>
        <v>0</v>
      </c>
      <c r="K425">
        <f>_xlfn.XLOOKUP($F425,設計座標!$E$13:$E$2301,設計座標!$I$13:$I$2301,"n/a",0,1)</f>
        <v>94290.010778929893</v>
      </c>
      <c r="L425">
        <f>_xlfn.XLOOKUP($F425,設計座標!$E$13:$E$2301,設計座標!$J$13:$J$2301,"n/a",0,1)</f>
        <v>-270</v>
      </c>
      <c r="M425" s="2">
        <f t="shared" si="309"/>
        <v>-4.5060495570336354E-2</v>
      </c>
      <c r="N425" s="2">
        <f t="shared" si="310"/>
        <v>94290.010778929893</v>
      </c>
      <c r="O425" s="23">
        <f t="shared" si="311"/>
        <v>-263.17796598076183</v>
      </c>
      <c r="P425" s="1">
        <f t="shared" si="315"/>
        <v>-270.26909079089489</v>
      </c>
      <c r="Q425" s="1">
        <f t="shared" ref="Q425:Q442" si="328">(Q$443-Q$423)/($N$443-$N$423)*($N425-$N$423)+Q$423</f>
        <v>-4.5060495570336354E-2</v>
      </c>
      <c r="R425">
        <f t="shared" ref="R425:R489" si="329">$N425-$K425</f>
        <v>0</v>
      </c>
      <c r="S425" s="23">
        <f t="shared" si="327"/>
        <v>6.8220340192381599</v>
      </c>
      <c r="T425">
        <f>$S425+測地線補正!$Q$3*(lattice!$N425/1000)^3+測地線補正!$P$3*(lattice!$N425/1000)^2+測地線補正!$O$3*(lattice!$N425/1000)+測地線補正!$N$3</f>
        <v>-0.26909079089491855</v>
      </c>
      <c r="U425">
        <f>ATAN(($P$429-$P$425)/ABS($N$429-$N$425))</f>
        <v>3.1357026769340967E-5</v>
      </c>
      <c r="V425">
        <v>0</v>
      </c>
      <c r="W425">
        <f>-ATAN(($M$429-$M$425)/ABS($N$429-$N$425))</f>
        <v>-1.1140528463036093E-5</v>
      </c>
      <c r="X425">
        <f>SQRT(($M$425-$M$424)^2+($N$425-N424)^2)</f>
        <v>133.9999000083107</v>
      </c>
      <c r="Y425">
        <f>_xlfn.XLOOKUP($F425,設計座標!$E$13:$E$2301,設計座標!$L$13:$L$2301," ",0,1)</f>
        <v>1889.4492</v>
      </c>
      <c r="Z425">
        <f>SQRT(($M$428-$M$426)^2+($N$428-$N$426)^2)</f>
        <v>311.22450001930986</v>
      </c>
    </row>
    <row r="426" spans="1:28">
      <c r="A426" t="s">
        <v>797</v>
      </c>
      <c r="B426" t="s">
        <v>3811</v>
      </c>
      <c r="C426" t="s">
        <v>3855</v>
      </c>
      <c r="D426" t="s">
        <v>1152</v>
      </c>
      <c r="E426" t="s">
        <v>804</v>
      </c>
      <c r="F426" t="s">
        <v>2244</v>
      </c>
      <c r="G426" t="s">
        <v>2244</v>
      </c>
      <c r="I426">
        <f>_xlfn.XLOOKUP($F426,設計座標!$E$13:$E$2301,設計座標!$G$13:$G$2301,"n/a",0,1)</f>
        <v>102.32556447930989</v>
      </c>
      <c r="J426">
        <f>_xlfn.XLOOKUP($F426,設計座標!$E$13:$E$2301,設計座標!$H$13:$H$2301,"n/a",0,1)</f>
        <v>0</v>
      </c>
      <c r="K426">
        <f>_xlfn.XLOOKUP($F426,設計座標!$E$13:$E$2301,設計座標!$I$13:$I$2301,"n/a",0,1)</f>
        <v>94923.510878929897</v>
      </c>
      <c r="L426">
        <f>_xlfn.XLOOKUP($F426,設計座標!$E$13:$E$2301,設計座標!$J$13:$J$2301,"n/a",0,1)</f>
        <v>-270</v>
      </c>
      <c r="M426" s="2">
        <f t="shared" si="309"/>
        <v>-3.8002969674658119E-2</v>
      </c>
      <c r="N426" s="2">
        <f t="shared" si="310"/>
        <v>94923.510878929897</v>
      </c>
      <c r="O426" s="23">
        <f t="shared" si="311"/>
        <v>-263.09695161860947</v>
      </c>
      <c r="P426" s="1">
        <f t="shared" si="315"/>
        <v>-270.24873904235653</v>
      </c>
      <c r="Q426" s="1">
        <f t="shared" si="328"/>
        <v>-3.8002969674658119E-2</v>
      </c>
      <c r="R426">
        <f t="shared" si="329"/>
        <v>0</v>
      </c>
      <c r="S426" s="23">
        <f t="shared" si="327"/>
        <v>6.9030483813905548</v>
      </c>
      <c r="T426">
        <f>$S426+測地線補正!$Q$3*(lattice!$N426/1000)^3+測地線補正!$P$3*(lattice!$N426/1000)^2+測地線補正!$O$3*(lattice!$N426/1000)+測地線補正!$N$3</f>
        <v>-0.24873904235653729</v>
      </c>
      <c r="U426">
        <f t="shared" ref="U426:U427" si="330">ATAN(($P$429-$P$425)/ABS($N$429-$N$425))</f>
        <v>3.1357026769340967E-5</v>
      </c>
      <c r="V426">
        <v>0</v>
      </c>
      <c r="W426">
        <f t="shared" ref="W426:W427" si="331">-ATAN(($M$429-$M$425)/ABS($N$429-$N$425))</f>
        <v>-1.1140528463036093E-5</v>
      </c>
      <c r="X426" t="s">
        <v>3860</v>
      </c>
      <c r="Y426">
        <f>_xlfn.XLOOKUP($F426,設計座標!$E$13:$E$2301,設計座標!$L$13:$L$2301," ",0,1)</f>
        <v>1000</v>
      </c>
      <c r="Z426">
        <f>SQRT(($M$426-$M$424)^2+($N$426-$N$424)^2)</f>
        <v>767.50000004762774</v>
      </c>
      <c r="AA426">
        <f>_xlfn.XLOOKUP($G426,magnet_list!$A$2:$A$592,magnet_list!$AJ$2:$AJ$592,"n/a",0,1)</f>
        <v>0.95010000000000006</v>
      </c>
      <c r="AB426">
        <f>_xlfn.XLOOKUP($G426,magnet_list!$A$2:$A$592,magnet_list!$L$2:$L$592,"n/a",0,1)</f>
        <v>120</v>
      </c>
    </row>
    <row r="427" spans="1:28">
      <c r="A427" t="s">
        <v>797</v>
      </c>
      <c r="B427" t="s">
        <v>3811</v>
      </c>
      <c r="C427" t="s">
        <v>3855</v>
      </c>
      <c r="D427" t="s">
        <v>1152</v>
      </c>
      <c r="E427" t="s">
        <v>804</v>
      </c>
      <c r="F427" t="s">
        <v>2245</v>
      </c>
      <c r="G427" t="s">
        <v>2245</v>
      </c>
      <c r="I427">
        <f>_xlfn.XLOOKUP($F427,設計座標!$E$13:$E$2301,設計座標!$G$13:$G$2301,"n/a",0,1)</f>
        <v>102.32556447930989</v>
      </c>
      <c r="J427">
        <f>_xlfn.XLOOKUP($F427,設計座標!$E$13:$E$2301,設計座標!$H$13:$H$2301,"n/a",0,1)</f>
        <v>0</v>
      </c>
      <c r="K427">
        <f>_xlfn.XLOOKUP($F427,設計座標!$E$13:$E$2301,設計座標!$I$13:$I$2301,"n/a",0,1)</f>
        <v>94923.510878929897</v>
      </c>
      <c r="L427">
        <f>_xlfn.XLOOKUP($F427,設計座標!$E$13:$E$2301,設計座標!$J$13:$J$2301,"n/a",0,1)</f>
        <v>-270</v>
      </c>
      <c r="M427" s="2">
        <f t="shared" si="309"/>
        <v>-3.8002969674658119E-2</v>
      </c>
      <c r="N427" s="2">
        <f t="shared" si="310"/>
        <v>94923.510878929897</v>
      </c>
      <c r="O427" s="23">
        <f t="shared" si="311"/>
        <v>-263.09695161860947</v>
      </c>
      <c r="P427" s="1">
        <f t="shared" si="315"/>
        <v>-270.24873904235653</v>
      </c>
      <c r="Q427" s="1">
        <f t="shared" si="328"/>
        <v>-3.8002969674658119E-2</v>
      </c>
      <c r="R427">
        <f t="shared" si="329"/>
        <v>0</v>
      </c>
      <c r="S427" s="23">
        <f t="shared" si="327"/>
        <v>6.9030483813905548</v>
      </c>
      <c r="T427">
        <f>$S427+測地線補正!$Q$3*(lattice!$N427/1000)^3+測地線補正!$P$3*(lattice!$N427/1000)^2+測地線補正!$O$3*(lattice!$N427/1000)+測地線補正!$N$3</f>
        <v>-0.24873904235653729</v>
      </c>
      <c r="U427">
        <f t="shared" si="330"/>
        <v>3.1357026769340967E-5</v>
      </c>
      <c r="V427">
        <v>0</v>
      </c>
      <c r="W427">
        <f t="shared" si="331"/>
        <v>-1.1140528463036093E-5</v>
      </c>
      <c r="X427" t="s">
        <v>3860</v>
      </c>
      <c r="Y427">
        <f>_xlfn.XLOOKUP($F427,設計座標!$E$13:$E$2301,設計座標!$L$13:$L$2301," ",0,1)</f>
        <v>1000</v>
      </c>
      <c r="Z427">
        <f>SQRT(($M$426-$M$424)^2+($N$426-$N$424)^2)</f>
        <v>767.50000004762774</v>
      </c>
      <c r="AA427">
        <f>_xlfn.XLOOKUP($G427,magnet_list!$A$2:$A$592,magnet_list!$AJ$2:$AJ$592,"n/a",0,1)</f>
        <v>0.95010000000000006</v>
      </c>
      <c r="AB427">
        <f>_xlfn.XLOOKUP($G427,magnet_list!$A$2:$A$592,magnet_list!$L$2:$L$592,"n/a",0,1)</f>
        <v>120</v>
      </c>
    </row>
    <row r="428" spans="1:28">
      <c r="A428" t="s">
        <v>797</v>
      </c>
      <c r="B428" t="s">
        <v>3811</v>
      </c>
      <c r="C428" t="s">
        <v>804</v>
      </c>
      <c r="D428" t="s">
        <v>1152</v>
      </c>
      <c r="E428" t="s">
        <v>804</v>
      </c>
      <c r="F428" t="s">
        <v>1175</v>
      </c>
      <c r="G428" t="s">
        <v>2430</v>
      </c>
      <c r="I428">
        <f>_xlfn.XLOOKUP($F428,設計座標!$E$13:$E$2301,設計座標!$G$13:$G$2301,"n/a",0,1)</f>
        <v>102.63678897930988</v>
      </c>
      <c r="J428">
        <f>_xlfn.XLOOKUP($F428,設計座標!$E$13:$E$2301,設計座標!$H$13:$H$2301,"n/a",0,1)</f>
        <v>0</v>
      </c>
      <c r="K428">
        <f>_xlfn.XLOOKUP($F428,設計座標!$E$13:$E$2301,設計座標!$I$13:$I$2301,"n/a",0,1)</f>
        <v>95234.735378929894</v>
      </c>
      <c r="L428">
        <f>_xlfn.XLOOKUP($F428,設計座標!$E$13:$E$2301,設計座標!$J$13:$J$2301,"n/a",0,1)</f>
        <v>-270</v>
      </c>
      <c r="M428" s="2">
        <f t="shared" si="309"/>
        <v>-3.4535764273870534E-2</v>
      </c>
      <c r="N428" s="2">
        <f t="shared" si="310"/>
        <v>95234.735378929894</v>
      </c>
      <c r="O428" s="23">
        <f t="shared" si="311"/>
        <v>-263.05715106553345</v>
      </c>
      <c r="P428" s="1">
        <f t="shared" si="315"/>
        <v>-270.23891952077611</v>
      </c>
      <c r="Q428" s="1">
        <f t="shared" si="328"/>
        <v>-3.4535764273870534E-2</v>
      </c>
      <c r="R428">
        <f t="shared" si="329"/>
        <v>0</v>
      </c>
      <c r="S428" s="23">
        <f t="shared" si="327"/>
        <v>6.9428489344665492</v>
      </c>
      <c r="T428">
        <f>$S428+測地線補正!$Q$3*(lattice!$N428/1000)^3+測地線補正!$P$3*(lattice!$N428/1000)^2+測地線補正!$O$3*(lattice!$N428/1000)+測地線補正!$N$3</f>
        <v>-0.23891952077613152</v>
      </c>
      <c r="U428">
        <f t="shared" ref="U428:U429" si="332">ATAN(($P$429-$P$425)/ABS($N$429-$N$425))</f>
        <v>3.1357026769340967E-5</v>
      </c>
      <c r="V428">
        <v>0</v>
      </c>
      <c r="W428">
        <f t="shared" ref="W428:W429" si="333">-ATAN(($M$429-$M$425)/ABS($N$429-$N$425))</f>
        <v>-1.1140528463036093E-5</v>
      </c>
      <c r="X428" t="s">
        <v>3860</v>
      </c>
      <c r="Y428">
        <f>_xlfn.XLOOKUP($F428,設計座標!$E$13:$E$2301,設計座標!$L$13:$L$2301," ",0,1)</f>
        <v>1889.4492</v>
      </c>
      <c r="Z428">
        <f>SQRT(($M$428-$M$426)^2+($N$428-$N$426)^2)</f>
        <v>311.22450001930986</v>
      </c>
    </row>
    <row r="429" spans="1:28">
      <c r="A429" t="s">
        <v>797</v>
      </c>
      <c r="B429" t="s">
        <v>3811</v>
      </c>
      <c r="C429" t="s">
        <v>804</v>
      </c>
      <c r="D429" t="s">
        <v>1152</v>
      </c>
      <c r="E429" t="s">
        <v>804</v>
      </c>
      <c r="F429" t="s">
        <v>1475</v>
      </c>
      <c r="G429" t="s">
        <v>2430</v>
      </c>
      <c r="I429">
        <f>_xlfn.XLOOKUP($F429,設計座標!$E$13:$E$2301,設計座標!$G$13:$G$2301,"n/a",0,1)</f>
        <v>103.58151357930988</v>
      </c>
      <c r="J429">
        <f>_xlfn.XLOOKUP($F429,設計座標!$E$13:$E$2301,設計座標!$H$13:$H$2301,"n/a",0,1)</f>
        <v>0</v>
      </c>
      <c r="K429">
        <f>_xlfn.XLOOKUP($F429,設計座標!$E$13:$E$2301,設計座標!$I$13:$I$2301,"n/a",0,1)</f>
        <v>96179.459978929895</v>
      </c>
      <c r="L429">
        <f>_xlfn.XLOOKUP($F429,設計座標!$E$13:$E$2301,設計座標!$J$13:$J$2301,"n/a",0,1)</f>
        <v>-270</v>
      </c>
      <c r="M429" s="2">
        <f t="shared" si="309"/>
        <v>-2.4011032977404721E-2</v>
      </c>
      <c r="N429" s="2">
        <f t="shared" si="310"/>
        <v>96179.459978929895</v>
      </c>
      <c r="O429" s="23">
        <f t="shared" si="311"/>
        <v>-262.93633615030507</v>
      </c>
      <c r="P429" s="1">
        <f t="shared" si="315"/>
        <v>-270.20984328173176</v>
      </c>
      <c r="Q429" s="1">
        <f t="shared" si="328"/>
        <v>-2.4011032977404721E-2</v>
      </c>
      <c r="R429">
        <f t="shared" si="329"/>
        <v>0</v>
      </c>
      <c r="S429" s="23">
        <f t="shared" si="327"/>
        <v>7.0636638496949375</v>
      </c>
      <c r="T429">
        <f>$S429+測地線補正!$Q$3*(lattice!$N429/1000)^3+測地線補正!$P$3*(lattice!$N429/1000)^2+測地線補正!$O$3*(lattice!$N429/1000)+測地線補正!$N$3</f>
        <v>-0.2098432817317509</v>
      </c>
      <c r="U429">
        <f t="shared" si="332"/>
        <v>3.1357026769340967E-5</v>
      </c>
      <c r="V429">
        <v>0</v>
      </c>
      <c r="W429">
        <f t="shared" si="333"/>
        <v>-1.1140528463036093E-5</v>
      </c>
      <c r="X429" t="s">
        <v>3860</v>
      </c>
      <c r="Y429">
        <f>_xlfn.XLOOKUP($F429,設計座標!$E$13:$E$2301,設計座標!$L$13:$L$2301," ",0,1)</f>
        <v>1889.4492</v>
      </c>
      <c r="Z429">
        <f>SQRT(($M$428-$M$426)^2+($N$428-$N$426)^2)</f>
        <v>311.22450001930986</v>
      </c>
    </row>
    <row r="430" spans="1:28">
      <c r="A430" t="s">
        <v>797</v>
      </c>
      <c r="B430" t="s">
        <v>3811</v>
      </c>
      <c r="C430" t="s">
        <v>804</v>
      </c>
      <c r="D430" t="s">
        <v>1152</v>
      </c>
      <c r="E430" t="s">
        <v>804</v>
      </c>
      <c r="F430" t="s">
        <v>1476</v>
      </c>
      <c r="G430" t="s">
        <v>2431</v>
      </c>
      <c r="I430">
        <f>_xlfn.XLOOKUP($F430,設計座標!$E$13:$E$2301,設計座標!$G$13:$G$2301,"n/a",0,1)</f>
        <v>103.76521037930988</v>
      </c>
      <c r="J430">
        <f>_xlfn.XLOOKUP($F430,設計座標!$E$13:$E$2301,設計座標!$H$13:$H$2301,"n/a",0,1)</f>
        <v>0</v>
      </c>
      <c r="K430">
        <f>_xlfn.XLOOKUP($F430,設計座標!$E$13:$E$2301,設計座標!$I$13:$I$2301,"n/a",0,1)</f>
        <v>96363.156778929886</v>
      </c>
      <c r="L430">
        <f>_xlfn.XLOOKUP($F430,設計座標!$E$13:$E$2301,設計座標!$J$13:$J$2301,"n/a",0,1)</f>
        <v>-270</v>
      </c>
      <c r="M430" s="2">
        <f t="shared" si="309"/>
        <v>-2.1964553548351511E-2</v>
      </c>
      <c r="N430" s="2">
        <f t="shared" si="310"/>
        <v>96363.156778929886</v>
      </c>
      <c r="O430" s="23">
        <f t="shared" si="311"/>
        <v>-262.91284431647358</v>
      </c>
      <c r="P430" s="1">
        <f t="shared" si="315"/>
        <v>-270.20431850165619</v>
      </c>
      <c r="Q430" s="1">
        <f t="shared" si="328"/>
        <v>-2.1964553548351511E-2</v>
      </c>
      <c r="R430">
        <f t="shared" si="329"/>
        <v>0</v>
      </c>
      <c r="S430" s="23">
        <f t="shared" si="327"/>
        <v>7.087155683526432</v>
      </c>
      <c r="T430">
        <f>$S430+測地線補正!$Q$3*(lattice!$N430/1000)^3+測地線補正!$P$3*(lattice!$N430/1000)^2+測地線補正!$O$3*(lattice!$N430/1000)+測地線補正!$N$3</f>
        <v>-0.20431850165619</v>
      </c>
      <c r="U430">
        <f>ATAN(($P$432-$P$430)/ABS($N$432-$N$430))</f>
        <v>2.8759995268785549E-5</v>
      </c>
      <c r="V430">
        <v>0</v>
      </c>
      <c r="W430">
        <f>-ATAN(($M$432-$M$430)/ABS($N$432-$N$430))</f>
        <v>-1.1140528463036091E-5</v>
      </c>
      <c r="X430">
        <f>SQRT(($M$430-$M$429)^2+($N$430-$N$429)^2)</f>
        <v>183.69680001139005</v>
      </c>
      <c r="Y430">
        <f>_xlfn.XLOOKUP($F430,設計座標!$E$13:$E$2301,設計座標!$L$13:$L$2301," ",0,1)</f>
        <v>1889.4492</v>
      </c>
      <c r="Z430">
        <f>SQRT(($M$431-$M$428)^2+($N$431-$N$428)^2)</f>
        <v>2073.1460001286441</v>
      </c>
    </row>
    <row r="431" spans="1:28">
      <c r="A431" t="s">
        <v>797</v>
      </c>
      <c r="B431" t="s">
        <v>3811</v>
      </c>
      <c r="C431" t="s">
        <v>804</v>
      </c>
      <c r="D431" t="s">
        <v>1152</v>
      </c>
      <c r="E431" t="s">
        <v>804</v>
      </c>
      <c r="F431" t="s">
        <v>1231</v>
      </c>
      <c r="G431" t="s">
        <v>2431</v>
      </c>
      <c r="I431">
        <f>_xlfn.XLOOKUP($F431,設計座標!$E$13:$E$2301,設計座標!$G$13:$G$2301,"n/a",0,1)</f>
        <v>104.70993497930988</v>
      </c>
      <c r="J431">
        <f>_xlfn.XLOOKUP($F431,設計座標!$E$13:$E$2301,設計座標!$H$13:$H$2301,"n/a",0,1)</f>
        <v>0</v>
      </c>
      <c r="K431">
        <f>_xlfn.XLOOKUP($F431,設計座標!$E$13:$E$2301,設計座標!$I$13:$I$2301,"n/a",0,1)</f>
        <v>97307.881378929887</v>
      </c>
      <c r="L431">
        <f>_xlfn.XLOOKUP($F431,設計座標!$E$13:$E$2301,設計座標!$J$13:$J$2301,"n/a",0,1)</f>
        <v>-270</v>
      </c>
      <c r="M431" s="2">
        <f t="shared" si="309"/>
        <v>-1.1439822251885695E-2</v>
      </c>
      <c r="N431" s="2">
        <f t="shared" si="310"/>
        <v>97307.881378929887</v>
      </c>
      <c r="O431" s="23">
        <f t="shared" si="311"/>
        <v>-262.7920294012452</v>
      </c>
      <c r="P431" s="1">
        <f t="shared" si="315"/>
        <v>-270.1765777010354</v>
      </c>
      <c r="Q431" s="1">
        <f t="shared" si="328"/>
        <v>-1.1439822251885695E-2</v>
      </c>
      <c r="R431">
        <f t="shared" si="329"/>
        <v>0</v>
      </c>
      <c r="S431" s="23">
        <f t="shared" si="327"/>
        <v>7.2079705987548213</v>
      </c>
      <c r="T431">
        <f>$S431+測地線補正!$Q$3*(lattice!$N431/1000)^3+測地線補正!$P$3*(lattice!$N431/1000)^2+測地線補正!$O$3*(lattice!$N431/1000)+測地線補正!$N$3</f>
        <v>-0.176577701035426</v>
      </c>
      <c r="U431">
        <f t="shared" ref="U431:U432" si="334">ATAN(($P$432-$P$430)/ABS($N$432-$N$430))</f>
        <v>2.8759995268785549E-5</v>
      </c>
      <c r="V431">
        <v>0</v>
      </c>
      <c r="W431">
        <f t="shared" ref="W431:W432" si="335">-ATAN(($M$432-$M$430)/ABS($N$432-$N$430))</f>
        <v>-1.1140528463036091E-5</v>
      </c>
      <c r="X431" t="s">
        <v>3860</v>
      </c>
      <c r="Y431">
        <f>_xlfn.XLOOKUP($F431,設計座標!$E$13:$E$2301,設計座標!$L$13:$L$2301," ",0,1)</f>
        <v>1889.4492</v>
      </c>
      <c r="Z431">
        <f>SQRT(($M$431-$M$428)^2+($N$431-$N$428)^2)</f>
        <v>2073.1460001286441</v>
      </c>
    </row>
    <row r="432" spans="1:28">
      <c r="A432" t="s">
        <v>797</v>
      </c>
      <c r="B432" t="s">
        <v>3811</v>
      </c>
      <c r="C432" t="s">
        <v>804</v>
      </c>
      <c r="D432" t="s">
        <v>1152</v>
      </c>
      <c r="E432" t="s">
        <v>804</v>
      </c>
      <c r="F432" t="s">
        <v>1477</v>
      </c>
      <c r="G432" t="s">
        <v>2431</v>
      </c>
      <c r="I432">
        <f>_xlfn.XLOOKUP($F432,設計座標!$E$13:$E$2301,設計座標!$G$13:$G$2301,"n/a",0,1)</f>
        <v>105.65465957930988</v>
      </c>
      <c r="J432">
        <f>_xlfn.XLOOKUP($F432,設計座標!$E$13:$E$2301,設計座標!$H$13:$H$2301,"n/a",0,1)</f>
        <v>0</v>
      </c>
      <c r="K432">
        <f>_xlfn.XLOOKUP($F432,設計座標!$E$13:$E$2301,設計座標!$I$13:$I$2301,"n/a",0,1)</f>
        <v>98252.605978929889</v>
      </c>
      <c r="L432">
        <f>_xlfn.XLOOKUP($F432,設計座標!$E$13:$E$2301,設計座標!$J$13:$J$2301,"n/a",0,1)</f>
        <v>-270</v>
      </c>
      <c r="M432" s="2">
        <f t="shared" si="309"/>
        <v>-9.1509095541988245E-4</v>
      </c>
      <c r="N432" s="2">
        <f t="shared" si="310"/>
        <v>98252.605978929889</v>
      </c>
      <c r="O432" s="23">
        <f t="shared" si="311"/>
        <v>-262.67121448601677</v>
      </c>
      <c r="P432" s="1">
        <f t="shared" si="315"/>
        <v>-270.1499779515886</v>
      </c>
      <c r="Q432" s="1">
        <f t="shared" si="328"/>
        <v>-9.1509095541988245E-4</v>
      </c>
      <c r="R432">
        <f t="shared" si="329"/>
        <v>0</v>
      </c>
      <c r="S432" s="23">
        <f t="shared" si="327"/>
        <v>7.3287855139832097</v>
      </c>
      <c r="T432">
        <f>$S432+測地線補正!$Q$3*(lattice!$N432/1000)^3+測地線補正!$P$3*(lattice!$N432/1000)^2+測地線補正!$O$3*(lattice!$N432/1000)+測地線補正!$N$3</f>
        <v>-0.14997795158857027</v>
      </c>
      <c r="U432">
        <f t="shared" si="334"/>
        <v>2.8759995268785549E-5</v>
      </c>
      <c r="V432">
        <v>0</v>
      </c>
      <c r="W432">
        <f t="shared" si="335"/>
        <v>-1.1140528463036091E-5</v>
      </c>
      <c r="X432" t="s">
        <v>3860</v>
      </c>
      <c r="Y432">
        <f>_xlfn.XLOOKUP($F432,設計座標!$E$13:$E$2301,設計座標!$L$13:$L$2301," ",0,1)</f>
        <v>1889.4492</v>
      </c>
      <c r="Z432">
        <f>SQRT(($M$431-$M$428)^2+($N$431-$N$428)^2)</f>
        <v>2073.1460001286441</v>
      </c>
    </row>
    <row r="433" spans="1:28">
      <c r="A433" t="s">
        <v>797</v>
      </c>
      <c r="B433" t="s">
        <v>3811</v>
      </c>
      <c r="C433" t="s">
        <v>1152</v>
      </c>
      <c r="D433" t="s">
        <v>1152</v>
      </c>
      <c r="E433" t="s">
        <v>804</v>
      </c>
      <c r="F433" t="s">
        <v>1984</v>
      </c>
      <c r="G433" t="s">
        <v>1984</v>
      </c>
      <c r="I433">
        <f>_xlfn.XLOOKUP($F433,設計座標!$E$13:$E$2301,設計座標!$G$13:$G$2301,"n/a",0,1)</f>
        <v>105.88805247930988</v>
      </c>
      <c r="J433">
        <f>_xlfn.XLOOKUP($F433,設計座標!$E$13:$E$2301,設計座標!$H$13:$H$2301,"n/a",0,1)</f>
        <v>0</v>
      </c>
      <c r="K433">
        <f>_xlfn.XLOOKUP($F433,設計座標!$E$13:$E$2301,設計座標!$I$13:$I$2301,"n/a",0,1)</f>
        <v>98485.99887892988</v>
      </c>
      <c r="L433">
        <f>_xlfn.XLOOKUP($F433,設計座標!$E$13:$E$2301,設計座標!$J$13:$J$2301,"n/a",0,1)</f>
        <v>-270</v>
      </c>
      <c r="M433" s="2">
        <f t="shared" si="309"/>
        <v>1.6850292902081329E-3</v>
      </c>
      <c r="N433" s="2">
        <f t="shared" si="310"/>
        <v>98485.99887892988</v>
      </c>
      <c r="O433" s="23">
        <f t="shared" si="311"/>
        <v>-262.64136732904808</v>
      </c>
      <c r="P433" s="1">
        <f t="shared" si="315"/>
        <v>-270.14358470852687</v>
      </c>
      <c r="Q433" s="1">
        <f t="shared" si="328"/>
        <v>1.6850292902081329E-3</v>
      </c>
      <c r="R433">
        <f t="shared" si="329"/>
        <v>0</v>
      </c>
      <c r="S433" s="23">
        <f t="shared" si="327"/>
        <v>7.3586326709519252</v>
      </c>
      <c r="T433">
        <f>$S433+測地線補正!$Q$3*(lattice!$N433/1000)^3+測地線補正!$P$3*(lattice!$N433/1000)^2+測地線補正!$O$3*(lattice!$N433/1000)+測地線補正!$N$3</f>
        <v>-0.14358470852688296</v>
      </c>
      <c r="U433">
        <v>0</v>
      </c>
      <c r="V433">
        <v>0</v>
      </c>
      <c r="W433">
        <v>0</v>
      </c>
      <c r="X433">
        <f>SQRT(($M$433-$M$432)^2+($N$433-$N$432)^2)</f>
        <v>233.392900014475</v>
      </c>
      <c r="Y433">
        <f>_xlfn.XLOOKUP($F433,設計座標!$E$13:$E$2301,設計座標!$L$13:$L$2301," ",0,1)</f>
        <v>0</v>
      </c>
      <c r="Z433">
        <f>SQRT(($M$433-$M$431)^2+($N$433-$N$431)^2)</f>
        <v>1178.1175000731018</v>
      </c>
    </row>
    <row r="434" spans="1:28">
      <c r="A434" t="s">
        <v>797</v>
      </c>
      <c r="B434" t="s">
        <v>3811</v>
      </c>
      <c r="C434" t="s">
        <v>804</v>
      </c>
      <c r="D434" t="s">
        <v>1152</v>
      </c>
      <c r="E434" t="s">
        <v>804</v>
      </c>
      <c r="F434" t="s">
        <v>1478</v>
      </c>
      <c r="G434" t="s">
        <v>2432</v>
      </c>
      <c r="I434">
        <f>_xlfn.XLOOKUP($F434,設計座標!$E$13:$E$2301,設計座標!$G$13:$G$2301,"n/a",0,1)</f>
        <v>106.02205237930987</v>
      </c>
      <c r="J434">
        <f>_xlfn.XLOOKUP($F434,設計座標!$E$13:$E$2301,設計座標!$H$13:$H$2301,"n/a",0,1)</f>
        <v>0</v>
      </c>
      <c r="K434">
        <f>_xlfn.XLOOKUP($F434,設計座標!$E$13:$E$2301,設計座標!$I$13:$I$2301,"n/a",0,1)</f>
        <v>98619.998778929876</v>
      </c>
      <c r="L434">
        <f>_xlfn.XLOOKUP($F434,設計座標!$E$13:$E$2301,設計座標!$J$13:$J$2301,"n/a",0,1)</f>
        <v>-270</v>
      </c>
      <c r="M434" s="2">
        <f t="shared" si="309"/>
        <v>3.177858990263828E-3</v>
      </c>
      <c r="N434" s="2">
        <f t="shared" si="310"/>
        <v>98619.998778929876</v>
      </c>
      <c r="O434" s="23">
        <f t="shared" si="311"/>
        <v>-262.62423092066081</v>
      </c>
      <c r="P434" s="1">
        <f t="shared" si="315"/>
        <v>-270.13994627137487</v>
      </c>
      <c r="Q434" s="1">
        <f t="shared" si="328"/>
        <v>3.177858990263828E-3</v>
      </c>
      <c r="R434">
        <f t="shared" si="329"/>
        <v>0</v>
      </c>
      <c r="S434" s="23">
        <f t="shared" si="327"/>
        <v>7.3757690793392072</v>
      </c>
      <c r="T434">
        <f>$S434+測地線補正!$Q$3*(lattice!$N434/1000)^3+測地線補正!$P$3*(lattice!$N434/1000)^2+測地線補正!$O$3*(lattice!$N434/1000)+測地線補正!$N$3</f>
        <v>-0.13994627137489143</v>
      </c>
      <c r="U434">
        <f>ATAN(($P$438-$P$434)/ABS($N$438-$N$434))</f>
        <v>2.5811322812001079E-5</v>
      </c>
      <c r="V434">
        <v>0</v>
      </c>
      <c r="W434">
        <f>-ATAN(($M$438-$M$434)/ABS($N$438-$N$434))</f>
        <v>-1.1140528463036096E-5</v>
      </c>
      <c r="X434">
        <f>SQRT(($M$434-$M$433)^2+($N$434-$N$433)^2)</f>
        <v>133.9999000083107</v>
      </c>
      <c r="Y434">
        <f>_xlfn.XLOOKUP($F434,設計座標!$E$13:$E$2301,設計座標!$L$13:$L$2301," ",0,1)</f>
        <v>1889.4492</v>
      </c>
      <c r="Z434">
        <f>SQRT(($M$437-$M$435)^2+($N$437-$N$435)^2)</f>
        <v>311.22450001930986</v>
      </c>
    </row>
    <row r="435" spans="1:28">
      <c r="A435" t="s">
        <v>797</v>
      </c>
      <c r="B435" t="s">
        <v>3811</v>
      </c>
      <c r="C435" t="s">
        <v>3855</v>
      </c>
      <c r="D435" t="s">
        <v>1152</v>
      </c>
      <c r="E435" t="s">
        <v>804</v>
      </c>
      <c r="F435" t="s">
        <v>2246</v>
      </c>
      <c r="G435" t="s">
        <v>2246</v>
      </c>
      <c r="I435">
        <f>_xlfn.XLOOKUP($F435,設計座標!$E$13:$E$2301,設計座標!$G$13:$G$2301,"n/a",0,1)</f>
        <v>106.65555247930988</v>
      </c>
      <c r="J435">
        <f>_xlfn.XLOOKUP($F435,設計座標!$E$13:$E$2301,設計座標!$H$13:$H$2301,"n/a",0,1)</f>
        <v>0</v>
      </c>
      <c r="K435">
        <f>_xlfn.XLOOKUP($F435,設計座標!$E$13:$E$2301,設計座標!$I$13:$I$2301,"n/a",0,1)</f>
        <v>99253.49887892988</v>
      </c>
      <c r="L435">
        <f>_xlfn.XLOOKUP($F435,設計座標!$E$13:$E$2301,設計座標!$J$13:$J$2301,"n/a",0,1)</f>
        <v>-270</v>
      </c>
      <c r="M435" s="2">
        <f t="shared" si="309"/>
        <v>1.0235384885942063E-2</v>
      </c>
      <c r="N435" s="2">
        <f t="shared" si="310"/>
        <v>99253.49887892988</v>
      </c>
      <c r="O435" s="23">
        <f t="shared" si="311"/>
        <v>-262.54321655850839</v>
      </c>
      <c r="P435" s="1">
        <f t="shared" si="315"/>
        <v>-270.12306488357797</v>
      </c>
      <c r="Q435" s="1">
        <f t="shared" si="328"/>
        <v>1.0235384885942063E-2</v>
      </c>
      <c r="R435">
        <f t="shared" si="329"/>
        <v>0</v>
      </c>
      <c r="S435" s="23">
        <f t="shared" si="327"/>
        <v>7.4567834414916021</v>
      </c>
      <c r="T435">
        <f>$S435+測地線補正!$Q$3*(lattice!$N435/1000)^3+測地線補正!$P$3*(lattice!$N435/1000)^2+測地線補正!$O$3*(lattice!$N435/1000)+測地線補正!$N$3</f>
        <v>-0.12306488357799136</v>
      </c>
      <c r="U435">
        <f t="shared" ref="U435:U436" si="336">ATAN(($P$438-$P$434)/ABS($N$438-$N$434))</f>
        <v>2.5811322812001079E-5</v>
      </c>
      <c r="V435">
        <v>0</v>
      </c>
      <c r="W435">
        <f t="shared" ref="W435:W436" si="337">-ATAN(($M$438-$M$434)/ABS($N$438-$N$434))</f>
        <v>-1.1140528463036096E-5</v>
      </c>
      <c r="X435" t="s">
        <v>3860</v>
      </c>
      <c r="Y435">
        <f>_xlfn.XLOOKUP($F435,設計座標!$E$13:$E$2301,設計座標!$L$13:$L$2301," ",0,1)</f>
        <v>1000</v>
      </c>
      <c r="Z435">
        <f>SQRT(($M$435-$M$433)^2+($N$435-$N$433)^2)</f>
        <v>767.50000004762774</v>
      </c>
      <c r="AA435">
        <f>_xlfn.XLOOKUP($G435,magnet_list!$A$2:$A$592,magnet_list!$AJ$2:$AJ$592,"n/a",0,1)</f>
        <v>0.95010000000000006</v>
      </c>
      <c r="AB435">
        <f>_xlfn.XLOOKUP($G435,magnet_list!$A$2:$A$592,magnet_list!$L$2:$L$592,"n/a",0,1)</f>
        <v>120</v>
      </c>
    </row>
    <row r="436" spans="1:28">
      <c r="A436" t="s">
        <v>797</v>
      </c>
      <c r="B436" t="s">
        <v>3811</v>
      </c>
      <c r="C436" t="s">
        <v>3855</v>
      </c>
      <c r="D436" t="s">
        <v>1152</v>
      </c>
      <c r="E436" t="s">
        <v>804</v>
      </c>
      <c r="F436" t="s">
        <v>2247</v>
      </c>
      <c r="G436" t="s">
        <v>2247</v>
      </c>
      <c r="I436">
        <f>_xlfn.XLOOKUP($F436,設計座標!$E$13:$E$2301,設計座標!$G$13:$G$2301,"n/a",0,1)</f>
        <v>106.65555247930988</v>
      </c>
      <c r="J436">
        <f>_xlfn.XLOOKUP($F436,設計座標!$E$13:$E$2301,設計座標!$H$13:$H$2301,"n/a",0,1)</f>
        <v>0</v>
      </c>
      <c r="K436">
        <f>_xlfn.XLOOKUP($F436,設計座標!$E$13:$E$2301,設計座標!$I$13:$I$2301,"n/a",0,1)</f>
        <v>99253.49887892988</v>
      </c>
      <c r="L436">
        <f>_xlfn.XLOOKUP($F436,設計座標!$E$13:$E$2301,設計座標!$J$13:$J$2301,"n/a",0,1)</f>
        <v>-270</v>
      </c>
      <c r="M436" s="2">
        <f t="shared" si="309"/>
        <v>1.0235384885942063E-2</v>
      </c>
      <c r="N436" s="2">
        <f t="shared" si="310"/>
        <v>99253.49887892988</v>
      </c>
      <c r="O436" s="23">
        <f t="shared" si="311"/>
        <v>-262.54321655850839</v>
      </c>
      <c r="P436" s="1">
        <f t="shared" si="315"/>
        <v>-270.12306488357797</v>
      </c>
      <c r="Q436" s="1">
        <f t="shared" si="328"/>
        <v>1.0235384885942063E-2</v>
      </c>
      <c r="R436">
        <f t="shared" si="329"/>
        <v>0</v>
      </c>
      <c r="S436" s="23">
        <f t="shared" si="327"/>
        <v>7.4567834414916021</v>
      </c>
      <c r="T436">
        <f>$S436+測地線補正!$Q$3*(lattice!$N436/1000)^3+測地線補正!$P$3*(lattice!$N436/1000)^2+測地線補正!$O$3*(lattice!$N436/1000)+測地線補正!$N$3</f>
        <v>-0.12306488357799136</v>
      </c>
      <c r="U436">
        <f t="shared" si="336"/>
        <v>2.5811322812001079E-5</v>
      </c>
      <c r="V436">
        <v>0</v>
      </c>
      <c r="W436">
        <f t="shared" si="337"/>
        <v>-1.1140528463036096E-5</v>
      </c>
      <c r="X436" t="s">
        <v>3860</v>
      </c>
      <c r="Y436">
        <f>_xlfn.XLOOKUP($F436,設計座標!$E$13:$E$2301,設計座標!$L$13:$L$2301," ",0,1)</f>
        <v>1000</v>
      </c>
      <c r="Z436">
        <f>SQRT(($M$435-$M$433)^2+($N$435-$N$433)^2)</f>
        <v>767.50000004762774</v>
      </c>
      <c r="AA436">
        <f>_xlfn.XLOOKUP($G436,magnet_list!$A$2:$A$592,magnet_list!$AJ$2:$AJ$592,"n/a",0,1)</f>
        <v>0.95010000000000006</v>
      </c>
      <c r="AB436">
        <f>_xlfn.XLOOKUP($G436,magnet_list!$A$2:$A$592,magnet_list!$L$2:$L$592,"n/a",0,1)</f>
        <v>120</v>
      </c>
    </row>
    <row r="437" spans="1:28">
      <c r="A437" t="s">
        <v>797</v>
      </c>
      <c r="B437" t="s">
        <v>3811</v>
      </c>
      <c r="C437" t="s">
        <v>804</v>
      </c>
      <c r="D437" t="s">
        <v>1152</v>
      </c>
      <c r="E437" t="s">
        <v>804</v>
      </c>
      <c r="F437" t="s">
        <v>1286</v>
      </c>
      <c r="G437" t="s">
        <v>2432</v>
      </c>
      <c r="I437">
        <f>_xlfn.XLOOKUP($F437,設計座標!$E$13:$E$2301,設計座標!$G$13:$G$2301,"n/a",0,1)</f>
        <v>106.96677697930987</v>
      </c>
      <c r="J437">
        <f>_xlfn.XLOOKUP($F437,設計座標!$E$13:$E$2301,設計座標!$H$13:$H$2301,"n/a",0,1)</f>
        <v>0</v>
      </c>
      <c r="K437">
        <f>_xlfn.XLOOKUP($F437,設計座標!$E$13:$E$2301,設計座標!$I$13:$I$2301,"n/a",0,1)</f>
        <v>99564.723378929877</v>
      </c>
      <c r="L437">
        <f>_xlfn.XLOOKUP($F437,設計座標!$E$13:$E$2301,設計座標!$J$13:$J$2301,"n/a",0,1)</f>
        <v>-270</v>
      </c>
      <c r="M437" s="2">
        <f t="shared" si="309"/>
        <v>1.3702590286729648E-2</v>
      </c>
      <c r="N437" s="2">
        <f t="shared" si="310"/>
        <v>99564.723378929877</v>
      </c>
      <c r="O437" s="23">
        <f t="shared" si="311"/>
        <v>-262.50341600543243</v>
      </c>
      <c r="P437" s="1">
        <f t="shared" si="315"/>
        <v>-270.11496610525387</v>
      </c>
      <c r="Q437" s="1">
        <f t="shared" si="328"/>
        <v>1.3702590286729648E-2</v>
      </c>
      <c r="R437">
        <f t="shared" si="329"/>
        <v>0</v>
      </c>
      <c r="S437" s="23">
        <f t="shared" si="327"/>
        <v>7.4965839945675965</v>
      </c>
      <c r="T437">
        <f>$S437+測地線補正!$Q$3*(lattice!$N437/1000)^3+測地線補正!$P$3*(lattice!$N437/1000)^2+測地線補正!$O$3*(lattice!$N437/1000)+測地線補正!$N$3</f>
        <v>-0.1149661052538907</v>
      </c>
      <c r="U437">
        <f t="shared" ref="U437:U438" si="338">ATAN(($P$438-$P$434)/ABS($N$438-$N$434))</f>
        <v>2.5811322812001079E-5</v>
      </c>
      <c r="V437">
        <v>0</v>
      </c>
      <c r="W437">
        <f t="shared" ref="W437:W438" si="339">-ATAN(($M$438-$M$434)/ABS($N$438-$N$434))</f>
        <v>-1.1140528463036096E-5</v>
      </c>
      <c r="X437" t="s">
        <v>3860</v>
      </c>
      <c r="Y437">
        <f>_xlfn.XLOOKUP($F437,設計座標!$E$13:$E$2301,設計座標!$L$13:$L$2301," ",0,1)</f>
        <v>1889.4492</v>
      </c>
      <c r="Z437">
        <f>SQRT(($M$437-$M$435)^2+($N$437-$N$435)^2)</f>
        <v>311.22450001930986</v>
      </c>
    </row>
    <row r="438" spans="1:28">
      <c r="A438" t="s">
        <v>797</v>
      </c>
      <c r="B438" t="s">
        <v>3811</v>
      </c>
      <c r="C438" t="s">
        <v>804</v>
      </c>
      <c r="D438" t="s">
        <v>1152</v>
      </c>
      <c r="E438" t="s">
        <v>804</v>
      </c>
      <c r="F438" t="s">
        <v>1479</v>
      </c>
      <c r="G438" t="s">
        <v>2432</v>
      </c>
      <c r="I438">
        <f>_xlfn.XLOOKUP($F438,設計座標!$E$13:$E$2301,設計座標!$G$13:$G$2301,"n/a",0,1)</f>
        <v>107.91150157930987</v>
      </c>
      <c r="J438">
        <f>_xlfn.XLOOKUP($F438,設計座標!$E$13:$E$2301,設計座標!$H$13:$H$2301,"n/a",0,1)</f>
        <v>0</v>
      </c>
      <c r="K438">
        <f>_xlfn.XLOOKUP($F438,設計座標!$E$13:$E$2301,設計座標!$I$13:$I$2301,"n/a",0,1)</f>
        <v>100509.44797892988</v>
      </c>
      <c r="L438">
        <f>_xlfn.XLOOKUP($F438,設計座標!$E$13:$E$2301,設計座標!$J$13:$J$2301,"n/a",0,1)</f>
        <v>-270</v>
      </c>
      <c r="M438" s="2">
        <f t="shared" si="309"/>
        <v>2.4227321583195467E-2</v>
      </c>
      <c r="N438" s="2">
        <f t="shared" si="310"/>
        <v>100509.44797892988</v>
      </c>
      <c r="O438" s="23">
        <f t="shared" si="311"/>
        <v>-262.38260109020399</v>
      </c>
      <c r="P438" s="1">
        <f t="shared" si="315"/>
        <v>-270.09117708812596</v>
      </c>
      <c r="Q438" s="1">
        <f t="shared" si="328"/>
        <v>2.4227321583195467E-2</v>
      </c>
      <c r="R438">
        <f t="shared" si="329"/>
        <v>0</v>
      </c>
      <c r="S438" s="23">
        <f t="shared" si="327"/>
        <v>7.6173989097959849</v>
      </c>
      <c r="T438">
        <f>$S438+測地線補正!$Q$3*(lattice!$N438/1000)^3+測地線補正!$P$3*(lattice!$N438/1000)^2+測地線補正!$O$3*(lattice!$N438/1000)+測地線補正!$N$3</f>
        <v>-9.1177088125960676E-2</v>
      </c>
      <c r="U438">
        <f t="shared" si="338"/>
        <v>2.5811322812001079E-5</v>
      </c>
      <c r="V438">
        <v>0</v>
      </c>
      <c r="W438">
        <f t="shared" si="339"/>
        <v>-1.1140528463036096E-5</v>
      </c>
      <c r="X438" t="s">
        <v>3860</v>
      </c>
      <c r="Y438">
        <f>_xlfn.XLOOKUP($F438,設計座標!$E$13:$E$2301,設計座標!$L$13:$L$2301," ",0,1)</f>
        <v>1889.4492</v>
      </c>
      <c r="Z438">
        <f>SQRT(($M$437-$M$435)^2+($N$437-$N$435)^2)</f>
        <v>311.22450001930986</v>
      </c>
    </row>
    <row r="439" spans="1:28">
      <c r="A439" t="s">
        <v>797</v>
      </c>
      <c r="B439" t="s">
        <v>3811</v>
      </c>
      <c r="C439" t="s">
        <v>804</v>
      </c>
      <c r="D439" t="s">
        <v>1152</v>
      </c>
      <c r="E439" t="s">
        <v>804</v>
      </c>
      <c r="F439" t="s">
        <v>1480</v>
      </c>
      <c r="G439" t="s">
        <v>2433</v>
      </c>
      <c r="I439">
        <f>_xlfn.XLOOKUP($F439,設計座標!$E$13:$E$2301,設計座標!$G$13:$G$2301,"n/a",0,1)</f>
        <v>108.09519837930986</v>
      </c>
      <c r="J439">
        <f>_xlfn.XLOOKUP($F439,設計座標!$E$13:$E$2301,設計座標!$H$13:$H$2301,"n/a",0,1)</f>
        <v>0</v>
      </c>
      <c r="K439">
        <f>_xlfn.XLOOKUP($F439,設計座標!$E$13:$E$2301,設計座標!$I$13:$I$2301,"n/a",0,1)</f>
        <v>100693.14477892987</v>
      </c>
      <c r="L439">
        <f>_xlfn.XLOOKUP($F439,設計座標!$E$13:$E$2301,設計座標!$J$13:$J$2301,"n/a",0,1)</f>
        <v>-270</v>
      </c>
      <c r="M439" s="2">
        <f t="shared" si="309"/>
        <v>2.6273801012248667E-2</v>
      </c>
      <c r="N439" s="2">
        <f t="shared" si="310"/>
        <v>100693.14477892987</v>
      </c>
      <c r="O439" s="23">
        <f t="shared" si="311"/>
        <v>-262.35910925637251</v>
      </c>
      <c r="P439" s="1">
        <f t="shared" si="315"/>
        <v>-270.08669154280375</v>
      </c>
      <c r="Q439" s="1">
        <f t="shared" si="328"/>
        <v>2.6273801012248667E-2</v>
      </c>
      <c r="R439">
        <f t="shared" si="329"/>
        <v>0</v>
      </c>
      <c r="S439" s="23">
        <f t="shared" si="327"/>
        <v>7.6408907436274793</v>
      </c>
      <c r="T439">
        <f>$S439+測地線補正!$Q$3*(lattice!$N439/1000)^3+測地線補正!$P$3*(lattice!$N439/1000)^2+測地線補正!$O$3*(lattice!$N439/1000)+測地線補正!$N$3</f>
        <v>-8.6691542803763649E-2</v>
      </c>
      <c r="U439">
        <f>ATAN(($P$441-$P$439)/ABS($N$441-$N$439))</f>
        <v>2.2991024690800623E-5</v>
      </c>
      <c r="V439">
        <v>0</v>
      </c>
      <c r="W439">
        <f>-ATAN(($M$441-$M$439)/ABS($N$441-$N$439))</f>
        <v>-1.1140528463036096E-5</v>
      </c>
      <c r="X439">
        <f>SQRT(($M$439-$M$438)^2+($N$439-$N$438)^2)</f>
        <v>183.69680001139005</v>
      </c>
      <c r="Y439">
        <f>_xlfn.XLOOKUP($F439,設計座標!$E$13:$E$2301,設計座標!$L$13:$L$2301," ",0,1)</f>
        <v>1889.4492</v>
      </c>
      <c r="Z439">
        <f>SQRT(($M$440-$M$437)^2+($N$440-$N$437)^2)</f>
        <v>2073.1460001286441</v>
      </c>
    </row>
    <row r="440" spans="1:28">
      <c r="A440" t="s">
        <v>797</v>
      </c>
      <c r="B440" t="s">
        <v>3811</v>
      </c>
      <c r="C440" t="s">
        <v>804</v>
      </c>
      <c r="D440" t="s">
        <v>1152</v>
      </c>
      <c r="E440" t="s">
        <v>804</v>
      </c>
      <c r="F440" t="s">
        <v>1340</v>
      </c>
      <c r="G440" t="s">
        <v>2433</v>
      </c>
      <c r="I440">
        <f>_xlfn.XLOOKUP($F440,設計座標!$E$13:$E$2301,設計座標!$G$13:$G$2301,"n/a",0,1)</f>
        <v>109.03992297930986</v>
      </c>
      <c r="J440">
        <f>_xlfn.XLOOKUP($F440,設計座標!$E$13:$E$2301,設計座標!$H$13:$H$2301,"n/a",0,1)</f>
        <v>0</v>
      </c>
      <c r="K440">
        <f>_xlfn.XLOOKUP($F440,設計座標!$E$13:$E$2301,設計座標!$I$13:$I$2301,"n/a",0,1)</f>
        <v>101637.86937892987</v>
      </c>
      <c r="L440">
        <f>_xlfn.XLOOKUP($F440,設計座標!$E$13:$E$2301,設計座標!$J$13:$J$2301,"n/a",0,1)</f>
        <v>-270</v>
      </c>
      <c r="M440" s="2">
        <f t="shared" si="309"/>
        <v>3.6798532308714486E-2</v>
      </c>
      <c r="N440" s="2">
        <f t="shared" si="310"/>
        <v>101637.86937892987</v>
      </c>
      <c r="O440" s="23">
        <f t="shared" si="311"/>
        <v>-262.23829434114413</v>
      </c>
      <c r="P440" s="1">
        <f t="shared" si="315"/>
        <v>-270.064352771649</v>
      </c>
      <c r="Q440" s="1">
        <f t="shared" si="328"/>
        <v>3.6798532308714486E-2</v>
      </c>
      <c r="R440">
        <f t="shared" si="329"/>
        <v>0</v>
      </c>
      <c r="S440" s="23">
        <f t="shared" si="327"/>
        <v>7.7617056588558686</v>
      </c>
      <c r="T440">
        <f>$S440+測地線補正!$Q$3*(lattice!$N440/1000)^3+測地線補正!$P$3*(lattice!$N440/1000)^2+測地線補正!$O$3*(lattice!$N440/1000)+測地線補正!$N$3</f>
        <v>-6.4352771649022283E-2</v>
      </c>
      <c r="U440">
        <f t="shared" ref="U440:U441" si="340">ATAN(($P$441-$P$439)/ABS($N$441-$N$439))</f>
        <v>2.2991024690800623E-5</v>
      </c>
      <c r="V440">
        <v>0</v>
      </c>
      <c r="W440">
        <f t="shared" ref="W440:W441" si="341">-ATAN(($M$441-$M$439)/ABS($N$441-$N$439))</f>
        <v>-1.1140528463036096E-5</v>
      </c>
      <c r="X440" t="s">
        <v>3860</v>
      </c>
      <c r="Y440">
        <f>_xlfn.XLOOKUP($F440,設計座標!$E$13:$E$2301,設計座標!$L$13:$L$2301," ",0,1)</f>
        <v>1889.4492</v>
      </c>
      <c r="Z440">
        <f>SQRT(($M$440-$M$437)^2+($N$440-$N$437)^2)</f>
        <v>2073.1460001286441</v>
      </c>
    </row>
    <row r="441" spans="1:28">
      <c r="A441" t="s">
        <v>797</v>
      </c>
      <c r="B441" t="s">
        <v>3811</v>
      </c>
      <c r="C441" t="s">
        <v>804</v>
      </c>
      <c r="D441" t="s">
        <v>1152</v>
      </c>
      <c r="E441" t="s">
        <v>804</v>
      </c>
      <c r="F441" t="s">
        <v>1481</v>
      </c>
      <c r="G441" t="s">
        <v>2433</v>
      </c>
      <c r="I441">
        <f>_xlfn.XLOOKUP($F441,設計座標!$E$13:$E$2301,設計座標!$G$13:$G$2301,"n/a",0,1)</f>
        <v>109.98464757930986</v>
      </c>
      <c r="J441">
        <f>_xlfn.XLOOKUP($F441,設計座標!$E$13:$E$2301,設計座標!$H$13:$H$2301,"n/a",0,1)</f>
        <v>0</v>
      </c>
      <c r="K441">
        <f>_xlfn.XLOOKUP($F441,設計座標!$E$13:$E$2301,設計座標!$I$13:$I$2301,"n/a",0,1)</f>
        <v>102582.59397892987</v>
      </c>
      <c r="L441">
        <f>_xlfn.XLOOKUP($F441,設計座標!$E$13:$E$2301,設計座標!$J$13:$J$2301,"n/a",0,1)</f>
        <v>-270</v>
      </c>
      <c r="M441" s="2">
        <f t="shared" si="309"/>
        <v>4.7323263605180306E-2</v>
      </c>
      <c r="N441" s="2">
        <f t="shared" si="310"/>
        <v>102582.59397892987</v>
      </c>
      <c r="O441" s="23">
        <f t="shared" si="311"/>
        <v>-262.11747942591575</v>
      </c>
      <c r="P441" s="1">
        <f t="shared" si="315"/>
        <v>-270.04325116958688</v>
      </c>
      <c r="Q441" s="1">
        <f t="shared" si="328"/>
        <v>4.7323263605180306E-2</v>
      </c>
      <c r="R441">
        <f t="shared" si="329"/>
        <v>0</v>
      </c>
      <c r="S441" s="23">
        <f t="shared" si="327"/>
        <v>7.882520574084257</v>
      </c>
      <c r="T441">
        <f>$S441+測地線補正!$Q$3*(lattice!$N441/1000)^3+測地線補正!$P$3*(lattice!$N441/1000)^2+測地線補正!$O$3*(lattice!$N441/1000)+測地線補正!$N$3</f>
        <v>-4.3251169586857013E-2</v>
      </c>
      <c r="U441">
        <f t="shared" si="340"/>
        <v>2.2991024690800623E-5</v>
      </c>
      <c r="V441">
        <v>0</v>
      </c>
      <c r="W441">
        <f t="shared" si="341"/>
        <v>-1.1140528463036096E-5</v>
      </c>
      <c r="X441" t="s">
        <v>3860</v>
      </c>
      <c r="Y441">
        <f>_xlfn.XLOOKUP($F441,設計座標!$E$13:$E$2301,設計座標!$L$13:$L$2301," ",0,1)</f>
        <v>1889.4492</v>
      </c>
      <c r="Z441">
        <f>SQRT(($M$440-$M$437)^2+($N$440-$N$437)^2)</f>
        <v>2073.1460001286441</v>
      </c>
    </row>
    <row r="442" spans="1:28">
      <c r="A442" t="s">
        <v>797</v>
      </c>
      <c r="B442" t="s">
        <v>3811</v>
      </c>
      <c r="C442" t="s">
        <v>1152</v>
      </c>
      <c r="D442" t="s">
        <v>1152</v>
      </c>
      <c r="E442" t="s">
        <v>804</v>
      </c>
      <c r="F442" t="s">
        <v>1985</v>
      </c>
      <c r="G442" t="s">
        <v>1985</v>
      </c>
      <c r="I442">
        <f>_xlfn.XLOOKUP($F442,設計座標!$E$13:$E$2301,設計座標!$G$13:$G$2301,"n/a",0,1)</f>
        <v>110.11864747930986</v>
      </c>
      <c r="J442">
        <f>_xlfn.XLOOKUP($F442,設計座標!$E$13:$E$2301,設計座標!$H$13:$H$2301,"n/a",0,1)</f>
        <v>0</v>
      </c>
      <c r="K442">
        <f>_xlfn.XLOOKUP($F442,設計座標!$E$13:$E$2301,設計座標!$I$13:$I$2301,"n/a",0,1)</f>
        <v>102716.59387892987</v>
      </c>
      <c r="L442">
        <f>_xlfn.XLOOKUP($F442,設計座標!$E$13:$E$2301,設計座標!$J$13:$J$2301,"n/a",0,1)</f>
        <v>-270</v>
      </c>
      <c r="M442" s="2">
        <f t="shared" si="309"/>
        <v>4.8816093305236001E-2</v>
      </c>
      <c r="N442" s="2">
        <f t="shared" si="310"/>
        <v>102716.59387892987</v>
      </c>
      <c r="O442" s="23">
        <f t="shared" si="311"/>
        <v>-262.10034301752847</v>
      </c>
      <c r="P442" s="1">
        <f t="shared" si="315"/>
        <v>-270.04035951237881</v>
      </c>
      <c r="Q442" s="1">
        <f t="shared" si="328"/>
        <v>4.8816093305236001E-2</v>
      </c>
      <c r="R442">
        <f t="shared" si="329"/>
        <v>0</v>
      </c>
      <c r="S442" s="23">
        <f t="shared" si="327"/>
        <v>7.899656982471539</v>
      </c>
      <c r="T442">
        <f>$S442+測地線補正!$Q$3*(lattice!$N442/1000)^3+測地線補正!$P$3*(lattice!$N442/1000)^2+測地線補正!$O$3*(lattice!$N442/1000)+測地線補正!$N$3</f>
        <v>-4.0359512378826817E-2</v>
      </c>
      <c r="U442">
        <v>0</v>
      </c>
      <c r="V442">
        <v>0</v>
      </c>
      <c r="W442">
        <v>0</v>
      </c>
      <c r="X442">
        <f>SQRT(($M$442-$M$441)^2+($N$442-$N$441)^2)</f>
        <v>133.9999000083107</v>
      </c>
      <c r="Y442">
        <f>_xlfn.XLOOKUP($F442,設計座標!$E$13:$E$2301,設計座標!$L$13:$L$2301," ",0,1)</f>
        <v>0</v>
      </c>
      <c r="Z442">
        <f>SQRT(($M$442-$M$440)^2+($N$442-$N$440)^2)</f>
        <v>1078.7245000669377</v>
      </c>
    </row>
    <row r="443" spans="1:28">
      <c r="A443" t="s">
        <v>797</v>
      </c>
      <c r="B443" t="s">
        <v>3811</v>
      </c>
      <c r="C443" t="s">
        <v>805</v>
      </c>
      <c r="D443" t="s">
        <v>806</v>
      </c>
      <c r="F443" t="s">
        <v>52</v>
      </c>
      <c r="G443" t="s">
        <v>2434</v>
      </c>
      <c r="I443">
        <f>_xlfn.XLOOKUP($F443,設計座標!$E$13:$E$2301,設計座標!$G$13:$G$2301,"n/a",0,1)</f>
        <v>110.28913011853</v>
      </c>
      <c r="J443">
        <f>_xlfn.XLOOKUP($F443,設計座標!$E$13:$E$2301,設計座標!$H$13:$H$2301,"n/a",0,1)</f>
        <v>0</v>
      </c>
      <c r="K443">
        <f>_xlfn.XLOOKUP($F443,設計座標!$E$13:$E$2301,設計座標!$I$13:$I$2301,"n/a",0,1)</f>
        <v>102887.07651815</v>
      </c>
      <c r="L443">
        <f>_xlfn.XLOOKUP($F443,設計座標!$E$13:$E$2301,設計座標!$J$13:$J$2301,"n/a",0,1)</f>
        <v>-60</v>
      </c>
      <c r="M443" s="2">
        <f>_xlfn.XLOOKUP($F443,survey_data!$A$2:$A$833,survey_data!$B$2:$B$833,"n/a",0,1)</f>
        <v>5.0715360000000001E-2</v>
      </c>
      <c r="N443" s="2">
        <f>_xlfn.XLOOKUP($F443,survey_data!$A$2:$A$833,survey_data!$C$2:$C$833,"n/a",0,1)</f>
        <v>102887.07651815</v>
      </c>
      <c r="O443" s="23">
        <f>_xlfn.XLOOKUP($F443,survey_data!$A$2:$A$833,survey_data!$D$2:$D$833,"n/a",0,1)</f>
        <v>-52.078541059999999</v>
      </c>
      <c r="P443" s="1">
        <f t="shared" si="315"/>
        <v>-60.036717255886899</v>
      </c>
      <c r="Q443" s="1">
        <f t="shared" ref="Q443:Q489" si="342">$M443-$J443</f>
        <v>5.0715360000000001E-2</v>
      </c>
      <c r="R443">
        <f t="shared" si="329"/>
        <v>0</v>
      </c>
      <c r="S443" s="23">
        <f t="shared" ref="S443:S489" si="343">$O443-$L443</f>
        <v>7.9214589400000008</v>
      </c>
      <c r="T443">
        <f>$S443+測地線補正!$Q$3*(lattice!$N443/1000)^3+測地線補正!$P$3*(lattice!$N443/1000)^2+測地線補正!$O$3*(lattice!$N443/1000)+測地線補正!$N$3</f>
        <v>-3.6717255886897643E-2</v>
      </c>
      <c r="U443">
        <f>ATAN(($P$444-$P$443)/ABS($N$444-$N$443))</f>
        <v>-2.1113032280723702E-4</v>
      </c>
      <c r="V443">
        <v>0</v>
      </c>
      <c r="W443">
        <f>-ATAN(($M$444-$M$443)/ABS($N$444-$N$443))</f>
        <v>2.8408648744921388E-4</v>
      </c>
      <c r="X443">
        <f>$Z$444-($Y$444+$Y$442)/2</f>
        <v>150.4826394329109</v>
      </c>
      <c r="Y443">
        <f>_xlfn.XLOOKUP($F443,設計座標!$E$13:$E$2301,設計座標!$L$13:$L$2301," ",0,1)</f>
        <v>120</v>
      </c>
      <c r="Z443">
        <f>SQRT(($M$444-$M$442)^2+($N$444-$N$442)^2)</f>
        <v>210.4826394329109</v>
      </c>
      <c r="AA443">
        <f>_xlfn.XLOOKUP($G443,magnet_list!$A$2:$A$592,magnet_list!$AJ$2:$AJ$592,"n/a",0,1)</f>
        <v>0.1333</v>
      </c>
      <c r="AB443">
        <f>_xlfn.XLOOKUP($G443,magnet_list!$A$2:$A$592,magnet_list!$L$2:$L$592,"n/a",0,1)</f>
        <v>23</v>
      </c>
    </row>
    <row r="444" spans="1:28">
      <c r="A444" t="s">
        <v>797</v>
      </c>
      <c r="B444" t="s">
        <v>3811</v>
      </c>
      <c r="C444" t="s">
        <v>805</v>
      </c>
      <c r="D444" t="s">
        <v>1152</v>
      </c>
      <c r="E444" t="s">
        <v>804</v>
      </c>
      <c r="F444" t="s">
        <v>571</v>
      </c>
      <c r="G444" t="s">
        <v>2434</v>
      </c>
      <c r="I444">
        <f>_xlfn.XLOOKUP($F444,設計座標!$E$13:$E$2301,設計座標!$G$13:$G$2301,"n/a",0,1)</f>
        <v>110.32913011853</v>
      </c>
      <c r="J444">
        <f>_xlfn.XLOOKUP($F444,設計座標!$E$13:$E$2301,設計座標!$H$13:$H$2301,"n/a",0,1)</f>
        <v>0</v>
      </c>
      <c r="K444">
        <f>_xlfn.XLOOKUP($F444,設計座標!$E$13:$E$2301,設計座標!$I$13:$I$2301,"n/a",0,1)</f>
        <v>102927.07651815</v>
      </c>
      <c r="L444">
        <f>_xlfn.XLOOKUP($F444,設計座標!$E$13:$E$2301,設計座標!$J$13:$J$2301,"n/a",0,1)</f>
        <v>-60</v>
      </c>
      <c r="M444" s="2">
        <f t="shared" si="309"/>
        <v>3.9351900196334937E-2</v>
      </c>
      <c r="N444" s="2">
        <f t="shared" si="310"/>
        <v>102927.07651815</v>
      </c>
      <c r="O444" s="23">
        <f t="shared" si="311"/>
        <v>-52.082719537211887</v>
      </c>
      <c r="P444" s="1">
        <f t="shared" si="315"/>
        <v>-60.045162468924673</v>
      </c>
      <c r="Q444" s="1">
        <f>(Q$445-Q$443)/($N$445-$N$443)*($N444-$N$443)+Q$443</f>
        <v>3.9351900196334937E-2</v>
      </c>
      <c r="R444">
        <f t="shared" si="329"/>
        <v>0</v>
      </c>
      <c r="S444" s="23">
        <f>(S$445-S$443)/($N$445-$N$443)*($N444-$N$443)+S$443</f>
        <v>7.9172804627881117</v>
      </c>
      <c r="T444">
        <f>$S444+測地線補正!$Q$3*(lattice!$N444/1000)^3+測地線補正!$P$3*(lattice!$N444/1000)^2+測地線補正!$O$3*(lattice!$N444/1000)+測地線補正!$N$3</f>
        <v>-4.5162468924671767E-2</v>
      </c>
      <c r="U444">
        <f>ATAN(($P$444-$P$443)/ABS($N$444-$N$443))</f>
        <v>-2.1113032280723702E-4</v>
      </c>
      <c r="V444">
        <v>0</v>
      </c>
      <c r="W444">
        <f>-ATAN(($M$444-$M$443)/ABS($N$444-$N$443))</f>
        <v>2.8408648744921388E-4</v>
      </c>
      <c r="X444">
        <f>$Z$444-($Y$444+$Y$442)/2</f>
        <v>150.4826394329109</v>
      </c>
      <c r="Y444">
        <f>_xlfn.XLOOKUP($F444,設計座標!$E$13:$E$2301,設計座標!$L$13:$L$2301," ",0,1)</f>
        <v>120</v>
      </c>
      <c r="Z444">
        <f>SQRT(($M$444-$M$442)^2+($N$444-$N$442)^2)</f>
        <v>210.4826394329109</v>
      </c>
      <c r="AA444">
        <f>_xlfn.XLOOKUP($G444,magnet_list!$A$2:$A$592,magnet_list!$AJ$2:$AJ$592,"n/a",0,1)</f>
        <v>0.1333</v>
      </c>
      <c r="AB444">
        <f>_xlfn.XLOOKUP($G444,magnet_list!$A$2:$A$592,magnet_list!$L$2:$L$592,"n/a",0,1)</f>
        <v>23</v>
      </c>
    </row>
    <row r="445" spans="1:28">
      <c r="A445" t="s">
        <v>797</v>
      </c>
      <c r="B445" t="s">
        <v>3811</v>
      </c>
      <c r="C445" t="s">
        <v>805</v>
      </c>
      <c r="D445" t="s">
        <v>806</v>
      </c>
      <c r="F445" t="s">
        <v>53</v>
      </c>
      <c r="G445" t="s">
        <v>53</v>
      </c>
      <c r="I445">
        <f>_xlfn.XLOOKUP($F445,設計座標!$E$13:$E$2301,設計座標!$G$13:$G$2301,"n/a",0,1)</f>
        <v>110.50923882162</v>
      </c>
      <c r="J445">
        <f>_xlfn.XLOOKUP($F445,設計座標!$E$13:$E$2301,設計座標!$H$13:$H$2301,"n/a",0,1)</f>
        <v>0</v>
      </c>
      <c r="K445">
        <f>_xlfn.XLOOKUP($F445,設計座標!$E$13:$E$2301,設計座標!$I$13:$I$2301,"n/a",0,1)</f>
        <v>103107.18522124</v>
      </c>
      <c r="L445">
        <f>_xlfn.XLOOKUP($F445,設計座標!$E$13:$E$2301,設計座標!$J$13:$J$2301,"n/a",0,1)</f>
        <v>-60</v>
      </c>
      <c r="M445" s="2">
        <f>_xlfn.XLOOKUP($F445,survey_data!$A$2:$A$833,survey_data!$B$2:$B$833,"n/a",0,1)</f>
        <v>-1.181455E-2</v>
      </c>
      <c r="N445" s="2">
        <f>_xlfn.XLOOKUP($F445,survey_data!$A$2:$A$833,survey_data!$C$2:$C$833,"n/a",0,1)</f>
        <v>103107.18522124</v>
      </c>
      <c r="O445" s="23">
        <f>_xlfn.XLOOKUP($F445,survey_data!$A$2:$A$833,survey_data!$D$2:$D$833,"n/a",0,1)</f>
        <v>-52.101534039999997</v>
      </c>
      <c r="P445" s="1">
        <f t="shared" si="315"/>
        <v>-60.083217013164855</v>
      </c>
      <c r="Q445" s="1">
        <f t="shared" si="342"/>
        <v>-1.181455E-2</v>
      </c>
      <c r="R445">
        <f t="shared" si="329"/>
        <v>0</v>
      </c>
      <c r="S445" s="23">
        <f t="shared" si="343"/>
        <v>7.8984659600000029</v>
      </c>
      <c r="T445">
        <f>$S445+測地線補正!$Q$3*(lattice!$N445/1000)^3+測地線補正!$P$3*(lattice!$N445/1000)^2+測地線補正!$O$3*(lattice!$N445/1000)+測地線補正!$N$3</f>
        <v>-8.3217013164852499E-2</v>
      </c>
      <c r="U445">
        <f>ATAN(($P$446-$P$445)/ABS($N$446-$N$445))</f>
        <v>-2.3794232239999897E-4</v>
      </c>
      <c r="V445">
        <v>0</v>
      </c>
      <c r="W445">
        <f>-ATAN(($M$446-$M$445)/ABS($N$446-$N$445))</f>
        <v>-2.8106547948884544E-5</v>
      </c>
      <c r="X445">
        <f>$Z$446-($Y$446+$Y$444)/2</f>
        <v>100.10870726387924</v>
      </c>
      <c r="Y445">
        <f>_xlfn.XLOOKUP($F445,設計座標!$E$13:$E$2301,設計座標!$L$13:$L$2301," ",0,1)</f>
        <v>240</v>
      </c>
      <c r="Z445">
        <f>SQRT(($M$446-$M$444)^2+($N$446-$N$444)^2)</f>
        <v>280.10870726387924</v>
      </c>
      <c r="AA445">
        <f>_xlfn.XLOOKUP($G445,magnet_list!$A$2:$A$592,magnet_list!$AJ$2:$AJ$592,"n/a",0,1)</f>
        <v>0.25219999999999998</v>
      </c>
      <c r="AB445">
        <f>_xlfn.XLOOKUP($G445,magnet_list!$A$2:$A$592,magnet_list!$L$2:$L$592,"n/a",0,1)</f>
        <v>23</v>
      </c>
    </row>
    <row r="446" spans="1:28">
      <c r="A446" t="s">
        <v>797</v>
      </c>
      <c r="B446" t="s">
        <v>3811</v>
      </c>
      <c r="C446" t="s">
        <v>805</v>
      </c>
      <c r="D446" t="s">
        <v>1152</v>
      </c>
      <c r="E446" t="s">
        <v>804</v>
      </c>
      <c r="F446" t="s">
        <v>572</v>
      </c>
      <c r="G446" t="s">
        <v>53</v>
      </c>
      <c r="I446">
        <f>_xlfn.XLOOKUP($F446,設計座標!$E$13:$E$2301,設計座標!$G$13:$G$2301,"n/a",0,1)</f>
        <v>110.60923882162</v>
      </c>
      <c r="J446">
        <f>_xlfn.XLOOKUP($F446,設計座標!$E$13:$E$2301,設計座標!$H$13:$H$2301,"n/a",0,1)</f>
        <v>0</v>
      </c>
      <c r="K446">
        <f>_xlfn.XLOOKUP($F446,設計座標!$E$13:$E$2301,設計座標!$I$13:$I$2301,"n/a",0,1)</f>
        <v>103207.18522124</v>
      </c>
      <c r="L446">
        <f>_xlfn.XLOOKUP($F446,設計座標!$E$13:$E$2301,設計座標!$J$13:$J$2301,"n/a",0,1)</f>
        <v>-60</v>
      </c>
      <c r="M446" s="2">
        <f t="shared" si="309"/>
        <v>-9.0038952043714274E-3</v>
      </c>
      <c r="N446" s="2">
        <f t="shared" si="310"/>
        <v>103207.18522124</v>
      </c>
      <c r="O446" s="23">
        <f t="shared" si="311"/>
        <v>-52.114625895444881</v>
      </c>
      <c r="P446" s="1">
        <f t="shared" si="315"/>
        <v>-60.107011245853904</v>
      </c>
      <c r="Q446" s="1">
        <f>(Q$448-Q$445)/($N$448-$N$445)*($N446-$N$445)+Q$445</f>
        <v>-9.0038952043714274E-3</v>
      </c>
      <c r="R446">
        <f t="shared" si="329"/>
        <v>0</v>
      </c>
      <c r="S446" s="23">
        <f t="shared" ref="S446:S447" si="344">(S$448-S$445)/($N$448-$N$445)*($N446-$N$445)+S$445</f>
        <v>7.8853741045551198</v>
      </c>
      <c r="T446">
        <f>$S446+測地線補正!$Q$3*(lattice!$N446/1000)^3+測地線補正!$P$3*(lattice!$N446/1000)^2+測地線補正!$O$3*(lattice!$N446/1000)+測地線補正!$N$3</f>
        <v>-0.10701124585390329</v>
      </c>
      <c r="U446">
        <f>ATAN(($P$446-$P$445)/ABS($N$446-$N$445))</f>
        <v>-2.3794232239999897E-4</v>
      </c>
      <c r="V446">
        <v>0</v>
      </c>
      <c r="W446">
        <f>-ATAN(($M$446-$M$445)/ABS($N$446-$N$445))</f>
        <v>-2.8106547948884544E-5</v>
      </c>
      <c r="X446">
        <f>$Z$446-($Y$446+$Y$444)/2</f>
        <v>100.10870726387924</v>
      </c>
      <c r="Y446">
        <f>_xlfn.XLOOKUP($F446,設計座標!$E$13:$E$2301,設計座標!$L$13:$L$2301," ",0,1)</f>
        <v>240</v>
      </c>
      <c r="Z446">
        <f>SQRT(($M$446-$M$444)^2+($N$446-$N$444)^2)</f>
        <v>280.10870726387924</v>
      </c>
      <c r="AA446">
        <f>_xlfn.XLOOKUP($G446,magnet_list!$A$2:$A$592,magnet_list!$AJ$2:$AJ$592,"n/a",0,1)</f>
        <v>0.25219999999999998</v>
      </c>
      <c r="AB446">
        <f>_xlfn.XLOOKUP($G446,magnet_list!$A$2:$A$592,magnet_list!$L$2:$L$592,"n/a",0,1)</f>
        <v>23</v>
      </c>
    </row>
    <row r="447" spans="1:28">
      <c r="A447" t="s">
        <v>797</v>
      </c>
      <c r="B447" t="s">
        <v>3811</v>
      </c>
      <c r="C447" t="s">
        <v>805</v>
      </c>
      <c r="D447" t="s">
        <v>1152</v>
      </c>
      <c r="E447" t="s">
        <v>804</v>
      </c>
      <c r="F447" t="s">
        <v>573</v>
      </c>
      <c r="G447" t="s">
        <v>2434</v>
      </c>
      <c r="I447">
        <f>_xlfn.XLOOKUP($F447,設計座標!$E$13:$E$2301,設計座標!$G$13:$G$2301,"n/a",0,1)</f>
        <v>110.88958748978</v>
      </c>
      <c r="J447">
        <f>_xlfn.XLOOKUP($F447,設計座標!$E$13:$E$2301,設計座標!$H$13:$H$2301,"n/a",0,1)</f>
        <v>0</v>
      </c>
      <c r="K447">
        <f>_xlfn.XLOOKUP($F447,設計座標!$E$13:$E$2301,設計座標!$I$13:$I$2301,"n/a",0,1)</f>
        <v>103487.5338894</v>
      </c>
      <c r="L447">
        <f>_xlfn.XLOOKUP($F447,設計座標!$E$13:$E$2301,設計座標!$J$13:$J$2301,"n/a",0,1)</f>
        <v>-60</v>
      </c>
      <c r="M447" s="2">
        <f t="shared" si="309"/>
        <v>-1.1242619182514294E-3</v>
      </c>
      <c r="N447" s="2">
        <f t="shared" si="310"/>
        <v>103487.5338894</v>
      </c>
      <c r="O447" s="23">
        <f t="shared" si="311"/>
        <v>-52.151328737822041</v>
      </c>
      <c r="P447" s="1">
        <f t="shared" si="315"/>
        <v>-60.173794125175633</v>
      </c>
      <c r="Q447" s="1">
        <f>(Q$448-Q$445)/($N$448-$N$445)*($N447-$N$445)+Q$445</f>
        <v>-1.1242619182514294E-3</v>
      </c>
      <c r="R447">
        <f t="shared" si="329"/>
        <v>0</v>
      </c>
      <c r="S447" s="23">
        <f t="shared" si="344"/>
        <v>7.8486712621779562</v>
      </c>
      <c r="T447">
        <f>$S447+測地線補正!$Q$3*(lattice!$N447/1000)^3+測地線補正!$P$3*(lattice!$N447/1000)^2+測地線補正!$O$3*(lattice!$N447/1000)+測地線補正!$N$3</f>
        <v>-0.17379412517563506</v>
      </c>
      <c r="U447">
        <f>ATAN(($P$448-$P$447)/ABS($N$448-$N$447))</f>
        <v>-2.3844272430010652E-4</v>
      </c>
      <c r="V447">
        <v>0</v>
      </c>
      <c r="W447">
        <f>-ATAN(($M$448-$M$447)/ABS($N$448-$N$447))</f>
        <v>-2.8106547948884551E-5</v>
      </c>
      <c r="X447">
        <f>$Z$447-($Y$447+$Y$446)/2</f>
        <v>100.34866827073898</v>
      </c>
      <c r="Y447">
        <f>_xlfn.XLOOKUP($F447,設計座標!$E$13:$E$2301,設計座標!$L$13:$L$2301," ",0,1)</f>
        <v>120</v>
      </c>
      <c r="Z447">
        <f>SQRT(($M$447-$M$446)^2+($N$447-$N$446)^2)</f>
        <v>280.34866827073898</v>
      </c>
      <c r="AA447">
        <f>_xlfn.XLOOKUP($G447,magnet_list!$A$2:$A$592,magnet_list!$AJ$2:$AJ$592,"n/a",0,1)</f>
        <v>0.1333</v>
      </c>
      <c r="AB447">
        <f>_xlfn.XLOOKUP($G447,magnet_list!$A$2:$A$592,magnet_list!$L$2:$L$592,"n/a",0,1)</f>
        <v>23</v>
      </c>
    </row>
    <row r="448" spans="1:28">
      <c r="A448" t="s">
        <v>797</v>
      </c>
      <c r="B448" t="s">
        <v>3811</v>
      </c>
      <c r="C448" t="s">
        <v>805</v>
      </c>
      <c r="D448" t="s">
        <v>806</v>
      </c>
      <c r="F448" t="s">
        <v>54</v>
      </c>
      <c r="G448" t="s">
        <v>2434</v>
      </c>
      <c r="I448">
        <f>_xlfn.XLOOKUP($F448,設計座標!$E$13:$E$2301,設計座標!$G$13:$G$2301,"n/a",0,1)</f>
        <v>110.92958748978</v>
      </c>
      <c r="J448">
        <f>_xlfn.XLOOKUP($F448,設計座標!$E$13:$E$2301,設計座標!$H$13:$H$2301,"n/a",0,1)</f>
        <v>0</v>
      </c>
      <c r="K448">
        <f>_xlfn.XLOOKUP($F448,設計座標!$E$13:$E$2301,設計座標!$I$13:$I$2301,"n/a",0,1)</f>
        <v>103527.5338894</v>
      </c>
      <c r="L448">
        <f>_xlfn.XLOOKUP($F448,設計座標!$E$13:$E$2301,設計座標!$J$13:$J$2301,"n/a",0,1)</f>
        <v>-60</v>
      </c>
      <c r="M448" s="2">
        <f>_xlfn.XLOOKUP($F448,survey_data!$A$2:$A$833,survey_data!$B$2:$B$833,"n/a",0,1)</f>
        <v>0</v>
      </c>
      <c r="N448" s="2">
        <f>_xlfn.XLOOKUP($F448,survey_data!$A$2:$A$833,survey_data!$C$2:$C$833,"n/a",0,1)</f>
        <v>103527.5338894</v>
      </c>
      <c r="O448" s="23">
        <f>_xlfn.XLOOKUP($F448,survey_data!$A$2:$A$833,survey_data!$D$2:$D$833,"n/a",0,1)</f>
        <v>-52.156565479999998</v>
      </c>
      <c r="P448" s="1">
        <f t="shared" si="315"/>
        <v>-60.183331834328392</v>
      </c>
      <c r="Q448" s="1">
        <f t="shared" si="342"/>
        <v>0</v>
      </c>
      <c r="R448">
        <f t="shared" si="329"/>
        <v>0</v>
      </c>
      <c r="S448" s="23">
        <f t="shared" si="343"/>
        <v>7.8434345200000024</v>
      </c>
      <c r="T448">
        <f>$S448+測地線補正!$Q$3*(lattice!$N448/1000)^3+測地線補正!$P$3*(lattice!$N448/1000)^2+測地線補正!$O$3*(lattice!$N448/1000)+測地線補正!$N$3</f>
        <v>-0.18333183432838926</v>
      </c>
      <c r="U448">
        <f>ATAN(($P$448-$P$447)/ABS($N$448-$N$447))</f>
        <v>-2.3844272430010652E-4</v>
      </c>
      <c r="V448">
        <v>0</v>
      </c>
      <c r="W448">
        <f>-ATAN(($M$448-$M$447)/ABS($N$448-$N$447))</f>
        <v>-2.8106547948884551E-5</v>
      </c>
      <c r="X448">
        <f>$Z$447-($Y$447+$Y$446)/2</f>
        <v>100.34866827073898</v>
      </c>
      <c r="Y448">
        <f>_xlfn.XLOOKUP($F448,設計座標!$E$13:$E$2301,設計座標!$L$13:$L$2301," ",0,1)</f>
        <v>120</v>
      </c>
      <c r="Z448">
        <f>SQRT(($M$447-$M$446)^2+($N$447-$N$446)^2)</f>
        <v>280.34866827073898</v>
      </c>
      <c r="AA448">
        <f>_xlfn.XLOOKUP($G448,magnet_list!$A$2:$A$592,magnet_list!$AJ$2:$AJ$592,"n/a",0,1)</f>
        <v>0.1333</v>
      </c>
      <c r="AB448">
        <f>_xlfn.XLOOKUP($G448,magnet_list!$A$2:$A$592,magnet_list!$L$2:$L$592,"n/a",0,1)</f>
        <v>23</v>
      </c>
    </row>
    <row r="449" spans="1:28">
      <c r="A449" t="s">
        <v>797</v>
      </c>
      <c r="B449" t="s">
        <v>3811</v>
      </c>
      <c r="C449" t="s">
        <v>2288</v>
      </c>
      <c r="D449" t="s">
        <v>1152</v>
      </c>
      <c r="E449" t="s">
        <v>804</v>
      </c>
      <c r="F449" t="s">
        <v>2334</v>
      </c>
      <c r="G449" t="s">
        <v>2334</v>
      </c>
      <c r="I449">
        <f>_xlfn.XLOOKUP($F449,設計座標!$E$13:$E$2301,設計座標!$G$13:$G$2301,"n/a",0,1)</f>
        <v>111.15806447930986</v>
      </c>
      <c r="J449">
        <f>_xlfn.XLOOKUP($F449,設計座標!$E$13:$E$2301,設計座標!$H$13:$H$2301,"n/a",0,1)</f>
        <v>0</v>
      </c>
      <c r="K449">
        <f>_xlfn.XLOOKUP($F449,設計座標!$E$13:$E$2301,設計座標!$I$13:$I$2301,"n/a",0,1)</f>
        <v>103756.01087892987</v>
      </c>
      <c r="L449">
        <f>_xlfn.XLOOKUP($F449,設計座標!$E$13:$E$2301,設計座標!$J$13:$J$2301,"n/a",0,1)</f>
        <v>-270</v>
      </c>
      <c r="M449" s="2">
        <f t="shared" si="309"/>
        <v>2.2764854955837528E-2</v>
      </c>
      <c r="N449" s="2">
        <f t="shared" si="310"/>
        <v>103756.01087892987</v>
      </c>
      <c r="O449" s="23">
        <f t="shared" si="311"/>
        <v>-262.13232157337609</v>
      </c>
      <c r="P449" s="1">
        <f t="shared" si="315"/>
        <v>-270.18369873138647</v>
      </c>
      <c r="Q449" s="1">
        <f>(Q$469-Q$448)/($N$469-$N$448)*($N449-$N$448)+Q$448</f>
        <v>2.2764854955837528E-2</v>
      </c>
      <c r="R449">
        <f t="shared" si="329"/>
        <v>0</v>
      </c>
      <c r="S449" s="23">
        <f t="shared" ref="S449:S468" si="345">(S$469-S$448)/($N$469-$N$448)*($N449-$N$448)+S$448</f>
        <v>7.8676784266238906</v>
      </c>
      <c r="T449">
        <f>$S449+測地線補正!$Q$3*(lattice!$N449/1000)^3+測地線補正!$P$3*(lattice!$N449/1000)^2+測地線補正!$O$3*(lattice!$N449/1000)+測地線補正!$N$3</f>
        <v>-0.18369873138648782</v>
      </c>
      <c r="U449">
        <v>0</v>
      </c>
      <c r="V449">
        <v>0</v>
      </c>
      <c r="W449">
        <v>0</v>
      </c>
      <c r="X449">
        <f>$Z$449-($Y$449+$Y$448)/2</f>
        <v>208.47699059269519</v>
      </c>
      <c r="Y449">
        <f>_xlfn.XLOOKUP($F449,設計座標!$E$13:$E$2301,設計座標!$L$13:$L$2301," ",0,1)</f>
        <v>0</v>
      </c>
      <c r="Z449">
        <f>SQRT(($M$449-$M$447)^2+($N$449-$N$447)^2)</f>
        <v>268.47699059269519</v>
      </c>
    </row>
    <row r="450" spans="1:28">
      <c r="A450" t="s">
        <v>797</v>
      </c>
      <c r="B450" t="s">
        <v>3811</v>
      </c>
      <c r="C450" t="s">
        <v>804</v>
      </c>
      <c r="D450" t="s">
        <v>1152</v>
      </c>
      <c r="E450" t="s">
        <v>804</v>
      </c>
      <c r="F450" t="s">
        <v>1482</v>
      </c>
      <c r="G450" t="s">
        <v>2435</v>
      </c>
      <c r="I450">
        <f>_xlfn.XLOOKUP($F450,設計座標!$E$13:$E$2301,設計座標!$G$13:$G$2301,"n/a",0,1)</f>
        <v>111.29206437930985</v>
      </c>
      <c r="J450">
        <f>_xlfn.XLOOKUP($F450,設計座標!$E$13:$E$2301,設計座標!$H$13:$H$2301,"n/a",0,1)</f>
        <v>0</v>
      </c>
      <c r="K450">
        <f>_xlfn.XLOOKUP($F450,設計座標!$E$13:$E$2301,設計座標!$I$13:$I$2301,"n/a",0,1)</f>
        <v>103890.01077892986</v>
      </c>
      <c r="L450">
        <f>_xlfn.XLOOKUP($F450,設計座標!$E$13:$E$2301,設計座標!$J$13:$J$2301,"n/a",0,1)</f>
        <v>-270</v>
      </c>
      <c r="M450" s="2">
        <f t="shared" si="309"/>
        <v>3.611625762388547E-2</v>
      </c>
      <c r="N450" s="2">
        <f t="shared" si="310"/>
        <v>103890.01077892986</v>
      </c>
      <c r="O450" s="23">
        <f t="shared" si="311"/>
        <v>-262.11810271890897</v>
      </c>
      <c r="P450" s="1">
        <f t="shared" si="315"/>
        <v>-270.1839488385387</v>
      </c>
      <c r="Q450" s="1">
        <f t="shared" ref="Q450:Q468" si="346">(Q$469-Q$448)/($N$469-$N$448)*($N450-$N$448)+Q$448</f>
        <v>3.611625762388547E-2</v>
      </c>
      <c r="R450">
        <f t="shared" si="329"/>
        <v>0</v>
      </c>
      <c r="S450" s="23">
        <f t="shared" si="345"/>
        <v>7.8818972810910086</v>
      </c>
      <c r="T450">
        <f>$S450+測地線補正!$Q$3*(lattice!$N450/1000)^3+測地線補正!$P$3*(lattice!$N450/1000)^2+測地線補正!$O$3*(lattice!$N450/1000)+測地線補正!$N$3</f>
        <v>-0.18394883853869079</v>
      </c>
      <c r="U450">
        <f>ATAN(($P$454-$P$450)/ABS($N$454-$N$450))</f>
        <v>-3.3402976591174582E-6</v>
      </c>
      <c r="V450">
        <v>0</v>
      </c>
      <c r="W450">
        <f>-ATAN(($M$454-$M$450)/ABS($N$454-$N$450))</f>
        <v>-9.963740737019874E-5</v>
      </c>
      <c r="X450">
        <f>SQRT(($M$450-$M$449)^2+($N$450-$N$449)^2)</f>
        <v>133.99990066514482</v>
      </c>
      <c r="Y450">
        <f>_xlfn.XLOOKUP($F450,設計座標!$E$13:$E$2301,設計座標!$L$13:$L$2301," ",0,1)</f>
        <v>1889.4492</v>
      </c>
      <c r="Z450">
        <f>SQRT(($M$453-$M$451)^2+($N$453-$N$451)^2)</f>
        <v>311.22450154485483</v>
      </c>
    </row>
    <row r="451" spans="1:28">
      <c r="A451" t="s">
        <v>797</v>
      </c>
      <c r="B451" t="s">
        <v>3811</v>
      </c>
      <c r="C451" t="s">
        <v>3855</v>
      </c>
      <c r="D451" t="s">
        <v>1152</v>
      </c>
      <c r="E451" t="s">
        <v>804</v>
      </c>
      <c r="F451" t="s">
        <v>2248</v>
      </c>
      <c r="G451" t="s">
        <v>2248</v>
      </c>
      <c r="I451">
        <f>_xlfn.XLOOKUP($F451,設計座標!$E$13:$E$2301,設計座標!$G$13:$G$2301,"n/a",0,1)</f>
        <v>111.92556447930986</v>
      </c>
      <c r="J451">
        <f>_xlfn.XLOOKUP($F451,設計座標!$E$13:$E$2301,設計座標!$H$13:$H$2301,"n/a",0,1)</f>
        <v>0</v>
      </c>
      <c r="K451">
        <f>_xlfn.XLOOKUP($F451,設計座標!$E$13:$E$2301,設計座標!$I$13:$I$2301,"n/a",0,1)</f>
        <v>104523.51087892987</v>
      </c>
      <c r="L451">
        <f>_xlfn.XLOOKUP($F451,設計座標!$E$13:$E$2301,設計座標!$J$13:$J$2301,"n/a",0,1)</f>
        <v>-270</v>
      </c>
      <c r="M451" s="2">
        <f t="shared" si="309"/>
        <v>9.9236565365525567E-2</v>
      </c>
      <c r="N451" s="2">
        <f t="shared" si="310"/>
        <v>104523.51087892987</v>
      </c>
      <c r="O451" s="23">
        <f t="shared" si="311"/>
        <v>-262.05088143197668</v>
      </c>
      <c r="P451" s="1">
        <f t="shared" si="315"/>
        <v>-270.18548286084376</v>
      </c>
      <c r="Q451" s="1">
        <f t="shared" si="346"/>
        <v>9.9236565365525567E-2</v>
      </c>
      <c r="R451">
        <f t="shared" si="329"/>
        <v>0</v>
      </c>
      <c r="S451" s="23">
        <f t="shared" si="345"/>
        <v>7.9491185680233478</v>
      </c>
      <c r="T451">
        <f>$S451+測地線補正!$Q$3*(lattice!$N451/1000)^3+測地線補正!$P$3*(lattice!$N451/1000)^2+測地線補正!$O$3*(lattice!$N451/1000)+測地線補正!$N$3</f>
        <v>-0.18548286084377072</v>
      </c>
      <c r="U451">
        <f t="shared" ref="U451:U452" si="347">ATAN(($P$454-$P$450)/ABS($N$454-$N$450))</f>
        <v>-3.3402976591174582E-6</v>
      </c>
      <c r="V451">
        <v>0</v>
      </c>
      <c r="W451">
        <f t="shared" ref="W451:W452" si="348">-ATAN(($M$454-$M$450)/ABS($N$454-$N$450))</f>
        <v>-9.963740737019874E-5</v>
      </c>
      <c r="X451" t="s">
        <v>3860</v>
      </c>
      <c r="Y451">
        <f>_xlfn.XLOOKUP($F451,設計座標!$E$13:$E$2301,設計座標!$L$13:$L$2301," ",0,1)</f>
        <v>1000</v>
      </c>
      <c r="Z451">
        <f>SQRT(($M$451-$M$449)^2+($N$451-$N$449)^2)</f>
        <v>767.50000380972153</v>
      </c>
      <c r="AA451">
        <f>_xlfn.XLOOKUP($G451,magnet_list!$A$2:$A$592,magnet_list!$AJ$2:$AJ$592,"n/a",0,1)</f>
        <v>0.95010000000000006</v>
      </c>
      <c r="AB451">
        <f>_xlfn.XLOOKUP($G451,magnet_list!$A$2:$A$592,magnet_list!$L$2:$L$592,"n/a",0,1)</f>
        <v>120</v>
      </c>
    </row>
    <row r="452" spans="1:28">
      <c r="A452" t="s">
        <v>797</v>
      </c>
      <c r="B452" t="s">
        <v>3811</v>
      </c>
      <c r="C452" t="s">
        <v>3855</v>
      </c>
      <c r="D452" t="s">
        <v>1152</v>
      </c>
      <c r="E452" t="s">
        <v>804</v>
      </c>
      <c r="F452" t="s">
        <v>2249</v>
      </c>
      <c r="G452" t="s">
        <v>2249</v>
      </c>
      <c r="I452">
        <f>_xlfn.XLOOKUP($F452,設計座標!$E$13:$E$2301,設計座標!$G$13:$G$2301,"n/a",0,1)</f>
        <v>111.92556447930986</v>
      </c>
      <c r="J452">
        <f>_xlfn.XLOOKUP($F452,設計座標!$E$13:$E$2301,設計座標!$H$13:$H$2301,"n/a",0,1)</f>
        <v>0</v>
      </c>
      <c r="K452">
        <f>_xlfn.XLOOKUP($F452,設計座標!$E$13:$E$2301,設計座標!$I$13:$I$2301,"n/a",0,1)</f>
        <v>104523.51087892987</v>
      </c>
      <c r="L452">
        <f>_xlfn.XLOOKUP($F452,設計座標!$E$13:$E$2301,設計座標!$J$13:$J$2301,"n/a",0,1)</f>
        <v>-270</v>
      </c>
      <c r="M452" s="2">
        <f t="shared" si="309"/>
        <v>9.9236565365525567E-2</v>
      </c>
      <c r="N452" s="2">
        <f t="shared" si="310"/>
        <v>104523.51087892987</v>
      </c>
      <c r="O452" s="23">
        <f t="shared" si="311"/>
        <v>-262.05088143197668</v>
      </c>
      <c r="P452" s="1">
        <f t="shared" si="315"/>
        <v>-270.18548286084376</v>
      </c>
      <c r="Q452" s="1">
        <f t="shared" si="346"/>
        <v>9.9236565365525567E-2</v>
      </c>
      <c r="R452">
        <f t="shared" si="329"/>
        <v>0</v>
      </c>
      <c r="S452" s="23">
        <f t="shared" si="345"/>
        <v>7.9491185680233478</v>
      </c>
      <c r="T452">
        <f>$S452+測地線補正!$Q$3*(lattice!$N452/1000)^3+測地線補正!$P$3*(lattice!$N452/1000)^2+測地線補正!$O$3*(lattice!$N452/1000)+測地線補正!$N$3</f>
        <v>-0.18548286084377072</v>
      </c>
      <c r="U452">
        <f t="shared" si="347"/>
        <v>-3.3402976591174582E-6</v>
      </c>
      <c r="V452">
        <v>0</v>
      </c>
      <c r="W452">
        <f t="shared" si="348"/>
        <v>-9.963740737019874E-5</v>
      </c>
      <c r="X452" t="s">
        <v>3860</v>
      </c>
      <c r="Y452">
        <f>_xlfn.XLOOKUP($F452,設計座標!$E$13:$E$2301,設計座標!$L$13:$L$2301," ",0,1)</f>
        <v>1000</v>
      </c>
      <c r="Z452">
        <f>SQRT(($M$451-$M$449)^2+($N$451-$N$449)^2)</f>
        <v>767.50000380972153</v>
      </c>
      <c r="AA452">
        <f>_xlfn.XLOOKUP($G452,magnet_list!$A$2:$A$592,magnet_list!$AJ$2:$AJ$592,"n/a",0,1)</f>
        <v>0.95010000000000006</v>
      </c>
      <c r="AB452">
        <f>_xlfn.XLOOKUP($G452,magnet_list!$A$2:$A$592,magnet_list!$L$2:$L$592,"n/a",0,1)</f>
        <v>120</v>
      </c>
    </row>
    <row r="453" spans="1:28">
      <c r="A453" t="s">
        <v>797</v>
      </c>
      <c r="B453" t="s">
        <v>3811</v>
      </c>
      <c r="C453" t="s">
        <v>804</v>
      </c>
      <c r="D453" t="s">
        <v>1152</v>
      </c>
      <c r="E453" t="s">
        <v>804</v>
      </c>
      <c r="F453" t="s">
        <v>1176</v>
      </c>
      <c r="G453" t="s">
        <v>2435</v>
      </c>
      <c r="I453">
        <f>_xlfn.XLOOKUP($F453,設計座標!$E$13:$E$2301,設計座標!$G$13:$G$2301,"n/a",0,1)</f>
        <v>112.23678897930985</v>
      </c>
      <c r="J453">
        <f>_xlfn.XLOOKUP($F453,設計座標!$E$13:$E$2301,設計座標!$H$13:$H$2301,"n/a",0,1)</f>
        <v>0</v>
      </c>
      <c r="K453">
        <f>_xlfn.XLOOKUP($F453,設計座標!$E$13:$E$2301,設計座標!$I$13:$I$2301,"n/a",0,1)</f>
        <v>104834.73537892986</v>
      </c>
      <c r="L453">
        <f>_xlfn.XLOOKUP($F453,設計座標!$E$13:$E$2301,設計座標!$J$13:$J$2301,"n/a",0,1)</f>
        <v>-270</v>
      </c>
      <c r="M453" s="2">
        <f t="shared" si="309"/>
        <v>0.13024616775822875</v>
      </c>
      <c r="N453" s="2">
        <f t="shared" si="310"/>
        <v>104834.73537892986</v>
      </c>
      <c r="O453" s="23">
        <f t="shared" si="311"/>
        <v>-262.01785710977862</v>
      </c>
      <c r="P453" s="1">
        <f t="shared" si="315"/>
        <v>-270.18645043303462</v>
      </c>
      <c r="Q453" s="1">
        <f t="shared" si="346"/>
        <v>0.13024616775822875</v>
      </c>
      <c r="R453">
        <f t="shared" si="329"/>
        <v>0</v>
      </c>
      <c r="S453" s="23">
        <f t="shared" si="345"/>
        <v>7.9821428902213603</v>
      </c>
      <c r="T453">
        <f>$S453+測地線補正!$Q$3*(lattice!$N453/1000)^3+測地線補正!$P$3*(lattice!$N453/1000)^2+測地線補正!$O$3*(lattice!$N453/1000)+測地線補正!$N$3</f>
        <v>-0.18645043303462647</v>
      </c>
      <c r="U453">
        <f t="shared" ref="U453:U454" si="349">ATAN(($P$454-$P$450)/ABS($N$454-$N$450))</f>
        <v>-3.3402976591174582E-6</v>
      </c>
      <c r="V453">
        <v>0</v>
      </c>
      <c r="W453">
        <f t="shared" ref="W453:W454" si="350">-ATAN(($M$454-$M$450)/ABS($N$454-$N$450))</f>
        <v>-9.963740737019874E-5</v>
      </c>
      <c r="X453" t="s">
        <v>3860</v>
      </c>
      <c r="Y453">
        <f>_xlfn.XLOOKUP($F453,設計座標!$E$13:$E$2301,設計座標!$L$13:$L$2301," ",0,1)</f>
        <v>1889.4492</v>
      </c>
      <c r="Z453">
        <f>SQRT(($M$453-$M$451)^2+($N$453-$N$451)^2)</f>
        <v>311.22450154485483</v>
      </c>
    </row>
    <row r="454" spans="1:28">
      <c r="A454" t="s">
        <v>797</v>
      </c>
      <c r="B454" t="s">
        <v>3811</v>
      </c>
      <c r="C454" t="s">
        <v>804</v>
      </c>
      <c r="D454" t="s">
        <v>1152</v>
      </c>
      <c r="E454" t="s">
        <v>804</v>
      </c>
      <c r="F454" t="s">
        <v>1483</v>
      </c>
      <c r="G454" t="s">
        <v>2435</v>
      </c>
      <c r="I454">
        <f>_xlfn.XLOOKUP($F454,設計座標!$E$13:$E$2301,設計座標!$G$13:$G$2301,"n/a",0,1)</f>
        <v>113.18151357930985</v>
      </c>
      <c r="J454">
        <f>_xlfn.XLOOKUP($F454,設計座標!$E$13:$E$2301,設計座標!$H$13:$H$2301,"n/a",0,1)</f>
        <v>0</v>
      </c>
      <c r="K454">
        <f>_xlfn.XLOOKUP($F454,設計座標!$E$13:$E$2301,設計座標!$I$13:$I$2301,"n/a",0,1)</f>
        <v>105779.45997892987</v>
      </c>
      <c r="L454">
        <f>_xlfn.XLOOKUP($F454,設計座標!$E$13:$E$2301,設計座標!$J$13:$J$2301,"n/a",0,1)</f>
        <v>-270</v>
      </c>
      <c r="M454" s="2">
        <f t="shared" si="309"/>
        <v>0.22437607789257205</v>
      </c>
      <c r="N454" s="2">
        <f t="shared" si="310"/>
        <v>105779.45997892987</v>
      </c>
      <c r="O454" s="23">
        <f t="shared" si="311"/>
        <v>-261.91761150064826</v>
      </c>
      <c r="P454" s="1">
        <f t="shared" si="315"/>
        <v>-270.1902601612785</v>
      </c>
      <c r="Q454" s="1">
        <f t="shared" si="346"/>
        <v>0.22437607789257205</v>
      </c>
      <c r="R454">
        <f t="shared" si="329"/>
        <v>0</v>
      </c>
      <c r="S454" s="23">
        <f t="shared" si="345"/>
        <v>8.0823884993517119</v>
      </c>
      <c r="T454">
        <f>$S454+測地線補正!$Q$3*(lattice!$N454/1000)^3+測地線補正!$P$3*(lattice!$N454/1000)^2+測地線補正!$O$3*(lattice!$N454/1000)+測地線補正!$N$3</f>
        <v>-0.19026016127850451</v>
      </c>
      <c r="U454">
        <f t="shared" si="349"/>
        <v>-3.3402976591174582E-6</v>
      </c>
      <c r="V454">
        <v>0</v>
      </c>
      <c r="W454">
        <f t="shared" si="350"/>
        <v>-9.963740737019874E-5</v>
      </c>
      <c r="X454" t="s">
        <v>3860</v>
      </c>
      <c r="Y454">
        <f>_xlfn.XLOOKUP($F454,設計座標!$E$13:$E$2301,設計座標!$L$13:$L$2301," ",0,1)</f>
        <v>1889.4492</v>
      </c>
      <c r="Z454">
        <f>SQRT(($M$453-$M$451)^2+($N$453-$N$451)^2)</f>
        <v>311.22450154485483</v>
      </c>
    </row>
    <row r="455" spans="1:28">
      <c r="A455" t="s">
        <v>797</v>
      </c>
      <c r="B455" t="s">
        <v>3811</v>
      </c>
      <c r="C455" t="s">
        <v>804</v>
      </c>
      <c r="D455" t="s">
        <v>1152</v>
      </c>
      <c r="E455" t="s">
        <v>804</v>
      </c>
      <c r="F455" t="s">
        <v>1484</v>
      </c>
      <c r="G455" t="s">
        <v>2436</v>
      </c>
      <c r="I455">
        <f>_xlfn.XLOOKUP($F455,設計座標!$E$13:$E$2301,設計座標!$G$13:$G$2301,"n/a",0,1)</f>
        <v>113.36521037930984</v>
      </c>
      <c r="J455">
        <f>_xlfn.XLOOKUP($F455,設計座標!$E$13:$E$2301,設計座標!$H$13:$H$2301,"n/a",0,1)</f>
        <v>0</v>
      </c>
      <c r="K455">
        <f>_xlfn.XLOOKUP($F455,設計座標!$E$13:$E$2301,設計座標!$I$13:$I$2301,"n/a",0,1)</f>
        <v>105963.15677892986</v>
      </c>
      <c r="L455">
        <f>_xlfn.XLOOKUP($F455,設計座標!$E$13:$E$2301,設計座標!$J$13:$J$2301,"n/a",0,1)</f>
        <v>-270</v>
      </c>
      <c r="M455" s="2">
        <f t="shared" si="309"/>
        <v>0.24267915084734165</v>
      </c>
      <c r="N455" s="2">
        <f t="shared" si="310"/>
        <v>105963.15677892986</v>
      </c>
      <c r="O455" s="23">
        <f t="shared" si="311"/>
        <v>-261.89811926173411</v>
      </c>
      <c r="P455" s="1">
        <f t="shared" si="315"/>
        <v>-270.19115463395752</v>
      </c>
      <c r="Q455" s="1">
        <f t="shared" si="346"/>
        <v>0.24267915084734165</v>
      </c>
      <c r="R455">
        <f t="shared" si="329"/>
        <v>0</v>
      </c>
      <c r="S455" s="23">
        <f t="shared" si="345"/>
        <v>8.1018807382658835</v>
      </c>
      <c r="T455">
        <f>$S455+測地線補正!$Q$3*(lattice!$N455/1000)^3+測地線補正!$P$3*(lattice!$N455/1000)^2+測地線補正!$O$3*(lattice!$N455/1000)+測地線補正!$N$3</f>
        <v>-0.19115463395752105</v>
      </c>
      <c r="U455">
        <f>ATAN(($P$457-$P$455)/ABS($N$457-$N$455))</f>
        <v>-6.4323327397105104E-6</v>
      </c>
      <c r="V455">
        <v>0</v>
      </c>
      <c r="W455">
        <f>-ATAN(($M$457-$M$455)/ABS($N$457-$N$455))</f>
        <v>-9.963740737019874E-5</v>
      </c>
      <c r="X455">
        <f>SQRT(($M$455-$M$454)^2+($N$455-$N$454)^2)</f>
        <v>183.69680091182599</v>
      </c>
      <c r="Y455">
        <f>_xlfn.XLOOKUP($F455,設計座標!$E$13:$E$2301,設計座標!$L$13:$L$2301," ",0,1)</f>
        <v>1889.4492</v>
      </c>
      <c r="Z455">
        <f>SQRT(($M$456-$M$453)^2+($N$456-$N$453)^2)</f>
        <v>2073.146010290689</v>
      </c>
    </row>
    <row r="456" spans="1:28">
      <c r="A456" t="s">
        <v>797</v>
      </c>
      <c r="B456" t="s">
        <v>3811</v>
      </c>
      <c r="C456" t="s">
        <v>804</v>
      </c>
      <c r="D456" t="s">
        <v>1152</v>
      </c>
      <c r="E456" t="s">
        <v>804</v>
      </c>
      <c r="F456" t="s">
        <v>1232</v>
      </c>
      <c r="G456" t="s">
        <v>2436</v>
      </c>
      <c r="I456">
        <f>_xlfn.XLOOKUP($F456,設計座標!$E$13:$E$2301,設計座標!$G$13:$G$2301,"n/a",0,1)</f>
        <v>114.30993497930984</v>
      </c>
      <c r="J456">
        <f>_xlfn.XLOOKUP($F456,設計座標!$E$13:$E$2301,設計座標!$H$13:$H$2301,"n/a",0,1)</f>
        <v>0</v>
      </c>
      <c r="K456">
        <f>_xlfn.XLOOKUP($F456,設計座標!$E$13:$E$2301,設計座標!$I$13:$I$2301,"n/a",0,1)</f>
        <v>106907.88137892986</v>
      </c>
      <c r="L456">
        <f>_xlfn.XLOOKUP($F456,設計座標!$E$13:$E$2301,設計座標!$J$13:$J$2301,"n/a",0,1)</f>
        <v>-270</v>
      </c>
      <c r="M456" s="2">
        <f t="shared" si="309"/>
        <v>0.33680906098168495</v>
      </c>
      <c r="N456" s="2">
        <f t="shared" si="310"/>
        <v>106907.88137892986</v>
      </c>
      <c r="O456" s="23">
        <f t="shared" si="311"/>
        <v>-261.79787365260376</v>
      </c>
      <c r="P456" s="1">
        <f t="shared" si="315"/>
        <v>-270.19655434000845</v>
      </c>
      <c r="Q456" s="1">
        <f t="shared" si="346"/>
        <v>0.33680906098168495</v>
      </c>
      <c r="R456">
        <f t="shared" si="329"/>
        <v>0</v>
      </c>
      <c r="S456" s="23">
        <f t="shared" si="345"/>
        <v>8.202126347396236</v>
      </c>
      <c r="T456">
        <f>$S456+測地線補正!$Q$3*(lattice!$N456/1000)^3+測地線補正!$P$3*(lattice!$N456/1000)^2+測地線補正!$O$3*(lattice!$N456/1000)+測地線補正!$N$3</f>
        <v>-0.19655434000846914</v>
      </c>
      <c r="U456">
        <f t="shared" ref="U456:U457" si="351">ATAN(($P$457-$P$455)/ABS($N$457-$N$455))</f>
        <v>-6.4323327397105104E-6</v>
      </c>
      <c r="V456">
        <v>0</v>
      </c>
      <c r="W456">
        <f t="shared" ref="W456:W457" si="352">-ATAN(($M$457-$M$455)/ABS($N$457-$N$455))</f>
        <v>-9.963740737019874E-5</v>
      </c>
      <c r="X456" t="s">
        <v>3860</v>
      </c>
      <c r="Y456">
        <f>_xlfn.XLOOKUP($F456,設計座標!$E$13:$E$2301,設計座標!$L$13:$L$2301," ",0,1)</f>
        <v>1889.4492</v>
      </c>
      <c r="Z456">
        <f>SQRT(($M$456-$M$453)^2+($N$456-$N$453)^2)</f>
        <v>2073.146010290689</v>
      </c>
    </row>
    <row r="457" spans="1:28">
      <c r="A457" t="s">
        <v>797</v>
      </c>
      <c r="B457" t="s">
        <v>3811</v>
      </c>
      <c r="C457" t="s">
        <v>804</v>
      </c>
      <c r="D457" t="s">
        <v>1152</v>
      </c>
      <c r="E457" t="s">
        <v>804</v>
      </c>
      <c r="F457" t="s">
        <v>1485</v>
      </c>
      <c r="G457" t="s">
        <v>2436</v>
      </c>
      <c r="I457">
        <f>_xlfn.XLOOKUP($F457,設計座標!$E$13:$E$2301,設計座標!$G$13:$G$2301,"n/a",0,1)</f>
        <v>115.25465957930984</v>
      </c>
      <c r="J457">
        <f>_xlfn.XLOOKUP($F457,設計座標!$E$13:$E$2301,設計座標!$H$13:$H$2301,"n/a",0,1)</f>
        <v>0</v>
      </c>
      <c r="K457">
        <f>_xlfn.XLOOKUP($F457,設計座標!$E$13:$E$2301,設計座標!$I$13:$I$2301,"n/a",0,1)</f>
        <v>107852.60597892986</v>
      </c>
      <c r="L457">
        <f>_xlfn.XLOOKUP($F457,設計座標!$E$13:$E$2301,設計座標!$J$13:$J$2301,"n/a",0,1)</f>
        <v>-270</v>
      </c>
      <c r="M457" s="2">
        <f t="shared" si="309"/>
        <v>0.43093897111602825</v>
      </c>
      <c r="N457" s="2">
        <f t="shared" si="310"/>
        <v>107852.60597892986</v>
      </c>
      <c r="O457" s="23">
        <f t="shared" si="311"/>
        <v>-261.6976280434734</v>
      </c>
      <c r="P457" s="1">
        <f t="shared" si="315"/>
        <v>-270.20330819990687</v>
      </c>
      <c r="Q457" s="1">
        <f t="shared" si="346"/>
        <v>0.43093897111602825</v>
      </c>
      <c r="R457">
        <f t="shared" si="329"/>
        <v>0</v>
      </c>
      <c r="S457" s="23">
        <f t="shared" si="345"/>
        <v>8.3023719565265885</v>
      </c>
      <c r="T457">
        <f>$S457+測地線補正!$Q$3*(lattice!$N457/1000)^3+測地線補正!$P$3*(lattice!$N457/1000)^2+測地線補正!$O$3*(lattice!$N457/1000)+測地線補正!$N$3</f>
        <v>-0.20330819990686497</v>
      </c>
      <c r="U457">
        <f t="shared" si="351"/>
        <v>-6.4323327397105104E-6</v>
      </c>
      <c r="V457">
        <v>0</v>
      </c>
      <c r="W457">
        <f t="shared" si="352"/>
        <v>-9.963740737019874E-5</v>
      </c>
      <c r="X457" t="s">
        <v>3860</v>
      </c>
      <c r="Y457">
        <f>_xlfn.XLOOKUP($F457,設計座標!$E$13:$E$2301,設計座標!$L$13:$L$2301," ",0,1)</f>
        <v>1889.4492</v>
      </c>
      <c r="Z457">
        <f>SQRT(($M$456-$M$453)^2+($N$456-$N$453)^2)</f>
        <v>2073.146010290689</v>
      </c>
    </row>
    <row r="458" spans="1:28">
      <c r="A458" t="s">
        <v>797</v>
      </c>
      <c r="B458" t="s">
        <v>3811</v>
      </c>
      <c r="C458" t="s">
        <v>1152</v>
      </c>
      <c r="D458" t="s">
        <v>1152</v>
      </c>
      <c r="E458" t="s">
        <v>804</v>
      </c>
      <c r="F458" t="s">
        <v>1986</v>
      </c>
      <c r="G458" t="s">
        <v>1986</v>
      </c>
      <c r="I458">
        <f>_xlfn.XLOOKUP($F458,設計座標!$E$13:$E$2301,設計座標!$G$13:$G$2301,"n/a",0,1)</f>
        <v>115.48805247930984</v>
      </c>
      <c r="J458">
        <f>_xlfn.XLOOKUP($F458,設計座標!$E$13:$E$2301,設計座標!$H$13:$H$2301,"n/a",0,1)</f>
        <v>0</v>
      </c>
      <c r="K458">
        <f>_xlfn.XLOOKUP($F458,設計座標!$E$13:$E$2301,設計座標!$I$13:$I$2301,"n/a",0,1)</f>
        <v>108085.99887892985</v>
      </c>
      <c r="L458">
        <f>_xlfn.XLOOKUP($F458,設計座標!$E$13:$E$2301,設計座標!$J$13:$J$2301,"n/a",0,1)</f>
        <v>-270</v>
      </c>
      <c r="M458" s="2">
        <f t="shared" si="309"/>
        <v>0.45419363464759388</v>
      </c>
      <c r="N458" s="2">
        <f t="shared" si="310"/>
        <v>108085.99887892985</v>
      </c>
      <c r="O458" s="23">
        <f t="shared" si="311"/>
        <v>-261.67286250500092</v>
      </c>
      <c r="P458" s="1">
        <f t="shared" si="315"/>
        <v>-270.20518774620763</v>
      </c>
      <c r="Q458" s="1">
        <f t="shared" si="346"/>
        <v>0.45419363464759388</v>
      </c>
      <c r="R458">
        <f t="shared" si="329"/>
        <v>0</v>
      </c>
      <c r="S458" s="23">
        <f t="shared" si="345"/>
        <v>8.327137494999068</v>
      </c>
      <c r="T458">
        <f>$S458+測地線補正!$Q$3*(lattice!$N458/1000)^3+測地線補正!$P$3*(lattice!$N458/1000)^2+測地線補正!$O$3*(lattice!$N458/1000)+測地線補正!$N$3</f>
        <v>-0.20518774620761246</v>
      </c>
      <c r="U458">
        <v>0</v>
      </c>
      <c r="V458">
        <v>0</v>
      </c>
      <c r="W458">
        <v>0</v>
      </c>
      <c r="X458">
        <f>SQRT(($M$458-$M$457)^2+($N$458-$N$457)^2)</f>
        <v>233.39290115850883</v>
      </c>
      <c r="Y458">
        <f>_xlfn.XLOOKUP($F458,設計座標!$E$13:$E$2301,設計座標!$L$13:$L$2301," ",0,1)</f>
        <v>0</v>
      </c>
      <c r="Z458">
        <f>SQRT(($M$458-$M$456)^2+($N$458-$N$456)^2)</f>
        <v>1178.1175058479403</v>
      </c>
    </row>
    <row r="459" spans="1:28">
      <c r="A459" t="s">
        <v>797</v>
      </c>
      <c r="B459" t="s">
        <v>3811</v>
      </c>
      <c r="C459" t="s">
        <v>804</v>
      </c>
      <c r="D459" t="s">
        <v>1152</v>
      </c>
      <c r="E459" t="s">
        <v>804</v>
      </c>
      <c r="F459" t="s">
        <v>1486</v>
      </c>
      <c r="G459" t="s">
        <v>2437</v>
      </c>
      <c r="I459">
        <f>_xlfn.XLOOKUP($F459,設計座標!$E$13:$E$2301,設計座標!$G$13:$G$2301,"n/a",0,1)</f>
        <v>115.62205237930984</v>
      </c>
      <c r="J459">
        <f>_xlfn.XLOOKUP($F459,設計座標!$E$13:$E$2301,設計座標!$H$13:$H$2301,"n/a",0,1)</f>
        <v>0</v>
      </c>
      <c r="K459">
        <f>_xlfn.XLOOKUP($F459,設計座標!$E$13:$E$2301,設計座標!$I$13:$I$2301,"n/a",0,1)</f>
        <v>108219.99877892985</v>
      </c>
      <c r="L459">
        <f>_xlfn.XLOOKUP($F459,設計座標!$E$13:$E$2301,設計座標!$J$13:$J$2301,"n/a",0,1)</f>
        <v>-270</v>
      </c>
      <c r="M459" s="2">
        <f t="shared" si="309"/>
        <v>0.46754503731564184</v>
      </c>
      <c r="N459" s="2">
        <f t="shared" si="310"/>
        <v>108219.99877892985</v>
      </c>
      <c r="O459" s="23">
        <f t="shared" si="311"/>
        <v>-261.6586436505338</v>
      </c>
      <c r="P459" s="1">
        <f t="shared" si="315"/>
        <v>-270.20630491509769</v>
      </c>
      <c r="Q459" s="1">
        <f t="shared" si="346"/>
        <v>0.46754503731564184</v>
      </c>
      <c r="R459">
        <f t="shared" si="329"/>
        <v>0</v>
      </c>
      <c r="S459" s="23">
        <f t="shared" si="345"/>
        <v>8.3413563494661851</v>
      </c>
      <c r="T459">
        <f>$S459+測地線補正!$Q$3*(lattice!$N459/1000)^3+測地線補正!$P$3*(lattice!$N459/1000)^2+測地線補正!$O$3*(lattice!$N459/1000)+測地線補正!$N$3</f>
        <v>-0.20630491509767598</v>
      </c>
      <c r="U459">
        <f>ATAN(($P$463-$P$459)/ABS($N$463-$N$459))</f>
        <v>-9.9198697378641425E-6</v>
      </c>
      <c r="V459">
        <v>0</v>
      </c>
      <c r="W459">
        <f>-ATAN(($M$463-$M$459)/ABS($N$463-$N$459))</f>
        <v>-9.9637407370198699E-5</v>
      </c>
      <c r="X459">
        <f>SQRT(($M$459-$M$458)^2+($N$459-$N$458)^2)</f>
        <v>133.99990066514482</v>
      </c>
      <c r="Y459">
        <f>_xlfn.XLOOKUP($F459,設計座標!$E$13:$E$2301,設計座標!$L$13:$L$2301," ",0,1)</f>
        <v>1889.4492</v>
      </c>
      <c r="Z459">
        <f>SQRT(($M$462-$M$460)^2+($N$462-$N$460)^2)</f>
        <v>311.22450154485483</v>
      </c>
    </row>
    <row r="460" spans="1:28">
      <c r="A460" t="s">
        <v>797</v>
      </c>
      <c r="B460" t="s">
        <v>3811</v>
      </c>
      <c r="C460" t="s">
        <v>3855</v>
      </c>
      <c r="D460" t="s">
        <v>1152</v>
      </c>
      <c r="E460" t="s">
        <v>804</v>
      </c>
      <c r="F460" t="s">
        <v>2250</v>
      </c>
      <c r="G460" t="s">
        <v>2250</v>
      </c>
      <c r="I460">
        <f>_xlfn.XLOOKUP($F460,設計座標!$E$13:$E$2301,設計座標!$G$13:$G$2301,"n/a",0,1)</f>
        <v>116.25555247930984</v>
      </c>
      <c r="J460">
        <f>_xlfn.XLOOKUP($F460,設計座標!$E$13:$E$2301,設計座標!$H$13:$H$2301,"n/a",0,1)</f>
        <v>0</v>
      </c>
      <c r="K460">
        <f>_xlfn.XLOOKUP($F460,設計座標!$E$13:$E$2301,設計座標!$I$13:$I$2301,"n/a",0,1)</f>
        <v>108853.49887892985</v>
      </c>
      <c r="L460">
        <f>_xlfn.XLOOKUP($F460,設計座標!$E$13:$E$2301,設計座標!$J$13:$J$2301,"n/a",0,1)</f>
        <v>-270</v>
      </c>
      <c r="M460" s="2">
        <f t="shared" si="309"/>
        <v>0.53066534505728191</v>
      </c>
      <c r="N460" s="2">
        <f t="shared" si="310"/>
        <v>108853.49887892985</v>
      </c>
      <c r="O460" s="23">
        <f t="shared" si="311"/>
        <v>-261.59142236360145</v>
      </c>
      <c r="P460" s="1">
        <f t="shared" si="315"/>
        <v>-270.21196425369988</v>
      </c>
      <c r="Q460" s="1">
        <f t="shared" si="346"/>
        <v>0.53066534505728191</v>
      </c>
      <c r="R460">
        <f t="shared" si="329"/>
        <v>0</v>
      </c>
      <c r="S460" s="23">
        <f t="shared" si="345"/>
        <v>8.4085776363985243</v>
      </c>
      <c r="T460">
        <f>$S460+測地線補正!$Q$3*(lattice!$N460/1000)^3+測地線補正!$P$3*(lattice!$N460/1000)^2+測地線補正!$O$3*(lattice!$N460/1000)+測地線補正!$N$3</f>
        <v>-0.21196425369984948</v>
      </c>
      <c r="U460">
        <f t="shared" ref="U460:U461" si="353">ATAN(($P$463-$P$459)/ABS($N$463-$N$459))</f>
        <v>-9.9198697378641425E-6</v>
      </c>
      <c r="V460">
        <v>0</v>
      </c>
      <c r="W460">
        <f t="shared" ref="W460:W461" si="354">-ATAN(($M$463-$M$459)/ABS($N$463-$N$459))</f>
        <v>-9.9637407370198699E-5</v>
      </c>
      <c r="X460" t="s">
        <v>3860</v>
      </c>
      <c r="Y460">
        <f>_xlfn.XLOOKUP($F460,設計座標!$E$13:$E$2301,設計座標!$L$13:$L$2301," ",0,1)</f>
        <v>1000</v>
      </c>
      <c r="Z460">
        <f>SQRT(($M$460-$M$458)^2+($N$460-$N$458)^2)</f>
        <v>767.50000380972153</v>
      </c>
      <c r="AA460">
        <f>_xlfn.XLOOKUP($G460,magnet_list!$A$2:$A$592,magnet_list!$AJ$2:$AJ$592,"n/a",0,1)</f>
        <v>0.95010000000000006</v>
      </c>
      <c r="AB460">
        <f>_xlfn.XLOOKUP($G460,magnet_list!$A$2:$A$592,magnet_list!$L$2:$L$592,"n/a",0,1)</f>
        <v>120</v>
      </c>
    </row>
    <row r="461" spans="1:28">
      <c r="A461" t="s">
        <v>797</v>
      </c>
      <c r="B461" t="s">
        <v>3811</v>
      </c>
      <c r="C461" t="s">
        <v>3855</v>
      </c>
      <c r="D461" t="s">
        <v>1152</v>
      </c>
      <c r="E461" t="s">
        <v>804</v>
      </c>
      <c r="F461" t="s">
        <v>2251</v>
      </c>
      <c r="G461" t="s">
        <v>2251</v>
      </c>
      <c r="I461">
        <f>_xlfn.XLOOKUP($F461,設計座標!$E$13:$E$2301,設計座標!$G$13:$G$2301,"n/a",0,1)</f>
        <v>116.25555247930984</v>
      </c>
      <c r="J461">
        <f>_xlfn.XLOOKUP($F461,設計座標!$E$13:$E$2301,設計座標!$H$13:$H$2301,"n/a",0,1)</f>
        <v>0</v>
      </c>
      <c r="K461">
        <f>_xlfn.XLOOKUP($F461,設計座標!$E$13:$E$2301,設計座標!$I$13:$I$2301,"n/a",0,1)</f>
        <v>108853.49887892985</v>
      </c>
      <c r="L461">
        <f>_xlfn.XLOOKUP($F461,設計座標!$E$13:$E$2301,設計座標!$J$13:$J$2301,"n/a",0,1)</f>
        <v>-270</v>
      </c>
      <c r="M461" s="2">
        <f t="shared" si="309"/>
        <v>0.53066534505728191</v>
      </c>
      <c r="N461" s="2">
        <f t="shared" si="310"/>
        <v>108853.49887892985</v>
      </c>
      <c r="O461" s="23">
        <f t="shared" si="311"/>
        <v>-261.59142236360145</v>
      </c>
      <c r="P461" s="1">
        <f t="shared" si="315"/>
        <v>-270.21196425369988</v>
      </c>
      <c r="Q461" s="1">
        <f t="shared" si="346"/>
        <v>0.53066534505728191</v>
      </c>
      <c r="R461">
        <f t="shared" si="329"/>
        <v>0</v>
      </c>
      <c r="S461" s="23">
        <f t="shared" si="345"/>
        <v>8.4085776363985243</v>
      </c>
      <c r="T461">
        <f>$S461+測地線補正!$Q$3*(lattice!$N461/1000)^3+測地線補正!$P$3*(lattice!$N461/1000)^2+測地線補正!$O$3*(lattice!$N461/1000)+測地線補正!$N$3</f>
        <v>-0.21196425369984948</v>
      </c>
      <c r="U461">
        <f t="shared" si="353"/>
        <v>-9.9198697378641425E-6</v>
      </c>
      <c r="V461">
        <v>0</v>
      </c>
      <c r="W461">
        <f t="shared" si="354"/>
        <v>-9.9637407370198699E-5</v>
      </c>
      <c r="X461" t="s">
        <v>3860</v>
      </c>
      <c r="Y461">
        <f>_xlfn.XLOOKUP($F461,設計座標!$E$13:$E$2301,設計座標!$L$13:$L$2301," ",0,1)</f>
        <v>1000</v>
      </c>
      <c r="Z461">
        <f>SQRT(($M$460-$M$458)^2+($N$460-$N$458)^2)</f>
        <v>767.50000380972153</v>
      </c>
      <c r="AA461">
        <f>_xlfn.XLOOKUP($G461,magnet_list!$A$2:$A$592,magnet_list!$AJ$2:$AJ$592,"n/a",0,1)</f>
        <v>0.95010000000000006</v>
      </c>
      <c r="AB461">
        <f>_xlfn.XLOOKUP($G461,magnet_list!$A$2:$A$592,magnet_list!$L$2:$L$592,"n/a",0,1)</f>
        <v>120</v>
      </c>
    </row>
    <row r="462" spans="1:28">
      <c r="A462" t="s">
        <v>797</v>
      </c>
      <c r="B462" t="s">
        <v>3811</v>
      </c>
      <c r="C462" t="s">
        <v>804</v>
      </c>
      <c r="D462" t="s">
        <v>1152</v>
      </c>
      <c r="E462" t="s">
        <v>804</v>
      </c>
      <c r="F462" t="s">
        <v>1287</v>
      </c>
      <c r="G462" t="s">
        <v>2437</v>
      </c>
      <c r="I462">
        <f>_xlfn.XLOOKUP($F462,設計座標!$E$13:$E$2301,設計座標!$G$13:$G$2301,"n/a",0,1)</f>
        <v>116.56677697930984</v>
      </c>
      <c r="J462">
        <f>_xlfn.XLOOKUP($F462,設計座標!$E$13:$E$2301,設計座標!$H$13:$H$2301,"n/a",0,1)</f>
        <v>0</v>
      </c>
      <c r="K462">
        <f>_xlfn.XLOOKUP($F462,設計座標!$E$13:$E$2301,設計座標!$I$13:$I$2301,"n/a",0,1)</f>
        <v>109164.72337892985</v>
      </c>
      <c r="L462">
        <f>_xlfn.XLOOKUP($F462,設計座標!$E$13:$E$2301,設計座標!$J$13:$J$2301,"n/a",0,1)</f>
        <v>-270</v>
      </c>
      <c r="M462" s="2">
        <f t="shared" si="309"/>
        <v>0.56167494744998514</v>
      </c>
      <c r="N462" s="2">
        <f t="shared" si="310"/>
        <v>109164.72337892985</v>
      </c>
      <c r="O462" s="23">
        <f t="shared" si="311"/>
        <v>-261.55839804140345</v>
      </c>
      <c r="P462" s="1">
        <f t="shared" si="315"/>
        <v>-270.21497433423485</v>
      </c>
      <c r="Q462" s="1">
        <f t="shared" si="346"/>
        <v>0.56167494744998514</v>
      </c>
      <c r="R462">
        <f t="shared" si="329"/>
        <v>0</v>
      </c>
      <c r="S462" s="23">
        <f t="shared" si="345"/>
        <v>8.4416019585965376</v>
      </c>
      <c r="T462">
        <f>$S462+測地線補正!$Q$3*(lattice!$N462/1000)^3+測地線補正!$P$3*(lattice!$N462/1000)^2+測地線補正!$O$3*(lattice!$N462/1000)+測地線補正!$N$3</f>
        <v>-0.214974334234843</v>
      </c>
      <c r="U462">
        <f t="shared" ref="U462:U463" si="355">ATAN(($P$463-$P$459)/ABS($N$463-$N$459))</f>
        <v>-9.9198697378641425E-6</v>
      </c>
      <c r="V462">
        <v>0</v>
      </c>
      <c r="W462">
        <f t="shared" ref="W462:W463" si="356">-ATAN(($M$463-$M$459)/ABS($N$463-$N$459))</f>
        <v>-9.9637407370198699E-5</v>
      </c>
      <c r="X462" t="s">
        <v>3860</v>
      </c>
      <c r="Y462">
        <f>_xlfn.XLOOKUP($F462,設計座標!$E$13:$E$2301,設計座標!$L$13:$L$2301," ",0,1)</f>
        <v>1889.4492</v>
      </c>
      <c r="Z462">
        <f>SQRT(($M$462-$M$460)^2+($N$462-$N$460)^2)</f>
        <v>311.22450154485483</v>
      </c>
    </row>
    <row r="463" spans="1:28">
      <c r="A463" t="s">
        <v>797</v>
      </c>
      <c r="B463" t="s">
        <v>3811</v>
      </c>
      <c r="C463" t="s">
        <v>804</v>
      </c>
      <c r="D463" t="s">
        <v>1152</v>
      </c>
      <c r="E463" t="s">
        <v>804</v>
      </c>
      <c r="F463" t="s">
        <v>1487</v>
      </c>
      <c r="G463" t="s">
        <v>2437</v>
      </c>
      <c r="I463">
        <f>_xlfn.XLOOKUP($F463,設計座標!$E$13:$E$2301,設計座標!$G$13:$G$2301,"n/a",0,1)</f>
        <v>117.51150157930984</v>
      </c>
      <c r="J463">
        <f>_xlfn.XLOOKUP($F463,設計座標!$E$13:$E$2301,設計座標!$H$13:$H$2301,"n/a",0,1)</f>
        <v>0</v>
      </c>
      <c r="K463">
        <f>_xlfn.XLOOKUP($F463,設計座標!$E$13:$E$2301,設計座標!$I$13:$I$2301,"n/a",0,1)</f>
        <v>110109.44797892985</v>
      </c>
      <c r="L463">
        <f>_xlfn.XLOOKUP($F463,設計座標!$E$13:$E$2301,設計座標!$J$13:$J$2301,"n/a",0,1)</f>
        <v>-270</v>
      </c>
      <c r="M463" s="2">
        <f t="shared" si="309"/>
        <v>0.65580485758432838</v>
      </c>
      <c r="N463" s="2">
        <f t="shared" si="310"/>
        <v>110109.44797892985</v>
      </c>
      <c r="O463" s="23">
        <f t="shared" si="311"/>
        <v>-261.4581524322731</v>
      </c>
      <c r="P463" s="1">
        <f t="shared" si="315"/>
        <v>-270.22504800503862</v>
      </c>
      <c r="Q463" s="1">
        <f t="shared" si="346"/>
        <v>0.65580485758432838</v>
      </c>
      <c r="R463">
        <f t="shared" si="329"/>
        <v>0</v>
      </c>
      <c r="S463" s="23">
        <f t="shared" si="345"/>
        <v>8.5418475677268884</v>
      </c>
      <c r="T463">
        <f>$S463+測地線補正!$Q$3*(lattice!$N463/1000)^3+測地線補正!$P$3*(lattice!$N463/1000)^2+測地線補正!$O$3*(lattice!$N463/1000)+測地線補正!$N$3</f>
        <v>-0.22504800503861841</v>
      </c>
      <c r="U463">
        <f t="shared" si="355"/>
        <v>-9.9198697378641425E-6</v>
      </c>
      <c r="V463">
        <v>0</v>
      </c>
      <c r="W463">
        <f t="shared" si="356"/>
        <v>-9.9637407370198699E-5</v>
      </c>
      <c r="X463" t="s">
        <v>3860</v>
      </c>
      <c r="Y463">
        <f>_xlfn.XLOOKUP($F463,設計座標!$E$13:$E$2301,設計座標!$L$13:$L$2301," ",0,1)</f>
        <v>1889.4492</v>
      </c>
      <c r="Z463">
        <f>SQRT(($M$462-$M$460)^2+($N$462-$N$460)^2)</f>
        <v>311.22450154485483</v>
      </c>
    </row>
    <row r="464" spans="1:28">
      <c r="A464" t="s">
        <v>797</v>
      </c>
      <c r="B464" t="s">
        <v>3811</v>
      </c>
      <c r="C464" t="s">
        <v>804</v>
      </c>
      <c r="D464" t="s">
        <v>1152</v>
      </c>
      <c r="E464" t="s">
        <v>804</v>
      </c>
      <c r="F464" t="s">
        <v>1488</v>
      </c>
      <c r="G464" t="s">
        <v>2438</v>
      </c>
      <c r="I464">
        <f>_xlfn.XLOOKUP($F464,設計座標!$E$13:$E$2301,設計座標!$G$13:$G$2301,"n/a",0,1)</f>
        <v>117.69519837930983</v>
      </c>
      <c r="J464">
        <f>_xlfn.XLOOKUP($F464,設計座標!$E$13:$E$2301,設計座標!$H$13:$H$2301,"n/a",0,1)</f>
        <v>0</v>
      </c>
      <c r="K464">
        <f>_xlfn.XLOOKUP($F464,設計座標!$E$13:$E$2301,設計座標!$I$13:$I$2301,"n/a",0,1)</f>
        <v>110293.14477892984</v>
      </c>
      <c r="L464">
        <f>_xlfn.XLOOKUP($F464,設計座標!$E$13:$E$2301,設計座標!$J$13:$J$2301,"n/a",0,1)</f>
        <v>-270</v>
      </c>
      <c r="M464" s="2">
        <f t="shared" ref="M464:M470" si="357">$J464+$Q464</f>
        <v>0.67410793053909801</v>
      </c>
      <c r="N464" s="2">
        <f t="shared" ref="N464:N470" si="358">$K464</f>
        <v>110293.14477892984</v>
      </c>
      <c r="O464" s="23">
        <f t="shared" ref="O464:O470" si="359">$L464+$S464</f>
        <v>-261.43866019335894</v>
      </c>
      <c r="P464" s="1">
        <f t="shared" si="315"/>
        <v>-270.22717163073577</v>
      </c>
      <c r="Q464" s="1">
        <f t="shared" si="346"/>
        <v>0.67410793053909801</v>
      </c>
      <c r="R464">
        <f t="shared" si="329"/>
        <v>0</v>
      </c>
      <c r="S464" s="23">
        <f t="shared" si="345"/>
        <v>8.5613398066410618</v>
      </c>
      <c r="T464">
        <f>$S464+測地線補正!$Q$3*(lattice!$N464/1000)^3+測地線補正!$P$3*(lattice!$N464/1000)^2+測地線補正!$O$3*(lattice!$N464/1000)+測地線補正!$N$3</f>
        <v>-0.22717163073574018</v>
      </c>
      <c r="U464">
        <f>ATAN(($P$466-$P$464)/ABS($N$466-$N$464))</f>
        <v>-1.3235171438034226E-5</v>
      </c>
      <c r="V464">
        <v>0</v>
      </c>
      <c r="W464">
        <f>-ATAN(($M$466-$M$464)/ABS($N$466-$N$464))</f>
        <v>-9.963740737019874E-5</v>
      </c>
      <c r="X464">
        <f>SQRT(($M$464-$M$463)^2+($N$464-$N$463)^2)</f>
        <v>183.69680091182599</v>
      </c>
      <c r="Y464">
        <f>_xlfn.XLOOKUP($F464,設計座標!$E$13:$E$2301,設計座標!$L$13:$L$2301," ",0,1)</f>
        <v>1889.4492</v>
      </c>
      <c r="Z464">
        <f>SQRT(($M$465-$M$462)^2+($N$465-$N$462)^2)</f>
        <v>2073.146010290689</v>
      </c>
    </row>
    <row r="465" spans="1:28">
      <c r="A465" t="s">
        <v>797</v>
      </c>
      <c r="B465" t="s">
        <v>3811</v>
      </c>
      <c r="C465" t="s">
        <v>804</v>
      </c>
      <c r="D465" t="s">
        <v>1152</v>
      </c>
      <c r="E465" t="s">
        <v>804</v>
      </c>
      <c r="F465" t="s">
        <v>1341</v>
      </c>
      <c r="G465" t="s">
        <v>2438</v>
      </c>
      <c r="I465">
        <f>_xlfn.XLOOKUP($F465,設計座標!$E$13:$E$2301,設計座標!$G$13:$G$2301,"n/a",0,1)</f>
        <v>118.63992297930983</v>
      </c>
      <c r="J465">
        <f>_xlfn.XLOOKUP($F465,設計座標!$E$13:$E$2301,設計座標!$H$13:$H$2301,"n/a",0,1)</f>
        <v>0</v>
      </c>
      <c r="K465">
        <f>_xlfn.XLOOKUP($F465,設計座標!$E$13:$E$2301,設計座標!$I$13:$I$2301,"n/a",0,1)</f>
        <v>111237.86937892984</v>
      </c>
      <c r="L465">
        <f>_xlfn.XLOOKUP($F465,設計座標!$E$13:$E$2301,設計座標!$J$13:$J$2301,"n/a",0,1)</f>
        <v>-270</v>
      </c>
      <c r="M465" s="2">
        <f t="shared" si="357"/>
        <v>0.76823784067344125</v>
      </c>
      <c r="N465" s="2">
        <f t="shared" si="358"/>
        <v>111237.86937892984</v>
      </c>
      <c r="O465" s="23">
        <f t="shared" si="359"/>
        <v>-261.33841458422859</v>
      </c>
      <c r="P465" s="1">
        <f t="shared" si="315"/>
        <v>-270.23895008689618</v>
      </c>
      <c r="Q465" s="1">
        <f t="shared" si="346"/>
        <v>0.76823784067344125</v>
      </c>
      <c r="R465">
        <f t="shared" si="329"/>
        <v>0</v>
      </c>
      <c r="S465" s="23">
        <f t="shared" si="345"/>
        <v>8.6615854157714125</v>
      </c>
      <c r="T465">
        <f>$S465+測地線補正!$Q$3*(lattice!$N465/1000)^3+測地線補正!$P$3*(lattice!$N465/1000)^2+測地線補正!$O$3*(lattice!$N465/1000)+測地線補正!$N$3</f>
        <v>-0.23895008689615946</v>
      </c>
      <c r="U465">
        <f t="shared" ref="U465:U466" si="360">ATAN(($P$466-$P$464)/ABS($N$466-$N$464))</f>
        <v>-1.3235171438034226E-5</v>
      </c>
      <c r="V465">
        <v>0</v>
      </c>
      <c r="W465">
        <f t="shared" ref="W465:W466" si="361">-ATAN(($M$466-$M$464)/ABS($N$466-$N$464))</f>
        <v>-9.963740737019874E-5</v>
      </c>
      <c r="X465" t="s">
        <v>3860</v>
      </c>
      <c r="Y465">
        <f>_xlfn.XLOOKUP($F465,設計座標!$E$13:$E$2301,設計座標!$L$13:$L$2301," ",0,1)</f>
        <v>1889.4492</v>
      </c>
      <c r="Z465">
        <f>SQRT(($M$465-$M$462)^2+($N$465-$N$462)^2)</f>
        <v>2073.146010290689</v>
      </c>
    </row>
    <row r="466" spans="1:28">
      <c r="A466" t="s">
        <v>797</v>
      </c>
      <c r="B466" t="s">
        <v>3811</v>
      </c>
      <c r="C466" t="s">
        <v>804</v>
      </c>
      <c r="D466" t="s">
        <v>1152</v>
      </c>
      <c r="E466" t="s">
        <v>804</v>
      </c>
      <c r="F466" t="s">
        <v>1489</v>
      </c>
      <c r="G466" t="s">
        <v>2438</v>
      </c>
      <c r="I466">
        <f>_xlfn.XLOOKUP($F466,設計座標!$E$13:$E$2301,設計座標!$G$13:$G$2301,"n/a",0,1)</f>
        <v>119.58464757930983</v>
      </c>
      <c r="J466">
        <f>_xlfn.XLOOKUP($F466,設計座標!$E$13:$E$2301,設計座標!$H$13:$H$2301,"n/a",0,1)</f>
        <v>0</v>
      </c>
      <c r="K466">
        <f>_xlfn.XLOOKUP($F466,設計座標!$E$13:$E$2301,設計座標!$I$13:$I$2301,"n/a",0,1)</f>
        <v>112182.59397892984</v>
      </c>
      <c r="L466">
        <f>_xlfn.XLOOKUP($F466,設計座標!$E$13:$E$2301,設計座標!$J$13:$J$2301,"n/a",0,1)</f>
        <v>-270</v>
      </c>
      <c r="M466" s="2">
        <f t="shared" si="357"/>
        <v>0.86236775080778461</v>
      </c>
      <c r="N466" s="2">
        <f t="shared" si="358"/>
        <v>112182.59397892984</v>
      </c>
      <c r="O466" s="23">
        <f t="shared" si="359"/>
        <v>-261.23816897509823</v>
      </c>
      <c r="P466" s="1">
        <f t="shared" ref="P466:P530" si="362">$L466+$T466</f>
        <v>-270.25217881482268</v>
      </c>
      <c r="Q466" s="1">
        <f t="shared" si="346"/>
        <v>0.86236775080778461</v>
      </c>
      <c r="R466">
        <f t="shared" si="329"/>
        <v>0</v>
      </c>
      <c r="S466" s="23">
        <f t="shared" si="345"/>
        <v>8.761831024901765</v>
      </c>
      <c r="T466">
        <f>$S466+測地線補正!$Q$3*(lattice!$N466/1000)^3+測地線補正!$P$3*(lattice!$N466/1000)^2+測地線補正!$O$3*(lattice!$N466/1000)+測地線補正!$N$3</f>
        <v>-0.25217881482268895</v>
      </c>
      <c r="U466">
        <f t="shared" si="360"/>
        <v>-1.3235171438034226E-5</v>
      </c>
      <c r="V466">
        <v>0</v>
      </c>
      <c r="W466">
        <f t="shared" si="361"/>
        <v>-9.963740737019874E-5</v>
      </c>
      <c r="X466" t="s">
        <v>3860</v>
      </c>
      <c r="Y466">
        <f>_xlfn.XLOOKUP($F466,設計座標!$E$13:$E$2301,設計座標!$L$13:$L$2301," ",0,1)</f>
        <v>1889.4492</v>
      </c>
      <c r="Z466">
        <f>SQRT(($M$465-$M$462)^2+($N$465-$N$462)^2)</f>
        <v>2073.146010290689</v>
      </c>
    </row>
    <row r="467" spans="1:28">
      <c r="A467" t="s">
        <v>797</v>
      </c>
      <c r="B467" t="s">
        <v>3811</v>
      </c>
      <c r="C467" t="s">
        <v>2288</v>
      </c>
      <c r="D467" t="s">
        <v>1152</v>
      </c>
      <c r="E467" t="s">
        <v>804</v>
      </c>
      <c r="F467" t="s">
        <v>2335</v>
      </c>
      <c r="G467" t="s">
        <v>2335</v>
      </c>
      <c r="I467">
        <f>_xlfn.XLOOKUP($F467,設計座標!$E$13:$E$2301,設計座標!$G$13:$G$2301,"n/a",0,1)</f>
        <v>119.71864747930982</v>
      </c>
      <c r="J467">
        <f>_xlfn.XLOOKUP($F467,設計座標!$E$13:$E$2301,設計座標!$H$13:$H$2301,"n/a",0,1)</f>
        <v>0</v>
      </c>
      <c r="K467">
        <f>_xlfn.XLOOKUP($F467,設計座標!$E$13:$E$2301,設計座標!$I$13:$I$2301,"n/a",0,1)</f>
        <v>112316.59387892984</v>
      </c>
      <c r="L467">
        <f>_xlfn.XLOOKUP($F467,設計座標!$E$13:$E$2301,設計座標!$J$13:$J$2301,"n/a",0,1)</f>
        <v>-270</v>
      </c>
      <c r="M467" s="2">
        <f t="shared" si="357"/>
        <v>0.87571915347583251</v>
      </c>
      <c r="N467" s="2">
        <f t="shared" si="358"/>
        <v>112316.59387892984</v>
      </c>
      <c r="O467" s="23">
        <f t="shared" si="359"/>
        <v>-261.22395012063112</v>
      </c>
      <c r="P467" s="1">
        <f t="shared" si="362"/>
        <v>-270.25417383446126</v>
      </c>
      <c r="Q467" s="1">
        <f t="shared" si="346"/>
        <v>0.87571915347583251</v>
      </c>
      <c r="R467">
        <f t="shared" si="329"/>
        <v>0</v>
      </c>
      <c r="S467" s="23">
        <f t="shared" si="345"/>
        <v>8.7760498793688821</v>
      </c>
      <c r="T467">
        <f>$S467+測地線補正!$Q$3*(lattice!$N467/1000)^3+測地線補正!$P$3*(lattice!$N467/1000)^2+測地線補正!$O$3*(lattice!$N467/1000)+測地線補正!$N$3</f>
        <v>-0.25417383446127567</v>
      </c>
      <c r="U467">
        <v>0</v>
      </c>
      <c r="V467">
        <v>0</v>
      </c>
      <c r="W467">
        <v>0</v>
      </c>
      <c r="X467">
        <f>SQRT(($M$467-$M$466)^2+($N$467-$N$466)^2)</f>
        <v>133.99990066514482</v>
      </c>
      <c r="Y467">
        <f>_xlfn.XLOOKUP($F467,設計座標!$E$13:$E$2301,設計座標!$L$13:$L$2301," ",0,1)</f>
        <v>0</v>
      </c>
      <c r="Z467">
        <f>SQRT(($M$467-$M$465)^2+($N$467-$N$465)^2)</f>
        <v>1078.7245053545764</v>
      </c>
    </row>
    <row r="468" spans="1:28">
      <c r="A468" t="s">
        <v>797</v>
      </c>
      <c r="B468" t="s">
        <v>3812</v>
      </c>
      <c r="C468" t="s">
        <v>1152</v>
      </c>
      <c r="D468" t="s">
        <v>1152</v>
      </c>
      <c r="E468" t="s">
        <v>804</v>
      </c>
      <c r="F468" t="s">
        <v>1987</v>
      </c>
      <c r="G468" t="s">
        <v>1987</v>
      </c>
      <c r="I468">
        <f>_xlfn.XLOOKUP($F468,設計座標!$E$13:$E$2301,設計座標!$G$13:$G$2301,"n/a",0,1)</f>
        <v>119.90856447930983</v>
      </c>
      <c r="J468">
        <f>_xlfn.XLOOKUP($F468,設計座標!$E$13:$E$2301,設計座標!$H$13:$H$2301,"n/a",0,1)</f>
        <v>0</v>
      </c>
      <c r="K468">
        <f>_xlfn.XLOOKUP($F468,設計座標!$E$13:$E$2301,設計座標!$I$13:$I$2301,"n/a",0,1)</f>
        <v>112506.51087892984</v>
      </c>
      <c r="L468">
        <f>_xlfn.XLOOKUP($F468,設計座標!$E$13:$E$2301,設計座標!$J$13:$J$2301,"n/a",0,1)</f>
        <v>-270</v>
      </c>
      <c r="M468" s="2">
        <f t="shared" si="357"/>
        <v>0.89464199103397823</v>
      </c>
      <c r="N468" s="2">
        <f t="shared" si="358"/>
        <v>112506.51087892984</v>
      </c>
      <c r="O468" s="23">
        <f t="shared" si="359"/>
        <v>-261.20379785048891</v>
      </c>
      <c r="P468" s="1">
        <f t="shared" si="362"/>
        <v>-270.2570521807155</v>
      </c>
      <c r="Q468" s="1">
        <f t="shared" si="346"/>
        <v>0.89464199103397823</v>
      </c>
      <c r="R468">
        <f t="shared" si="329"/>
        <v>0</v>
      </c>
      <c r="S468" s="23">
        <f t="shared" si="345"/>
        <v>8.7962021495111102</v>
      </c>
      <c r="T468">
        <f>$S468+測地線補正!$Q$3*(lattice!$N468/1000)^3+測地線補正!$P$3*(lattice!$N468/1000)^2+測地線補正!$O$3*(lattice!$N468/1000)+測地線補正!$N$3</f>
        <v>-0.25705218071552133</v>
      </c>
      <c r="U468">
        <v>0</v>
      </c>
      <c r="V468">
        <v>0</v>
      </c>
      <c r="W468">
        <v>0</v>
      </c>
      <c r="X468">
        <f>$Z$468-($Y$468+$Y$467)/2</f>
        <v>189.91700094271252</v>
      </c>
      <c r="Y468">
        <f>_xlfn.XLOOKUP($F468,設計座標!$E$13:$E$2301,設計座標!$L$13:$L$2301," ",0,1)</f>
        <v>0</v>
      </c>
      <c r="Z468">
        <f>SQRT(($M$468-$M$467)^2+($N$468-$N$467)^2)</f>
        <v>189.91700094271252</v>
      </c>
    </row>
    <row r="469" spans="1:28">
      <c r="A469" t="s">
        <v>797</v>
      </c>
      <c r="B469" t="s">
        <v>3812</v>
      </c>
      <c r="C469" t="s">
        <v>805</v>
      </c>
      <c r="D469" t="s">
        <v>806</v>
      </c>
      <c r="F469" t="s">
        <v>55</v>
      </c>
      <c r="G469" t="s">
        <v>2439</v>
      </c>
      <c r="I469">
        <f>_xlfn.XLOOKUP($F469,設計座標!$E$13:$E$2301,設計座標!$G$13:$G$2301,"n/a",0,1)</f>
        <v>120.0417162671</v>
      </c>
      <c r="J469">
        <f>_xlfn.XLOOKUP($F469,設計座標!$E$13:$E$2301,設計座標!$H$13:$H$2301,"n/a",0,1)</f>
        <v>0</v>
      </c>
      <c r="K469">
        <f>_xlfn.XLOOKUP($F469,設計座標!$E$13:$E$2301,設計座標!$I$13:$I$2301,"n/a",0,1)</f>
        <v>112639.66266672</v>
      </c>
      <c r="L469">
        <f>_xlfn.XLOOKUP($F469,設計座標!$E$13:$E$2301,設計座標!$J$13:$J$2301,"n/a",0,1)</f>
        <v>-70</v>
      </c>
      <c r="M469" s="2">
        <f>_xlfn.XLOOKUP($F469,survey_data!$A$2:$A$833,survey_data!$B$2:$B$833,"n/a",0,1)</f>
        <v>0.90790888999999997</v>
      </c>
      <c r="N469" s="2">
        <f>_xlfn.XLOOKUP($F469,survey_data!$A$2:$A$833,survey_data!$C$2:$C$833,"n/a",0,1)</f>
        <v>112639.66266672</v>
      </c>
      <c r="O469" s="23">
        <f>_xlfn.XLOOKUP($F469,survey_data!$A$2:$A$833,survey_data!$D$2:$D$833,"n/a",0,1)</f>
        <v>-61.189668990000001</v>
      </c>
      <c r="P469" s="1">
        <f t="shared" si="362"/>
        <v>-70.259105822963718</v>
      </c>
      <c r="Q469" s="1">
        <f t="shared" si="342"/>
        <v>0.90790888999999997</v>
      </c>
      <c r="R469">
        <f t="shared" si="329"/>
        <v>0</v>
      </c>
      <c r="S469" s="23">
        <f t="shared" si="343"/>
        <v>8.8103310099999987</v>
      </c>
      <c r="T469">
        <f>$S469+測地線補正!$Q$3*(lattice!$N469/1000)^3+測地線補正!$P$3*(lattice!$N469/1000)^2+測地線補正!$O$3*(lattice!$N469/1000)+測地線補正!$N$3</f>
        <v>-0.25910582296371204</v>
      </c>
      <c r="U469">
        <f>ATAN(($P$471-$P$469)/ABS($N$471-$N$469))</f>
        <v>-6.1157698948567058E-5</v>
      </c>
      <c r="V469">
        <v>0</v>
      </c>
      <c r="W469">
        <f>-ATAN(($M$471-$M$469)/ABS($N$471-$N$469))</f>
        <v>1.8825412049291041E-4</v>
      </c>
      <c r="X469">
        <f>$Z$470-($Y$470+$Y$468)/2</f>
        <v>123.1517878851968</v>
      </c>
      <c r="Y469">
        <f>_xlfn.XLOOKUP($F469,設計座標!$E$13:$E$2301,設計座標!$L$13:$L$2301," ",0,1)</f>
        <v>100</v>
      </c>
      <c r="Z469">
        <f>SQRT(($M$470-$M$468)^2+($N$470-$N$468)^2)</f>
        <v>173.1517878851968</v>
      </c>
      <c r="AA469">
        <f>_xlfn.XLOOKUP($G469,magnet_list!$A$2:$A$592,magnet_list!$AJ$2:$AJ$592,"n/a",0,1)</f>
        <v>0.1415265</v>
      </c>
      <c r="AB469">
        <f>_xlfn.XLOOKUP($G469,magnet_list!$A$2:$A$592,magnet_list!$L$2:$L$592,"n/a",0,1)</f>
        <v>44</v>
      </c>
    </row>
    <row r="470" spans="1:28">
      <c r="A470" t="s">
        <v>797</v>
      </c>
      <c r="B470" t="s">
        <v>3812</v>
      </c>
      <c r="C470" t="s">
        <v>805</v>
      </c>
      <c r="D470" t="s">
        <v>1152</v>
      </c>
      <c r="E470" t="s">
        <v>804</v>
      </c>
      <c r="F470" t="s">
        <v>574</v>
      </c>
      <c r="G470" t="s">
        <v>2439</v>
      </c>
      <c r="I470">
        <f>_xlfn.XLOOKUP($F470,設計座標!$E$13:$E$2301,設計座標!$G$13:$G$2301,"n/a",0,1)</f>
        <v>120.08171626710001</v>
      </c>
      <c r="J470">
        <f>_xlfn.XLOOKUP($F470,設計座標!$E$13:$E$2301,設計座標!$H$13:$H$2301,"n/a",0,1)</f>
        <v>0</v>
      </c>
      <c r="K470">
        <f>_xlfn.XLOOKUP($F470,設計座標!$E$13:$E$2301,設計座標!$I$13:$I$2301,"n/a",0,1)</f>
        <v>112679.66266672</v>
      </c>
      <c r="L470">
        <f>_xlfn.XLOOKUP($F470,設計座標!$E$13:$E$2301,設計座標!$J$13:$J$2301,"n/a",0,1)</f>
        <v>-70</v>
      </c>
      <c r="M470" s="2">
        <f t="shared" si="357"/>
        <v>0.90037872509132821</v>
      </c>
      <c r="N470" s="2">
        <f t="shared" si="358"/>
        <v>112679.66266672</v>
      </c>
      <c r="O470" s="23">
        <f t="shared" si="359"/>
        <v>-61.187246852236463</v>
      </c>
      <c r="P470" s="1">
        <f t="shared" si="362"/>
        <v>-70.261550800532717</v>
      </c>
      <c r="Q470" s="1">
        <f>(Q$471-Q$469)/($N$471-$N$469)*($N470-$N$469)+Q$469</f>
        <v>0.90037872509132821</v>
      </c>
      <c r="R470">
        <f t="shared" si="329"/>
        <v>0</v>
      </c>
      <c r="S470" s="23">
        <f>(S$471-S$469)/($N$471-$N$469)*($N470-$N$469)+S$469</f>
        <v>8.8127531477635355</v>
      </c>
      <c r="T470">
        <f>$S470+測地線補正!$Q$3*(lattice!$N470/1000)^3+測地線補正!$P$3*(lattice!$N470/1000)^2+測地線補正!$O$3*(lattice!$N470/1000)+測地線補正!$N$3</f>
        <v>-0.26155080053271079</v>
      </c>
      <c r="U470">
        <f t="shared" ref="U470:U471" si="363">ATAN(($P$471-$P$469)/ABS($N$471-$N$469))</f>
        <v>-6.1157698948567058E-5</v>
      </c>
      <c r="V470">
        <v>0</v>
      </c>
      <c r="W470">
        <f t="shared" ref="W470:W471" si="364">-ATAN(($M$471-$M$469)/ABS($N$471-$N$469))</f>
        <v>1.8825412049291041E-4</v>
      </c>
      <c r="X470">
        <f>$Z$470-($Y$470+$Y$468)/2</f>
        <v>123.1517878851968</v>
      </c>
      <c r="Y470">
        <f>_xlfn.XLOOKUP($F470,設計座標!$E$13:$E$2301,設計座標!$L$13:$L$2301," ",0,1)</f>
        <v>100</v>
      </c>
      <c r="Z470">
        <f>SQRT(($M$470-$M$468)^2+($N$470-$N$468)^2)</f>
        <v>173.1517878851968</v>
      </c>
      <c r="AA470">
        <f>_xlfn.XLOOKUP($G470,magnet_list!$A$2:$A$592,magnet_list!$AJ$2:$AJ$592,"n/a",0,1)</f>
        <v>0.1415265</v>
      </c>
      <c r="AB470">
        <f>_xlfn.XLOOKUP($G470,magnet_list!$A$2:$A$592,magnet_list!$L$2:$L$592,"n/a",0,1)</f>
        <v>44</v>
      </c>
    </row>
    <row r="471" spans="1:28">
      <c r="A471" t="s">
        <v>797</v>
      </c>
      <c r="B471" t="s">
        <v>3812</v>
      </c>
      <c r="C471" t="s">
        <v>805</v>
      </c>
      <c r="D471" t="s">
        <v>806</v>
      </c>
      <c r="F471" t="s">
        <v>56</v>
      </c>
      <c r="G471" t="s">
        <v>2439</v>
      </c>
      <c r="I471">
        <f>_xlfn.XLOOKUP($F471,設計座標!$E$13:$E$2301,設計座標!$G$13:$G$2301,"n/a",0,1)</f>
        <v>120.12176885656001</v>
      </c>
      <c r="J471">
        <f>_xlfn.XLOOKUP($F471,設計座標!$E$13:$E$2301,設計座標!$H$13:$H$2301,"n/a",0,1)</f>
        <v>0</v>
      </c>
      <c r="K471">
        <f>_xlfn.XLOOKUP($F471,設計座標!$E$13:$E$2301,設計座標!$I$13:$I$2301,"n/a",0,1)</f>
        <v>112719.71525618</v>
      </c>
      <c r="L471">
        <f>_xlfn.XLOOKUP($F471,設計座標!$E$13:$E$2301,設計座標!$J$13:$J$2301,"n/a",0,1)</f>
        <v>-70</v>
      </c>
      <c r="M471" s="2">
        <f>_xlfn.XLOOKUP($F471,survey_data!$A$2:$A$833,survey_data!$B$2:$B$833,"n/a",0,1)</f>
        <v>0.89283866000000001</v>
      </c>
      <c r="N471" s="2">
        <f>_xlfn.XLOOKUP($F471,survey_data!$A$2:$A$833,survey_data!$C$2:$C$833,"n/a",0,1)</f>
        <v>112719.71525618</v>
      </c>
      <c r="O471" s="23">
        <f>_xlfn.XLOOKUP($F471,survey_data!$A$2:$A$833,survey_data!$D$2:$D$833,"n/a",0,1)</f>
        <v>-61.184821530000001</v>
      </c>
      <c r="P471" s="1">
        <f t="shared" si="362"/>
        <v>-70.26400165513607</v>
      </c>
      <c r="Q471" s="1">
        <f t="shared" si="342"/>
        <v>0.89283866000000001</v>
      </c>
      <c r="R471">
        <f t="shared" si="329"/>
        <v>0</v>
      </c>
      <c r="S471" s="23">
        <f t="shared" si="343"/>
        <v>8.8151784699999993</v>
      </c>
      <c r="T471">
        <f>$S471+測地線補正!$Q$3*(lattice!$N471/1000)^3+測地線補正!$P$3*(lattice!$N471/1000)^2+測地線補正!$O$3*(lattice!$N471/1000)+測地線補正!$N$3</f>
        <v>-0.26400165513606383</v>
      </c>
      <c r="U471">
        <f t="shared" si="363"/>
        <v>-6.1157698948567058E-5</v>
      </c>
      <c r="V471">
        <v>0</v>
      </c>
      <c r="W471">
        <f t="shared" si="364"/>
        <v>1.8825412049291041E-4</v>
      </c>
      <c r="X471">
        <f>$Z$470-($Y$470+$Y$468)/2</f>
        <v>123.1517878851968</v>
      </c>
      <c r="Y471">
        <f>_xlfn.XLOOKUP($F471,設計座標!$E$13:$E$2301,設計座標!$L$13:$L$2301," ",0,1)</f>
        <v>100</v>
      </c>
      <c r="Z471">
        <f>SQRT(($M$470-$M$468)^2+($N$470-$N$468)^2)</f>
        <v>173.1517878851968</v>
      </c>
      <c r="AA471">
        <f>_xlfn.XLOOKUP($G471,magnet_list!$A$2:$A$592,magnet_list!$AJ$2:$AJ$592,"n/a",0,1)</f>
        <v>0.1415265</v>
      </c>
      <c r="AB471">
        <f>_xlfn.XLOOKUP($G471,magnet_list!$A$2:$A$592,magnet_list!$L$2:$L$592,"n/a",0,1)</f>
        <v>44</v>
      </c>
    </row>
    <row r="472" spans="1:28">
      <c r="A472" t="s">
        <v>797</v>
      </c>
      <c r="B472" t="s">
        <v>3812</v>
      </c>
      <c r="C472" t="s">
        <v>805</v>
      </c>
      <c r="D472" t="s">
        <v>806</v>
      </c>
      <c r="F472" t="s">
        <v>57</v>
      </c>
      <c r="G472" t="s">
        <v>2440</v>
      </c>
      <c r="I472">
        <f>_xlfn.XLOOKUP($F472,設計座標!$E$13:$E$2301,設計座標!$G$13:$G$2301,"n/a",0,1)</f>
        <v>120.29167303446</v>
      </c>
      <c r="J472">
        <f>_xlfn.XLOOKUP($F472,設計座標!$E$13:$E$2301,設計座標!$H$13:$H$2301,"n/a",0,1)</f>
        <v>0</v>
      </c>
      <c r="K472">
        <f>_xlfn.XLOOKUP($F472,設計座標!$E$13:$E$2301,設計座標!$I$13:$I$2301,"n/a",0,1)</f>
        <v>112889.61943408</v>
      </c>
      <c r="L472">
        <f>_xlfn.XLOOKUP($F472,設計座標!$E$13:$E$2301,設計座標!$J$13:$J$2301,"n/a",0,1)</f>
        <v>-70</v>
      </c>
      <c r="M472" s="2">
        <f>_xlfn.XLOOKUP($F472,survey_data!$A$2:$A$833,survey_data!$B$2:$B$833,"n/a",0,1)</f>
        <v>0.90485267000000003</v>
      </c>
      <c r="N472" s="2">
        <f>_xlfn.XLOOKUP($F472,survey_data!$A$2:$A$833,survey_data!$C$2:$C$833,"n/a",0,1)</f>
        <v>112889.61943408</v>
      </c>
      <c r="O472" s="23">
        <f>_xlfn.XLOOKUP($F472,survey_data!$A$2:$A$833,survey_data!$D$2:$D$833,"n/a",0,1)</f>
        <v>-61.190658409999998</v>
      </c>
      <c r="P472" s="1">
        <f t="shared" si="362"/>
        <v>-70.290553069955024</v>
      </c>
      <c r="Q472" s="1">
        <f t="shared" si="342"/>
        <v>0.90485267000000003</v>
      </c>
      <c r="R472">
        <f t="shared" si="329"/>
        <v>0</v>
      </c>
      <c r="S472" s="23">
        <f t="shared" si="343"/>
        <v>8.8093415900000025</v>
      </c>
      <c r="T472">
        <f>$S472+測地線補正!$Q$3*(lattice!$N472/1000)^3+測地線補正!$P$3*(lattice!$N472/1000)^2+測地線補正!$O$3*(lattice!$N472/1000)+測地線補正!$N$3</f>
        <v>-0.290553069955023</v>
      </c>
      <c r="U472">
        <f>ATAN(($P$474-$P$472)/ABS($N$474-$N$472))</f>
        <v>4.7517721232124844E-4</v>
      </c>
      <c r="V472">
        <v>0</v>
      </c>
      <c r="W472">
        <f>-ATAN(($M$474-$M$472)/ABS($N$474-$N$472))</f>
        <v>-4.400661680279264E-4</v>
      </c>
      <c r="X472">
        <f>$Z$473-($Y$473+$Y$470)/2</f>
        <v>149.95676833491635</v>
      </c>
      <c r="Y472">
        <f>_xlfn.XLOOKUP($F472,設計座標!$E$13:$E$2301,設計座標!$L$13:$L$2301," ",0,1)</f>
        <v>100</v>
      </c>
      <c r="Z472">
        <f>SQRT(($M$473-$M$470)^2+($N$473-$N$470)^2)</f>
        <v>249.95676833491635</v>
      </c>
      <c r="AA472">
        <f>_xlfn.XLOOKUP($G472,magnet_list!$A$2:$A$592,magnet_list!$AJ$2:$AJ$592,"n/a",0,1)</f>
        <v>0.1415265</v>
      </c>
      <c r="AB472">
        <f>_xlfn.XLOOKUP($G472,magnet_list!$A$2:$A$592,magnet_list!$L$2:$L$592,"n/a",0,1)</f>
        <v>44</v>
      </c>
    </row>
    <row r="473" spans="1:28">
      <c r="A473" t="s">
        <v>797</v>
      </c>
      <c r="B473" t="s">
        <v>3812</v>
      </c>
      <c r="C473" t="s">
        <v>805</v>
      </c>
      <c r="D473" t="s">
        <v>1152</v>
      </c>
      <c r="E473" t="s">
        <v>804</v>
      </c>
      <c r="F473" t="s">
        <v>575</v>
      </c>
      <c r="G473" t="s">
        <v>2440</v>
      </c>
      <c r="I473">
        <f>_xlfn.XLOOKUP($F473,設計座標!$E$13:$E$2301,設計座標!$G$13:$G$2301,"n/a",0,1)</f>
        <v>120.33167303446001</v>
      </c>
      <c r="J473">
        <f>_xlfn.XLOOKUP($F473,設計座標!$E$13:$E$2301,設計座標!$H$13:$H$2301,"n/a",0,1)</f>
        <v>0</v>
      </c>
      <c r="K473">
        <f>_xlfn.XLOOKUP($F473,設計座標!$E$13:$E$2301,設計座標!$I$13:$I$2301,"n/a",0,1)</f>
        <v>112929.61943408</v>
      </c>
      <c r="L473">
        <f>_xlfn.XLOOKUP($F473,設計座標!$E$13:$E$2301,設計座標!$J$13:$J$2301,"n/a",0,1)</f>
        <v>-70</v>
      </c>
      <c r="M473" s="2">
        <f t="shared" ref="M473:M483" si="365">$J473+$Q473</f>
        <v>0.9224553178574163</v>
      </c>
      <c r="N473" s="2">
        <f t="shared" ref="N473:N483" si="366">$K473</f>
        <v>112929.61943408</v>
      </c>
      <c r="O473" s="23">
        <f t="shared" ref="O473:O483" si="367">$L473+$S473</f>
        <v>-61.166766239076104</v>
      </c>
      <c r="P473" s="1">
        <f t="shared" si="362"/>
        <v>-70.271544645657457</v>
      </c>
      <c r="Q473" s="1">
        <f>(Q$474-Q$472)/($N$474-$N$472)*($N473-$N$472)+Q$472</f>
        <v>0.9224553178574163</v>
      </c>
      <c r="R473">
        <f t="shared" si="329"/>
        <v>0</v>
      </c>
      <c r="S473" s="23">
        <f>(S$474-S$472)/($N$474-$N$472)*($N473-$N$472)+S$472</f>
        <v>8.8332337609238945</v>
      </c>
      <c r="T473">
        <f>$S473+測地線補正!$Q$3*(lattice!$N473/1000)^3+測地線補正!$P$3*(lattice!$N473/1000)^2+測地線補正!$O$3*(lattice!$N473/1000)+測地線補正!$N$3</f>
        <v>-0.27154464565746289</v>
      </c>
      <c r="U473">
        <f t="shared" ref="U473:U474" si="368">ATAN(($P$474-$P$472)/ABS($N$474-$N$472))</f>
        <v>4.7517721232124844E-4</v>
      </c>
      <c r="V473">
        <v>0</v>
      </c>
      <c r="W473">
        <f t="shared" ref="W473:W474" si="369">-ATAN(($M$474-$M$472)/ABS($N$474-$N$472))</f>
        <v>-4.400661680279264E-4</v>
      </c>
      <c r="X473">
        <f>$Z$473-($Y$473+$Y$470)/2</f>
        <v>149.95676833491635</v>
      </c>
      <c r="Y473">
        <f>_xlfn.XLOOKUP($F473,設計座標!$E$13:$E$2301,設計座標!$L$13:$L$2301," ",0,1)</f>
        <v>100</v>
      </c>
      <c r="Z473">
        <f>SQRT(($M$473-$M$470)^2+($N$473-$N$470)^2)</f>
        <v>249.95676833491635</v>
      </c>
      <c r="AA473">
        <f>_xlfn.XLOOKUP($G473,magnet_list!$A$2:$A$592,magnet_list!$AJ$2:$AJ$592,"n/a",0,1)</f>
        <v>0.1415265</v>
      </c>
      <c r="AB473">
        <f>_xlfn.XLOOKUP($G473,magnet_list!$A$2:$A$592,magnet_list!$L$2:$L$592,"n/a",0,1)</f>
        <v>44</v>
      </c>
    </row>
    <row r="474" spans="1:28">
      <c r="A474" t="s">
        <v>797</v>
      </c>
      <c r="B474" t="s">
        <v>3812</v>
      </c>
      <c r="C474" t="s">
        <v>805</v>
      </c>
      <c r="D474" t="s">
        <v>806</v>
      </c>
      <c r="F474" t="s">
        <v>58</v>
      </c>
      <c r="G474" t="s">
        <v>2440</v>
      </c>
      <c r="I474">
        <f>_xlfn.XLOOKUP($F474,設計座標!$E$13:$E$2301,設計座標!$G$13:$G$2301,"n/a",0,1)</f>
        <v>120.37169569988001</v>
      </c>
      <c r="J474">
        <f>_xlfn.XLOOKUP($F474,設計座標!$E$13:$E$2301,設計座標!$H$13:$H$2301,"n/a",0,1)</f>
        <v>0</v>
      </c>
      <c r="K474">
        <f>_xlfn.XLOOKUP($F474,設計座標!$E$13:$E$2301,設計座標!$I$13:$I$2301,"n/a",0,1)</f>
        <v>112969.64209949999</v>
      </c>
      <c r="L474">
        <f>_xlfn.XLOOKUP($F474,設計座標!$E$13:$E$2301,設計座標!$J$13:$J$2301,"n/a",0,1)</f>
        <v>-70</v>
      </c>
      <c r="M474" s="2">
        <f>_xlfn.XLOOKUP($F474,survey_data!$A$2:$A$833,survey_data!$B$2:$B$833,"n/a",0,1)</f>
        <v>0.94006794000000005</v>
      </c>
      <c r="N474" s="2">
        <f>_xlfn.XLOOKUP($F474,survey_data!$A$2:$A$833,survey_data!$C$2:$C$833,"n/a",0,1)</f>
        <v>112969.64209949999</v>
      </c>
      <c r="O474" s="23">
        <f>_xlfn.XLOOKUP($F474,survey_data!$A$2:$A$833,survey_data!$D$2:$D$833,"n/a",0,1)</f>
        <v>-61.14286053</v>
      </c>
      <c r="P474" s="1">
        <f t="shared" si="362"/>
        <v>-70.252528120016308</v>
      </c>
      <c r="Q474" s="1">
        <f t="shared" si="342"/>
        <v>0.94006794000000005</v>
      </c>
      <c r="R474">
        <f t="shared" si="329"/>
        <v>0</v>
      </c>
      <c r="S474" s="23">
        <f t="shared" si="343"/>
        <v>8.8571394699999999</v>
      </c>
      <c r="T474">
        <f>$S474+測地線補正!$Q$3*(lattice!$N474/1000)^3+測地線補正!$P$3*(lattice!$N474/1000)^2+測地線補正!$O$3*(lattice!$N474/1000)+測地線補正!$N$3</f>
        <v>-0.25252812001631036</v>
      </c>
      <c r="U474">
        <f t="shared" si="368"/>
        <v>4.7517721232124844E-4</v>
      </c>
      <c r="V474">
        <v>0</v>
      </c>
      <c r="W474">
        <f t="shared" si="369"/>
        <v>-4.400661680279264E-4</v>
      </c>
      <c r="X474">
        <f>$Z$473-($Y$473+$Y$470)/2</f>
        <v>149.95676833491635</v>
      </c>
      <c r="Y474">
        <f>_xlfn.XLOOKUP($F474,設計座標!$E$13:$E$2301,設計座標!$L$13:$L$2301," ",0,1)</f>
        <v>100</v>
      </c>
      <c r="Z474">
        <f>SQRT(($M$473-$M$470)^2+($N$473-$N$470)^2)</f>
        <v>249.95676833491635</v>
      </c>
      <c r="AA474">
        <f>_xlfn.XLOOKUP($G474,magnet_list!$A$2:$A$592,magnet_list!$AJ$2:$AJ$592,"n/a",0,1)</f>
        <v>0.1415265</v>
      </c>
      <c r="AB474">
        <f>_xlfn.XLOOKUP($G474,magnet_list!$A$2:$A$592,magnet_list!$L$2:$L$592,"n/a",0,1)</f>
        <v>44</v>
      </c>
    </row>
    <row r="475" spans="1:28">
      <c r="A475" t="s">
        <v>797</v>
      </c>
      <c r="B475" t="s">
        <v>3812</v>
      </c>
      <c r="C475" t="s">
        <v>1152</v>
      </c>
      <c r="D475" t="s">
        <v>1152</v>
      </c>
      <c r="E475" t="s">
        <v>804</v>
      </c>
      <c r="F475" t="s">
        <v>1988</v>
      </c>
      <c r="G475" t="s">
        <v>1988</v>
      </c>
      <c r="I475">
        <f>_xlfn.XLOOKUP($F475,設計座標!$E$13:$E$2301,設計座標!$G$13:$G$2301,"n/a",0,1)</f>
        <v>120.51856427930984</v>
      </c>
      <c r="J475">
        <f>_xlfn.XLOOKUP($F475,設計座標!$E$13:$E$2301,設計座標!$H$13:$H$2301,"n/a",0,1)</f>
        <v>0</v>
      </c>
      <c r="K475">
        <f>_xlfn.XLOOKUP($F475,設計座標!$E$13:$E$2301,設計座標!$I$13:$I$2301,"n/a",0,1)</f>
        <v>113116.51067892984</v>
      </c>
      <c r="L475">
        <f>_xlfn.XLOOKUP($F475,設計座標!$E$13:$E$2301,設計座標!$J$13:$J$2301,"n/a",0,1)</f>
        <v>-270</v>
      </c>
      <c r="M475" s="2">
        <f t="shared" si="365"/>
        <v>0.90715027665928949</v>
      </c>
      <c r="N475" s="2">
        <f t="shared" si="366"/>
        <v>113116.51067892984</v>
      </c>
      <c r="O475" s="23">
        <f t="shared" si="367"/>
        <v>-261.08630858703884</v>
      </c>
      <c r="P475" s="1">
        <f t="shared" si="362"/>
        <v>-270.21394060081252</v>
      </c>
      <c r="Q475" s="1">
        <f>(Q$476-Q$474)/($N$476-$N$474)*($N475-$N$474)+Q$474</f>
        <v>0.90715027665928949</v>
      </c>
      <c r="R475">
        <f t="shared" si="329"/>
        <v>0</v>
      </c>
      <c r="S475" s="23">
        <f>(S$476-S$474)/($N$476-$N$474)*($N475-$N$474)+S$474</f>
        <v>8.913691412961164</v>
      </c>
      <c r="T475">
        <f>$S475+測地線補正!$Q$3*(lattice!$N475/1000)^3+測地線補正!$P$3*(lattice!$N475/1000)^2+測地線補正!$O$3*(lattice!$N475/1000)+測地線補正!$N$3</f>
        <v>-0.21394060081253027</v>
      </c>
      <c r="U475">
        <v>0</v>
      </c>
      <c r="V475">
        <v>0</v>
      </c>
      <c r="W475">
        <v>0</v>
      </c>
      <c r="X475">
        <f>$Z$475-($Y$475+$Y$473)/2</f>
        <v>136.89124547653105</v>
      </c>
      <c r="Y475">
        <f>_xlfn.XLOOKUP($F475,設計座標!$E$13:$E$2301,設計座標!$L$13:$L$2301," ",0,1)</f>
        <v>0</v>
      </c>
      <c r="Z475">
        <f>SQRT(($M$475-$M$473)^2+($N$475-$N$473)^2)</f>
        <v>186.89124547653105</v>
      </c>
    </row>
    <row r="476" spans="1:28">
      <c r="A476" t="s">
        <v>797</v>
      </c>
      <c r="B476" t="s">
        <v>3812</v>
      </c>
      <c r="C476" t="s">
        <v>805</v>
      </c>
      <c r="D476" t="s">
        <v>806</v>
      </c>
      <c r="F476" t="s">
        <v>59</v>
      </c>
      <c r="G476" t="s">
        <v>2441</v>
      </c>
      <c r="I476">
        <f>_xlfn.XLOOKUP($F476,設計座標!$E$13:$E$2301,設計座標!$G$13:$G$2301,"n/a",0,1)</f>
        <v>120.67877882997999</v>
      </c>
      <c r="J476">
        <f>_xlfn.XLOOKUP($F476,設計座標!$E$13:$E$2301,設計座標!$H$13:$H$2301,"n/a",0,1)</f>
        <v>0</v>
      </c>
      <c r="K476">
        <f>_xlfn.XLOOKUP($F476,設計座標!$E$13:$E$2301,設計座標!$I$13:$I$2301,"n/a",0,1)</f>
        <v>113276.72522959999</v>
      </c>
      <c r="L476">
        <f>_xlfn.XLOOKUP($F476,設計座標!$E$13:$E$2301,設計座標!$J$13:$J$2301,"n/a",0,1)</f>
        <v>35</v>
      </c>
      <c r="M476" s="2">
        <f>_xlfn.XLOOKUP($F476,survey_data!$A$2:$A$833,survey_data!$B$2:$B$833,"n/a",0,1)</f>
        <v>0.87124137999999995</v>
      </c>
      <c r="N476" s="2">
        <f>_xlfn.XLOOKUP($F476,survey_data!$A$2:$A$833,survey_data!$C$2:$C$833,"n/a",0,1)</f>
        <v>113276.72522959999</v>
      </c>
      <c r="O476" s="23">
        <f>_xlfn.XLOOKUP($F476,survey_data!$A$2:$A$833,survey_data!$D$2:$D$833,"n/a",0,1)</f>
        <v>43.975382240000002</v>
      </c>
      <c r="P476" s="1">
        <f t="shared" si="362"/>
        <v>34.828112247263022</v>
      </c>
      <c r="Q476" s="1">
        <f t="shared" si="342"/>
        <v>0.87124137999999995</v>
      </c>
      <c r="R476">
        <f t="shared" si="329"/>
        <v>0</v>
      </c>
      <c r="S476" s="23">
        <f t="shared" si="343"/>
        <v>8.9753822400000018</v>
      </c>
      <c r="T476">
        <f>$S476+測地線補正!$Q$3*(lattice!$N476/1000)^3+測地線補正!$P$3*(lattice!$N476/1000)^2+測地線補正!$O$3*(lattice!$N476/1000)+測地線補正!$N$3</f>
        <v>-0.1718877527369774</v>
      </c>
      <c r="U476">
        <f>ATAN(($P$478-$P$476)/ABS($N$478-$N$476))</f>
        <v>2.7022895671926947E-4</v>
      </c>
      <c r="V476">
        <v>0</v>
      </c>
      <c r="W476">
        <f>-ATAN(($M$478-$M$476)/ABS($N$478-$N$476))</f>
        <v>-3.5239513689685375E-4</v>
      </c>
      <c r="X476">
        <f>$Z$477-($Y$477+$Y$475)/2</f>
        <v>85.714550853733328</v>
      </c>
      <c r="Y476">
        <f>_xlfn.XLOOKUP($F476,設計座標!$E$13:$E$2301,設計座標!$L$13:$L$2301," ",0,1)</f>
        <v>300</v>
      </c>
      <c r="Z476">
        <f>SQRT(($M$477-$M$475)^2+($N$477-$N$475)^2)</f>
        <v>235.71455085373333</v>
      </c>
      <c r="AA476">
        <f>_xlfn.XLOOKUP($G476,magnet_list!$A$2:$A$592,magnet_list!$AJ$2:$AJ$592,"n/a",0,1)</f>
        <v>0.3231</v>
      </c>
      <c r="AB476">
        <f>_xlfn.XLOOKUP($G476,magnet_list!$A$2:$A$592,magnet_list!$L$2:$L$592,"n/a",0,1)</f>
        <v>44</v>
      </c>
    </row>
    <row r="477" spans="1:28">
      <c r="A477" t="s">
        <v>797</v>
      </c>
      <c r="B477" t="s">
        <v>3812</v>
      </c>
      <c r="C477" t="s">
        <v>805</v>
      </c>
      <c r="D477" t="s">
        <v>1152</v>
      </c>
      <c r="E477" t="s">
        <v>804</v>
      </c>
      <c r="F477" t="s">
        <v>576</v>
      </c>
      <c r="G477" t="s">
        <v>2441</v>
      </c>
      <c r="I477">
        <f>_xlfn.XLOOKUP($F477,設計座標!$E$13:$E$2301,設計座標!$G$13:$G$2301,"n/a",0,1)</f>
        <v>120.75427882998</v>
      </c>
      <c r="J477">
        <f>_xlfn.XLOOKUP($F477,設計座標!$E$13:$E$2301,設計座標!$H$13:$H$2301,"n/a",0,1)</f>
        <v>0</v>
      </c>
      <c r="K477">
        <f>_xlfn.XLOOKUP($F477,設計座標!$E$13:$E$2301,設計座標!$I$13:$I$2301,"n/a",0,1)</f>
        <v>113352.22522959999</v>
      </c>
      <c r="L477">
        <f>_xlfn.XLOOKUP($F477,設計座標!$E$13:$E$2301,設計座標!$J$13:$J$2301,"n/a",0,1)</f>
        <v>35</v>
      </c>
      <c r="M477" s="2">
        <f t="shared" si="365"/>
        <v>0.89784721393703726</v>
      </c>
      <c r="N477" s="2">
        <f t="shared" si="366"/>
        <v>113352.22522959999</v>
      </c>
      <c r="O477" s="23">
        <f t="shared" si="367"/>
        <v>44.005058410157581</v>
      </c>
      <c r="P477" s="1">
        <f t="shared" si="362"/>
        <v>34.848519251409002</v>
      </c>
      <c r="Q477" s="1">
        <f>(Q$478-Q$476)/($N$478-$N$476)*($N477-$N$476)+Q$476</f>
        <v>0.89784721393703726</v>
      </c>
      <c r="R477">
        <f t="shared" si="329"/>
        <v>0</v>
      </c>
      <c r="S477" s="23">
        <f>(S$478-S$476)/($N$478-$N$476)*($N477-$N$476)+S$476</f>
        <v>9.005058410157579</v>
      </c>
      <c r="T477">
        <f>$S477+測地線補正!$Q$3*(lattice!$N477/1000)^3+測地線補正!$P$3*(lattice!$N477/1000)^2+測地線補正!$O$3*(lattice!$N477/1000)+測地線補正!$N$3</f>
        <v>-0.15148074859100089</v>
      </c>
      <c r="U477">
        <f t="shared" ref="U477:U478" si="370">ATAN(($P$478-$P$476)/ABS($N$478-$N$476))</f>
        <v>2.7022895671926947E-4</v>
      </c>
      <c r="V477">
        <v>0</v>
      </c>
      <c r="W477">
        <f t="shared" ref="W477:W478" si="371">-ATAN(($M$478-$M$476)/ABS($N$478-$N$476))</f>
        <v>-3.5239513689685375E-4</v>
      </c>
      <c r="X477">
        <f>$Z$477-($Y$477+$Y$475)/2</f>
        <v>85.714550853733328</v>
      </c>
      <c r="Y477">
        <f>_xlfn.XLOOKUP($F477,設計座標!$E$13:$E$2301,設計座標!$L$13:$L$2301," ",0,1)</f>
        <v>300</v>
      </c>
      <c r="Z477">
        <f>SQRT(($M$477-$M$475)^2+($N$477-$N$475)^2)</f>
        <v>235.71455085373333</v>
      </c>
      <c r="AA477">
        <f>_xlfn.XLOOKUP($G477,magnet_list!$A$2:$A$592,magnet_list!$AJ$2:$AJ$592,"n/a",0,1)</f>
        <v>0.3231</v>
      </c>
      <c r="AB477">
        <f>_xlfn.XLOOKUP($G477,magnet_list!$A$2:$A$592,magnet_list!$L$2:$L$592,"n/a",0,1)</f>
        <v>44</v>
      </c>
    </row>
    <row r="478" spans="1:28">
      <c r="A478" t="s">
        <v>797</v>
      </c>
      <c r="B478" t="s">
        <v>3812</v>
      </c>
      <c r="C478" t="s">
        <v>805</v>
      </c>
      <c r="D478" t="s">
        <v>806</v>
      </c>
      <c r="F478" t="s">
        <v>60</v>
      </c>
      <c r="G478" t="s">
        <v>2441</v>
      </c>
      <c r="I478">
        <f>_xlfn.XLOOKUP($F478,設計座標!$E$13:$E$2301,設計座標!$G$13:$G$2301,"n/a",0,1)</f>
        <v>120.82877229549</v>
      </c>
      <c r="J478">
        <f>_xlfn.XLOOKUP($F478,設計座標!$E$13:$E$2301,設計座標!$H$13:$H$2301,"n/a",0,1)</f>
        <v>0</v>
      </c>
      <c r="K478">
        <f>_xlfn.XLOOKUP($F478,設計座標!$E$13:$E$2301,設計座標!$I$13:$I$2301,"n/a",0,1)</f>
        <v>113426.71869511</v>
      </c>
      <c r="L478">
        <f>_xlfn.XLOOKUP($F478,設計座標!$E$13:$E$2301,設計座標!$J$13:$J$2301,"n/a",0,1)</f>
        <v>35</v>
      </c>
      <c r="M478" s="2">
        <f>_xlfn.XLOOKUP($F478,survey_data!$A$2:$A$833,survey_data!$B$2:$B$833,"n/a",0,1)</f>
        <v>0.92409834999999996</v>
      </c>
      <c r="N478" s="2">
        <f>_xlfn.XLOOKUP($F478,survey_data!$A$2:$A$833,survey_data!$C$2:$C$833,"n/a",0,1)</f>
        <v>113426.71869511</v>
      </c>
      <c r="O478" s="23">
        <f>_xlfn.XLOOKUP($F478,survey_data!$A$2:$A$833,survey_data!$D$2:$D$833,"n/a",0,1)</f>
        <v>44.034338949999999</v>
      </c>
      <c r="P478" s="1">
        <f t="shared" si="362"/>
        <v>34.868644825949112</v>
      </c>
      <c r="Q478" s="1">
        <f t="shared" si="342"/>
        <v>0.92409834999999996</v>
      </c>
      <c r="R478">
        <f t="shared" si="329"/>
        <v>0</v>
      </c>
      <c r="S478" s="23">
        <f t="shared" si="343"/>
        <v>9.0343389499999986</v>
      </c>
      <c r="T478">
        <f>$S478+測地線補正!$Q$3*(lattice!$N478/1000)^3+測地線補正!$P$3*(lattice!$N478/1000)^2+測地線補正!$O$3*(lattice!$N478/1000)+測地線補正!$N$3</f>
        <v>-0.13135517405088923</v>
      </c>
      <c r="U478">
        <f t="shared" si="370"/>
        <v>2.7022895671926947E-4</v>
      </c>
      <c r="V478">
        <v>0</v>
      </c>
      <c r="W478">
        <f t="shared" si="371"/>
        <v>-3.5239513689685375E-4</v>
      </c>
      <c r="X478">
        <f>$Z$477-($Y$477+$Y$475)/2</f>
        <v>85.714550853733328</v>
      </c>
      <c r="Y478">
        <f>_xlfn.XLOOKUP($F478,設計座標!$E$13:$E$2301,設計座標!$L$13:$L$2301," ",0,1)</f>
        <v>300</v>
      </c>
      <c r="Z478">
        <f>SQRT(($M$477-$M$475)^2+($N$477-$N$475)^2)</f>
        <v>235.71455085373333</v>
      </c>
      <c r="AA478">
        <f>_xlfn.XLOOKUP($G478,magnet_list!$A$2:$A$592,magnet_list!$AJ$2:$AJ$592,"n/a",0,1)</f>
        <v>0.3231</v>
      </c>
      <c r="AB478">
        <f>_xlfn.XLOOKUP($G478,magnet_list!$A$2:$A$592,magnet_list!$L$2:$L$592,"n/a",0,1)</f>
        <v>44</v>
      </c>
    </row>
    <row r="479" spans="1:28">
      <c r="A479" t="s">
        <v>797</v>
      </c>
      <c r="B479" t="s">
        <v>3812</v>
      </c>
      <c r="C479" t="s">
        <v>1152</v>
      </c>
      <c r="D479" t="s">
        <v>1152</v>
      </c>
      <c r="E479" t="s">
        <v>804</v>
      </c>
      <c r="F479" t="s">
        <v>1990</v>
      </c>
      <c r="G479" t="s">
        <v>1990</v>
      </c>
      <c r="I479">
        <f>_xlfn.XLOOKUP($F479,設計座標!$E$13:$E$2301,設計座標!$G$13:$G$2301,"n/a",0,1)</f>
        <v>121.08856427930984</v>
      </c>
      <c r="J479">
        <f>_xlfn.XLOOKUP($F479,設計座標!$E$13:$E$2301,設計座標!$H$13:$H$2301,"n/a",0,1)</f>
        <v>0</v>
      </c>
      <c r="K479">
        <f>_xlfn.XLOOKUP($F479,設計座標!$E$13:$E$2301,設計座標!$I$13:$I$2301,"n/a",0,1)</f>
        <v>113686.51067892984</v>
      </c>
      <c r="L479">
        <f>_xlfn.XLOOKUP($F479,設計座標!$E$13:$E$2301,設計座標!$J$13:$J$2301,"n/a",0,1)</f>
        <v>-270</v>
      </c>
      <c r="M479" s="2">
        <f t="shared" si="365"/>
        <v>0.91250207344454637</v>
      </c>
      <c r="N479" s="2">
        <f t="shared" si="366"/>
        <v>113686.51067892984</v>
      </c>
      <c r="O479" s="23">
        <f t="shared" si="367"/>
        <v>-260.97255339440272</v>
      </c>
      <c r="P479" s="1">
        <f t="shared" si="362"/>
        <v>-270.17024796077476</v>
      </c>
      <c r="Q479" s="1">
        <f>(Q$482-Q$478)/($N$482-$N$478)*($N479-$N$478)+Q$478</f>
        <v>0.91250207344454637</v>
      </c>
      <c r="R479">
        <f t="shared" si="329"/>
        <v>0</v>
      </c>
      <c r="S479" s="23">
        <f t="shared" ref="S479:S481" si="372">(S$482-S$478)/($N$482-$N$478)*($N479-$N$478)+S$478</f>
        <v>9.0274466055972962</v>
      </c>
      <c r="T479">
        <f>$S479+測地線補正!$Q$3*(lattice!$N479/1000)^3+測地線補正!$P$3*(lattice!$N479/1000)^2+測地線補正!$O$3*(lattice!$N479/1000)+測地線補正!$N$3</f>
        <v>-0.17024796077476698</v>
      </c>
      <c r="U479">
        <v>0</v>
      </c>
      <c r="V479">
        <v>0</v>
      </c>
      <c r="W479">
        <v>0</v>
      </c>
      <c r="X479">
        <f>$Z$479-($Y$479+$Y$478)/2</f>
        <v>184.2854496510808</v>
      </c>
      <c r="Y479">
        <f>_xlfn.XLOOKUP($F479,設計座標!$E$13:$E$2301,設計座標!$L$13:$L$2301," ",0,1)</f>
        <v>0</v>
      </c>
      <c r="Z479">
        <f>SQRT(($M$479-$M$477)^2+($N$479-N477)^2)</f>
        <v>334.2854496510808</v>
      </c>
    </row>
    <row r="480" spans="1:28">
      <c r="A480" t="s">
        <v>797</v>
      </c>
      <c r="B480" t="s">
        <v>3812</v>
      </c>
      <c r="C480" t="s">
        <v>1152</v>
      </c>
      <c r="D480" t="s">
        <v>1152</v>
      </c>
      <c r="E480" t="s">
        <v>804</v>
      </c>
      <c r="F480" t="s">
        <v>1989</v>
      </c>
      <c r="G480" t="s">
        <v>1989</v>
      </c>
      <c r="I480">
        <f>_xlfn.XLOOKUP($F480,設計座標!$E$13:$E$2301,設計座標!$G$13:$G$2301,"n/a",0,1)</f>
        <v>121.18356427930983</v>
      </c>
      <c r="J480">
        <f>_xlfn.XLOOKUP($F480,設計座標!$E$13:$E$2301,設計座標!$H$13:$H$2301,"n/a",0,1)</f>
        <v>0</v>
      </c>
      <c r="K480">
        <f>_xlfn.XLOOKUP($F480,設計座標!$E$13:$E$2301,設計座標!$I$13:$I$2301,"n/a",0,1)</f>
        <v>113781.51067892984</v>
      </c>
      <c r="L480">
        <f>_xlfn.XLOOKUP($F480,設計座標!$E$13:$E$2301,設計座標!$J$13:$J$2301,"n/a",0,1)</f>
        <v>-270</v>
      </c>
      <c r="M480" s="2">
        <f t="shared" si="365"/>
        <v>0.90826157973658017</v>
      </c>
      <c r="N480" s="2">
        <f t="shared" si="366"/>
        <v>113781.51067892984</v>
      </c>
      <c r="O480" s="23">
        <f t="shared" si="367"/>
        <v>-260.97507376746671</v>
      </c>
      <c r="P480" s="1">
        <f t="shared" si="362"/>
        <v>-270.18449855327441</v>
      </c>
      <c r="Q480" s="1">
        <f>(Q$482-Q$478)/($N$482-$N$478)*($N480-$N$478)+Q$478</f>
        <v>0.90826157973658017</v>
      </c>
      <c r="R480">
        <f t="shared" si="329"/>
        <v>0</v>
      </c>
      <c r="S480" s="23">
        <f t="shared" si="372"/>
        <v>9.0249262325333177</v>
      </c>
      <c r="T480">
        <f>$S480+測地線補正!$Q$3*(lattice!$N480/1000)^3+測地線補正!$P$3*(lattice!$N480/1000)^2+測地線補正!$O$3*(lattice!$N480/1000)+測地線補正!$N$3</f>
        <v>-0.18449855327443285</v>
      </c>
      <c r="U480">
        <v>0</v>
      </c>
      <c r="V480">
        <v>0</v>
      </c>
      <c r="W480">
        <v>0</v>
      </c>
      <c r="X480">
        <f>$Z$480-($Y$480+$Y$479)/2</f>
        <v>95.000000094640981</v>
      </c>
      <c r="Y480">
        <f>_xlfn.XLOOKUP($F480,設計座標!$E$13:$E$2301,設計座標!$L$13:$L$2301," ",0,1)</f>
        <v>0</v>
      </c>
      <c r="Z480">
        <f>SQRT(($M$480-$M$479)^2+($N$480-$N$479)^2)</f>
        <v>95.000000094640981</v>
      </c>
    </row>
    <row r="481" spans="1:32">
      <c r="A481" t="s">
        <v>797</v>
      </c>
      <c r="B481" t="s">
        <v>3812</v>
      </c>
      <c r="C481" t="s">
        <v>805</v>
      </c>
      <c r="D481" t="s">
        <v>1152</v>
      </c>
      <c r="E481" t="s">
        <v>804</v>
      </c>
      <c r="F481" t="s">
        <v>3865</v>
      </c>
      <c r="G481" t="s">
        <v>3865</v>
      </c>
      <c r="I481">
        <f>_xlfn.XLOOKUP($F481,設計座標!$E$13:$E$2301,設計座標!$G$13:$G$2301,"n/a",0,1)</f>
        <v>122.42376713658999</v>
      </c>
      <c r="J481">
        <f>_xlfn.XLOOKUP($F481,設計座標!$E$13:$E$2301,設計座標!$H$13:$H$2301,"n/a",0,1)</f>
        <v>0</v>
      </c>
      <c r="K481">
        <f>_xlfn.XLOOKUP($F481,設計座標!$E$13:$E$2301,設計座標!$I$13:$I$2301,"n/a",0,1)</f>
        <v>115021.71353620999</v>
      </c>
      <c r="L481">
        <f>_xlfn.XLOOKUP($F481,設計座標!$E$13:$E$2301,設計座標!$J$13:$J$2301,"n/a",0,1)</f>
        <v>-270</v>
      </c>
      <c r="M481" s="2">
        <f t="shared" si="365"/>
        <v>0.85290292275870494</v>
      </c>
      <c r="N481" s="2">
        <f t="shared" si="366"/>
        <v>115021.71353620999</v>
      </c>
      <c r="O481" s="23">
        <f t="shared" si="367"/>
        <v>-261.00797665036515</v>
      </c>
      <c r="P481" s="1">
        <f t="shared" si="362"/>
        <v>-270.37194235100731</v>
      </c>
      <c r="Q481" s="1">
        <f>(Q$482-Q$478)/($N$482-$N$478)*($N481-$N$478)+Q$478</f>
        <v>0.85290292275870494</v>
      </c>
      <c r="R481">
        <f t="shared" si="329"/>
        <v>0</v>
      </c>
      <c r="S481" s="23">
        <f t="shared" si="372"/>
        <v>8.9920233496348256</v>
      </c>
      <c r="T481">
        <f>$S481+測地線補正!$Q$3*(lattice!$N481/1000)^3+測地線補正!$P$3*(lattice!$N481/1000)^2+測地線補正!$O$3*(lattice!$N481/1000)+測地線補正!$N$3</f>
        <v>-0.37194235100731349</v>
      </c>
      <c r="U481">
        <v>0</v>
      </c>
      <c r="V481">
        <v>0</v>
      </c>
      <c r="W481">
        <v>0</v>
      </c>
      <c r="X481">
        <f>$Z$481-($Y$481+$Y$480)/2</f>
        <v>1078.2028585156661</v>
      </c>
      <c r="Y481">
        <f>_xlfn.XLOOKUP($F481,設計座標!$E$13:$E$2301,設計座標!$L$13:$L$2301," ",0,1)</f>
        <v>324</v>
      </c>
      <c r="Z481">
        <f>SQRT(($M$481-$M$480)^2+($N$481-$N$480)^2)</f>
        <v>1240.2028585156661</v>
      </c>
      <c r="AB481">
        <v>42</v>
      </c>
    </row>
    <row r="482" spans="1:32">
      <c r="A482" t="s">
        <v>797</v>
      </c>
      <c r="B482" t="s">
        <v>3812</v>
      </c>
      <c r="C482" t="s">
        <v>805</v>
      </c>
      <c r="D482" t="s">
        <v>806</v>
      </c>
      <c r="F482" t="s">
        <v>61</v>
      </c>
      <c r="G482" t="s">
        <v>2442</v>
      </c>
      <c r="I482">
        <f>_xlfn.XLOOKUP($F482,設計座標!$E$13:$E$2301,設計座標!$G$13:$G$2301,"n/a",0,1)</f>
        <v>122.96270979738999</v>
      </c>
      <c r="J482">
        <f>_xlfn.XLOOKUP($F482,設計座標!$E$13:$E$2301,設計座標!$H$13:$H$2301,"n/a",0,1)</f>
        <v>0</v>
      </c>
      <c r="K482">
        <f>_xlfn.XLOOKUP($F482,設計座標!$E$13:$E$2301,設計座標!$I$13:$I$2301,"n/a",0,1)</f>
        <v>115560.65619701</v>
      </c>
      <c r="L482">
        <f>_xlfn.XLOOKUP($F482,設計座標!$E$13:$E$2301,設計座標!$J$13:$J$2301,"n/a",0,1)</f>
        <v>-70</v>
      </c>
      <c r="M482" s="2">
        <f>_xlfn.XLOOKUP($F482,survey_data!$A$2:$A$833,survey_data!$B$2:$B$833,"n/a",0,1)</f>
        <v>0.82884625999999995</v>
      </c>
      <c r="N482" s="2">
        <f>_xlfn.XLOOKUP($F482,survey_data!$A$2:$A$833,survey_data!$C$2:$C$833,"n/a",0,1)</f>
        <v>115560.65619701</v>
      </c>
      <c r="O482" s="23">
        <f>_xlfn.XLOOKUP($F482,survey_data!$A$2:$A$833,survey_data!$D$2:$D$833,"n/a",0,1)</f>
        <v>-61.022274930000002</v>
      </c>
      <c r="P482" s="1">
        <f t="shared" si="362"/>
        <v>-70.45421932191384</v>
      </c>
      <c r="Q482" s="1">
        <f t="shared" si="342"/>
        <v>0.82884625999999995</v>
      </c>
      <c r="R482">
        <f t="shared" si="329"/>
        <v>0</v>
      </c>
      <c r="S482" s="23">
        <f t="shared" si="343"/>
        <v>8.9777250699999982</v>
      </c>
      <c r="T482">
        <f>$S482+測地線補正!$Q$3*(lattice!$N482/1000)^3+測地線補正!$P$3*(lattice!$N482/1000)^2+測地線補正!$O$3*(lattice!$N482/1000)+測地線補正!$N$3</f>
        <v>-0.4542193219138369</v>
      </c>
      <c r="U482">
        <f>ATAN(($P$484-$P$482)/ABS($N$484-$N$482))</f>
        <v>-2.6430682393930373E-4</v>
      </c>
      <c r="V482">
        <v>0</v>
      </c>
      <c r="W482">
        <f>-ATAN(($M$484-$M$482)/ABS($N$484-$N$482))</f>
        <v>-6.8358669395183461E-5</v>
      </c>
      <c r="X482">
        <f>$Z$483-($Y$483+$Y$481)/2</f>
        <v>366.94266119265455</v>
      </c>
      <c r="Y482">
        <f>_xlfn.XLOOKUP($F482,設計座標!$E$13:$E$2301,設計座標!$L$13:$L$2301," ",0,1)</f>
        <v>100</v>
      </c>
      <c r="Z482">
        <f>SQRT(($M$483-$M$481)^2+($N$483-$N$481)^2)</f>
        <v>578.94266119265455</v>
      </c>
      <c r="AA482">
        <f>_xlfn.XLOOKUP($G482,magnet_list!$A$2:$A$592,magnet_list!$AJ$2:$AJ$592,"n/a",0,1)</f>
        <v>0.1415265</v>
      </c>
      <c r="AB482">
        <f>_xlfn.XLOOKUP($G482,magnet_list!$A$2:$A$592,magnet_list!$L$2:$L$592,"n/a",0,1)</f>
        <v>44</v>
      </c>
      <c r="AD482" s="2"/>
    </row>
    <row r="483" spans="1:32">
      <c r="A483" t="s">
        <v>797</v>
      </c>
      <c r="B483" t="s">
        <v>3812</v>
      </c>
      <c r="C483" t="s">
        <v>805</v>
      </c>
      <c r="D483" t="s">
        <v>1152</v>
      </c>
      <c r="E483" t="s">
        <v>804</v>
      </c>
      <c r="F483" t="s">
        <v>577</v>
      </c>
      <c r="G483" t="s">
        <v>2442</v>
      </c>
      <c r="I483">
        <f>_xlfn.XLOOKUP($F483,設計座標!$E$13:$E$2301,設計座標!$G$13:$G$2301,"n/a",0,1)</f>
        <v>123.00270979739</v>
      </c>
      <c r="J483">
        <f>_xlfn.XLOOKUP($F483,設計座標!$E$13:$E$2301,設計座標!$H$13:$H$2301,"n/a",0,1)</f>
        <v>0</v>
      </c>
      <c r="K483">
        <f>_xlfn.XLOOKUP($F483,設計座標!$E$13:$E$2301,設計座標!$I$13:$I$2301,"n/a",0,1)</f>
        <v>115600.65619701</v>
      </c>
      <c r="L483">
        <f>_xlfn.XLOOKUP($F483,設計座標!$E$13:$E$2301,設計座標!$J$13:$J$2301,"n/a",0,1)</f>
        <v>-70</v>
      </c>
      <c r="M483" s="2">
        <f t="shared" si="365"/>
        <v>0.8315806067800664</v>
      </c>
      <c r="N483" s="2">
        <f t="shared" si="366"/>
        <v>115600.65619701</v>
      </c>
      <c r="O483" s="23">
        <f t="shared" si="367"/>
        <v>-61.02778046630813</v>
      </c>
      <c r="P483" s="1">
        <f t="shared" si="362"/>
        <v>-70.464790207806445</v>
      </c>
      <c r="Q483" s="1">
        <f>(Q$484-Q$482)/($N$484-$N$482)*($N483-$N$482)+Q$482</f>
        <v>0.8315806067800664</v>
      </c>
      <c r="R483">
        <f t="shared" si="329"/>
        <v>0</v>
      </c>
      <c r="S483" s="23">
        <f>(S$484-S$482)/($N$484-$N$482)*($N483-$N$482)+S$482</f>
        <v>8.9722195336918737</v>
      </c>
      <c r="T483">
        <f>$S483+測地線補正!$Q$3*(lattice!$N483/1000)^3+測地線補正!$P$3*(lattice!$N483/1000)^2+測地線補正!$O$3*(lattice!$N483/1000)+測地線補正!$N$3</f>
        <v>-0.46479020780644015</v>
      </c>
      <c r="U483">
        <f t="shared" ref="U483:U484" si="373">ATAN(($P$484-$P$482)/ABS($N$484-$N$482))</f>
        <v>-2.6430682393930373E-4</v>
      </c>
      <c r="V483">
        <v>0</v>
      </c>
      <c r="W483">
        <f t="shared" ref="W483:W484" si="374">-ATAN(($M$484-$M$482)/ABS($N$484-$N$482))</f>
        <v>-6.8358669395183461E-5</v>
      </c>
      <c r="X483">
        <f>$Z$483-($Y$483+$Y$481)/2</f>
        <v>366.94266119265455</v>
      </c>
      <c r="Y483">
        <f>_xlfn.XLOOKUP($F483,設計座標!$E$13:$E$2301,設計座標!$L$13:$L$2301," ",0,1)</f>
        <v>100</v>
      </c>
      <c r="Z483">
        <f>SQRT(($M$483-$M$481)^2+($N$483-$N$481)^2)</f>
        <v>578.94266119265455</v>
      </c>
      <c r="AA483">
        <f>_xlfn.XLOOKUP($G483,magnet_list!$A$2:$A$592,magnet_list!$AJ$2:$AJ$592,"n/a",0,1)</f>
        <v>0.1415265</v>
      </c>
      <c r="AB483">
        <f>_xlfn.XLOOKUP($G483,magnet_list!$A$2:$A$592,magnet_list!$L$2:$L$592,"n/a",0,1)</f>
        <v>44</v>
      </c>
      <c r="AD483" s="2"/>
    </row>
    <row r="484" spans="1:32">
      <c r="A484" t="s">
        <v>797</v>
      </c>
      <c r="B484" t="s">
        <v>3812</v>
      </c>
      <c r="C484" t="s">
        <v>805</v>
      </c>
      <c r="D484" t="s">
        <v>806</v>
      </c>
      <c r="F484" t="s">
        <v>62</v>
      </c>
      <c r="G484" t="s">
        <v>2442</v>
      </c>
      <c r="I484">
        <f>_xlfn.XLOOKUP($F484,設計座標!$E$13:$E$2301,設計座標!$G$13:$G$2301,"n/a",0,1)</f>
        <v>123.04272554433</v>
      </c>
      <c r="J484">
        <f>_xlfn.XLOOKUP($F484,設計座標!$E$13:$E$2301,設計座標!$H$13:$H$2301,"n/a",0,1)</f>
        <v>0</v>
      </c>
      <c r="K484">
        <f>_xlfn.XLOOKUP($F484,設計座標!$E$13:$E$2301,設計座標!$I$13:$I$2301,"n/a",0,1)</f>
        <v>115640.67194395</v>
      </c>
      <c r="L484">
        <f>_xlfn.XLOOKUP($F484,設計座標!$E$13:$E$2301,設計座標!$J$13:$J$2301,"n/a",0,1)</f>
        <v>-70</v>
      </c>
      <c r="M484" s="2">
        <f>_xlfn.XLOOKUP($F484,survey_data!$A$2:$A$833,survey_data!$B$2:$B$833,"n/a",0,1)</f>
        <v>0.83431602999999999</v>
      </c>
      <c r="N484" s="2">
        <f>_xlfn.XLOOKUP($F484,survey_data!$A$2:$A$833,survey_data!$C$2:$C$833,"n/a",0,1)</f>
        <v>115640.67194395</v>
      </c>
      <c r="O484" s="23">
        <f>_xlfn.XLOOKUP($F484,survey_data!$A$2:$A$833,survey_data!$D$2:$D$833,"n/a",0,1)</f>
        <v>-61.033288169999999</v>
      </c>
      <c r="P484" s="1">
        <f t="shared" si="362"/>
        <v>-70.475368030345152</v>
      </c>
      <c r="Q484" s="1">
        <f t="shared" si="342"/>
        <v>0.83431602999999999</v>
      </c>
      <c r="R484">
        <f t="shared" si="329"/>
        <v>0</v>
      </c>
      <c r="S484" s="23">
        <f t="shared" si="343"/>
        <v>8.9667118300000013</v>
      </c>
      <c r="T484">
        <f>$S484+測地線補正!$Q$3*(lattice!$N484/1000)^3+測地線補正!$P$3*(lattice!$N484/1000)^2+測地線補正!$O$3*(lattice!$N484/1000)+測地線補正!$N$3</f>
        <v>-0.47536803034515779</v>
      </c>
      <c r="U484">
        <f t="shared" si="373"/>
        <v>-2.6430682393930373E-4</v>
      </c>
      <c r="V484">
        <v>0</v>
      </c>
      <c r="W484">
        <f t="shared" si="374"/>
        <v>-6.8358669395183461E-5</v>
      </c>
      <c r="X484">
        <f>$Z$483-($Y$483+$Y$481)/2</f>
        <v>366.94266119265455</v>
      </c>
      <c r="Y484">
        <f>_xlfn.XLOOKUP($F484,設計座標!$E$13:$E$2301,設計座標!$L$13:$L$2301," ",0,1)</f>
        <v>100</v>
      </c>
      <c r="Z484">
        <f>SQRT(($M$483-$M$481)^2+($N$483-$N$481)^2)</f>
        <v>578.94266119265455</v>
      </c>
      <c r="AA484">
        <f>_xlfn.XLOOKUP($G484,magnet_list!$A$2:$A$592,magnet_list!$AJ$2:$AJ$592,"n/a",0,1)</f>
        <v>0.1415265</v>
      </c>
      <c r="AB484">
        <f>_xlfn.XLOOKUP($G484,magnet_list!$A$2:$A$592,magnet_list!$L$2:$L$592,"n/a",0,1)</f>
        <v>44</v>
      </c>
      <c r="AD484" s="2"/>
    </row>
    <row r="485" spans="1:32">
      <c r="A485" t="s">
        <v>797</v>
      </c>
      <c r="B485" t="s">
        <v>3812</v>
      </c>
      <c r="C485" t="s">
        <v>805</v>
      </c>
      <c r="D485" t="s">
        <v>806</v>
      </c>
      <c r="F485" t="s">
        <v>63</v>
      </c>
      <c r="G485" t="s">
        <v>2443</v>
      </c>
      <c r="I485">
        <f>_xlfn.XLOOKUP($F485,設計座標!$E$13:$E$2301,設計座標!$G$13:$G$2301,"n/a",0,1)</f>
        <v>123.21272714588</v>
      </c>
      <c r="J485">
        <f>_xlfn.XLOOKUP($F485,設計座標!$E$13:$E$2301,設計座標!$H$13:$H$2301,"n/a",0,1)</f>
        <v>0</v>
      </c>
      <c r="K485">
        <f>_xlfn.XLOOKUP($F485,設計座標!$E$13:$E$2301,設計座標!$I$13:$I$2301,"n/a",0,1)</f>
        <v>115810.6735455</v>
      </c>
      <c r="L485">
        <f>_xlfn.XLOOKUP($F485,設計座標!$E$13:$E$2301,設計座標!$J$13:$J$2301,"n/a",0,1)</f>
        <v>-70</v>
      </c>
      <c r="M485" s="2">
        <f>_xlfn.XLOOKUP($F485,survey_data!$A$2:$A$833,survey_data!$B$2:$B$833,"n/a",0,1)</f>
        <v>0.82484478000000006</v>
      </c>
      <c r="N485" s="2">
        <f>_xlfn.XLOOKUP($F485,survey_data!$A$2:$A$833,survey_data!$C$2:$C$833,"n/a",0,1)</f>
        <v>115810.6735455</v>
      </c>
      <c r="O485" s="23">
        <f>_xlfn.XLOOKUP($F485,survey_data!$A$2:$A$833,survey_data!$D$2:$D$833,"n/a",0,1)</f>
        <v>-60.980158350000004</v>
      </c>
      <c r="P485" s="1">
        <f t="shared" si="362"/>
        <v>-70.443808920874744</v>
      </c>
      <c r="Q485" s="1">
        <f t="shared" si="342"/>
        <v>0.82484478000000006</v>
      </c>
      <c r="R485">
        <f t="shared" si="329"/>
        <v>0</v>
      </c>
      <c r="S485" s="23">
        <f t="shared" si="343"/>
        <v>9.0198416499999965</v>
      </c>
      <c r="T485">
        <f>$S485+測地線補正!$Q$3*(lattice!$N485/1000)^3+測地線補正!$P$3*(lattice!$N485/1000)^2+測地線補正!$O$3*(lattice!$N485/1000)+測地線補正!$N$3</f>
        <v>-0.44380892087474849</v>
      </c>
      <c r="U485">
        <f>ATAN(($P$487-$P$485)/ABS($N$487-$N$485))</f>
        <v>-4.6855966549969703E-4</v>
      </c>
      <c r="V485">
        <v>0</v>
      </c>
      <c r="W485">
        <f>-ATAN(($M$487-$M$485)/ABS($N$487-$N$485))</f>
        <v>3.4202358879299532E-4</v>
      </c>
      <c r="X485">
        <f>$Z$486-($Y$486+$Y$483)/2</f>
        <v>150.01734932363181</v>
      </c>
      <c r="Y485">
        <f>_xlfn.XLOOKUP($F485,設計座標!$E$13:$E$2301,設計座標!$L$13:$L$2301," ",0,1)</f>
        <v>100</v>
      </c>
      <c r="Z485">
        <f>SQRT(($M$486-$M$483)^2+($N$486-$N$483)^2)</f>
        <v>250.01734932363181</v>
      </c>
      <c r="AA485">
        <f>_xlfn.XLOOKUP($G485,magnet_list!$A$2:$A$592,magnet_list!$AJ$2:$AJ$592,"n/a",0,1)</f>
        <v>0.1415265</v>
      </c>
      <c r="AB485">
        <f>_xlfn.XLOOKUP($G485,magnet_list!$A$2:$A$592,magnet_list!$L$2:$L$592,"n/a",0,1)</f>
        <v>44</v>
      </c>
    </row>
    <row r="486" spans="1:32">
      <c r="A486" t="s">
        <v>797</v>
      </c>
      <c r="B486" t="s">
        <v>3812</v>
      </c>
      <c r="C486" t="s">
        <v>805</v>
      </c>
      <c r="D486" t="s">
        <v>1152</v>
      </c>
      <c r="E486" t="s">
        <v>804</v>
      </c>
      <c r="F486" t="s">
        <v>578</v>
      </c>
      <c r="G486" t="s">
        <v>2443</v>
      </c>
      <c r="I486">
        <f>_xlfn.XLOOKUP($F486,設計座標!$E$13:$E$2301,設計座標!$G$13:$G$2301,"n/a",0,1)</f>
        <v>123.25272714588</v>
      </c>
      <c r="J486">
        <f>_xlfn.XLOOKUP($F486,設計座標!$E$13:$E$2301,設計座標!$H$13:$H$2301,"n/a",0,1)</f>
        <v>0</v>
      </c>
      <c r="K486">
        <f>_xlfn.XLOOKUP($F486,設計座標!$E$13:$E$2301,設計座標!$I$13:$I$2301,"n/a",0,1)</f>
        <v>115850.6735455</v>
      </c>
      <c r="L486">
        <f>_xlfn.XLOOKUP($F486,設計座標!$E$13:$E$2301,設計座標!$J$13:$J$2301,"n/a",0,1)</f>
        <v>-70</v>
      </c>
      <c r="M486" s="2">
        <f t="shared" ref="M486:M490" si="375">$J486+$Q486</f>
        <v>0.811163835914814</v>
      </c>
      <c r="N486" s="2">
        <f t="shared" ref="N486:N490" si="376">$K486</f>
        <v>115850.6735455</v>
      </c>
      <c r="O486" s="23">
        <f t="shared" ref="O486:O490" si="377">$L486+$S486</f>
        <v>-60.993816633610734</v>
      </c>
      <c r="P486" s="1">
        <f t="shared" si="362"/>
        <v>-70.462549915956245</v>
      </c>
      <c r="Q486" s="1">
        <f>(Q$487-Q$485)/($N$487-$N$485)*($N486-$N$485)+Q$485</f>
        <v>0.811163835914814</v>
      </c>
      <c r="R486">
        <f t="shared" si="329"/>
        <v>0</v>
      </c>
      <c r="S486" s="23">
        <f>(S$487-S$485)/($N$487-$N$485)*($N486-$N$485)+S$485</f>
        <v>9.0061833663892674</v>
      </c>
      <c r="T486">
        <f>$S486+測地線補正!$Q$3*(lattice!$N486/1000)^3+測地線補正!$P$3*(lattice!$N486/1000)^2+測地線補正!$O$3*(lattice!$N486/1000)+測地線補正!$N$3</f>
        <v>-0.46254991595624056</v>
      </c>
      <c r="U486">
        <f t="shared" ref="U486:U487" si="378">ATAN(($P$487-$P$485)/ABS($N$487-$N$485))</f>
        <v>-4.6855966549969703E-4</v>
      </c>
      <c r="V486">
        <v>0</v>
      </c>
      <c r="W486">
        <f t="shared" ref="W486:W487" si="379">-ATAN(($M$487-$M$485)/ABS($N$487-$N$485))</f>
        <v>3.4202358879299532E-4</v>
      </c>
      <c r="X486">
        <f>$Z$486-($Y$486+$Y$483)/2</f>
        <v>150.01734932363181</v>
      </c>
      <c r="Y486">
        <f>_xlfn.XLOOKUP($F486,設計座標!$E$13:$E$2301,設計座標!$L$13:$L$2301," ",0,1)</f>
        <v>100</v>
      </c>
      <c r="Z486">
        <f>SQRT(($M$486-$M$483)^2+($N$486-$N$483)^2)</f>
        <v>250.01734932363181</v>
      </c>
      <c r="AA486">
        <f>_xlfn.XLOOKUP($G486,magnet_list!$A$2:$A$592,magnet_list!$AJ$2:$AJ$592,"n/a",0,1)</f>
        <v>0.1415265</v>
      </c>
      <c r="AB486">
        <f>_xlfn.XLOOKUP($G486,magnet_list!$A$2:$A$592,magnet_list!$L$2:$L$592,"n/a",0,1)</f>
        <v>44</v>
      </c>
    </row>
    <row r="487" spans="1:32">
      <c r="A487" t="s">
        <v>797</v>
      </c>
      <c r="B487" t="s">
        <v>3812</v>
      </c>
      <c r="C487" t="s">
        <v>805</v>
      </c>
      <c r="D487" t="s">
        <v>806</v>
      </c>
      <c r="F487" t="s">
        <v>64</v>
      </c>
      <c r="G487" t="s">
        <v>2443</v>
      </c>
      <c r="I487">
        <f>_xlfn.XLOOKUP($F487,設計座標!$E$13:$E$2301,設計座標!$G$13:$G$2301,"n/a",0,1)</f>
        <v>123.29276077464</v>
      </c>
      <c r="J487">
        <f>_xlfn.XLOOKUP($F487,設計座標!$E$13:$E$2301,設計座標!$H$13:$H$2301,"n/a",0,1)</f>
        <v>0</v>
      </c>
      <c r="K487">
        <f>_xlfn.XLOOKUP($F487,設計座標!$E$13:$E$2301,設計座標!$I$13:$I$2301,"n/a",0,1)</f>
        <v>115890.70717425999</v>
      </c>
      <c r="L487">
        <f>_xlfn.XLOOKUP($F487,設計座標!$E$13:$E$2301,設計座標!$J$13:$J$2301,"n/a",0,1)</f>
        <v>-70</v>
      </c>
      <c r="M487" s="2">
        <f>_xlfn.XLOOKUP($F487,survey_data!$A$2:$A$833,survey_data!$B$2:$B$833,"n/a",0,1)</f>
        <v>0.79747139</v>
      </c>
      <c r="N487" s="2">
        <f>_xlfn.XLOOKUP($F487,survey_data!$A$2:$A$833,survey_data!$C$2:$C$833,"n/a",0,1)</f>
        <v>115890.70717425999</v>
      </c>
      <c r="O487" s="23">
        <f>_xlfn.XLOOKUP($F487,survey_data!$A$2:$A$833,survey_data!$D$2:$D$833,"n/a",0,1)</f>
        <v>-61.007486399999998</v>
      </c>
      <c r="P487" s="1">
        <f t="shared" si="362"/>
        <v>-70.481309453939645</v>
      </c>
      <c r="Q487" s="1">
        <f t="shared" si="342"/>
        <v>0.79747139</v>
      </c>
      <c r="R487">
        <f t="shared" si="329"/>
        <v>0</v>
      </c>
      <c r="S487" s="23">
        <f t="shared" si="343"/>
        <v>8.9925136000000023</v>
      </c>
      <c r="T487">
        <f>$S487+測地線補正!$Q$3*(lattice!$N487/1000)^3+測地線補正!$P$3*(lattice!$N487/1000)^2+測地線補正!$O$3*(lattice!$N487/1000)+測地線補正!$N$3</f>
        <v>-0.48130945393963992</v>
      </c>
      <c r="U487">
        <f t="shared" si="378"/>
        <v>-4.6855966549969703E-4</v>
      </c>
      <c r="V487">
        <v>0</v>
      </c>
      <c r="W487">
        <f t="shared" si="379"/>
        <v>3.4202358879299532E-4</v>
      </c>
      <c r="X487">
        <f>$Z$486-($Y$486+$Y$483)/2</f>
        <v>150.01734932363181</v>
      </c>
      <c r="Y487">
        <f>_xlfn.XLOOKUP($F487,設計座標!$E$13:$E$2301,設計座標!$L$13:$L$2301," ",0,1)</f>
        <v>100</v>
      </c>
      <c r="Z487">
        <f>SQRT(($M$486-$M$483)^2+($N$486-$N$483)^2)</f>
        <v>250.01734932363181</v>
      </c>
      <c r="AA487">
        <f>_xlfn.XLOOKUP($G487,magnet_list!$A$2:$A$592,magnet_list!$AJ$2:$AJ$592,"n/a",0,1)</f>
        <v>0.1415265</v>
      </c>
      <c r="AB487">
        <f>_xlfn.XLOOKUP($G487,magnet_list!$A$2:$A$592,magnet_list!$L$2:$L$592,"n/a",0,1)</f>
        <v>44</v>
      </c>
    </row>
    <row r="488" spans="1:32">
      <c r="A488" t="s">
        <v>797</v>
      </c>
      <c r="B488" t="s">
        <v>3812</v>
      </c>
      <c r="C488" t="s">
        <v>1152</v>
      </c>
      <c r="D488" t="s">
        <v>1152</v>
      </c>
      <c r="E488" t="s">
        <v>804</v>
      </c>
      <c r="F488" t="s">
        <v>1991</v>
      </c>
      <c r="G488" t="s">
        <v>1991</v>
      </c>
      <c r="I488">
        <f>_xlfn.XLOOKUP($F488,設計座標!$E$13:$E$2301,設計座標!$G$13:$G$2301,"n/a",0,1)</f>
        <v>123.43956427930983</v>
      </c>
      <c r="J488">
        <f>_xlfn.XLOOKUP($F488,設計座標!$E$13:$E$2301,設計座標!$H$13:$H$2301,"n/a",0,1)</f>
        <v>0</v>
      </c>
      <c r="K488">
        <f>_xlfn.XLOOKUP($F488,設計座標!$E$13:$E$2301,設計座標!$I$13:$I$2301,"n/a",0,1)</f>
        <v>116037.51067892984</v>
      </c>
      <c r="L488">
        <f>_xlfn.XLOOKUP($F488,設計座標!$E$13:$E$2301,設計座標!$J$13:$J$2301,"n/a",0,1)</f>
        <v>-270</v>
      </c>
      <c r="M488" s="2">
        <f t="shared" si="375"/>
        <v>0.73239415438452127</v>
      </c>
      <c r="N488" s="2">
        <f t="shared" si="376"/>
        <v>116037.51067892984</v>
      </c>
      <c r="O488" s="23">
        <f t="shared" si="377"/>
        <v>-261.05309391907849</v>
      </c>
      <c r="P488" s="1">
        <f t="shared" si="362"/>
        <v>-270.54560507335236</v>
      </c>
      <c r="Q488" s="1">
        <f>(Q$489-Q$487)/($N$489-$N$487)*($N488-$N$487)+Q$487</f>
        <v>0.73239415438452127</v>
      </c>
      <c r="R488">
        <f t="shared" si="329"/>
        <v>0</v>
      </c>
      <c r="S488" s="23">
        <f>(S$489-S$487)/($N$489-$N$487)*($N488-$N$487)+S$487</f>
        <v>8.9469060809215275</v>
      </c>
      <c r="T488">
        <f>$S488+測地線補正!$Q$3*(lattice!$N488/1000)^3+測地線補正!$P$3*(lattice!$N488/1000)^2+測地線補正!$O$3*(lattice!$N488/1000)+測地線補正!$N$3</f>
        <v>-0.54560507335235975</v>
      </c>
      <c r="U488">
        <v>0</v>
      </c>
      <c r="V488">
        <v>0</v>
      </c>
      <c r="W488">
        <v>0</v>
      </c>
      <c r="X488">
        <f>$Z$488-($Y$488+$Y$486)/2</f>
        <v>136.83715003431075</v>
      </c>
      <c r="Y488">
        <f>_xlfn.XLOOKUP($F488,設計座標!$E$13:$E$2301,設計座標!$L$13:$L$2301," ",0,1)</f>
        <v>0</v>
      </c>
      <c r="Z488">
        <f>SQRT(($M$488-$M$486)^2+($N$488-$N$486)^2)</f>
        <v>186.83715003431075</v>
      </c>
    </row>
    <row r="489" spans="1:32">
      <c r="A489" t="s">
        <v>797</v>
      </c>
      <c r="B489" t="s">
        <v>3812</v>
      </c>
      <c r="C489" t="s">
        <v>805</v>
      </c>
      <c r="D489" t="s">
        <v>806</v>
      </c>
      <c r="F489" t="s">
        <v>65</v>
      </c>
      <c r="G489" t="s">
        <v>2444</v>
      </c>
      <c r="I489">
        <f>_xlfn.XLOOKUP($F489,設計座標!$E$13:$E$2301,設計座標!$G$13:$G$2301,"n/a",0,1)</f>
        <v>123.60589622882999</v>
      </c>
      <c r="J489">
        <f>_xlfn.XLOOKUP($F489,設計座標!$E$13:$E$2301,設計座標!$H$13:$H$2301,"n/a",0,1)</f>
        <v>0</v>
      </c>
      <c r="K489">
        <f>_xlfn.XLOOKUP($F489,設計座標!$E$13:$E$2301,設計座標!$I$13:$I$2301,"n/a",0,1)</f>
        <v>116203.84262845</v>
      </c>
      <c r="L489">
        <f>_xlfn.XLOOKUP($F489,設計座標!$E$13:$E$2301,設計座標!$J$13:$J$2301,"n/a",0,1)</f>
        <v>35</v>
      </c>
      <c r="M489" s="2">
        <f>_xlfn.XLOOKUP($F489,survey_data!$A$2:$A$833,survey_data!$B$2:$B$833,"n/a",0,1)</f>
        <v>0.65866005999999999</v>
      </c>
      <c r="N489" s="2">
        <f>_xlfn.XLOOKUP($F489,survey_data!$A$2:$A$833,survey_data!$C$2:$C$833,"n/a",0,1)</f>
        <v>116203.84262845</v>
      </c>
      <c r="O489" s="23">
        <f>_xlfn.XLOOKUP($F489,survey_data!$A$2:$A$833,survey_data!$D$2:$D$833,"n/a",0,1)</f>
        <v>43.895231649999999</v>
      </c>
      <c r="P489" s="1">
        <f t="shared" si="362"/>
        <v>34.381500992255795</v>
      </c>
      <c r="Q489" s="1">
        <f t="shared" si="342"/>
        <v>0.65866005999999999</v>
      </c>
      <c r="R489">
        <f t="shared" si="329"/>
        <v>0</v>
      </c>
      <c r="S489" s="23">
        <f t="shared" si="343"/>
        <v>8.8952316499999995</v>
      </c>
      <c r="T489">
        <f>$S489+測地線補正!$Q$3*(lattice!$N489/1000)^3+測地線補正!$P$3*(lattice!$N489/1000)^2+測地線補正!$O$3*(lattice!$N489/1000)+測地線補正!$N$3</f>
        <v>-0.61849900774420241</v>
      </c>
      <c r="U489">
        <f>ATAN(($P$491-$P$489)/ABS($N$491-$N$489))</f>
        <v>-1.795842174000427E-4</v>
      </c>
      <c r="V489">
        <v>0</v>
      </c>
      <c r="W489">
        <f>-ATAN(($M$491-$M$489)/ABS($N$491-$N$489))</f>
        <v>7.3359071067654813E-5</v>
      </c>
      <c r="X489">
        <f>$Z$490-($Y$490+$Y$488)/2</f>
        <v>91.831962512984859</v>
      </c>
      <c r="Y489">
        <f>_xlfn.XLOOKUP($F489,設計座標!$E$13:$E$2301,設計座標!$L$13:$L$2301," ",0,1)</f>
        <v>300</v>
      </c>
      <c r="Z489">
        <f>SQRT(($M$490-$M$488)^2+($N$490-$N$488)^2)</f>
        <v>241.83196251298486</v>
      </c>
      <c r="AA489">
        <f>_xlfn.XLOOKUP($G489,magnet_list!$A$2:$A$592,magnet_list!$AJ$2:$AJ$592,"n/a",0,1)</f>
        <v>0.3231</v>
      </c>
      <c r="AB489">
        <f>_xlfn.XLOOKUP($G489,magnet_list!$A$2:$A$592,magnet_list!$L$2:$L$592,"n/a",0,1)</f>
        <v>44</v>
      </c>
    </row>
    <row r="490" spans="1:32">
      <c r="A490" t="s">
        <v>797</v>
      </c>
      <c r="B490" t="s">
        <v>3812</v>
      </c>
      <c r="C490" t="s">
        <v>805</v>
      </c>
      <c r="D490" t="s">
        <v>1152</v>
      </c>
      <c r="E490" t="s">
        <v>804</v>
      </c>
      <c r="F490" t="s">
        <v>579</v>
      </c>
      <c r="G490" t="s">
        <v>2444</v>
      </c>
      <c r="I490">
        <f>_xlfn.XLOOKUP($F490,設計座標!$E$13:$E$2301,設計座標!$G$13:$G$2301,"n/a",0,1)</f>
        <v>123.68139622883</v>
      </c>
      <c r="J490">
        <f>_xlfn.XLOOKUP($F490,設計座標!$E$13:$E$2301,設計座標!$H$13:$H$2301,"n/a",0,1)</f>
        <v>0</v>
      </c>
      <c r="K490">
        <f>_xlfn.XLOOKUP($F490,設計座標!$E$13:$E$2301,設計座標!$I$13:$I$2301,"n/a",0,1)</f>
        <v>116279.34262845</v>
      </c>
      <c r="L490">
        <f>_xlfn.XLOOKUP($F490,設計座標!$E$13:$E$2301,設計座標!$J$13:$J$2301,"n/a",0,1)</f>
        <v>35</v>
      </c>
      <c r="M490" s="2">
        <f t="shared" si="375"/>
        <v>0.65312145012445666</v>
      </c>
      <c r="N490" s="2">
        <f t="shared" si="376"/>
        <v>116279.34262845</v>
      </c>
      <c r="O490" s="23">
        <f t="shared" si="377"/>
        <v>43.891325697788197</v>
      </c>
      <c r="P490" s="1">
        <f t="shared" si="362"/>
        <v>34.367947306365274</v>
      </c>
      <c r="Q490" s="1">
        <f>(Q$491-Q$489)/($N$491-$N$489)*($N490-$N$489)+Q$489</f>
        <v>0.65312145012445666</v>
      </c>
      <c r="R490">
        <f t="shared" ref="R490:R554" si="380">$N490-$K490</f>
        <v>0</v>
      </c>
      <c r="S490" s="23">
        <f>(S$491-S$489)/($N$491-$N$489)*($N490-$N$489)+S$489</f>
        <v>8.8913256977881989</v>
      </c>
      <c r="T490">
        <f>$S490+測地線補正!$Q$3*(lattice!$N490/1000)^3+測地線補正!$P$3*(lattice!$N490/1000)^2+測地線補正!$O$3*(lattice!$N490/1000)+測地線補正!$N$3</f>
        <v>-0.63205269363472716</v>
      </c>
      <c r="U490">
        <f t="shared" ref="U490:U491" si="381">ATAN(($P$491-$P$489)/ABS($N$491-$N$489))</f>
        <v>-1.795842174000427E-4</v>
      </c>
      <c r="V490">
        <v>0</v>
      </c>
      <c r="W490">
        <f t="shared" ref="W490:W491" si="382">-ATAN(($M$491-$M$489)/ABS($N$491-$N$489))</f>
        <v>7.3359071067654813E-5</v>
      </c>
      <c r="X490">
        <f>$Z$490-($Y$490+$Y$488)/2</f>
        <v>91.831962512984859</v>
      </c>
      <c r="Y490">
        <f>_xlfn.XLOOKUP($F490,設計座標!$E$13:$E$2301,設計座標!$L$13:$L$2301," ",0,1)</f>
        <v>300</v>
      </c>
      <c r="Z490">
        <f>SQRT(($M$490-$M$488)^2+($N$490-$N$488)^2)</f>
        <v>241.83196251298486</v>
      </c>
      <c r="AA490">
        <f>_xlfn.XLOOKUP($G490,magnet_list!$A$2:$A$592,magnet_list!$AJ$2:$AJ$592,"n/a",0,1)</f>
        <v>0.3231</v>
      </c>
      <c r="AB490">
        <f>_xlfn.XLOOKUP($G490,magnet_list!$A$2:$A$592,magnet_list!$L$2:$L$592,"n/a",0,1)</f>
        <v>44</v>
      </c>
    </row>
    <row r="491" spans="1:32">
      <c r="A491" t="s">
        <v>797</v>
      </c>
      <c r="B491" t="s">
        <v>3812</v>
      </c>
      <c r="C491" t="s">
        <v>805</v>
      </c>
      <c r="D491" t="s">
        <v>806</v>
      </c>
      <c r="F491" t="s">
        <v>66</v>
      </c>
      <c r="G491" t="s">
        <v>2444</v>
      </c>
      <c r="I491">
        <f>_xlfn.XLOOKUP($F491,設計座標!$E$13:$E$2301,設計座標!$G$13:$G$2301,"n/a",0,1)</f>
        <v>123.75589758272</v>
      </c>
      <c r="J491">
        <f>_xlfn.XLOOKUP($F491,設計座標!$E$13:$E$2301,設計座標!$H$13:$H$2301,"n/a",0,1)</f>
        <v>0</v>
      </c>
      <c r="K491">
        <f>_xlfn.XLOOKUP($F491,設計座標!$E$13:$E$2301,設計座標!$I$13:$I$2301,"n/a",0,1)</f>
        <v>116353.84398234</v>
      </c>
      <c r="L491">
        <f>_xlfn.XLOOKUP($F491,設計座標!$E$13:$E$2301,設計座標!$J$13:$J$2301,"n/a",0,1)</f>
        <v>35</v>
      </c>
      <c r="M491" s="2">
        <f>_xlfn.XLOOKUP($F491,survey_data!$A$2:$A$833,survey_data!$B$2:$B$833,"n/a",0,1)</f>
        <v>0.64765609999999996</v>
      </c>
      <c r="N491" s="2">
        <f>_xlfn.XLOOKUP($F491,survey_data!$A$2:$A$833,survey_data!$C$2:$C$833,"n/a",0,1)</f>
        <v>116353.84398234</v>
      </c>
      <c r="O491" s="23">
        <f>_xlfn.XLOOKUP($F491,survey_data!$A$2:$A$833,survey_data!$D$2:$D$833,"n/a",0,1)</f>
        <v>43.887471410000003</v>
      </c>
      <c r="P491" s="1">
        <f t="shared" si="362"/>
        <v>34.354563116218927</v>
      </c>
      <c r="Q491" s="1">
        <f t="shared" ref="Q491:Q554" si="383">$M491-$J491</f>
        <v>0.64765609999999996</v>
      </c>
      <c r="R491">
        <f t="shared" si="380"/>
        <v>0</v>
      </c>
      <c r="S491" s="23">
        <f t="shared" ref="S491:S554" si="384">$O491-$L491</f>
        <v>8.8874714100000034</v>
      </c>
      <c r="T491">
        <f>$S491+測地線補正!$Q$3*(lattice!$N491/1000)^3+測地線補正!$P$3*(lattice!$N491/1000)^2+測地線補正!$O$3*(lattice!$N491/1000)+測地線補正!$N$3</f>
        <v>-0.64543688378107589</v>
      </c>
      <c r="U491">
        <f t="shared" si="381"/>
        <v>-1.795842174000427E-4</v>
      </c>
      <c r="V491">
        <v>0</v>
      </c>
      <c r="W491">
        <f t="shared" si="382"/>
        <v>7.3359071067654813E-5</v>
      </c>
      <c r="X491">
        <f>$Z$490-($Y$490+$Y$488)/2</f>
        <v>91.831962512984859</v>
      </c>
      <c r="Y491">
        <f>_xlfn.XLOOKUP($F491,設計座標!$E$13:$E$2301,設計座標!$L$13:$L$2301," ",0,1)</f>
        <v>300</v>
      </c>
      <c r="Z491">
        <f>SQRT(($M$490-$M$488)^2+($N$490-$N$488)^2)</f>
        <v>241.83196251298486</v>
      </c>
      <c r="AA491">
        <f>_xlfn.XLOOKUP($G491,magnet_list!$A$2:$A$592,magnet_list!$AJ$2:$AJ$592,"n/a",0,1)</f>
        <v>0.3231</v>
      </c>
      <c r="AB491">
        <f>_xlfn.XLOOKUP($G491,magnet_list!$A$2:$A$592,magnet_list!$L$2:$L$592,"n/a",0,1)</f>
        <v>44</v>
      </c>
    </row>
    <row r="492" spans="1:32">
      <c r="A492" t="s">
        <v>797</v>
      </c>
      <c r="B492" t="s">
        <v>3812</v>
      </c>
      <c r="C492" t="s">
        <v>805</v>
      </c>
      <c r="D492" t="s">
        <v>806</v>
      </c>
      <c r="F492" t="s">
        <v>67</v>
      </c>
      <c r="G492" t="s">
        <v>2445</v>
      </c>
      <c r="I492">
        <f>_xlfn.XLOOKUP($F492,設計座標!$E$13:$E$2301,設計座標!$G$13:$G$2301,"n/a",0,1)</f>
        <v>124.33747916896</v>
      </c>
      <c r="J492">
        <f>_xlfn.XLOOKUP($F492,設計座標!$E$13:$E$2301,設計座標!$H$13:$H$2301,"n/a",0,1)</f>
        <v>0</v>
      </c>
      <c r="K492">
        <f>_xlfn.XLOOKUP($F492,設計座標!$E$13:$E$2301,設計座標!$I$13:$I$2301,"n/a",0,1)</f>
        <v>116935.42556858</v>
      </c>
      <c r="L492">
        <f>_xlfn.XLOOKUP($F492,設計座標!$E$13:$E$2301,設計座標!$J$13:$J$2301,"n/a",0,1)</f>
        <v>35</v>
      </c>
      <c r="M492" s="2">
        <f>_xlfn.XLOOKUP($F492,survey_data!$A$2:$A$833,survey_data!$B$2:$B$833,"n/a",0,1)</f>
        <v>0.62865618999999995</v>
      </c>
      <c r="N492" s="2">
        <f>_xlfn.XLOOKUP($F492,survey_data!$A$2:$A$833,survey_data!$C$2:$C$833,"n/a",0,1)</f>
        <v>116935.42556858</v>
      </c>
      <c r="O492" s="23">
        <f>_xlfn.XLOOKUP($F492,survey_data!$A$2:$A$833,survey_data!$D$2:$D$833,"n/a",0,1)</f>
        <v>43.94214539</v>
      </c>
      <c r="P492" s="1">
        <f t="shared" si="362"/>
        <v>34.334508516343014</v>
      </c>
      <c r="Q492" s="1">
        <f t="shared" si="383"/>
        <v>0.62865618999999995</v>
      </c>
      <c r="R492">
        <f t="shared" si="380"/>
        <v>0</v>
      </c>
      <c r="S492" s="23">
        <f t="shared" si="384"/>
        <v>8.9421453900000003</v>
      </c>
      <c r="T492">
        <f>$S492+測地線補正!$Q$3*(lattice!$N492/1000)^3+測地線補正!$P$3*(lattice!$N492/1000)^2+測地線補正!$O$3*(lattice!$N492/1000)+測地線補正!$N$3</f>
        <v>-0.6654914836569884</v>
      </c>
      <c r="U492">
        <f>ATAN(($P$494-$P$492)/ABS($N$494-$N$492))</f>
        <v>-3.1229899408116263E-4</v>
      </c>
      <c r="V492">
        <v>0</v>
      </c>
      <c r="W492">
        <f>-ATAN(($M$494-$M$492)/ABS($N$494-$N$492))</f>
        <v>-3.3688474095963227E-4</v>
      </c>
      <c r="X492">
        <f>$Z$493-($Y$493+$Y$490)/2</f>
        <v>431.58294013064221</v>
      </c>
      <c r="Y492">
        <f>_xlfn.XLOOKUP($F492,設計座標!$E$13:$E$2301,設計座標!$L$13:$L$2301," ",0,1)</f>
        <v>300</v>
      </c>
      <c r="Z492">
        <f>SQRT(($M$493-$M$490)^2+($N$493-$N$490)^2)</f>
        <v>731.58294013064221</v>
      </c>
      <c r="AA492">
        <f>_xlfn.XLOOKUP($G492,magnet_list!$A$2:$A$592,magnet_list!$AJ$2:$AJ$592,"n/a",0,1)</f>
        <v>0.3231</v>
      </c>
      <c r="AB492">
        <f>_xlfn.XLOOKUP($G492,magnet_list!$A$2:$A$592,magnet_list!$L$2:$L$592,"n/a",0,1)</f>
        <v>44</v>
      </c>
    </row>
    <row r="493" spans="1:32">
      <c r="A493" t="s">
        <v>797</v>
      </c>
      <c r="B493" t="s">
        <v>3812</v>
      </c>
      <c r="C493" t="s">
        <v>805</v>
      </c>
      <c r="D493" t="s">
        <v>1152</v>
      </c>
      <c r="E493" t="s">
        <v>804</v>
      </c>
      <c r="F493" t="s">
        <v>580</v>
      </c>
      <c r="G493" t="s">
        <v>2445</v>
      </c>
      <c r="I493">
        <f>_xlfn.XLOOKUP($F493,設計座標!$E$13:$E$2301,設計座標!$G$13:$G$2301,"n/a",0,1)</f>
        <v>124.41297916896001</v>
      </c>
      <c r="J493">
        <f>_xlfn.XLOOKUP($F493,設計座標!$E$13:$E$2301,設計座標!$H$13:$H$2301,"n/a",0,1)</f>
        <v>0</v>
      </c>
      <c r="K493">
        <f>_xlfn.XLOOKUP($F493,設計座標!$E$13:$E$2301,設計座標!$I$13:$I$2301,"n/a",0,1)</f>
        <v>117010.92556858</v>
      </c>
      <c r="L493">
        <f>_xlfn.XLOOKUP($F493,設計座標!$E$13:$E$2301,設計座標!$J$13:$J$2301,"n/a",0,1)</f>
        <v>35</v>
      </c>
      <c r="M493" s="2">
        <f t="shared" ref="M493:M495" si="385">$J493+$Q493</f>
        <v>0.65409098890466189</v>
      </c>
      <c r="N493" s="2">
        <f t="shared" ref="N493:N495" si="386">$K493</f>
        <v>117010.92556858</v>
      </c>
      <c r="O493" s="23">
        <f t="shared" ref="O493:O495" si="387">$L493+$S493</f>
        <v>43.928316652497841</v>
      </c>
      <c r="P493" s="1">
        <f t="shared" si="362"/>
        <v>34.31093491551939</v>
      </c>
      <c r="Q493" s="1">
        <f>(Q$494-Q$492)/($N$494-$N$492)*($N493-$N$492)+Q$492</f>
        <v>0.65409098890466189</v>
      </c>
      <c r="R493">
        <f t="shared" si="380"/>
        <v>0</v>
      </c>
      <c r="S493" s="23">
        <f>(S$494-S$492)/($N$494-$N$492)*($N493-$N$492)+S$492</f>
        <v>8.9283166524978448</v>
      </c>
      <c r="T493">
        <f>$S493+測地線補正!$Q$3*(lattice!$N493/1000)^3+測地線補正!$P$3*(lattice!$N493/1000)^2+測地線補正!$O$3*(lattice!$N493/1000)+測地線補正!$N$3</f>
        <v>-0.68906508448060932</v>
      </c>
      <c r="U493">
        <f t="shared" ref="U493:U494" si="388">ATAN(($P$494-$P$492)/ABS($N$494-$N$492))</f>
        <v>-3.1229899408116263E-4</v>
      </c>
      <c r="V493">
        <v>0</v>
      </c>
      <c r="W493">
        <f t="shared" ref="W493:W494" si="389">-ATAN(($M$494-$M$492)/ABS($N$494-$N$492))</f>
        <v>-3.3688474095963227E-4</v>
      </c>
      <c r="X493">
        <f>$Z$493-($Y$493+$Y$490)/2</f>
        <v>431.58294013064221</v>
      </c>
      <c r="Y493">
        <f>_xlfn.XLOOKUP($F493,設計座標!$E$13:$E$2301,設計座標!$L$13:$L$2301," ",0,1)</f>
        <v>300</v>
      </c>
      <c r="Z493">
        <f>SQRT(($M$493-$M$490)^2+($N$493-$N$490)^2)</f>
        <v>731.58294013064221</v>
      </c>
      <c r="AA493">
        <f>_xlfn.XLOOKUP($G493,magnet_list!$A$2:$A$592,magnet_list!$AJ$2:$AJ$592,"n/a",0,1)</f>
        <v>0.3231</v>
      </c>
      <c r="AB493">
        <f>_xlfn.XLOOKUP($G493,magnet_list!$A$2:$A$592,magnet_list!$L$2:$L$592,"n/a",0,1)</f>
        <v>44</v>
      </c>
    </row>
    <row r="494" spans="1:32">
      <c r="A494" t="s">
        <v>797</v>
      </c>
      <c r="B494" t="s">
        <v>3812</v>
      </c>
      <c r="C494" t="s">
        <v>805</v>
      </c>
      <c r="D494" t="s">
        <v>806</v>
      </c>
      <c r="F494" t="s">
        <v>68</v>
      </c>
      <c r="G494" t="s">
        <v>2445</v>
      </c>
      <c r="I494">
        <f>_xlfn.XLOOKUP($F494,設計座標!$E$13:$E$2301,設計座標!$G$13:$G$2301,"n/a",0,1)</f>
        <v>124.48748281099</v>
      </c>
      <c r="J494">
        <f>_xlfn.XLOOKUP($F494,設計座標!$E$13:$E$2301,設計座標!$H$13:$H$2301,"n/a",0,1)</f>
        <v>0</v>
      </c>
      <c r="K494">
        <f>_xlfn.XLOOKUP($F494,設計座標!$E$13:$E$2301,設計座標!$I$13:$I$2301,"n/a",0,1)</f>
        <v>117085.42921061</v>
      </c>
      <c r="L494">
        <f>_xlfn.XLOOKUP($F494,設計座標!$E$13:$E$2301,設計座標!$J$13:$J$2301,"n/a",0,1)</f>
        <v>35</v>
      </c>
      <c r="M494" s="2">
        <f>_xlfn.XLOOKUP($F494,survey_data!$A$2:$A$833,survey_data!$B$2:$B$833,"n/a",0,1)</f>
        <v>0.67919012999999995</v>
      </c>
      <c r="N494" s="2">
        <f>_xlfn.XLOOKUP($F494,survey_data!$A$2:$A$833,survey_data!$C$2:$C$833,"n/a",0,1)</f>
        <v>117085.42921061</v>
      </c>
      <c r="O494" s="23">
        <f>_xlfn.XLOOKUP($F494,survey_data!$A$2:$A$833,survey_data!$D$2:$D$833,"n/a",0,1)</f>
        <v>43.914670409999999</v>
      </c>
      <c r="P494" s="1">
        <f t="shared" si="362"/>
        <v>34.28766252830556</v>
      </c>
      <c r="Q494" s="1">
        <f t="shared" si="383"/>
        <v>0.67919012999999995</v>
      </c>
      <c r="R494">
        <f t="shared" si="380"/>
        <v>0</v>
      </c>
      <c r="S494" s="23">
        <f t="shared" si="384"/>
        <v>8.9146704099999994</v>
      </c>
      <c r="T494">
        <f>$S494+測地線補正!$Q$3*(lattice!$N494/1000)^3+測地線補正!$P$3*(lattice!$N494/1000)^2+測地線補正!$O$3*(lattice!$N494/1000)+測地線補正!$N$3</f>
        <v>-0.71233747169443873</v>
      </c>
      <c r="U494">
        <f t="shared" si="388"/>
        <v>-3.1229899408116263E-4</v>
      </c>
      <c r="V494">
        <v>0</v>
      </c>
      <c r="W494">
        <f t="shared" si="389"/>
        <v>-3.3688474095963227E-4</v>
      </c>
      <c r="X494">
        <f>$Z$493-($Y$493+$Y$490)/2</f>
        <v>431.58294013064221</v>
      </c>
      <c r="Y494">
        <f>_xlfn.XLOOKUP($F494,設計座標!$E$13:$E$2301,設計座標!$L$13:$L$2301," ",0,1)</f>
        <v>300</v>
      </c>
      <c r="Z494">
        <f>SQRT(($M$493-$M$490)^2+($N$493-$N$490)^2)</f>
        <v>731.58294013064221</v>
      </c>
      <c r="AA494">
        <f>_xlfn.XLOOKUP($G494,magnet_list!$A$2:$A$592,magnet_list!$AJ$2:$AJ$592,"n/a",0,1)</f>
        <v>0.3231</v>
      </c>
      <c r="AB494">
        <f>_xlfn.XLOOKUP($G494,magnet_list!$A$2:$A$592,magnet_list!$L$2:$L$592,"n/a",0,1)</f>
        <v>44</v>
      </c>
    </row>
    <row r="495" spans="1:32">
      <c r="A495" t="s">
        <v>797</v>
      </c>
      <c r="B495" t="s">
        <v>3812</v>
      </c>
      <c r="C495" t="s">
        <v>1152</v>
      </c>
      <c r="D495" t="s">
        <v>1152</v>
      </c>
      <c r="E495" t="s">
        <v>804</v>
      </c>
      <c r="F495" t="s">
        <v>1992</v>
      </c>
      <c r="G495" t="s">
        <v>1992</v>
      </c>
      <c r="I495">
        <f>_xlfn.XLOOKUP($F495,設計座標!$E$13:$E$2301,設計座標!$G$13:$G$2301,"n/a",0,1)</f>
        <v>124.85656447930982</v>
      </c>
      <c r="J495">
        <f>_xlfn.XLOOKUP($F495,設計座標!$E$13:$E$2301,設計座標!$H$13:$H$2301,"n/a",0,1)</f>
        <v>0</v>
      </c>
      <c r="K495">
        <f>_xlfn.XLOOKUP($F495,設計座標!$E$13:$E$2301,設計座標!$I$13:$I$2301,"n/a",0,1)</f>
        <v>117454.51087892984</v>
      </c>
      <c r="L495">
        <f>_xlfn.XLOOKUP($F495,設計座標!$E$13:$E$2301,設計座標!$J$13:$J$2301,"n/a",0,1)</f>
        <v>-270</v>
      </c>
      <c r="M495" s="2">
        <f t="shared" si="385"/>
        <v>7.7115595625589339E-2</v>
      </c>
      <c r="N495" s="2">
        <f t="shared" si="386"/>
        <v>117454.51087892984</v>
      </c>
      <c r="O495" s="23">
        <f t="shared" si="387"/>
        <v>-261.05759548688013</v>
      </c>
      <c r="P495" s="1">
        <f t="shared" si="362"/>
        <v>-270.73243520126834</v>
      </c>
      <c r="Q495" s="1">
        <f>(Q$496-Q$494)/($N$496-$N$494)*($N495-$N$494)+Q$494</f>
        <v>7.7115595625589339E-2</v>
      </c>
      <c r="R495">
        <f t="shared" si="380"/>
        <v>0</v>
      </c>
      <c r="S495" s="23">
        <f>(S$496-S$494)/($N$496-$N$494)*($N495-$N$494)+S$494</f>
        <v>8.9424045131198771</v>
      </c>
      <c r="T495">
        <f>$S495+測地線補正!$Q$3*(lattice!$N495/1000)^3+測地線補正!$P$3*(lattice!$N495/1000)^2+測地線補正!$O$3*(lattice!$N495/1000)+測地線補正!$N$3</f>
        <v>-0.73243520126833495</v>
      </c>
      <c r="U495">
        <v>0</v>
      </c>
      <c r="V495">
        <v>0</v>
      </c>
      <c r="W495">
        <v>0</v>
      </c>
      <c r="X495">
        <f>$Z$495-($Y$495+$Y$493)/2</f>
        <v>293.58568558821429</v>
      </c>
      <c r="Y495">
        <f>_xlfn.XLOOKUP($F495,設計座標!$E$13:$E$2301,設計座標!$L$13:$L$2301," ",0,1)</f>
        <v>0</v>
      </c>
      <c r="Z495">
        <f>SQRT(($M$495-$M$493)^2+($N$495-$N$493)^2)</f>
        <v>443.58568558821429</v>
      </c>
    </row>
    <row r="496" spans="1:32">
      <c r="A496" t="s">
        <v>797</v>
      </c>
      <c r="B496" t="s">
        <v>3812</v>
      </c>
      <c r="C496" t="s">
        <v>805</v>
      </c>
      <c r="D496" t="s">
        <v>806</v>
      </c>
      <c r="E496" t="s">
        <v>804</v>
      </c>
      <c r="F496" t="s">
        <v>69</v>
      </c>
      <c r="G496" t="s">
        <v>2446</v>
      </c>
      <c r="I496">
        <f>_xlfn.XLOOKUP($F496,設計座標!$E$13:$E$2301,設計座標!$G$13:$G$2301,"n/a",0,1)</f>
        <v>125.14714111264</v>
      </c>
      <c r="J496">
        <f>_xlfn.XLOOKUP($F496,設計座標!$E$13:$E$2301,設計座標!$H$13:$H$2301,"n/a",0,1)</f>
        <v>0</v>
      </c>
      <c r="K496">
        <f>_xlfn.XLOOKUP($F496,設計座標!$E$13:$E$2301,設計座標!$I$13:$I$2301,"n/a",0,1)</f>
        <v>117745.08751226</v>
      </c>
      <c r="L496">
        <f>_xlfn.XLOOKUP($F496,設計座標!$E$13:$E$2301,設計座標!$J$13:$J$2301,"n/a",0,1)</f>
        <v>110</v>
      </c>
      <c r="M496" s="2">
        <f>_xlfn.XLOOKUP($F496,survey_data!$A$2:$A$833,survey_data!$B$2:$B$833,"n/a",0,1)</f>
        <v>-0.39689545999999998</v>
      </c>
      <c r="N496" s="2">
        <f>_xlfn.XLOOKUP($F496,survey_data!$A$2:$A$833,survey_data!$C$2:$C$833,"n/a",0,1)</f>
        <v>117745.08751226</v>
      </c>
      <c r="O496" s="23">
        <f>_xlfn.XLOOKUP($F496,survey_data!$A$2:$A$833,survey_data!$D$2:$D$833,"n/a",0,1)</f>
        <v>118.96423947</v>
      </c>
      <c r="P496" s="1">
        <f t="shared" si="362"/>
        <v>109.25157143823229</v>
      </c>
      <c r="Q496" s="1">
        <f t="shared" si="383"/>
        <v>-0.39689545999999998</v>
      </c>
      <c r="R496">
        <f t="shared" si="380"/>
        <v>0</v>
      </c>
      <c r="S496" s="23">
        <f t="shared" si="384"/>
        <v>8.9642394699999954</v>
      </c>
      <c r="T496">
        <f>$S496+測地線補正!$Q$3*(lattice!$N496/1000)^3+測地線補正!$P$3*(lattice!$N496/1000)^2+測地線補正!$O$3*(lattice!$N496/1000)+測地線補正!$N$3</f>
        <v>-0.74842856176770745</v>
      </c>
      <c r="U496">
        <f>ATAN(($P$498-$P$496)/ABS($N$498-$N$496))</f>
        <v>-7.2816733245384402E-5</v>
      </c>
      <c r="W496">
        <f>-ATAN(($Q$498-$Q$496)/ABS($N$498-$N$496))</f>
        <v>-4.3791252904975631E-4</v>
      </c>
      <c r="X496">
        <f>$Z$497-($Y$497+$Y$495)/2</f>
        <v>207.59609999999998</v>
      </c>
      <c r="Y496">
        <f>_xlfn.XLOOKUP($F496,設計座標!$E$13:$E$2301,設計座標!$L$13:$L$2301," ",0,1)</f>
        <v>1869.25</v>
      </c>
      <c r="Z496">
        <f>207.5+85+849.7211</f>
        <v>1142.2211</v>
      </c>
      <c r="AA496">
        <f>_xlfn.XLOOKUP($G496,magnet_list!$A$2:$A$592,magnet_list!$AJ$2:$AJ$592,"n/a",0,1)</f>
        <v>1.90757</v>
      </c>
      <c r="AB496">
        <f>_xlfn.XLOOKUP($G496,magnet_list!$A$2:$A$592,magnet_list!$L$2:$L$592,"n/a",0,1)</f>
        <v>25</v>
      </c>
      <c r="AD496" t="s">
        <v>2345</v>
      </c>
      <c r="AF496">
        <v>85</v>
      </c>
    </row>
    <row r="497" spans="1:32">
      <c r="A497" t="s">
        <v>797</v>
      </c>
      <c r="B497" t="s">
        <v>3812</v>
      </c>
      <c r="C497" t="s">
        <v>805</v>
      </c>
      <c r="D497" t="s">
        <v>806</v>
      </c>
      <c r="E497" t="s">
        <v>804</v>
      </c>
      <c r="F497" t="s">
        <v>70</v>
      </c>
      <c r="G497" t="s">
        <v>2446</v>
      </c>
      <c r="I497">
        <f>_xlfn.XLOOKUP($F497,設計座標!$E$13:$E$2301,設計座標!$G$13:$G$2301,"n/a",0,1)</f>
        <v>125.99686221264</v>
      </c>
      <c r="J497">
        <f>_xlfn.XLOOKUP($F497,設計座標!$E$13:$E$2301,設計座標!$H$13:$H$2301,"n/a",0,1)</f>
        <v>-121.645</v>
      </c>
      <c r="K497">
        <f>_xlfn.XLOOKUP($F497,設計座標!$E$13:$E$2301,設計座標!$I$13:$I$2301,"n/a",0,1)</f>
        <v>118584.08192308</v>
      </c>
      <c r="L497">
        <f>_xlfn.XLOOKUP($F497,設計座標!$E$13:$E$2301,設計座標!$J$13:$J$2301,"n/a",0,1)</f>
        <v>110</v>
      </c>
      <c r="M497" s="2">
        <f>_xlfn.XLOOKUP($F497,survey_data!$A$2:$A$833,survey_data!$B$2:$B$833,"n/a",0,1)</f>
        <v>-121.05357581</v>
      </c>
      <c r="N497" s="2">
        <f>_xlfn.XLOOKUP($F497,survey_data!$A$2:$A$833,survey_data!$C$2:$C$833,"n/a",0,1)</f>
        <v>118584.08192308</v>
      </c>
      <c r="O497" s="23">
        <f>_xlfn.XLOOKUP($F497,survey_data!$A$2:$A$833,survey_data!$D$2:$D$833,"n/a",0,1)</f>
        <v>118.87622143</v>
      </c>
      <c r="P497" s="1">
        <f t="shared" si="362"/>
        <v>109.05348124113233</v>
      </c>
      <c r="Q497" s="1">
        <f t="shared" si="383"/>
        <v>0.59142418999999791</v>
      </c>
      <c r="R497">
        <f t="shared" si="380"/>
        <v>0</v>
      </c>
      <c r="S497" s="23">
        <f t="shared" si="384"/>
        <v>8.8762214300000011</v>
      </c>
      <c r="T497">
        <f>$S497+測地線補正!$Q$3*(lattice!$N497/1000)^3+測地線補正!$P$3*(lattice!$N497/1000)^2+測地線補正!$O$3*(lattice!$N497/1000)+測地線補正!$N$3</f>
        <v>-0.94651875886766745</v>
      </c>
      <c r="U497">
        <f t="shared" ref="U497:U498" si="390">ATAN(($P$498-$P$496)/ABS($N$498-$N$496))</f>
        <v>-7.2816733245384402E-5</v>
      </c>
      <c r="W497">
        <f t="shared" ref="W497:W498" si="391">-ATAN(($Q$498-$Q$496)/ABS($N$498-$N$496))</f>
        <v>-4.3791252904975631E-4</v>
      </c>
      <c r="X497">
        <f>$Z$497-($Y$497+$Y$495)/2</f>
        <v>207.59609999999998</v>
      </c>
      <c r="Y497">
        <f>_xlfn.XLOOKUP($F497,設計座標!$E$13:$E$2301,設計座標!$L$13:$L$2301," ",0,1)</f>
        <v>1869.25</v>
      </c>
      <c r="Z497">
        <f t="shared" ref="Z497:Z498" si="392">207.5+85+849.7211</f>
        <v>1142.2211</v>
      </c>
      <c r="AA497">
        <f>_xlfn.XLOOKUP($G497,magnet_list!$A$2:$A$592,magnet_list!$AJ$2:$AJ$592,"n/a",0,1)</f>
        <v>1.90757</v>
      </c>
      <c r="AB497">
        <f>_xlfn.XLOOKUP($G497,magnet_list!$A$2:$A$592,magnet_list!$L$2:$L$592,"n/a",0,1)</f>
        <v>25</v>
      </c>
      <c r="AD497" t="s">
        <v>2344</v>
      </c>
      <c r="AF497">
        <v>849.72109999999998</v>
      </c>
    </row>
    <row r="498" spans="1:32">
      <c r="A498" t="s">
        <v>797</v>
      </c>
      <c r="B498" t="s">
        <v>3812</v>
      </c>
      <c r="C498" t="s">
        <v>805</v>
      </c>
      <c r="D498" t="s">
        <v>1152</v>
      </c>
      <c r="E498" t="s">
        <v>804</v>
      </c>
      <c r="F498" t="s">
        <v>581</v>
      </c>
      <c r="G498" t="s">
        <v>2446</v>
      </c>
      <c r="I498">
        <f>_xlfn.XLOOKUP($F498,設計座標!$E$13:$E$2301,設計座標!$G$13:$G$2301,"n/a",0,1)</f>
        <v>126.84658331263999</v>
      </c>
      <c r="J498">
        <f>_xlfn.XLOOKUP($F498,設計座標!$E$13:$E$2301,設計座標!$H$13:$H$2301,"n/a",0,1)</f>
        <v>-435.78899999999999</v>
      </c>
      <c r="K498">
        <f>_xlfn.XLOOKUP($F498,設計座標!$E$13:$E$2301,設計座標!$I$13:$I$2301,"n/a",0,1)</f>
        <v>119371.48592307999</v>
      </c>
      <c r="L498">
        <f>_xlfn.XLOOKUP($F498,設計座標!$E$13:$E$2301,設計座標!$J$13:$J$2301,"n/a",0,1)</f>
        <v>110</v>
      </c>
      <c r="M498" s="2">
        <f t="shared" ref="M498:M506" si="393">$J498+$Q498</f>
        <v>-435.47367517314842</v>
      </c>
      <c r="N498" s="2">
        <f t="shared" ref="N498:N506" si="394">$K498</f>
        <v>119371.48592307999</v>
      </c>
      <c r="O498" s="23">
        <f t="shared" ref="O498:O506" si="395">$L498+$S498</f>
        <v>119.06034354329037</v>
      </c>
      <c r="P498" s="1">
        <f t="shared" si="362"/>
        <v>109.13314241879158</v>
      </c>
      <c r="Q498" s="1">
        <f>(Q$507-Q$497)/($N$507-$N$497)*($N498-$N$497)+Q$497</f>
        <v>0.31532482685156255</v>
      </c>
      <c r="R498">
        <f t="shared" si="380"/>
        <v>0</v>
      </c>
      <c r="S498" s="23">
        <f t="shared" ref="S498:S506" si="396">(S$507-S$497)/($N$507-$N$497)*($N498-$N$497)+S$497</f>
        <v>9.0603435432903723</v>
      </c>
      <c r="T498">
        <f>$S498+測地線補正!$Q$3*(lattice!$N498/1000)^3+測地線補正!$P$3*(lattice!$N498/1000)^2+測地線補正!$O$3*(lattice!$N498/1000)+測地線補正!$N$3</f>
        <v>-0.86685758120841505</v>
      </c>
      <c r="U498">
        <f t="shared" si="390"/>
        <v>-7.2816733245384402E-5</v>
      </c>
      <c r="W498">
        <f t="shared" si="391"/>
        <v>-4.3791252904975631E-4</v>
      </c>
      <c r="X498">
        <f>$Z$497-($Y$497+$Y$495)/2</f>
        <v>207.59609999999998</v>
      </c>
      <c r="Y498">
        <f>_xlfn.XLOOKUP($F498,設計座標!$E$13:$E$2301,設計座標!$L$13:$L$2301," ",0,1)</f>
        <v>1869.25</v>
      </c>
      <c r="Z498">
        <f t="shared" si="392"/>
        <v>1142.2211</v>
      </c>
      <c r="AA498">
        <f>_xlfn.XLOOKUP($G498,magnet_list!$A$2:$A$592,magnet_list!$AJ$2:$AJ$592,"n/a",0,1)</f>
        <v>1.90757</v>
      </c>
      <c r="AB498">
        <f>_xlfn.XLOOKUP($G498,magnet_list!$A$2:$A$592,magnet_list!$L$2:$L$592,"n/a",0,1)</f>
        <v>25</v>
      </c>
      <c r="AD498" t="s">
        <v>2346</v>
      </c>
      <c r="AF498">
        <v>849.72109999999998</v>
      </c>
    </row>
    <row r="499" spans="1:32">
      <c r="A499" t="s">
        <v>797</v>
      </c>
      <c r="B499" t="s">
        <v>3812</v>
      </c>
      <c r="C499" t="s">
        <v>805</v>
      </c>
      <c r="D499" t="s">
        <v>1152</v>
      </c>
      <c r="E499" t="s">
        <v>804</v>
      </c>
      <c r="F499" t="s">
        <v>582</v>
      </c>
      <c r="G499" t="s">
        <v>582</v>
      </c>
      <c r="I499">
        <f>_xlfn.XLOOKUP($F499,設計座標!$E$13:$E$2301,設計座標!$G$13:$G$2301,"n/a",0,1)</f>
        <v>127.39923342851739</v>
      </c>
      <c r="J499">
        <f>_xlfn.XLOOKUP($F499,設計座標!$E$13:$E$2301,設計座標!$H$13:$H$2301,"n/a",0,1)</f>
        <v>-712.11429999999996</v>
      </c>
      <c r="K499">
        <f>_xlfn.XLOOKUP($F499,設計座標!$E$13:$E$2301,設計座標!$I$13:$I$2301,"n/a",0,1)</f>
        <v>119850.09482308</v>
      </c>
      <c r="L499">
        <f>_xlfn.XLOOKUP($F499,設計座標!$E$13:$E$2301,設計座標!$J$13:$J$2301,"n/a",0,1)</f>
        <v>35</v>
      </c>
      <c r="M499" s="2">
        <f t="shared" si="393"/>
        <v>-711.96679704411576</v>
      </c>
      <c r="N499" s="2">
        <f t="shared" si="394"/>
        <v>119850.09482308</v>
      </c>
      <c r="O499" s="23">
        <f t="shared" si="395"/>
        <v>44.17225875086816</v>
      </c>
      <c r="P499" s="1">
        <f t="shared" si="362"/>
        <v>34.181010175642584</v>
      </c>
      <c r="Q499" s="1">
        <f t="shared" ref="Q499:Q506" si="397">(Q$507-Q$497)/($N$507-$N$497)*($N499-$N$497)+Q$497</f>
        <v>0.14750295588421186</v>
      </c>
      <c r="R499">
        <f t="shared" si="380"/>
        <v>0</v>
      </c>
      <c r="S499" s="23">
        <f t="shared" si="396"/>
        <v>9.1722587508681617</v>
      </c>
      <c r="T499">
        <f>$S499+測地線補正!$Q$3*(lattice!$N499/1000)^3+測地線補正!$P$3*(lattice!$N499/1000)^2+測地線補正!$O$3*(lattice!$N499/1000)+測地線補正!$N$3</f>
        <v>-0.81898982435741352</v>
      </c>
      <c r="U499">
        <v>0</v>
      </c>
      <c r="V499">
        <v>0</v>
      </c>
      <c r="W499">
        <v>0</v>
      </c>
      <c r="X499">
        <f>$Z$499-($Y$499+$Y$497)/2</f>
        <v>418.12220000000002</v>
      </c>
      <c r="Y499">
        <f>_xlfn.XLOOKUP($F499,設計座標!$E$13:$E$2301,設計座標!$L$13:$L$2301," ",0,1)</f>
        <v>100</v>
      </c>
      <c r="Z499">
        <f>468.0261+85+849.7211</f>
        <v>1402.7472</v>
      </c>
      <c r="AA499">
        <f>_xlfn.XLOOKUP($G499,magnet_list!$A$2:$A$592,magnet_list!$AJ$2:$AJ$592,"n/a",0,1)</f>
        <v>0.11679</v>
      </c>
      <c r="AB499">
        <f>_xlfn.XLOOKUP($G499,magnet_list!$A$2:$A$592,magnet_list!$L$2:$L$592,"n/a",0,1)</f>
        <v>52</v>
      </c>
      <c r="AD499" t="s">
        <v>2347</v>
      </c>
      <c r="AF499">
        <v>85</v>
      </c>
    </row>
    <row r="500" spans="1:32">
      <c r="A500" t="s">
        <v>797</v>
      </c>
      <c r="B500" t="s">
        <v>3812</v>
      </c>
      <c r="C500" t="s">
        <v>1152</v>
      </c>
      <c r="D500" t="s">
        <v>1152</v>
      </c>
      <c r="E500" t="s">
        <v>804</v>
      </c>
      <c r="F500" t="s">
        <v>1993</v>
      </c>
      <c r="G500" t="s">
        <v>1993</v>
      </c>
      <c r="I500">
        <f>_xlfn.XLOOKUP($F500,設計座標!$E$13:$E$2301,設計座標!$G$13:$G$2301,"n/a",0,1)</f>
        <v>127.65631012851739</v>
      </c>
      <c r="J500">
        <f>_xlfn.XLOOKUP($F500,設計座標!$E$13:$E$2301,設計座標!$H$13:$H$2301,"n/a",0,1)</f>
        <v>-851.50967794004589</v>
      </c>
      <c r="K500">
        <f>_xlfn.XLOOKUP($F500,設計座標!$E$13:$E$2301,設計座標!$I$13:$I$2301,"n/a",0,1)</f>
        <v>120066.09796725119</v>
      </c>
      <c r="L500">
        <f>_xlfn.XLOOKUP($F500,設計座標!$E$13:$E$2301,設計座標!$J$13:$J$2301,"n/a",0,1)</f>
        <v>-270</v>
      </c>
      <c r="M500" s="2">
        <f t="shared" si="393"/>
        <v>-851.43791543067164</v>
      </c>
      <c r="N500" s="2">
        <f t="shared" si="394"/>
        <v>120066.09796725119</v>
      </c>
      <c r="O500" s="23">
        <f t="shared" si="395"/>
        <v>-260.7772322913641</v>
      </c>
      <c r="P500" s="1">
        <f t="shared" si="362"/>
        <v>-270.79752421886946</v>
      </c>
      <c r="Q500" s="1">
        <f t="shared" si="397"/>
        <v>7.1762509374255323E-2</v>
      </c>
      <c r="R500">
        <f t="shared" si="380"/>
        <v>0</v>
      </c>
      <c r="S500" s="23">
        <f t="shared" si="396"/>
        <v>9.2227677086359208</v>
      </c>
      <c r="T500">
        <f>$S500+測地線補正!$Q$3*(lattice!$N500/1000)^3+測地線補正!$P$3*(lattice!$N500/1000)^2+測地線補正!$O$3*(lattice!$N500/1000)+測地線補正!$N$3</f>
        <v>-0.79752421886947544</v>
      </c>
      <c r="U500">
        <v>0</v>
      </c>
      <c r="V500">
        <v>0</v>
      </c>
      <c r="W500">
        <v>0</v>
      </c>
      <c r="X500">
        <f>$Z$500-($Y$500+$Y$499)/2</f>
        <v>207.11777681801181</v>
      </c>
      <c r="Y500">
        <f>_xlfn.XLOOKUP($F500,設計座標!$E$13:$E$2301,設計座標!$L$13:$L$2301," ",0,1)</f>
        <v>0</v>
      </c>
      <c r="Z500">
        <f>SQRT(($M$500-$M$499)^2+($N$500-$N$499)^2)</f>
        <v>257.11777681801181</v>
      </c>
    </row>
    <row r="501" spans="1:32">
      <c r="A501" t="s">
        <v>797</v>
      </c>
      <c r="B501" t="s">
        <v>3812</v>
      </c>
      <c r="C501" t="s">
        <v>1152</v>
      </c>
      <c r="D501" t="s">
        <v>1152</v>
      </c>
      <c r="E501" t="s">
        <v>804</v>
      </c>
      <c r="F501" t="s">
        <v>1995</v>
      </c>
      <c r="G501" t="s">
        <v>1995</v>
      </c>
      <c r="I501">
        <f>_xlfn.XLOOKUP($F501,設計座標!$E$13:$E$2301,設計座標!$G$13:$G$2301,"n/a",0,1)</f>
        <v>127.74135392851738</v>
      </c>
      <c r="J501">
        <f>_xlfn.XLOOKUP($F501,設計座標!$E$13:$E$2301,設計座標!$H$13:$H$2301,"n/a",0,1)</f>
        <v>-897.6232022013146</v>
      </c>
      <c r="K501">
        <f>_xlfn.XLOOKUP($F501,設計座標!$E$13:$E$2301,設計座標!$I$13:$I$2301,"n/a",0,1)</f>
        <v>120137.55418320645</v>
      </c>
      <c r="L501">
        <f>_xlfn.XLOOKUP($F501,設計座標!$E$13:$E$2301,設計座標!$J$13:$J$2301,"n/a",0,1)</f>
        <v>-270</v>
      </c>
      <c r="M501" s="2">
        <f t="shared" si="393"/>
        <v>-897.57649546473078</v>
      </c>
      <c r="N501" s="2">
        <f t="shared" si="394"/>
        <v>120137.55418320645</v>
      </c>
      <c r="O501" s="23">
        <f t="shared" si="395"/>
        <v>-260.76052337257602</v>
      </c>
      <c r="P501" s="1">
        <f t="shared" si="362"/>
        <v>-270.79044209208092</v>
      </c>
      <c r="Q501" s="1">
        <f t="shared" si="397"/>
        <v>4.6706736583865482E-2</v>
      </c>
      <c r="R501">
        <f t="shared" si="380"/>
        <v>0</v>
      </c>
      <c r="S501" s="23">
        <f t="shared" si="396"/>
        <v>9.2394766274240094</v>
      </c>
      <c r="T501">
        <f>$S501+測地線補正!$Q$3*(lattice!$N501/1000)^3+測地線補正!$P$3*(lattice!$N501/1000)^2+測地線補正!$O$3*(lattice!$N501/1000)+測地線補正!$N$3</f>
        <v>-0.79044209208091487</v>
      </c>
      <c r="U501">
        <v>0</v>
      </c>
      <c r="V501">
        <v>0</v>
      </c>
      <c r="W501">
        <v>0</v>
      </c>
      <c r="X501">
        <f>$Z$501-($Y$501+$Y$500)/2</f>
        <v>85.057388663207064</v>
      </c>
      <c r="Y501">
        <f>_xlfn.XLOOKUP($F501,設計座標!$E$13:$E$2301,設計座標!$L$13:$L$2301," ",0,1)</f>
        <v>0</v>
      </c>
      <c r="Z501">
        <f>SQRT(($M$501-$M$500)^2+($N$501-$N$500)^2)</f>
        <v>85.057388663207064</v>
      </c>
    </row>
    <row r="502" spans="1:32">
      <c r="A502" t="s">
        <v>797</v>
      </c>
      <c r="B502" t="s">
        <v>3812</v>
      </c>
      <c r="C502" t="s">
        <v>805</v>
      </c>
      <c r="D502" t="s">
        <v>1152</v>
      </c>
      <c r="F502" t="s">
        <v>583</v>
      </c>
      <c r="G502" t="s">
        <v>2447</v>
      </c>
      <c r="I502">
        <f>_xlfn.XLOOKUP($F502,設計座標!$E$13:$E$2301,設計座標!$G$13:$G$2301,"n/a",0,1)</f>
        <v>127.92437647331386</v>
      </c>
      <c r="J502">
        <f>_xlfn.XLOOKUP($F502,設計座標!$E$13:$E$2301,設計座標!$H$13:$H$2301,"n/a",0,1)</f>
        <v>-996.86400000000003</v>
      </c>
      <c r="K502">
        <f>_xlfn.XLOOKUP($F502,設計座標!$E$13:$E$2301,設計座標!$I$13:$I$2301,"n/a",0,1)</f>
        <v>120291.33492307999</v>
      </c>
      <c r="L502">
        <f>_xlfn.XLOOKUP($F502,設計座標!$E$13:$E$2301,設計座標!$J$13:$J$2301,"n/a",0,1)</f>
        <v>35</v>
      </c>
      <c r="M502" s="2">
        <f t="shared" si="393"/>
        <v>-996.87121572805131</v>
      </c>
      <c r="N502" s="2">
        <f t="shared" si="394"/>
        <v>120291.33492307999</v>
      </c>
      <c r="O502" s="23">
        <f t="shared" si="395"/>
        <v>44.275435848876882</v>
      </c>
      <c r="P502" s="1">
        <f t="shared" si="362"/>
        <v>34.22476734787827</v>
      </c>
      <c r="Q502" s="1">
        <f t="shared" si="397"/>
        <v>-7.215728051291892E-3</v>
      </c>
      <c r="R502">
        <f t="shared" si="380"/>
        <v>0</v>
      </c>
      <c r="S502" s="23">
        <f t="shared" si="396"/>
        <v>9.275435848876878</v>
      </c>
      <c r="T502">
        <f>$S502+測地線補正!$Q$3*(lattice!$N502/1000)^3+測地線補正!$P$3*(lattice!$N502/1000)^2+測地線補正!$O$3*(lattice!$N502/1000)+測地線補正!$N$3</f>
        <v>-0.77523265212173242</v>
      </c>
      <c r="U502">
        <f>ATAN(($P$504-$P$502)/ABS($N$504-$N$502))</f>
        <v>9.8640212584936041E-5</v>
      </c>
      <c r="W502">
        <f>-ATAN(($Q$504-$Q$502)/ABS($N$504-$N$502))</f>
        <v>3.5064509684073553E-4</v>
      </c>
      <c r="X502">
        <f>$Z$503-($Y$503+$Y$501)/2</f>
        <v>100.86676150056519</v>
      </c>
      <c r="Y502">
        <f>_xlfn.XLOOKUP($F502,設計座標!$E$13:$E$2301,設計座標!$L$13:$L$2301," ",0,1)</f>
        <v>300</v>
      </c>
      <c r="Z502">
        <f>SQRT(($M$503-$M$501)^2+($N$503-$N$501)^2)</f>
        <v>250.86676150056519</v>
      </c>
      <c r="AA502">
        <f>_xlfn.XLOOKUP($G502,magnet_list!$A$2:$A$592,magnet_list!$AJ$2:$AJ$592,"n/a",0,1)</f>
        <v>0.3231</v>
      </c>
      <c r="AB502">
        <f>_xlfn.XLOOKUP($G502,magnet_list!$A$2:$A$592,magnet_list!$L$2:$L$592,"n/a",0,1)</f>
        <v>44</v>
      </c>
    </row>
    <row r="503" spans="1:32">
      <c r="A503" t="s">
        <v>797</v>
      </c>
      <c r="B503" t="s">
        <v>3812</v>
      </c>
      <c r="C503" t="s">
        <v>805</v>
      </c>
      <c r="D503" t="s">
        <v>1152</v>
      </c>
      <c r="E503" t="s">
        <v>804</v>
      </c>
      <c r="F503" t="s">
        <v>584</v>
      </c>
      <c r="G503" t="s">
        <v>2447</v>
      </c>
      <c r="I503">
        <f>_xlfn.XLOOKUP($F503,設計座標!$E$13:$E$2301,設計座標!$G$13:$G$2301,"n/a",0,1)</f>
        <v>127.99360624093589</v>
      </c>
      <c r="J503">
        <f>_xlfn.XLOOKUP($F503,設計座標!$E$13:$E$2301,設計座標!$H$13:$H$2301,"n/a",0,1)</f>
        <v>-1019.614</v>
      </c>
      <c r="K503">
        <f>_xlfn.XLOOKUP($F503,設計座標!$E$13:$E$2301,設計座標!$I$13:$I$2301,"n/a",0,1)</f>
        <v>120356.71992308</v>
      </c>
      <c r="L503">
        <f>_xlfn.XLOOKUP($F503,設計座標!$E$13:$E$2301,設計座標!$J$13:$J$2301,"n/a",0,1)</f>
        <v>35</v>
      </c>
      <c r="M503" s="2">
        <f t="shared" si="393"/>
        <v>-1019.6441426586479</v>
      </c>
      <c r="N503" s="2">
        <f t="shared" si="394"/>
        <v>120356.71992308</v>
      </c>
      <c r="O503" s="23">
        <f t="shared" si="395"/>
        <v>44.290725108745377</v>
      </c>
      <c r="P503" s="1">
        <f t="shared" si="362"/>
        <v>34.231220896494506</v>
      </c>
      <c r="Q503" s="1">
        <f t="shared" si="397"/>
        <v>-3.0142658647863918E-2</v>
      </c>
      <c r="R503">
        <f t="shared" si="380"/>
        <v>0</v>
      </c>
      <c r="S503" s="23">
        <f t="shared" si="396"/>
        <v>9.2907251087453737</v>
      </c>
      <c r="T503">
        <f>$S503+測地線補正!$Q$3*(lattice!$N503/1000)^3+測地線補正!$P$3*(lattice!$N503/1000)^2+測地線補正!$O$3*(lattice!$N503/1000)+測地線補正!$N$3</f>
        <v>-0.76877910350549328</v>
      </c>
      <c r="U503">
        <f t="shared" ref="U503:U504" si="398">ATAN(($P$504-$P$502)/ABS($N$504-$N$502))</f>
        <v>9.8640212584936041E-5</v>
      </c>
      <c r="W503">
        <f t="shared" ref="W503:W504" si="399">-ATAN(($Q$504-$Q$502)/ABS($N$504-$N$502))</f>
        <v>3.5064509684073553E-4</v>
      </c>
      <c r="X503">
        <f>$Z$503-($Y$503+$Y$501)/2</f>
        <v>100.86676150056519</v>
      </c>
      <c r="Y503">
        <f>_xlfn.XLOOKUP($F503,設計座標!$E$13:$E$2301,設計座標!$L$13:$L$2301," ",0,1)</f>
        <v>300</v>
      </c>
      <c r="Z503">
        <f>SQRT(($M$503-$M$501)^2+($N$503-$N$501)^2)</f>
        <v>250.86676150056519</v>
      </c>
      <c r="AA503">
        <f>_xlfn.XLOOKUP($G503,magnet_list!$A$2:$A$592,magnet_list!$AJ$2:$AJ$592,"n/a",0,1)</f>
        <v>0.3231</v>
      </c>
      <c r="AB503">
        <f>_xlfn.XLOOKUP($G503,magnet_list!$A$2:$A$592,magnet_list!$L$2:$L$592,"n/a",0,1)</f>
        <v>44</v>
      </c>
    </row>
    <row r="504" spans="1:32">
      <c r="A504" t="s">
        <v>797</v>
      </c>
      <c r="B504" t="s">
        <v>3812</v>
      </c>
      <c r="C504" t="s">
        <v>805</v>
      </c>
      <c r="D504" t="s">
        <v>1152</v>
      </c>
      <c r="F504" t="s">
        <v>585</v>
      </c>
      <c r="G504" t="s">
        <v>2447</v>
      </c>
      <c r="I504">
        <f>_xlfn.XLOOKUP($F504,設計座標!$E$13:$E$2301,設計座標!$G$13:$G$2301,"n/a",0,1)</f>
        <v>128.06283600855792</v>
      </c>
      <c r="J504">
        <f>_xlfn.XLOOKUP($F504,設計座標!$E$13:$E$2301,設計座標!$H$13:$H$2301,"n/a",0,1)</f>
        <v>-1042.364</v>
      </c>
      <c r="K504">
        <f>_xlfn.XLOOKUP($F504,設計座標!$E$13:$E$2301,設計座標!$I$13:$I$2301,"n/a",0,1)</f>
        <v>120422.10492308</v>
      </c>
      <c r="L504">
        <f>_xlfn.XLOOKUP($F504,設計座標!$E$13:$E$2301,設計座標!$J$13:$J$2301,"n/a",0,1)</f>
        <v>35</v>
      </c>
      <c r="M504" s="2">
        <f t="shared" si="393"/>
        <v>-1042.4170695892444</v>
      </c>
      <c r="N504" s="2">
        <f t="shared" si="394"/>
        <v>120422.10492308</v>
      </c>
      <c r="O504" s="23">
        <f t="shared" si="395"/>
        <v>44.306014368613866</v>
      </c>
      <c r="P504" s="1">
        <f t="shared" si="362"/>
        <v>34.237666528519838</v>
      </c>
      <c r="Q504" s="1">
        <f t="shared" si="397"/>
        <v>-5.3069589244430726E-2</v>
      </c>
      <c r="R504">
        <f t="shared" si="380"/>
        <v>0</v>
      </c>
      <c r="S504" s="23">
        <f t="shared" si="396"/>
        <v>9.3060143686138659</v>
      </c>
      <c r="T504">
        <f>$S504+測地線補正!$Q$3*(lattice!$N504/1000)^3+測地線補正!$P$3*(lattice!$N504/1000)^2+測地線補正!$O$3*(lattice!$N504/1000)+測地線補正!$N$3</f>
        <v>-0.76233347148016228</v>
      </c>
      <c r="U504">
        <f t="shared" si="398"/>
        <v>9.8640212584936041E-5</v>
      </c>
      <c r="W504">
        <f t="shared" si="399"/>
        <v>3.5064509684073553E-4</v>
      </c>
      <c r="X504">
        <f>$Z$503-($Y$503+$Y$501)/2</f>
        <v>100.86676150056519</v>
      </c>
      <c r="Y504">
        <f>_xlfn.XLOOKUP($F504,設計座標!$E$13:$E$2301,設計座標!$L$13:$L$2301," ",0,1)</f>
        <v>300</v>
      </c>
      <c r="Z504">
        <f>SQRT(($M$503-$M$501)^2+($N$503-$N$501)^2)</f>
        <v>250.86676150056519</v>
      </c>
      <c r="AA504">
        <f>_xlfn.XLOOKUP($G504,magnet_list!$A$2:$A$592,magnet_list!$AJ$2:$AJ$592,"n/a",0,1)</f>
        <v>0.3231</v>
      </c>
      <c r="AB504">
        <f>_xlfn.XLOOKUP($G504,magnet_list!$A$2:$A$592,magnet_list!$L$2:$L$592,"n/a",0,1)</f>
        <v>44</v>
      </c>
    </row>
    <row r="505" spans="1:32">
      <c r="A505" t="s">
        <v>797</v>
      </c>
      <c r="B505" t="s">
        <v>3812</v>
      </c>
      <c r="C505" t="s">
        <v>2288</v>
      </c>
      <c r="D505" t="s">
        <v>1152</v>
      </c>
      <c r="E505" t="s">
        <v>804</v>
      </c>
      <c r="F505" t="s">
        <v>3707</v>
      </c>
      <c r="G505" t="s">
        <v>3707</v>
      </c>
      <c r="I505">
        <f>_xlfn.XLOOKUP($F505,設計座標!$E$13:$E$2301,設計座標!$G$13:$G$2301,"n/a",0,1)</f>
        <v>128.36635392851738</v>
      </c>
      <c r="J505">
        <f>_xlfn.XLOOKUP($F505,設計座標!$E$13:$E$2301,設計座標!$H$13:$H$2301,"n/a",0,1)</f>
        <v>-1193.4132952048403</v>
      </c>
      <c r="K505">
        <f>_xlfn.XLOOKUP($F505,設計座標!$E$13:$E$2301,設計座標!$I$13:$I$2301,"n/a",0,1)</f>
        <v>120683.73036121075</v>
      </c>
      <c r="L505">
        <f>_xlfn.XLOOKUP($F505,設計座標!$E$13:$E$2301,設計座標!$J$13:$J$2301,"n/a",0,1)</f>
        <v>-270</v>
      </c>
      <c r="M505" s="2">
        <f t="shared" si="393"/>
        <v>-1193.5581024749338</v>
      </c>
      <c r="N505" s="2">
        <f t="shared" si="394"/>
        <v>120683.73036121075</v>
      </c>
      <c r="O505" s="23">
        <f t="shared" si="395"/>
        <v>-260.63280861354121</v>
      </c>
      <c r="P505" s="1">
        <f t="shared" si="362"/>
        <v>-270.73662187254428</v>
      </c>
      <c r="Q505" s="1">
        <f t="shared" si="397"/>
        <v>-0.14480727009356453</v>
      </c>
      <c r="R505">
        <f t="shared" si="380"/>
        <v>0</v>
      </c>
      <c r="S505" s="23">
        <f t="shared" si="396"/>
        <v>9.3671913864587744</v>
      </c>
      <c r="T505">
        <f>$S505+測地線補正!$Q$3*(lattice!$N505/1000)^3+測地線補正!$P$3*(lattice!$N505/1000)^2+測地線補正!$O$3*(lattice!$N505/1000)+測地線補正!$N$3</f>
        <v>-0.73662187254425049</v>
      </c>
      <c r="U505">
        <v>0</v>
      </c>
      <c r="V505">
        <v>0</v>
      </c>
      <c r="W505">
        <v>0</v>
      </c>
      <c r="X505">
        <f>$Z$505-($Y$505+$Y$503)/2</f>
        <v>200.38073932838824</v>
      </c>
      <c r="Y505">
        <f>_xlfn.XLOOKUP($F505,設計座標!$E$13:$E$2301,設計座標!$L$13:$L$2301," ",0,1)</f>
        <v>40</v>
      </c>
      <c r="Z505">
        <f>SQRT(($M$505-$M$503)^2+($N$505-$N$503)^2)</f>
        <v>370.38073932838824</v>
      </c>
      <c r="AC505">
        <f>_xlfn.XLOOKUP($F505,設計座標!$E$14:$E$2301,設計座標!$M$14:$M$2301,"n/a",0,1)</f>
        <v>39</v>
      </c>
    </row>
    <row r="506" spans="1:32">
      <c r="A506" t="s">
        <v>797</v>
      </c>
      <c r="B506" t="s">
        <v>3812</v>
      </c>
      <c r="C506" t="s">
        <v>805</v>
      </c>
      <c r="D506" t="s">
        <v>806</v>
      </c>
      <c r="E506" t="s">
        <v>804</v>
      </c>
      <c r="F506" t="s">
        <v>586</v>
      </c>
      <c r="G506" t="s">
        <v>2448</v>
      </c>
      <c r="I506">
        <f>_xlfn.XLOOKUP($F506,設計座標!$E$13:$E$2301,設計座標!$G$13:$G$2301,"n/a",0,1)</f>
        <v>129.12629887611524</v>
      </c>
      <c r="J506">
        <f>_xlfn.XLOOKUP($F506,設計座標!$E$13:$E$2301,設計座標!$H$13:$H$2301,"n/a",0,1)</f>
        <v>-1573.9639999999999</v>
      </c>
      <c r="K506">
        <f>_xlfn.XLOOKUP($F506,設計座標!$E$13:$E$2301,設計座標!$I$13:$I$2301,"n/a",0,1)</f>
        <v>121343.16665319</v>
      </c>
      <c r="L506">
        <f>_xlfn.XLOOKUP($F506,設計座標!$E$13:$E$2301,設計座標!$J$13:$J$2301,"n/a",0,1)</f>
        <v>110</v>
      </c>
      <c r="M506" s="2">
        <f t="shared" si="393"/>
        <v>-1574.3400353820316</v>
      </c>
      <c r="N506" s="2">
        <f t="shared" si="394"/>
        <v>121343.16665319</v>
      </c>
      <c r="O506" s="23">
        <f t="shared" si="395"/>
        <v>119.52139025217394</v>
      </c>
      <c r="P506" s="1">
        <f t="shared" si="362"/>
        <v>109.32761930346258</v>
      </c>
      <c r="Q506" s="1">
        <f t="shared" si="397"/>
        <v>-0.37603538203157483</v>
      </c>
      <c r="R506">
        <f t="shared" si="380"/>
        <v>0</v>
      </c>
      <c r="S506" s="23">
        <f t="shared" si="396"/>
        <v>9.5213902521739442</v>
      </c>
      <c r="T506">
        <f>$S506+測地線補正!$Q$3*(lattice!$N506/1000)^3+測地線補正!$P$3*(lattice!$N506/1000)^2+測地線補正!$O$3*(lattice!$N506/1000)+測地線補正!$N$3</f>
        <v>-0.67238069653741384</v>
      </c>
      <c r="U506">
        <f>ATAN(($P$508-$P$506)/ABS($N$508-$N$506))</f>
        <v>-1.0519684296152144E-5</v>
      </c>
      <c r="W506">
        <f>-ATAN(($Q$508-$Q$506)/ABS($N$508-$N$506))</f>
        <v>-4.2147014301480357E-4</v>
      </c>
      <c r="X506">
        <f>$Z$507-($Y$507+$Y$505)/2</f>
        <v>651.29660000000013</v>
      </c>
      <c r="Y506">
        <f>_xlfn.XLOOKUP($F506,設計座標!$E$13:$E$2301,設計座標!$L$13:$L$2301," ",0,1)</f>
        <v>1869.25</v>
      </c>
      <c r="Z506">
        <f>671.2005+85+849.7211</f>
        <v>1605.9216000000001</v>
      </c>
      <c r="AA506">
        <f>_xlfn.XLOOKUP($G506,magnet_list!$A$2:$A$592,magnet_list!$AJ$2:$AJ$592,"n/a",0,1)</f>
        <v>1.9092</v>
      </c>
      <c r="AB506">
        <f>_xlfn.XLOOKUP($G506,magnet_list!$A$2:$A$592,magnet_list!$L$2:$L$592,"n/a",0,1)</f>
        <v>25</v>
      </c>
      <c r="AD506" t="s">
        <v>2345</v>
      </c>
      <c r="AF506">
        <v>85</v>
      </c>
    </row>
    <row r="507" spans="1:32">
      <c r="A507" t="s">
        <v>797</v>
      </c>
      <c r="B507" t="s">
        <v>3812</v>
      </c>
      <c r="C507" t="s">
        <v>805</v>
      </c>
      <c r="D507" t="s">
        <v>806</v>
      </c>
      <c r="E507" t="s">
        <v>804</v>
      </c>
      <c r="F507" t="s">
        <v>71</v>
      </c>
      <c r="G507" t="s">
        <v>2448</v>
      </c>
      <c r="I507">
        <f>_xlfn.XLOOKUP($F507,設計座標!$E$13:$E$2301,設計座標!$G$13:$G$2301,"n/a",0,1)</f>
        <v>129.97601997611525</v>
      </c>
      <c r="J507">
        <f>_xlfn.XLOOKUP($F507,設計座標!$E$13:$E$2301,設計座標!$H$13:$H$2301,"n/a",0,1)</f>
        <v>-2009.001</v>
      </c>
      <c r="K507">
        <f>_xlfn.XLOOKUP($F507,設計座標!$E$13:$E$2301,設計座標!$I$13:$I$2301,"n/a",0,1)</f>
        <v>122098.73865319</v>
      </c>
      <c r="L507">
        <f>_xlfn.XLOOKUP($F507,設計座標!$E$13:$E$2301,設計座標!$J$13:$J$2301,"n/a",0,1)</f>
        <v>110</v>
      </c>
      <c r="M507" s="2">
        <f>_xlfn.XLOOKUP($F507,survey_data!$A$2:$A$833,survey_data!$B$2:$B$833,"n/a",0,1)</f>
        <v>-2009.6419730099999</v>
      </c>
      <c r="N507" s="2">
        <f>_xlfn.XLOOKUP($F507,survey_data!$A$2:$A$833,survey_data!$C$2:$C$833,"n/a",0,1)</f>
        <v>122098.73865319</v>
      </c>
      <c r="O507" s="23">
        <f>_xlfn.XLOOKUP($F507,survey_data!$A$2:$A$833,survey_data!$D$2:$D$833,"n/a",0,1)</f>
        <v>119.69806895000001</v>
      </c>
      <c r="P507" s="1">
        <f t="shared" si="362"/>
        <v>109.40022242742135</v>
      </c>
      <c r="Q507" s="1">
        <f t="shared" si="383"/>
        <v>-0.64097300999992513</v>
      </c>
      <c r="R507">
        <f t="shared" si="380"/>
        <v>0</v>
      </c>
      <c r="S507" s="23">
        <f t="shared" si="384"/>
        <v>9.6980689500000068</v>
      </c>
      <c r="T507">
        <f>$S507+測地線補正!$Q$3*(lattice!$N507/1000)^3+測地線補正!$P$3*(lattice!$N507/1000)^2+測地線補正!$O$3*(lattice!$N507/1000)+測地線補正!$N$3</f>
        <v>-0.59977757257864972</v>
      </c>
      <c r="U507">
        <f t="shared" ref="U507:U508" si="400">ATAN(($P$508-$P$506)/ABS($N$508-$N$506))</f>
        <v>-1.0519684296152144E-5</v>
      </c>
      <c r="W507">
        <f t="shared" ref="W507:W508" si="401">-ATAN(($Q$508-$Q$506)/ABS($N$508-$N$506))</f>
        <v>-4.2147014301480357E-4</v>
      </c>
      <c r="X507">
        <f>$Z$507-($Y$507+$Y$505)/2</f>
        <v>651.29660000000013</v>
      </c>
      <c r="Y507">
        <f>_xlfn.XLOOKUP($F507,設計座標!$E$13:$E$2301,設計座標!$L$13:$L$2301," ",0,1)</f>
        <v>1869.25</v>
      </c>
      <c r="Z507">
        <f t="shared" ref="Z507:Z508" si="402">671.2005+85+849.7211</f>
        <v>1605.9216000000001</v>
      </c>
      <c r="AA507">
        <f>_xlfn.XLOOKUP($G507,magnet_list!$A$2:$A$592,magnet_list!$AJ$2:$AJ$592,"n/a",0,1)</f>
        <v>1.9092</v>
      </c>
      <c r="AB507">
        <f>_xlfn.XLOOKUP($G507,magnet_list!$A$2:$A$592,magnet_list!$L$2:$L$592,"n/a",0,1)</f>
        <v>25</v>
      </c>
      <c r="AD507" t="s">
        <v>2344</v>
      </c>
      <c r="AF507">
        <v>849.72109999999998</v>
      </c>
    </row>
    <row r="508" spans="1:32">
      <c r="A508" t="s">
        <v>797</v>
      </c>
      <c r="B508" t="s">
        <v>3812</v>
      </c>
      <c r="C508" t="s">
        <v>805</v>
      </c>
      <c r="D508" t="s">
        <v>806</v>
      </c>
      <c r="E508" t="s">
        <v>804</v>
      </c>
      <c r="F508" t="s">
        <v>72</v>
      </c>
      <c r="G508" t="s">
        <v>2448</v>
      </c>
      <c r="I508">
        <f>_xlfn.XLOOKUP($F508,設計座標!$E$13:$E$2301,設計座標!$G$13:$G$2301,"n/a",0,1)</f>
        <v>130.82574107611526</v>
      </c>
      <c r="J508">
        <f>_xlfn.XLOOKUP($F508,設計座標!$E$13:$E$2301,設計座標!$H$13:$H$2301,"n/a",0,1)</f>
        <v>-2764.5630000000001</v>
      </c>
      <c r="K508">
        <f>_xlfn.XLOOKUP($F508,設計座標!$E$13:$E$2301,設計座標!$I$13:$I$2301,"n/a",0,1)</f>
        <v>122534.52153472</v>
      </c>
      <c r="L508">
        <f>_xlfn.XLOOKUP($F508,設計座標!$E$13:$E$2301,設計座標!$J$13:$J$2301,"n/a",0,1)</f>
        <v>110</v>
      </c>
      <c r="M508" s="2">
        <f>_xlfn.XLOOKUP($F508,survey_data!$A$2:$A$833,survey_data!$B$2:$B$833,"n/a",0,1)</f>
        <v>-2764.4369148400001</v>
      </c>
      <c r="N508" s="2">
        <f>_xlfn.XLOOKUP($F508,survey_data!$A$2:$A$833,survey_data!$C$2:$C$833,"n/a",0,1)</f>
        <v>122534.52153472</v>
      </c>
      <c r="O508" s="23">
        <f>_xlfn.XLOOKUP($F508,survey_data!$A$2:$A$833,survey_data!$D$2:$D$833,"n/a",0,1)</f>
        <v>119.67345091</v>
      </c>
      <c r="P508" s="1">
        <f t="shared" si="362"/>
        <v>109.31508662622375</v>
      </c>
      <c r="Q508" s="1">
        <f t="shared" si="383"/>
        <v>0.12608516000000236</v>
      </c>
      <c r="R508">
        <f t="shared" si="380"/>
        <v>0</v>
      </c>
      <c r="S508" s="23">
        <f t="shared" si="384"/>
        <v>9.6734509099999997</v>
      </c>
      <c r="T508">
        <f>$S508+測地線補正!$Q$3*(lattice!$N508/1000)^3+測地線補正!$P$3*(lattice!$N508/1000)^2+測地線補正!$O$3*(lattice!$N508/1000)+測地線補正!$N$3</f>
        <v>-0.68491337377624972</v>
      </c>
      <c r="U508">
        <f t="shared" si="400"/>
        <v>-1.0519684296152144E-5</v>
      </c>
      <c r="W508">
        <f t="shared" si="401"/>
        <v>-4.2147014301480357E-4</v>
      </c>
      <c r="X508">
        <f>$Z$507-($Y$507+$Y$505)/2</f>
        <v>651.29660000000013</v>
      </c>
      <c r="Y508">
        <f>_xlfn.XLOOKUP($F508,設計座標!$E$13:$E$2301,設計座標!$L$13:$L$2301," ",0,1)</f>
        <v>1869.25</v>
      </c>
      <c r="Z508">
        <f t="shared" si="402"/>
        <v>1605.9216000000001</v>
      </c>
      <c r="AA508">
        <f>_xlfn.XLOOKUP($G508,magnet_list!$A$2:$A$592,magnet_list!$AJ$2:$AJ$592,"n/a",0,1)</f>
        <v>1.9092</v>
      </c>
      <c r="AB508">
        <f>_xlfn.XLOOKUP($G508,magnet_list!$A$2:$A$592,magnet_list!$L$2:$L$592,"n/a",0,1)</f>
        <v>25</v>
      </c>
      <c r="AD508" t="s">
        <v>2346</v>
      </c>
      <c r="AF508">
        <v>849.72109999999998</v>
      </c>
    </row>
    <row r="509" spans="1:32">
      <c r="A509" t="s">
        <v>797</v>
      </c>
      <c r="B509" t="s">
        <v>3812</v>
      </c>
      <c r="C509" t="s">
        <v>805</v>
      </c>
      <c r="D509" t="s">
        <v>806</v>
      </c>
      <c r="E509" t="s">
        <v>804</v>
      </c>
      <c r="F509" t="s">
        <v>73</v>
      </c>
      <c r="G509" t="s">
        <v>73</v>
      </c>
      <c r="I509">
        <f>_xlfn.XLOOKUP($F509,設計座標!$E$13:$E$2301,設計座標!$G$13:$G$2301,"n/a",0,1)</f>
        <v>131.3144428442962</v>
      </c>
      <c r="J509">
        <f>_xlfn.XLOOKUP($F509,設計座標!$E$13:$E$2301,設計座標!$H$13:$H$2301,"n/a",0,1)</f>
        <v>-3187.7890000000002</v>
      </c>
      <c r="K509">
        <f>_xlfn.XLOOKUP($F509,設計座標!$E$13:$E$2301,設計座標!$I$13:$I$2301,"n/a",0,1)</f>
        <v>122778.87613596</v>
      </c>
      <c r="L509">
        <f>_xlfn.XLOOKUP($F509,設計座標!$E$13:$E$2301,設計座標!$J$13:$J$2301,"n/a",0,1)</f>
        <v>35</v>
      </c>
      <c r="M509" s="2">
        <f>_xlfn.XLOOKUP($F509,survey_data!$A$2:$A$833,survey_data!$B$2:$B$833,"n/a",0,1)</f>
        <v>-3187.6114429300001</v>
      </c>
      <c r="N509" s="2">
        <f>_xlfn.XLOOKUP($F509,survey_data!$A$2:$A$833,survey_data!$C$2:$C$833,"n/a",0,1)</f>
        <v>122778.87613596</v>
      </c>
      <c r="O509" s="23">
        <f>_xlfn.XLOOKUP($F509,survey_data!$A$2:$A$833,survey_data!$D$2:$D$833,"n/a",0,1)</f>
        <v>44.234987199999999</v>
      </c>
      <c r="P509" s="1">
        <f t="shared" si="362"/>
        <v>33.842530815999289</v>
      </c>
      <c r="Q509" s="1">
        <f t="shared" si="383"/>
        <v>0.17755707000014809</v>
      </c>
      <c r="R509">
        <f t="shared" si="380"/>
        <v>0</v>
      </c>
      <c r="S509" s="23">
        <f t="shared" si="384"/>
        <v>9.2349871999999991</v>
      </c>
      <c r="T509">
        <f>$S509+測地線補正!$Q$3*(lattice!$N509/1000)^3+測地線補正!$P$3*(lattice!$N509/1000)^2+測地線補正!$O$3*(lattice!$N509/1000)+測地線補正!$N$3</f>
        <v>-1.1574691840007094</v>
      </c>
      <c r="U509">
        <v>0</v>
      </c>
      <c r="V509">
        <v>0</v>
      </c>
      <c r="W509">
        <v>0</v>
      </c>
      <c r="X509">
        <f>$Z$509-($Y$509+$Y$507)/2</f>
        <v>353.79549999999995</v>
      </c>
      <c r="Y509">
        <f>_xlfn.XLOOKUP($F509,設計座標!$E$13:$E$2301,設計座標!$L$13:$L$2301," ",0,1)</f>
        <v>100</v>
      </c>
      <c r="Z509">
        <f>403.6994+85+849.7211</f>
        <v>1338.4204999999999</v>
      </c>
      <c r="AA509">
        <f>_xlfn.XLOOKUP($G509,magnet_list!$A$2:$A$592,magnet_list!$AJ$2:$AJ$592,"n/a",0,1)</f>
        <v>0.11679</v>
      </c>
      <c r="AB509">
        <f>_xlfn.XLOOKUP($G509,magnet_list!$A$2:$A$592,magnet_list!$L$2:$L$592,"n/a",0,1)</f>
        <v>52</v>
      </c>
      <c r="AD509" t="s">
        <v>2347</v>
      </c>
      <c r="AF509">
        <v>85</v>
      </c>
    </row>
    <row r="510" spans="1:32">
      <c r="A510" t="s">
        <v>797</v>
      </c>
      <c r="B510" t="s">
        <v>3812</v>
      </c>
      <c r="C510" t="s">
        <v>1152</v>
      </c>
      <c r="D510" t="s">
        <v>1152</v>
      </c>
      <c r="E510" t="s">
        <v>804</v>
      </c>
      <c r="F510" t="s">
        <v>1994</v>
      </c>
      <c r="G510" t="s">
        <v>1994</v>
      </c>
      <c r="I510">
        <f>_xlfn.XLOOKUP($F510,設計座標!$E$13:$E$2301,設計座標!$G$13:$G$2301,"n/a",0,1)</f>
        <v>131.5219434442962</v>
      </c>
      <c r="J510">
        <f>_xlfn.XLOOKUP($F510,設計座標!$E$13:$E$2301,設計座標!$H$13:$H$2301,"n/a",0,1)</f>
        <v>-3367.4769454353041</v>
      </c>
      <c r="K510">
        <f>_xlfn.XLOOKUP($F510,設計座標!$E$13:$E$2301,設計座標!$I$13:$I$2301,"n/a",0,1)</f>
        <v>122882.64868177824</v>
      </c>
      <c r="L510">
        <f>_xlfn.XLOOKUP($F510,設計座標!$E$13:$E$2301,設計座標!$J$13:$J$2301,"n/a",0,1)</f>
        <v>-270</v>
      </c>
      <c r="M510" s="2">
        <f t="shared" ref="M510:M516" si="403">$J510+$Q510</f>
        <v>-3367.4585961443677</v>
      </c>
      <c r="N510" s="2">
        <f t="shared" ref="N510:N516" si="404">$K510</f>
        <v>122882.64868177824</v>
      </c>
      <c r="O510" s="23">
        <f t="shared" ref="O510:O516" si="405">$L510+$S510</f>
        <v>-260.78106882241167</v>
      </c>
      <c r="P510" s="1">
        <f t="shared" si="362"/>
        <v>-271.18803795953744</v>
      </c>
      <c r="Q510" s="1">
        <f>(Q$511-Q$509)/($N$511-$N$509)*($N510-$N$509)+Q$509</f>
        <v>1.8349290936565898E-2</v>
      </c>
      <c r="R510">
        <f t="shared" si="380"/>
        <v>0</v>
      </c>
      <c r="S510" s="23">
        <f>(S$511-S$509)/($N$511-$N$509)*($N510-$N$509)+S$509</f>
        <v>9.2189311775883578</v>
      </c>
      <c r="T510">
        <f>$S510+測地線補正!$Q$3*(lattice!$N510/1000)^3+測地線補正!$P$3*(lattice!$N510/1000)^2+測地線補正!$O$3*(lattice!$N510/1000)+測地線補正!$N$3</f>
        <v>-1.1880379595374631</v>
      </c>
      <c r="U510">
        <v>0</v>
      </c>
      <c r="V510">
        <v>0</v>
      </c>
      <c r="W510">
        <v>0</v>
      </c>
      <c r="X510">
        <f>$Z$510-($Y$510+$Y$509)/2</f>
        <v>157.63848339099096</v>
      </c>
      <c r="Y510">
        <f>_xlfn.XLOOKUP($F510,設計座標!$E$13:$E$2301,設計座標!$L$13:$L$2301," ",0,1)</f>
        <v>0</v>
      </c>
      <c r="Z510">
        <f>SQRT(($M$510-$M$509)^2+($N$510-$N$509)^2)</f>
        <v>207.63848339099096</v>
      </c>
    </row>
    <row r="511" spans="1:32">
      <c r="A511" t="s">
        <v>797</v>
      </c>
      <c r="B511" t="s">
        <v>3812</v>
      </c>
      <c r="C511" t="s">
        <v>805</v>
      </c>
      <c r="D511" t="s">
        <v>806</v>
      </c>
      <c r="F511" t="s">
        <v>74</v>
      </c>
      <c r="G511" t="s">
        <v>2449</v>
      </c>
      <c r="I511">
        <f>_xlfn.XLOOKUP($F511,設計座標!$E$13:$E$2301,設計座標!$G$13:$G$2301,"n/a",0,1)</f>
        <v>131.68897017796439</v>
      </c>
      <c r="J511">
        <f>_xlfn.XLOOKUP($F511,設計座標!$E$13:$E$2301,設計座標!$H$13:$H$2301,"n/a",0,1)</f>
        <v>-3512.116</v>
      </c>
      <c r="K511">
        <f>_xlfn.XLOOKUP($F511,設計座標!$E$13:$E$2301,設計座標!$I$13:$I$2301,"n/a",0,1)</f>
        <v>122966.17995529</v>
      </c>
      <c r="L511">
        <f>_xlfn.XLOOKUP($F511,設計座標!$E$13:$E$2301,設計座標!$J$13:$J$2301,"n/a",0,1)</f>
        <v>35</v>
      </c>
      <c r="M511" s="2">
        <f>_xlfn.XLOOKUP($F511,survey_data!$A$2:$A$833,survey_data!$B$2:$B$833,"n/a",0,1)</f>
        <v>-3512.2258043400002</v>
      </c>
      <c r="N511" s="2">
        <f>_xlfn.XLOOKUP($F511,survey_data!$A$2:$A$833,survey_data!$C$2:$C$833,"n/a",0,1)</f>
        <v>122966.17995529</v>
      </c>
      <c r="O511" s="23">
        <f>_xlfn.XLOOKUP($F511,survey_data!$A$2:$A$833,survey_data!$D$2:$D$833,"n/a",0,1)</f>
        <v>44.206006950000003</v>
      </c>
      <c r="P511" s="1">
        <f t="shared" si="362"/>
        <v>33.78734085726807</v>
      </c>
      <c r="Q511" s="1">
        <f t="shared" si="383"/>
        <v>-0.10980434000020978</v>
      </c>
      <c r="R511">
        <f t="shared" si="380"/>
        <v>0</v>
      </c>
      <c r="S511" s="23">
        <f t="shared" si="384"/>
        <v>9.2060069500000026</v>
      </c>
      <c r="T511">
        <f>$S511+測地線補正!$Q$3*(lattice!$N511/1000)^3+測地線補正!$P$3*(lattice!$N511/1000)^2+測地線補正!$O$3*(lattice!$N511/1000)+測地線補正!$N$3</f>
        <v>-1.2126591427319304</v>
      </c>
      <c r="U511">
        <f>ATAN(($P$513-$P$511)/ABS($N$513-$N$511))</f>
        <v>-6.3079333687885537E-4</v>
      </c>
      <c r="W511">
        <f>-ATAN(($Q$513-$Q$511)/ABS($N$513-$N$511))</f>
        <v>-1.1724308537476195E-2</v>
      </c>
      <c r="X511">
        <f>$Z$512-($Y$512+$Y$510)/2</f>
        <v>92.135824814634873</v>
      </c>
      <c r="Y511">
        <f>_xlfn.XLOOKUP($F511,設計座標!$E$13:$E$2301,設計座標!$L$13:$L$2301," ",0,1)</f>
        <v>300</v>
      </c>
      <c r="Z511">
        <f>SQRT(($M$512-$M$510)^2+($N$512-$N$510)^2)</f>
        <v>242.13582481463487</v>
      </c>
      <c r="AA511">
        <f>_xlfn.XLOOKUP($G511,magnet_list!$A$2:$A$592,magnet_list!$AJ$2:$AJ$592,"n/a",0,1)</f>
        <v>0.3231</v>
      </c>
      <c r="AB511">
        <f>_xlfn.XLOOKUP($G511,magnet_list!$A$2:$A$592,magnet_list!$L$2:$L$592,"n/a",0,1)</f>
        <v>44</v>
      </c>
    </row>
    <row r="512" spans="1:32">
      <c r="A512" t="s">
        <v>797</v>
      </c>
      <c r="B512" t="s">
        <v>3812</v>
      </c>
      <c r="C512" t="s">
        <v>805</v>
      </c>
      <c r="D512" t="s">
        <v>1152</v>
      </c>
      <c r="E512" t="s">
        <v>804</v>
      </c>
      <c r="F512" t="s">
        <v>587</v>
      </c>
      <c r="G512" t="s">
        <v>2449</v>
      </c>
      <c r="I512">
        <f>_xlfn.XLOOKUP($F512,設計座標!$E$13:$E$2301,設計座標!$G$13:$G$2301,"n/a",0,1)</f>
        <v>131.76434943031296</v>
      </c>
      <c r="J512">
        <f>_xlfn.XLOOKUP($F512,設計座標!$E$13:$E$2301,設計座標!$H$13:$H$2301,"n/a",0,1)</f>
        <v>-3577.5010000000002</v>
      </c>
      <c r="K512">
        <f>_xlfn.XLOOKUP($F512,設計座標!$E$13:$E$2301,設計座標!$I$13:$I$2301,"n/a",0,1)</f>
        <v>123003.687733945</v>
      </c>
      <c r="L512">
        <f>_xlfn.XLOOKUP($F512,設計座標!$E$13:$E$2301,設計座標!$J$13:$J$2301,"n/a",0,1)</f>
        <v>35</v>
      </c>
      <c r="M512" s="2">
        <f t="shared" si="403"/>
        <v>-3577.1710314200004</v>
      </c>
      <c r="N512" s="2">
        <f t="shared" si="404"/>
        <v>123003.687733945</v>
      </c>
      <c r="O512" s="23">
        <f t="shared" si="405"/>
        <v>44.187605235000007</v>
      </c>
      <c r="P512" s="1">
        <f t="shared" si="362"/>
        <v>33.76368254613336</v>
      </c>
      <c r="Q512" s="1">
        <f>(Q$513-Q$511)/($N$513-$N$511)*($N512-$N$511)+Q$511</f>
        <v>0.32996857999978596</v>
      </c>
      <c r="R512">
        <f t="shared" si="380"/>
        <v>0</v>
      </c>
      <c r="S512" s="23">
        <f>(S$513-S$511)/($N$513-$N$511)*($N512-$N$511)+S$511</f>
        <v>9.187605235000003</v>
      </c>
      <c r="T512">
        <f>$S512+測地線補正!$Q$3*(lattice!$N512/1000)^3+測地線補正!$P$3*(lattice!$N512/1000)^2+測地線補正!$O$3*(lattice!$N512/1000)+測地線補正!$N$3</f>
        <v>-1.2363174538666388</v>
      </c>
      <c r="U512">
        <f t="shared" ref="U512:U513" si="406">ATAN(($P$513-$P$511)/ABS($N$513-$N$511))</f>
        <v>-6.3079333687885537E-4</v>
      </c>
      <c r="W512">
        <f t="shared" ref="W512:W513" si="407">-ATAN(($Q$513-$Q$511)/ABS($N$513-$N$511))</f>
        <v>-1.1724308537476195E-2</v>
      </c>
      <c r="X512">
        <f>$Z$512-($Y$512+$Y$510)/2</f>
        <v>92.135824814634873</v>
      </c>
      <c r="Y512">
        <f>_xlfn.XLOOKUP($F512,設計座標!$E$13:$E$2301,設計座標!$L$13:$L$2301," ",0,1)</f>
        <v>300</v>
      </c>
      <c r="Z512">
        <f>SQRT(($M$512-$M$510)^2+($N$512-$N$510)^2)</f>
        <v>242.13582481463487</v>
      </c>
      <c r="AA512">
        <f>_xlfn.XLOOKUP($G512,magnet_list!$A$2:$A$592,magnet_list!$AJ$2:$AJ$592,"n/a",0,1)</f>
        <v>0.3231</v>
      </c>
      <c r="AB512">
        <f>_xlfn.XLOOKUP($G512,magnet_list!$A$2:$A$592,magnet_list!$L$2:$L$592,"n/a",0,1)</f>
        <v>44</v>
      </c>
    </row>
    <row r="513" spans="1:32">
      <c r="A513" t="s">
        <v>797</v>
      </c>
      <c r="B513" t="s">
        <v>3812</v>
      </c>
      <c r="C513" t="s">
        <v>805</v>
      </c>
      <c r="D513" t="s">
        <v>806</v>
      </c>
      <c r="F513" t="s">
        <v>75</v>
      </c>
      <c r="G513" t="s">
        <v>2449</v>
      </c>
      <c r="I513">
        <f>_xlfn.XLOOKUP($F513,設計座標!$E$13:$E$2301,設計座標!$G$13:$G$2301,"n/a",0,1)</f>
        <v>131.83972868266156</v>
      </c>
      <c r="J513">
        <f>_xlfn.XLOOKUP($F513,設計座標!$E$13:$E$2301,設計座標!$H$13:$H$2301,"n/a",0,1)</f>
        <v>-3642.886</v>
      </c>
      <c r="K513">
        <f>_xlfn.XLOOKUP($F513,設計座標!$E$13:$E$2301,設計座標!$I$13:$I$2301,"n/a",0,1)</f>
        <v>123041.1955126</v>
      </c>
      <c r="L513">
        <f>_xlfn.XLOOKUP($F513,設計座標!$E$13:$E$2301,設計座標!$J$13:$J$2301,"n/a",0,1)</f>
        <v>35</v>
      </c>
      <c r="M513" s="2">
        <f>_xlfn.XLOOKUP($F513,survey_data!$A$2:$A$833,survey_data!$B$2:$B$833,"n/a",0,1)</f>
        <v>-3642.1162585000002</v>
      </c>
      <c r="N513" s="2">
        <f>_xlfn.XLOOKUP($F513,survey_data!$A$2:$A$833,survey_data!$C$2:$C$833,"n/a",0,1)</f>
        <v>123041.1955126</v>
      </c>
      <c r="O513" s="23">
        <f>_xlfn.XLOOKUP($F513,survey_data!$A$2:$A$833,survey_data!$D$2:$D$833,"n/a",0,1)</f>
        <v>44.169203520000003</v>
      </c>
      <c r="P513" s="1">
        <f t="shared" si="362"/>
        <v>33.740021537278551</v>
      </c>
      <c r="Q513" s="1">
        <f t="shared" si="383"/>
        <v>0.76974149999978181</v>
      </c>
      <c r="R513">
        <f t="shared" si="380"/>
        <v>0</v>
      </c>
      <c r="S513" s="23">
        <f t="shared" si="384"/>
        <v>9.1692035200000035</v>
      </c>
      <c r="T513">
        <f>$S513+測地線補正!$Q$3*(lattice!$N513/1000)^3+測地線補正!$P$3*(lattice!$N513/1000)^2+測地線補正!$O$3*(lattice!$N513/1000)+測地線補正!$N$3</f>
        <v>-1.2599784627214479</v>
      </c>
      <c r="U513">
        <f t="shared" si="406"/>
        <v>-6.3079333687885537E-4</v>
      </c>
      <c r="W513">
        <f t="shared" si="407"/>
        <v>-1.1724308537476195E-2</v>
      </c>
      <c r="X513">
        <f>$Z$512-($Y$512+$Y$510)/2</f>
        <v>92.135824814634873</v>
      </c>
      <c r="Y513">
        <f>_xlfn.XLOOKUP($F513,設計座標!$E$13:$E$2301,設計座標!$L$13:$L$2301," ",0,1)</f>
        <v>300</v>
      </c>
      <c r="Z513">
        <f>SQRT(($M$512-$M$510)^2+($N$512-$N$510)^2)</f>
        <v>242.13582481463487</v>
      </c>
      <c r="AA513">
        <f>_xlfn.XLOOKUP($G513,magnet_list!$A$2:$A$592,magnet_list!$AJ$2:$AJ$592,"n/a",0,1)</f>
        <v>0.3231</v>
      </c>
      <c r="AB513">
        <f>_xlfn.XLOOKUP($G513,magnet_list!$A$2:$A$592,magnet_list!$L$2:$L$592,"n/a",0,1)</f>
        <v>44</v>
      </c>
    </row>
    <row r="514" spans="1:32">
      <c r="A514" t="s">
        <v>797</v>
      </c>
      <c r="B514" t="s">
        <v>3812</v>
      </c>
      <c r="C514" t="s">
        <v>1152</v>
      </c>
      <c r="D514" t="s">
        <v>1152</v>
      </c>
      <c r="E514" t="s">
        <v>804</v>
      </c>
      <c r="F514" t="s">
        <v>1996</v>
      </c>
      <c r="G514" t="s">
        <v>1996</v>
      </c>
      <c r="I514">
        <f>_xlfn.XLOOKUP($F514,設計座標!$E$13:$E$2301,設計座標!$G$13:$G$2301,"n/a",0,1)</f>
        <v>132.05185083031296</v>
      </c>
      <c r="J514">
        <f>_xlfn.XLOOKUP($F514,設計座標!$E$13:$E$2301,設計座標!$H$13:$H$2301,"n/a",0,1)</f>
        <v>-3826.4723370775887</v>
      </c>
      <c r="K514">
        <f>_xlfn.XLOOKUP($F514,設計座標!$E$13:$E$2301,設計座標!$I$13:$I$2301,"n/a",0,1)</f>
        <v>123147.4586876075</v>
      </c>
      <c r="L514">
        <f>_xlfn.XLOOKUP($F514,設計座標!$E$13:$E$2301,設計座標!$J$13:$J$2301,"n/a",0,1)</f>
        <v>-270</v>
      </c>
      <c r="M514" s="2">
        <f t="shared" si="403"/>
        <v>-3826.1581862304815</v>
      </c>
      <c r="N514" s="2">
        <f t="shared" si="404"/>
        <v>123147.4586876075</v>
      </c>
      <c r="O514" s="23">
        <f t="shared" si="405"/>
        <v>-260.86697986949952</v>
      </c>
      <c r="P514" s="1">
        <f t="shared" si="362"/>
        <v>-271.31107660131249</v>
      </c>
      <c r="Q514" s="1">
        <f>(Q$515-Q$513)/($N$515-$N$513)*($N514-$N$513)+Q$513</f>
        <v>0.31415084710716157</v>
      </c>
      <c r="R514">
        <f t="shared" si="380"/>
        <v>0</v>
      </c>
      <c r="S514" s="23">
        <f>(S$515-S$513)/($N$515-$N$513)*($N514-$N$513)+S$513</f>
        <v>9.1330201305004639</v>
      </c>
      <c r="T514">
        <f>$S514+測地線補正!$Q$3*(lattice!$N514/1000)^3+測地線補正!$P$3*(lattice!$N514/1000)^2+測地線補正!$O$3*(lattice!$N514/1000)+測地線補正!$N$3</f>
        <v>-1.3110766013124671</v>
      </c>
      <c r="U514">
        <v>0</v>
      </c>
      <c r="V514">
        <v>0</v>
      </c>
      <c r="W514">
        <v>0</v>
      </c>
      <c r="X514">
        <f>$Z$514-($Y$514+$Y$513)/2</f>
        <v>137.51467854293014</v>
      </c>
      <c r="Y514">
        <f>_xlfn.XLOOKUP($F514,設計座標!$E$13:$E$2301,設計座標!$L$13:$L$2301," ",0,1)</f>
        <v>0</v>
      </c>
      <c r="Z514">
        <f>SQRT(($M$514-$M$512)^2+($N$514-$N$512)^2)</f>
        <v>287.51467854293014</v>
      </c>
    </row>
    <row r="515" spans="1:32">
      <c r="A515" t="s">
        <v>797</v>
      </c>
      <c r="B515" t="s">
        <v>3812</v>
      </c>
      <c r="C515" t="s">
        <v>805</v>
      </c>
      <c r="D515" t="s">
        <v>806</v>
      </c>
      <c r="F515" t="s">
        <v>76</v>
      </c>
      <c r="G515" t="s">
        <v>2450</v>
      </c>
      <c r="I515">
        <f>_xlfn.XLOOKUP($F515,設計座標!$E$13:$E$2301,設計座標!$G$13:$G$2301,"n/a",0,1)</f>
        <v>132.28901394983615</v>
      </c>
      <c r="J515">
        <f>_xlfn.XLOOKUP($F515,設計座標!$E$13:$E$2301,設計座標!$H$13:$H$2301,"n/a",0,1)</f>
        <v>-4031.7310000000002</v>
      </c>
      <c r="K515">
        <f>_xlfn.XLOOKUP($F515,設計座標!$E$13:$E$2301,設計座標!$I$13:$I$2301,"n/a",0,1)</f>
        <v>123266.26620655</v>
      </c>
      <c r="L515">
        <f>_xlfn.XLOOKUP($F515,設計座標!$E$13:$E$2301,設計座標!$J$13:$J$2301,"n/a",0,1)</f>
        <v>35</v>
      </c>
      <c r="M515" s="2">
        <f>_xlfn.XLOOKUP($F515,survey_data!$A$2:$A$833,survey_data!$B$2:$B$833,"n/a",0,1)</f>
        <v>-4031.92622218</v>
      </c>
      <c r="N515" s="2">
        <f>_xlfn.XLOOKUP($F515,survey_data!$A$2:$A$833,survey_data!$C$2:$C$833,"n/a",0,1)</f>
        <v>123266.26620655</v>
      </c>
      <c r="O515" s="23">
        <f>_xlfn.XLOOKUP($F515,survey_data!$A$2:$A$833,survey_data!$D$2:$D$833,"n/a",0,1)</f>
        <v>44.092565299999997</v>
      </c>
      <c r="P515" s="1">
        <f t="shared" si="362"/>
        <v>33.631767448943322</v>
      </c>
      <c r="Q515" s="1">
        <f t="shared" si="383"/>
        <v>-0.195222179999746</v>
      </c>
      <c r="R515">
        <f t="shared" si="380"/>
        <v>0</v>
      </c>
      <c r="S515" s="23">
        <f t="shared" si="384"/>
        <v>9.0925652999999969</v>
      </c>
      <c r="T515">
        <f>$S515+測地線補正!$Q$3*(lattice!$N515/1000)^3+測地線補正!$P$3*(lattice!$N515/1000)^2+測地線補正!$O$3*(lattice!$N515/1000)+測地線補正!$N$3</f>
        <v>-1.3682325510566755</v>
      </c>
      <c r="U515">
        <f>ATAN(($P$517-$P$515)/ABS($N$517-$N$515))</f>
        <v>3.5362474923640342E-4</v>
      </c>
      <c r="W515">
        <f>-ATAN(($Q$517-$Q$515)/ABS($N$517-$N$515))</f>
        <v>-1.1463163454880165E-2</v>
      </c>
      <c r="X515">
        <f>$Z$516-($Y$516+$Y$514)/2</f>
        <v>162.6038717428462</v>
      </c>
      <c r="Y515">
        <f>_xlfn.XLOOKUP($F515,設計座標!$E$13:$E$2301,設計座標!$L$13:$L$2301," ",0,1)</f>
        <v>300</v>
      </c>
      <c r="Z515">
        <f>SQRT(($M$516-$M$514)^2+($N$516-$N$514)^2)</f>
        <v>312.6038717428462</v>
      </c>
      <c r="AA515">
        <f>_xlfn.XLOOKUP($G515,magnet_list!$A$2:$A$592,magnet_list!$AJ$2:$AJ$592,"n/a",0,1)</f>
        <v>0.3231</v>
      </c>
      <c r="AB515">
        <f>_xlfn.XLOOKUP($G515,magnet_list!$A$2:$A$592,magnet_list!$L$2:$L$592,"n/a",0,1)</f>
        <v>44</v>
      </c>
    </row>
    <row r="516" spans="1:32">
      <c r="A516" t="s">
        <v>797</v>
      </c>
      <c r="B516" t="s">
        <v>3812</v>
      </c>
      <c r="C516" t="s">
        <v>805</v>
      </c>
      <c r="D516" t="s">
        <v>806</v>
      </c>
      <c r="E516" t="s">
        <v>804</v>
      </c>
      <c r="F516" t="s">
        <v>588</v>
      </c>
      <c r="G516" t="s">
        <v>2450</v>
      </c>
      <c r="I516">
        <f>_xlfn.XLOOKUP($F516,設計座標!$E$13:$E$2301,設計座標!$G$13:$G$2301,"n/a",0,1)</f>
        <v>132.36438627469096</v>
      </c>
      <c r="J516">
        <f>_xlfn.XLOOKUP($F516,設計座標!$E$13:$E$2301,設計座標!$H$13:$H$2301,"n/a",0,1)</f>
        <v>-4097.116</v>
      </c>
      <c r="K516">
        <f>_xlfn.XLOOKUP($F516,設計座標!$E$13:$E$2301,設計座標!$I$13:$I$2301,"n/a",0,1)</f>
        <v>123303.76006110001</v>
      </c>
      <c r="L516">
        <f>_xlfn.XLOOKUP($F516,設計座標!$E$13:$E$2301,設計座標!$J$13:$J$2301,"n/a",0,1)</f>
        <v>35</v>
      </c>
      <c r="M516" s="2">
        <f t="shared" si="403"/>
        <v>-4096.8814051700001</v>
      </c>
      <c r="N516" s="2">
        <f t="shared" si="404"/>
        <v>123303.76006110001</v>
      </c>
      <c r="O516" s="23">
        <f t="shared" si="405"/>
        <v>44.111101665000007</v>
      </c>
      <c r="P516" s="1">
        <f t="shared" si="362"/>
        <v>33.645027557513835</v>
      </c>
      <c r="Q516" s="1">
        <f>(Q$517-Q$515)/($N$517-$N$515)*($N516-$N$515)+Q$515</f>
        <v>0.23459483000018894</v>
      </c>
      <c r="R516">
        <f t="shared" si="380"/>
        <v>0</v>
      </c>
      <c r="S516" s="23">
        <f>(S$517-S$515)/($N$517-$N$515)*($N516-$N$515)+S$515</f>
        <v>9.1111016650000032</v>
      </c>
      <c r="T516">
        <f>$S516+測地線補正!$Q$3*(lattice!$N516/1000)^3+測地線補正!$P$3*(lattice!$N516/1000)^2+測地線補正!$O$3*(lattice!$N516/1000)+測地線補正!$N$3</f>
        <v>-1.3549724424861622</v>
      </c>
      <c r="U516">
        <f t="shared" ref="U516:U517" si="408">ATAN(($P$517-$P$515)/ABS($N$517-$N$515))</f>
        <v>3.5362474923640342E-4</v>
      </c>
      <c r="W516">
        <f t="shared" ref="W516:W517" si="409">-ATAN(($Q$517-$Q$515)/ABS($N$517-$N$515))</f>
        <v>-1.1463163454880165E-2</v>
      </c>
      <c r="X516">
        <f>$Z$516-($Y$516+$Y$514)/2</f>
        <v>162.6038717428462</v>
      </c>
      <c r="Y516">
        <f>_xlfn.XLOOKUP($F516,設計座標!$E$13:$E$2301,設計座標!$L$13:$L$2301," ",0,1)</f>
        <v>300</v>
      </c>
      <c r="Z516">
        <f>SQRT(($M$516-$M$514)^2+($N$516-$N$514)^2)</f>
        <v>312.6038717428462</v>
      </c>
      <c r="AA516">
        <f>_xlfn.XLOOKUP($G516,magnet_list!$A$2:$A$592,magnet_list!$AJ$2:$AJ$592,"n/a",0,1)</f>
        <v>0.3231</v>
      </c>
      <c r="AB516">
        <f>_xlfn.XLOOKUP($G516,magnet_list!$A$2:$A$592,magnet_list!$L$2:$L$592,"n/a",0,1)</f>
        <v>44</v>
      </c>
    </row>
    <row r="517" spans="1:32">
      <c r="A517" t="s">
        <v>797</v>
      </c>
      <c r="B517" t="s">
        <v>3812</v>
      </c>
      <c r="C517" t="s">
        <v>805</v>
      </c>
      <c r="D517" t="s">
        <v>806</v>
      </c>
      <c r="F517" t="s">
        <v>77</v>
      </c>
      <c r="G517" t="s">
        <v>2450</v>
      </c>
      <c r="I517">
        <f>_xlfn.XLOOKUP($F517,設計座標!$E$13:$E$2301,設計座標!$G$13:$G$2301,"n/a",0,1)</f>
        <v>132.43975859954574</v>
      </c>
      <c r="J517">
        <f>_xlfn.XLOOKUP($F517,設計座標!$E$13:$E$2301,設計座標!$H$13:$H$2301,"n/a",0,1)</f>
        <v>-4162.5010000000002</v>
      </c>
      <c r="K517">
        <f>_xlfn.XLOOKUP($F517,設計座標!$E$13:$E$2301,設計座標!$I$13:$I$2301,"n/a",0,1)</f>
        <v>123341.25391565</v>
      </c>
      <c r="L517">
        <f>_xlfn.XLOOKUP($F517,設計座標!$E$13:$E$2301,設計座標!$J$13:$J$2301,"n/a",0,1)</f>
        <v>35</v>
      </c>
      <c r="M517" s="2">
        <f>_xlfn.XLOOKUP($F517,survey_data!$A$2:$A$833,survey_data!$B$2:$B$833,"n/a",0,1)</f>
        <v>-4161.8365881600002</v>
      </c>
      <c r="N517" s="2">
        <f>_xlfn.XLOOKUP($F517,survey_data!$A$2:$A$833,survey_data!$C$2:$C$833,"n/a",0,1)</f>
        <v>123341.25391565</v>
      </c>
      <c r="O517" s="23">
        <f>_xlfn.XLOOKUP($F517,survey_data!$A$2:$A$833,survey_data!$D$2:$D$833,"n/a",0,1)</f>
        <v>44.129638030000002</v>
      </c>
      <c r="P517" s="1">
        <f t="shared" si="362"/>
        <v>33.658284959874962</v>
      </c>
      <c r="Q517" s="1">
        <f t="shared" si="383"/>
        <v>0.66441183999995701</v>
      </c>
      <c r="R517">
        <f t="shared" si="380"/>
        <v>0</v>
      </c>
      <c r="S517" s="23">
        <f t="shared" si="384"/>
        <v>9.1296380300000024</v>
      </c>
      <c r="T517">
        <f>$S517+測地線補正!$Q$3*(lattice!$N517/1000)^3+測地線補正!$P$3*(lattice!$N517/1000)^2+測地線補正!$O$3*(lattice!$N517/1000)+測地線補正!$N$3</f>
        <v>-1.3417150401250388</v>
      </c>
      <c r="U517">
        <f t="shared" si="408"/>
        <v>3.5362474923640342E-4</v>
      </c>
      <c r="W517">
        <f t="shared" si="409"/>
        <v>-1.1463163454880165E-2</v>
      </c>
      <c r="X517">
        <f>$Z$516-($Y$516+$Y$514)/2</f>
        <v>162.6038717428462</v>
      </c>
      <c r="Y517">
        <f>_xlfn.XLOOKUP($F517,設計座標!$E$13:$E$2301,設計座標!$L$13:$L$2301," ",0,1)</f>
        <v>300</v>
      </c>
      <c r="Z517">
        <f>SQRT(($M$516-$M$514)^2+($N$516-$N$514)^2)</f>
        <v>312.6038717428462</v>
      </c>
      <c r="AA517">
        <f>_xlfn.XLOOKUP($G517,magnet_list!$A$2:$A$592,magnet_list!$AJ$2:$AJ$592,"n/a",0,1)</f>
        <v>0.3231</v>
      </c>
      <c r="AB517">
        <f>_xlfn.XLOOKUP($G517,magnet_list!$A$2:$A$592,magnet_list!$L$2:$L$592,"n/a",0,1)</f>
        <v>44</v>
      </c>
    </row>
    <row r="518" spans="1:32">
      <c r="A518" t="s">
        <v>797</v>
      </c>
      <c r="B518" t="s">
        <v>3812</v>
      </c>
      <c r="C518" t="s">
        <v>805</v>
      </c>
      <c r="D518" t="s">
        <v>806</v>
      </c>
      <c r="E518" t="s">
        <v>804</v>
      </c>
      <c r="F518" t="s">
        <v>78</v>
      </c>
      <c r="G518" t="s">
        <v>2451</v>
      </c>
      <c r="I518">
        <f>_xlfn.XLOOKUP($F518,設計座標!$E$13:$E$2301,設計座標!$G$13:$G$2301,"n/a",0,1)</f>
        <v>133.10227625207048</v>
      </c>
      <c r="J518">
        <f>_xlfn.XLOOKUP($F518,設計座標!$E$13:$E$2301,設計座標!$H$13:$H$2301,"n/a",0,1)</f>
        <v>-4735.9480000000003</v>
      </c>
      <c r="K518">
        <f>_xlfn.XLOOKUP($F518,設計座標!$E$13:$E$2301,設計座標!$I$13:$I$2301,"n/a",0,1)</f>
        <v>123673.04930154</v>
      </c>
      <c r="L518">
        <f>_xlfn.XLOOKUP($F518,設計座標!$E$13:$E$2301,設計座標!$J$13:$J$2301,"n/a",0,1)</f>
        <v>110</v>
      </c>
      <c r="M518" s="2">
        <f>_xlfn.XLOOKUP($F518,survey_data!$A$2:$A$833,survey_data!$B$2:$B$833,"n/a",0,1)</f>
        <v>-4736.1257984699996</v>
      </c>
      <c r="N518" s="2">
        <f>_xlfn.XLOOKUP($F518,survey_data!$A$2:$A$833,survey_data!$C$2:$C$833,"n/a",0,1)</f>
        <v>123673.04930154</v>
      </c>
      <c r="O518" s="23">
        <f>_xlfn.XLOOKUP($F518,survey_data!$A$2:$A$833,survey_data!$D$2:$D$833,"n/a",0,1)</f>
        <v>119.25096093000001</v>
      </c>
      <c r="P518" s="1">
        <f t="shared" si="362"/>
        <v>108.73277444924244</v>
      </c>
      <c r="Q518" s="1">
        <f t="shared" si="383"/>
        <v>-0.1777984699992885</v>
      </c>
      <c r="R518">
        <f t="shared" si="380"/>
        <v>0</v>
      </c>
      <c r="S518" s="23">
        <f t="shared" si="384"/>
        <v>9.2509609300000051</v>
      </c>
      <c r="T518">
        <f>$S518+測地線補正!$Q$3*(lattice!$N518/1000)^3+測地線補正!$P$3*(lattice!$N518/1000)^2+測地線補正!$O$3*(lattice!$N518/1000)+測地線補正!$N$3</f>
        <v>-1.2672255507575556</v>
      </c>
      <c r="U518">
        <f>ATAN(($P$520-$P$518)/ABS($N$520-$N$518))</f>
        <v>-2.0328121825337794E-4</v>
      </c>
      <c r="W518">
        <f>-ATAN(($Q$520-$Q$518)/ABS($N$520-$N$518))</f>
        <v>8.1777562373244625E-5</v>
      </c>
      <c r="X518">
        <f>$Z$519-($Y$519+$Y$517)/2</f>
        <v>122.59609999999998</v>
      </c>
      <c r="Y518">
        <f>_xlfn.XLOOKUP($F518,設計座標!$E$13:$E$2301,設計座標!$L$13:$L$2301," ",0,1)</f>
        <v>1869.25</v>
      </c>
      <c r="Z518">
        <f>272.5+85+849.7211</f>
        <v>1207.2211</v>
      </c>
      <c r="AA518">
        <f>_xlfn.XLOOKUP($G518,magnet_list!$A$2:$A$592,magnet_list!$AJ$2:$AJ$592,"n/a",0,1)</f>
        <v>1.9092</v>
      </c>
      <c r="AB518">
        <f>_xlfn.XLOOKUP($G518,magnet_list!$A$2:$A$592,magnet_list!$L$2:$L$592,"n/a",0,1)</f>
        <v>25</v>
      </c>
      <c r="AD518" t="s">
        <v>2345</v>
      </c>
      <c r="AF518">
        <v>85</v>
      </c>
    </row>
    <row r="519" spans="1:32">
      <c r="A519" t="s">
        <v>797</v>
      </c>
      <c r="B519" t="s">
        <v>3812</v>
      </c>
      <c r="C519" t="s">
        <v>805</v>
      </c>
      <c r="D519" t="s">
        <v>806</v>
      </c>
      <c r="E519" t="s">
        <v>804</v>
      </c>
      <c r="F519" t="s">
        <v>79</v>
      </c>
      <c r="G519" t="s">
        <v>2451</v>
      </c>
      <c r="I519">
        <f>_xlfn.XLOOKUP($F519,設計座標!$E$13:$E$2301,設計座標!$G$13:$G$2301,"n/a",0,1)</f>
        <v>133.95199735207049</v>
      </c>
      <c r="J519">
        <f>_xlfn.XLOOKUP($F519,設計座標!$E$13:$E$2301,設計座標!$H$13:$H$2301,"n/a",0,1)</f>
        <v>-5490.482</v>
      </c>
      <c r="K519">
        <f>_xlfn.XLOOKUP($F519,設計座標!$E$13:$E$2301,設計座標!$I$13:$I$2301,"n/a",0,1)</f>
        <v>124108.67007578</v>
      </c>
      <c r="L519">
        <f>_xlfn.XLOOKUP($F519,設計座標!$E$13:$E$2301,設計座標!$J$13:$J$2301,"n/a",0,1)</f>
        <v>110</v>
      </c>
      <c r="M519" s="2">
        <f>_xlfn.XLOOKUP($F519,survey_data!$A$2:$A$833,survey_data!$B$2:$B$833,"n/a",0,1)</f>
        <v>-5490.9521403400004</v>
      </c>
      <c r="N519" s="2">
        <f>_xlfn.XLOOKUP($F519,survey_data!$A$2:$A$833,survey_data!$C$2:$C$833,"n/a",0,1)</f>
        <v>124108.67007578</v>
      </c>
      <c r="O519" s="23">
        <f>_xlfn.XLOOKUP($F519,survey_data!$A$2:$A$833,survey_data!$D$2:$D$833,"n/a",0,1)</f>
        <v>119.10886807</v>
      </c>
      <c r="P519" s="1">
        <f t="shared" si="362"/>
        <v>108.52886961812308</v>
      </c>
      <c r="Q519" s="1">
        <f t="shared" si="383"/>
        <v>-0.47014034000039828</v>
      </c>
      <c r="R519">
        <f t="shared" si="380"/>
        <v>0</v>
      </c>
      <c r="S519" s="23">
        <f t="shared" si="384"/>
        <v>9.1088680699999998</v>
      </c>
      <c r="T519">
        <f>$S519+測地線補正!$Q$3*(lattice!$N519/1000)^3+測地線補正!$P$3*(lattice!$N519/1000)^2+測地線補正!$O$3*(lattice!$N519/1000)+測地線補正!$N$3</f>
        <v>-1.4711303818769188</v>
      </c>
      <c r="U519">
        <f t="shared" ref="U519:U520" si="410">ATAN(($P$520-$P$518)/ABS($N$520-$N$518))</f>
        <v>-2.0328121825337794E-4</v>
      </c>
      <c r="W519">
        <f t="shared" ref="W519:W520" si="411">-ATAN(($Q$520-$Q$518)/ABS($N$520-$N$518))</f>
        <v>8.1777562373244625E-5</v>
      </c>
      <c r="X519">
        <f>$Z$519-($Y$519+$Y$517)/2</f>
        <v>122.59609999999998</v>
      </c>
      <c r="Y519">
        <f>_xlfn.XLOOKUP($F519,設計座標!$E$13:$E$2301,設計座標!$L$13:$L$2301," ",0,1)</f>
        <v>1869.25</v>
      </c>
      <c r="Z519">
        <f t="shared" ref="Z519:Z520" si="412">272.5+85+849.7211</f>
        <v>1207.2211</v>
      </c>
      <c r="AA519">
        <f>_xlfn.XLOOKUP($G519,magnet_list!$A$2:$A$592,magnet_list!$AJ$2:$AJ$592,"n/a",0,1)</f>
        <v>1.9092</v>
      </c>
      <c r="AB519">
        <f>_xlfn.XLOOKUP($G519,magnet_list!$A$2:$A$592,magnet_list!$L$2:$L$592,"n/a",0,1)</f>
        <v>25</v>
      </c>
      <c r="AD519" t="s">
        <v>2344</v>
      </c>
      <c r="AF519">
        <v>849.72109999999998</v>
      </c>
    </row>
    <row r="520" spans="1:32">
      <c r="A520" t="s">
        <v>797</v>
      </c>
      <c r="B520" t="s">
        <v>3812</v>
      </c>
      <c r="C520" t="s">
        <v>805</v>
      </c>
      <c r="D520" t="s">
        <v>806</v>
      </c>
      <c r="E520" t="s">
        <v>804</v>
      </c>
      <c r="F520" t="s">
        <v>80</v>
      </c>
      <c r="G520" t="s">
        <v>2451</v>
      </c>
      <c r="I520">
        <f>_xlfn.XLOOKUP($F520,設計座標!$E$13:$E$2301,設計座標!$G$13:$G$2301,"n/a",0,1)</f>
        <v>134.8017184520705</v>
      </c>
      <c r="J520">
        <f>_xlfn.XLOOKUP($F520,設計座標!$E$13:$E$2301,設計座標!$H$13:$H$2301,"n/a",0,1)</f>
        <v>-6362.3370000000004</v>
      </c>
      <c r="K520">
        <f>_xlfn.XLOOKUP($F520,設計座標!$E$13:$E$2301,設計座標!$I$13:$I$2301,"n/a",0,1)</f>
        <v>124108.50175190999</v>
      </c>
      <c r="L520">
        <f>_xlfn.XLOOKUP($F520,設計座標!$E$13:$E$2301,設計座標!$J$13:$J$2301,"n/a",0,1)</f>
        <v>110</v>
      </c>
      <c r="M520" s="2">
        <f>_xlfn.XLOOKUP($F520,survey_data!$A$2:$A$833,survey_data!$B$2:$B$833,"n/a",0,1)</f>
        <v>-6362.5504087099998</v>
      </c>
      <c r="N520" s="2">
        <f>_xlfn.XLOOKUP($F520,survey_data!$A$2:$A$833,survey_data!$C$2:$C$833,"n/a",0,1)</f>
        <v>124108.50175190999</v>
      </c>
      <c r="O520" s="23">
        <f>_xlfn.XLOOKUP($F520,survey_data!$A$2:$A$833,survey_data!$D$2:$D$833,"n/a",0,1)</f>
        <v>119.22422964</v>
      </c>
      <c r="P520" s="1">
        <f t="shared" si="362"/>
        <v>108.64425514342051</v>
      </c>
      <c r="Q520" s="1">
        <f t="shared" si="383"/>
        <v>-0.21340870999938488</v>
      </c>
      <c r="R520">
        <f t="shared" si="380"/>
        <v>0</v>
      </c>
      <c r="S520" s="23">
        <f t="shared" si="384"/>
        <v>9.2242296400000043</v>
      </c>
      <c r="T520">
        <f>$S520+測地線補正!$Q$3*(lattice!$N520/1000)^3+測地線補正!$P$3*(lattice!$N520/1000)^2+測地線補正!$O$3*(lattice!$N520/1000)+測地線補正!$N$3</f>
        <v>-1.3557448565794885</v>
      </c>
      <c r="U520">
        <f t="shared" si="410"/>
        <v>-2.0328121825337794E-4</v>
      </c>
      <c r="W520">
        <f t="shared" si="411"/>
        <v>8.1777562373244625E-5</v>
      </c>
      <c r="X520">
        <f>$Z$519-($Y$519+$Y$517)/2</f>
        <v>122.59609999999998</v>
      </c>
      <c r="Y520">
        <f>_xlfn.XLOOKUP($F520,設計座標!$E$13:$E$2301,設計座標!$L$13:$L$2301," ",0,1)</f>
        <v>1869.25</v>
      </c>
      <c r="Z520">
        <f t="shared" si="412"/>
        <v>1207.2211</v>
      </c>
      <c r="AA520">
        <f>_xlfn.XLOOKUP($G520,magnet_list!$A$2:$A$592,magnet_list!$AJ$2:$AJ$592,"n/a",0,1)</f>
        <v>1.9092</v>
      </c>
      <c r="AB520">
        <f>_xlfn.XLOOKUP($G520,magnet_list!$A$2:$A$592,magnet_list!$L$2:$L$592,"n/a",0,1)</f>
        <v>25</v>
      </c>
      <c r="AD520" t="s">
        <v>2346</v>
      </c>
      <c r="AF520">
        <v>849.72109999999998</v>
      </c>
    </row>
    <row r="521" spans="1:32">
      <c r="A521" t="s">
        <v>797</v>
      </c>
      <c r="B521" t="s">
        <v>3812</v>
      </c>
      <c r="C521" t="s">
        <v>1152</v>
      </c>
      <c r="D521" t="s">
        <v>1152</v>
      </c>
      <c r="E521" t="s">
        <v>804</v>
      </c>
      <c r="F521" t="s">
        <v>1999</v>
      </c>
      <c r="G521" t="s">
        <v>1999</v>
      </c>
      <c r="I521">
        <f>_xlfn.XLOOKUP($F521,設計座標!$E$13:$E$2301,設計座標!$G$13:$G$2301,"n/a",0,1)</f>
        <v>135.26371845207049</v>
      </c>
      <c r="J521">
        <f>_xlfn.XLOOKUP($F521,設計座標!$E$13:$E$2301,設計座標!$H$13:$H$2301,"n/a",0,1)</f>
        <v>-6824.3369714824485</v>
      </c>
      <c r="K521">
        <f>_xlfn.XLOOKUP($F521,設計座標!$E$13:$E$2301,設計座標!$I$13:$I$2301,"n/a",0,1)</f>
        <v>124108.3394244509</v>
      </c>
      <c r="L521">
        <f>_xlfn.XLOOKUP($F521,設計座標!$E$13:$E$2301,設計座標!$J$13:$J$2301,"n/a",0,1)</f>
        <v>-270</v>
      </c>
      <c r="M521" s="2">
        <f t="shared" ref="M521:M526" si="413">$J521+$Q521</f>
        <v>-6824.3824983444429</v>
      </c>
      <c r="N521" s="2">
        <f t="shared" ref="N521:N526" si="414">$K521</f>
        <v>124108.3394244509</v>
      </c>
      <c r="O521" s="23">
        <f t="shared" ref="O521:O526" si="415">$L521+$S521</f>
        <v>-260.85095715755568</v>
      </c>
      <c r="P521" s="1">
        <f t="shared" si="362"/>
        <v>-271.43090855227939</v>
      </c>
      <c r="Q521" s="1">
        <f>(Q$522-Q$520)/($N$522-$N$520)*($N521-$N$520)+Q$520</f>
        <v>-4.5526861994818146E-2</v>
      </c>
      <c r="R521">
        <f t="shared" si="380"/>
        <v>0</v>
      </c>
      <c r="S521" s="23">
        <f>(S$522-S$520)/($N$522-$N$520)*($N521-$N$520)+S$520</f>
        <v>9.1490428424443007</v>
      </c>
      <c r="T521">
        <f>$S521+測地線補正!$Q$3*(lattice!$N521/1000)^3+測地線補正!$P$3*(lattice!$N521/1000)^2+測地線補正!$O$3*(lattice!$N521/1000)+測地線補正!$N$3</f>
        <v>-1.4309085522793648</v>
      </c>
      <c r="U521">
        <v>0</v>
      </c>
      <c r="V521">
        <v>0</v>
      </c>
      <c r="W521">
        <v>0</v>
      </c>
      <c r="X521">
        <f>$Z$521-($Y$521+$Y$519)/2</f>
        <v>377.09609999999998</v>
      </c>
      <c r="Y521">
        <f>_xlfn.XLOOKUP($F521,設計座標!$E$13:$E$2301,設計座標!$L$13:$L$2301," ",0,1)</f>
        <v>0</v>
      </c>
      <c r="Z521">
        <f>377+85+849.7211</f>
        <v>1311.7211</v>
      </c>
      <c r="AD521" t="s">
        <v>2347</v>
      </c>
      <c r="AF521">
        <v>85</v>
      </c>
    </row>
    <row r="522" spans="1:32">
      <c r="A522" t="s">
        <v>797</v>
      </c>
      <c r="B522" t="s">
        <v>3812</v>
      </c>
      <c r="C522" t="s">
        <v>805</v>
      </c>
      <c r="D522" t="s">
        <v>806</v>
      </c>
      <c r="E522" t="s">
        <v>804</v>
      </c>
      <c r="F522" t="s">
        <v>81</v>
      </c>
      <c r="G522" t="s">
        <v>81</v>
      </c>
      <c r="I522">
        <f>_xlfn.XLOOKUP($F522,設計座標!$E$13:$E$2301,設計座標!$G$13:$G$2301,"n/a",0,1)</f>
        <v>135.38900543508154</v>
      </c>
      <c r="J522">
        <f>_xlfn.XLOOKUP($F522,設計座標!$E$13:$E$2301,設計座標!$H$13:$H$2301,"n/a",0,1)</f>
        <v>-6949.6239467599999</v>
      </c>
      <c r="K522">
        <f>_xlfn.XLOOKUP($F522,設計座標!$E$13:$E$2301,設計座標!$I$13:$I$2301,"n/a",0,1)</f>
        <v>124108.29540385</v>
      </c>
      <c r="L522">
        <f>_xlfn.XLOOKUP($F522,設計座標!$E$13:$E$2301,設計座標!$J$13:$J$2301,"n/a",0,1)</f>
        <v>35</v>
      </c>
      <c r="M522" s="2">
        <f>_xlfn.XLOOKUP($F522,survey_data!$A$2:$A$833,survey_data!$B$2:$B$833,"n/a",0,1)</f>
        <v>-6949.6239467599999</v>
      </c>
      <c r="N522" s="2">
        <f>_xlfn.XLOOKUP($F522,survey_data!$A$2:$A$833,survey_data!$C$2:$C$833,"n/a",0,1)</f>
        <v>124108.29540385</v>
      </c>
      <c r="O522" s="23">
        <f>_xlfn.XLOOKUP($F522,survey_data!$A$2:$A$833,survey_data!$D$2:$D$833,"n/a",0,1)</f>
        <v>44.128653389999997</v>
      </c>
      <c r="P522" s="1">
        <f t="shared" si="362"/>
        <v>33.548708260119916</v>
      </c>
      <c r="Q522" s="1">
        <f t="shared" si="383"/>
        <v>0</v>
      </c>
      <c r="R522">
        <f t="shared" si="380"/>
        <v>0</v>
      </c>
      <c r="S522" s="23">
        <f t="shared" si="384"/>
        <v>9.1286533899999966</v>
      </c>
      <c r="T522">
        <f>$S522+測地線補正!$Q$3*(lattice!$N522/1000)^3+測地線補正!$P$3*(lattice!$N522/1000)^2+測地線補正!$O$3*(lattice!$N522/1000)+測地線補正!$N$3</f>
        <v>-1.4512917398800844</v>
      </c>
      <c r="U522">
        <v>0</v>
      </c>
      <c r="V522">
        <v>0</v>
      </c>
      <c r="W522">
        <v>0</v>
      </c>
      <c r="X522">
        <f>$Z$522-($Y$522+$Y$521)/2</f>
        <v>75.241456151866601</v>
      </c>
      <c r="Y522">
        <f>_xlfn.XLOOKUP($F522,設計座標!$E$13:$E$2301,設計座標!$L$13:$L$2301," ",0,1)</f>
        <v>100</v>
      </c>
      <c r="Z522">
        <f>SQRT(($M$522-$M$521)^2+($N$522-$N$521)^2)</f>
        <v>125.2414561518666</v>
      </c>
      <c r="AA522">
        <f>_xlfn.XLOOKUP($G522,magnet_list!$A$2:$A$592,magnet_list!$AJ$2:$AJ$592,"n/a",0,1)</f>
        <v>0.11679</v>
      </c>
      <c r="AB522">
        <f>_xlfn.XLOOKUP($G522,magnet_list!$A$2:$A$592,magnet_list!$L$2:$L$592,"n/a",0,1)</f>
        <v>52</v>
      </c>
    </row>
    <row r="523" spans="1:32">
      <c r="A523" t="s">
        <v>797</v>
      </c>
      <c r="B523" t="s">
        <v>3812</v>
      </c>
      <c r="C523" t="s">
        <v>1152</v>
      </c>
      <c r="D523" t="s">
        <v>1152</v>
      </c>
      <c r="E523" t="s">
        <v>804</v>
      </c>
      <c r="F523" t="s">
        <v>1997</v>
      </c>
      <c r="G523" t="s">
        <v>1997</v>
      </c>
      <c r="I523">
        <f>_xlfn.XLOOKUP($F523,設計座標!$E$13:$E$2301,設計座標!$G$13:$G$2301,"n/a",0,1)</f>
        <v>135.58654203508155</v>
      </c>
      <c r="J523">
        <f>_xlfn.XLOOKUP($F523,設計座標!$E$13:$E$2301,設計座標!$H$13:$H$2301,"n/a",0,1)</f>
        <v>-7147.1605408267005</v>
      </c>
      <c r="K523">
        <f>_xlfn.XLOOKUP($F523,設計座標!$E$13:$E$2301,設計座標!$I$13:$I$2301,"n/a",0,1)</f>
        <v>124108.343819652</v>
      </c>
      <c r="L523">
        <f>_xlfn.XLOOKUP($F523,設計座標!$E$13:$E$2301,設計座標!$J$13:$J$2301,"n/a",0,1)</f>
        <v>-270</v>
      </c>
      <c r="M523" s="2">
        <f t="shared" si="413"/>
        <v>-7147.1605408267005</v>
      </c>
      <c r="N523" s="2">
        <f t="shared" si="414"/>
        <v>124108.343819652</v>
      </c>
      <c r="O523" s="23">
        <f t="shared" si="415"/>
        <v>-260.89594925924155</v>
      </c>
      <c r="P523" s="1">
        <f t="shared" si="362"/>
        <v>-271.47590127947359</v>
      </c>
      <c r="Q523" s="1">
        <f>(Q$525-Q$522)/($N$525-$N$522)*($N523-$N$522)+Q$522</f>
        <v>0</v>
      </c>
      <c r="R523">
        <f t="shared" si="380"/>
        <v>0</v>
      </c>
      <c r="S523" s="23">
        <f t="shared" ref="S523:S524" si="416">(S$525-S$522)/($N$525-$N$522)*($N523-$N$522)+S$522</f>
        <v>9.1040507407584794</v>
      </c>
      <c r="T523">
        <f>$S523+測地線補正!$Q$3*(lattice!$N523/1000)^3+測地線補正!$P$3*(lattice!$N523/1000)^2+測地線補正!$O$3*(lattice!$N523/1000)+測地線補正!$N$3</f>
        <v>-1.4759012794736097</v>
      </c>
      <c r="U523">
        <v>0</v>
      </c>
      <c r="V523">
        <v>0</v>
      </c>
      <c r="W523">
        <v>0</v>
      </c>
      <c r="X523">
        <f>$Z$523-($Y$523+$Y$522)/2</f>
        <v>147.53660000000599</v>
      </c>
      <c r="Y523">
        <f>_xlfn.XLOOKUP($F523,設計座標!$E$13:$E$2301,設計座標!$L$13:$L$2301," ",0,1)</f>
        <v>0</v>
      </c>
      <c r="Z523">
        <f>SQRT(($M$523-$M$522)^2+($N$523-$N$522)^2)</f>
        <v>197.53660000000599</v>
      </c>
    </row>
    <row r="524" spans="1:32">
      <c r="A524" t="s">
        <v>797</v>
      </c>
      <c r="B524" t="s">
        <v>3812</v>
      </c>
      <c r="C524" t="s">
        <v>1152</v>
      </c>
      <c r="D524" t="s">
        <v>1152</v>
      </c>
      <c r="E524" t="s">
        <v>804</v>
      </c>
      <c r="F524" t="s">
        <v>1998</v>
      </c>
      <c r="G524" t="s">
        <v>1998</v>
      </c>
      <c r="I524">
        <f>_xlfn.XLOOKUP($F524,設計座標!$E$13:$E$2301,設計座標!$G$13:$G$2301,"n/a",0,1)</f>
        <v>135.70904173508154</v>
      </c>
      <c r="J524">
        <f>_xlfn.XLOOKUP($F524,設計座標!$E$13:$E$2301,設計座標!$H$13:$H$2301,"n/a",0,1)</f>
        <v>-7269.6602371472318</v>
      </c>
      <c r="K524">
        <f>_xlfn.XLOOKUP($F524,設計座標!$E$13:$E$2301,設計座標!$I$13:$I$2301,"n/a",0,1)</f>
        <v>124108.37384406885</v>
      </c>
      <c r="L524">
        <f>_xlfn.XLOOKUP($F524,設計座標!$E$13:$E$2301,設計座標!$J$13:$J$2301,"n/a",0,1)</f>
        <v>-270</v>
      </c>
      <c r="M524" s="2">
        <f t="shared" si="413"/>
        <v>-7269.6602371472318</v>
      </c>
      <c r="N524" s="2">
        <f t="shared" si="414"/>
        <v>124108.37384406885</v>
      </c>
      <c r="O524" s="23">
        <f t="shared" si="415"/>
        <v>-260.91120626554704</v>
      </c>
      <c r="P524" s="1">
        <f t="shared" si="362"/>
        <v>-271.49116255874173</v>
      </c>
      <c r="Q524" s="1">
        <f>(Q$525-Q$522)/($N$525-$N$522)*($N524-$N$522)+Q$522</f>
        <v>0</v>
      </c>
      <c r="R524">
        <f t="shared" si="380"/>
        <v>0</v>
      </c>
      <c r="S524" s="23">
        <f t="shared" si="416"/>
        <v>9.0887937344529703</v>
      </c>
      <c r="T524">
        <f>$S524+測地線補正!$Q$3*(lattice!$N524/1000)^3+測地線補正!$P$3*(lattice!$N524/1000)^2+測地線補正!$O$3*(lattice!$N524/1000)+測地線補正!$N$3</f>
        <v>-1.4911625587417319</v>
      </c>
      <c r="U524">
        <v>0</v>
      </c>
      <c r="V524">
        <v>0</v>
      </c>
      <c r="W524">
        <v>0</v>
      </c>
      <c r="X524">
        <f>$Z$524-($Y$524+$Y$523)/2</f>
        <v>122.49969999999178</v>
      </c>
      <c r="Y524">
        <f>_xlfn.XLOOKUP($F524,設計座標!$E$13:$E$2301,設計座標!$L$13:$L$2301," ",0,1)</f>
        <v>0</v>
      </c>
      <c r="Z524">
        <f>SQRT(($M$524-$M$523)^2+($N$524-$N$523)^2)</f>
        <v>122.49969999999178</v>
      </c>
    </row>
    <row r="525" spans="1:32">
      <c r="A525" t="s">
        <v>797</v>
      </c>
      <c r="B525" t="s">
        <v>3812</v>
      </c>
      <c r="C525" t="s">
        <v>805</v>
      </c>
      <c r="D525" t="s">
        <v>806</v>
      </c>
      <c r="F525" t="s">
        <v>82</v>
      </c>
      <c r="G525" t="s">
        <v>2452</v>
      </c>
      <c r="I525">
        <f>_xlfn.XLOOKUP($F525,設計座標!$E$13:$E$2301,設計座標!$G$13:$G$2301,"n/a",0,1)</f>
        <v>135.87088679495557</v>
      </c>
      <c r="J525">
        <f>_xlfn.XLOOKUP($F525,設計座標!$E$13:$E$2301,設計座標!$H$13:$H$2301,"n/a",0,1)</f>
        <v>-7431.50529216</v>
      </c>
      <c r="K525">
        <f>_xlfn.XLOOKUP($F525,設計座標!$E$13:$E$2301,設計座標!$I$13:$I$2301,"n/a",0,1)</f>
        <v>124108.41351195</v>
      </c>
      <c r="L525">
        <f>_xlfn.XLOOKUP($F525,設計座標!$E$13:$E$2301,設計座標!$J$13:$J$2301,"n/a",0,1)</f>
        <v>35</v>
      </c>
      <c r="M525" s="2">
        <f>_xlfn.XLOOKUP($F525,survey_data!$A$2:$A$833,survey_data!$B$2:$B$833,"n/a",0,1)</f>
        <v>-7431.50529216</v>
      </c>
      <c r="N525" s="2">
        <f>_xlfn.XLOOKUP($F525,survey_data!$A$2:$A$833,survey_data!$C$2:$C$833,"n/a",0,1)</f>
        <v>124108.41351195</v>
      </c>
      <c r="O525" s="23">
        <f>_xlfn.XLOOKUP($F525,survey_data!$A$2:$A$833,survey_data!$D$2:$D$833,"n/a",0,1)</f>
        <v>44.06863637</v>
      </c>
      <c r="P525" s="1">
        <f t="shared" si="362"/>
        <v>33.488674431418254</v>
      </c>
      <c r="Q525" s="1">
        <f t="shared" si="383"/>
        <v>0</v>
      </c>
      <c r="R525">
        <f t="shared" si="380"/>
        <v>0</v>
      </c>
      <c r="S525" s="23">
        <f t="shared" si="384"/>
        <v>9.0686363700000001</v>
      </c>
      <c r="T525">
        <f>$S525+測地線補正!$Q$3*(lattice!$N525/1000)^3+測地線補正!$P$3*(lattice!$N525/1000)^2+測地線補正!$O$3*(lattice!$N525/1000)+測地線補正!$N$3</f>
        <v>-1.5113255685817435</v>
      </c>
      <c r="U525">
        <v>0</v>
      </c>
      <c r="W525">
        <f>ATAN(($K$527-$K$525)/ABS($J$527-$J$525))</f>
        <v>-2.1036002897575375E-4</v>
      </c>
      <c r="X525">
        <f>$Z$526-($Y$526+$Y$524)/2</f>
        <v>86.838722282887375</v>
      </c>
      <c r="Y525">
        <f>_xlfn.XLOOKUP($F525,設計座標!$E$13:$E$2301,設計座標!$L$13:$L$2301," ",0,1)</f>
        <v>300</v>
      </c>
      <c r="Z525">
        <f>SQRT(($M$526-$M$524)^2+($N$526-$N$524)^2)</f>
        <v>236.83872228288737</v>
      </c>
      <c r="AA525">
        <f>_xlfn.XLOOKUP($G525,magnet_list!$A$2:$A$592,magnet_list!$AJ$2:$AJ$592,"n/a",0,1)</f>
        <v>0.3266</v>
      </c>
      <c r="AB525">
        <f>_xlfn.XLOOKUP($G525,magnet_list!$A$2:$A$592,magnet_list!$L$2:$L$592,"n/a",0,1)</f>
        <v>52</v>
      </c>
    </row>
    <row r="526" spans="1:32">
      <c r="A526" t="s">
        <v>797</v>
      </c>
      <c r="B526" t="s">
        <v>3812</v>
      </c>
      <c r="C526" t="s">
        <v>805</v>
      </c>
      <c r="D526" t="s">
        <v>1152</v>
      </c>
      <c r="E526" t="s">
        <v>804</v>
      </c>
      <c r="F526" t="s">
        <v>589</v>
      </c>
      <c r="G526" t="s">
        <v>2452</v>
      </c>
      <c r="I526">
        <f>_xlfn.XLOOKUP($F526,設計座標!$E$13:$E$2301,設計座標!$G$13:$G$2301,"n/a",0,1)</f>
        <v>135.92410051520207</v>
      </c>
      <c r="J526">
        <f>_xlfn.XLOOKUP($F526,設計座標!$E$13:$E$2301,設計座標!$H$13:$H$2301,"n/a",0,1)</f>
        <v>-7506.498958225</v>
      </c>
      <c r="K526">
        <f>_xlfn.XLOOKUP($F526,設計座標!$E$13:$E$2301,設計座標!$I$13:$I$2301,"n/a",0,1)</f>
        <v>124108.39773627999</v>
      </c>
      <c r="L526">
        <f>_xlfn.XLOOKUP($F526,設計座標!$E$13:$E$2301,設計座標!$J$13:$J$2301,"n/a",0,1)</f>
        <v>35</v>
      </c>
      <c r="M526" s="2">
        <f t="shared" si="413"/>
        <v>-7506.498958225</v>
      </c>
      <c r="N526" s="2">
        <f t="shared" si="414"/>
        <v>124108.39773627999</v>
      </c>
      <c r="O526" s="23">
        <f t="shared" si="415"/>
        <v>44.065676609998633</v>
      </c>
      <c r="P526" s="1">
        <f t="shared" si="362"/>
        <v>33.485716916552626</v>
      </c>
      <c r="Q526" s="1">
        <f>(Q$527-Q$525)/($N$527-$N$525)*($N526-$N$525)+Q$525</f>
        <v>0</v>
      </c>
      <c r="R526">
        <f t="shared" si="380"/>
        <v>0</v>
      </c>
      <c r="S526" s="23">
        <f>(S$527-S$525)/($N$527-$N$525)*($N526-$N$525)+S$525</f>
        <v>9.0656766099986363</v>
      </c>
      <c r="T526">
        <f>$S526+測地線補正!$Q$3*(lattice!$N526/1000)^3+測地線補正!$P$3*(lattice!$N526/1000)^2+測地線補正!$O$3*(lattice!$N526/1000)+測地線補正!$N$3</f>
        <v>-1.5142830834473713</v>
      </c>
      <c r="U526">
        <v>0</v>
      </c>
      <c r="W526">
        <f t="shared" ref="W526:W527" si="417">ATAN(($K$527-$K$525)/ABS($J$527-$J$525))</f>
        <v>-2.1036002897575375E-4</v>
      </c>
      <c r="X526">
        <f>$Z$526-($Y$526+$Y$524)/2</f>
        <v>86.838722282887375</v>
      </c>
      <c r="Y526">
        <f>_xlfn.XLOOKUP($F526,設計座標!$E$13:$E$2301,設計座標!$L$13:$L$2301," ",0,1)</f>
        <v>300</v>
      </c>
      <c r="Z526">
        <f>SQRT(($M$526-$M$524)^2+($N$526-$N$524)^2)</f>
        <v>236.83872228288737</v>
      </c>
      <c r="AA526">
        <f>_xlfn.XLOOKUP($G526,magnet_list!$A$2:$A$592,magnet_list!$AJ$2:$AJ$592,"n/a",0,1)</f>
        <v>0.3266</v>
      </c>
      <c r="AB526">
        <f>_xlfn.XLOOKUP($G526,magnet_list!$A$2:$A$592,magnet_list!$L$2:$L$592,"n/a",0,1)</f>
        <v>52</v>
      </c>
    </row>
    <row r="527" spans="1:32">
      <c r="A527" t="s">
        <v>797</v>
      </c>
      <c r="B527" t="s">
        <v>3812</v>
      </c>
      <c r="C527" t="s">
        <v>805</v>
      </c>
      <c r="D527" t="s">
        <v>806</v>
      </c>
      <c r="F527" t="s">
        <v>83</v>
      </c>
      <c r="G527" t="s">
        <v>2452</v>
      </c>
      <c r="I527">
        <f>_xlfn.XLOOKUP($F527,設計座標!$E$13:$E$2301,設計座標!$G$13:$G$2301,"n/a",0,1)</f>
        <v>136.02087413040414</v>
      </c>
      <c r="J527">
        <f>_xlfn.XLOOKUP($F527,設計座標!$E$13:$E$2301,設計座標!$H$13:$H$2301,"n/a",0,1)</f>
        <v>-7581.4926242900001</v>
      </c>
      <c r="K527">
        <f>_xlfn.XLOOKUP($F527,設計座標!$E$13:$E$2301,設計座標!$I$13:$I$2301,"n/a",0,1)</f>
        <v>124108.38196061</v>
      </c>
      <c r="L527">
        <f>_xlfn.XLOOKUP($F527,設計座標!$E$13:$E$2301,設計座標!$J$13:$J$2301,"n/a",0,1)</f>
        <v>35</v>
      </c>
      <c r="M527" s="2">
        <f>_xlfn.XLOOKUP($F527,survey_data!$A$2:$A$833,survey_data!$B$2:$B$833,"n/a",0,1)</f>
        <v>-7581.4926242900001</v>
      </c>
      <c r="N527" s="2">
        <f>_xlfn.XLOOKUP($F527,survey_data!$A$2:$A$833,survey_data!$C$2:$C$833,"n/a",0,1)</f>
        <v>124108.38196061</v>
      </c>
      <c r="O527" s="23">
        <f>_xlfn.XLOOKUP($F527,survey_data!$A$2:$A$833,survey_data!$D$2:$D$833,"n/a",0,1)</f>
        <v>44.062716850000001</v>
      </c>
      <c r="P527" s="1">
        <f t="shared" si="362"/>
        <v>33.482759401689243</v>
      </c>
      <c r="Q527" s="1">
        <f t="shared" si="383"/>
        <v>0</v>
      </c>
      <c r="R527">
        <f t="shared" si="380"/>
        <v>0</v>
      </c>
      <c r="S527" s="23">
        <f t="shared" si="384"/>
        <v>9.062716850000001</v>
      </c>
      <c r="T527">
        <f>$S527+測地線補正!$Q$3*(lattice!$N527/1000)^3+測地線補正!$P$3*(lattice!$N527/1000)^2+測地線補正!$O$3*(lattice!$N527/1000)+測地線補正!$N$3</f>
        <v>-1.5172405983107555</v>
      </c>
      <c r="U527">
        <v>0</v>
      </c>
      <c r="W527">
        <f t="shared" si="417"/>
        <v>-2.1036002897575375E-4</v>
      </c>
      <c r="X527">
        <f>$Z$526-($Y$526+$Y$524)/2</f>
        <v>86.838722282887375</v>
      </c>
      <c r="Y527">
        <f>_xlfn.XLOOKUP($F527,設計座標!$E$13:$E$2301,設計座標!$L$13:$L$2301," ",0,1)</f>
        <v>300</v>
      </c>
      <c r="Z527">
        <f>SQRT(($M$526-$M$524)^2+($N$526-$N$524)^2)</f>
        <v>236.83872228288737</v>
      </c>
      <c r="AA527">
        <f>_xlfn.XLOOKUP($G527,magnet_list!$A$2:$A$592,magnet_list!$AJ$2:$AJ$592,"n/a",0,1)</f>
        <v>0.3266</v>
      </c>
      <c r="AB527">
        <f>_xlfn.XLOOKUP($G527,magnet_list!$A$2:$A$592,magnet_list!$L$2:$L$592,"n/a",0,1)</f>
        <v>52</v>
      </c>
    </row>
    <row r="528" spans="1:32">
      <c r="A528" t="s">
        <v>797</v>
      </c>
      <c r="B528" t="s">
        <v>3812</v>
      </c>
      <c r="C528" t="s">
        <v>805</v>
      </c>
      <c r="D528" t="s">
        <v>806</v>
      </c>
      <c r="E528" t="s">
        <v>804</v>
      </c>
      <c r="F528" t="s">
        <v>84</v>
      </c>
      <c r="G528" t="s">
        <v>84</v>
      </c>
      <c r="I528">
        <f>_xlfn.XLOOKUP($F528,設計座標!$E$13:$E$2301,設計座標!$G$13:$G$2301,"n/a",0,1)</f>
        <v>136.50265953236104</v>
      </c>
      <c r="J528">
        <f>_xlfn.XLOOKUP($F528,設計座標!$E$13:$E$2301,設計座標!$H$13:$H$2301,"n/a",0,1)</f>
        <v>-8063.2780261999997</v>
      </c>
      <c r="K528">
        <f>_xlfn.XLOOKUP($F528,設計座標!$E$13:$E$2301,設計座標!$I$13:$I$2301,"n/a",0,1)</f>
        <v>124108.38868242</v>
      </c>
      <c r="L528">
        <f>_xlfn.XLOOKUP($F528,設計座標!$E$13:$E$2301,設計座標!$J$13:$J$2301,"n/a",0,1)</f>
        <v>35</v>
      </c>
      <c r="M528" s="2">
        <f>_xlfn.XLOOKUP($F528,survey_data!$A$2:$A$833,survey_data!$B$2:$B$833,"n/a",0,1)</f>
        <v>-8063.2780261999997</v>
      </c>
      <c r="N528" s="2">
        <f>_xlfn.XLOOKUP($F528,survey_data!$A$2:$A$833,survey_data!$C$2:$C$833,"n/a",0,1)</f>
        <v>124108.38868242</v>
      </c>
      <c r="O528" s="23">
        <f>_xlfn.XLOOKUP($F528,survey_data!$A$2:$A$833,survey_data!$D$2:$D$833,"n/a",0,1)</f>
        <v>44.063539030000001</v>
      </c>
      <c r="P528" s="1">
        <f t="shared" si="362"/>
        <v>33.483580625066061</v>
      </c>
      <c r="Q528" s="1">
        <f t="shared" si="383"/>
        <v>0</v>
      </c>
      <c r="R528">
        <f t="shared" si="380"/>
        <v>0</v>
      </c>
      <c r="S528" s="23">
        <f t="shared" si="384"/>
        <v>9.0635390300000012</v>
      </c>
      <c r="T528">
        <f>$S528+測地線補正!$Q$3*(lattice!$N528/1000)^3+測地線補正!$P$3*(lattice!$N528/1000)^2+測地線補正!$O$3*(lattice!$N528/1000)+測地線補正!$N$3</f>
        <v>-1.5164193749339396</v>
      </c>
      <c r="U528">
        <v>0</v>
      </c>
      <c r="V528">
        <v>0</v>
      </c>
      <c r="W528">
        <v>0</v>
      </c>
      <c r="X528">
        <f>$Z$528-($Y$528+$Y$526)/2</f>
        <v>356.77906804861266</v>
      </c>
      <c r="Y528">
        <f>_xlfn.XLOOKUP($F528,設計座標!$E$13:$E$2301,設計座標!$L$13:$L$2301," ",0,1)</f>
        <v>100</v>
      </c>
      <c r="Z528">
        <f>SQRT(($M$528-$M$526)^2+($N$528-$N$526)^2)</f>
        <v>556.77906804861266</v>
      </c>
      <c r="AA528">
        <f>_xlfn.XLOOKUP($G528,magnet_list!$A$2:$A$592,magnet_list!$AJ$2:$AJ$592,"n/a",0,1)</f>
        <v>0.11679</v>
      </c>
      <c r="AB528">
        <f>_xlfn.XLOOKUP($G528,magnet_list!$A$2:$A$592,magnet_list!$L$2:$L$592,"n/a",0,1)</f>
        <v>52</v>
      </c>
    </row>
    <row r="529" spans="1:32">
      <c r="A529" t="s">
        <v>797</v>
      </c>
      <c r="B529" t="s">
        <v>3812</v>
      </c>
      <c r="C529" t="s">
        <v>805</v>
      </c>
      <c r="D529" t="s">
        <v>806</v>
      </c>
      <c r="E529" t="s">
        <v>804</v>
      </c>
      <c r="F529" t="s">
        <v>85</v>
      </c>
      <c r="G529" t="s">
        <v>2453</v>
      </c>
      <c r="I529">
        <f>_xlfn.XLOOKUP($F529,設計座標!$E$13:$E$2301,設計座標!$G$13:$G$2301,"n/a",0,1)</f>
        <v>137.07704551115481</v>
      </c>
      <c r="J529">
        <f>_xlfn.XLOOKUP($F529,設計座標!$E$13:$E$2301,設計座標!$H$13:$H$2301,"n/a",0,1)</f>
        <v>-8637.6640000000007</v>
      </c>
      <c r="K529">
        <f>_xlfn.XLOOKUP($F529,設計座標!$E$13:$E$2301,設計座標!$I$13:$I$2301,"n/a",0,1)</f>
        <v>124108.46442344</v>
      </c>
      <c r="L529">
        <f>_xlfn.XLOOKUP($F529,設計座標!$E$13:$E$2301,設計座標!$J$13:$J$2301,"n/a",0,1)</f>
        <v>110</v>
      </c>
      <c r="M529" s="2">
        <f>_xlfn.XLOOKUP($F529,survey_data!$A$2:$A$833,survey_data!$B$2:$B$833,"n/a",0,1)</f>
        <v>-8650.9516391100005</v>
      </c>
      <c r="N529" s="2">
        <f>_xlfn.XLOOKUP($F529,survey_data!$A$2:$A$833,survey_data!$C$2:$C$833,"n/a",0,1)</f>
        <v>124108.46442344</v>
      </c>
      <c r="O529" s="23">
        <f>_xlfn.XLOOKUP($F529,survey_data!$A$2:$A$833,survey_data!$D$2:$D$833,"n/a",0,1)</f>
        <v>118.81239467</v>
      </c>
      <c r="P529" s="1">
        <f t="shared" si="362"/>
        <v>108.87140321255048</v>
      </c>
      <c r="Q529" s="1">
        <f t="shared" si="383"/>
        <v>-13.287639109999873</v>
      </c>
      <c r="R529">
        <f t="shared" si="380"/>
        <v>0</v>
      </c>
      <c r="S529" s="23">
        <f t="shared" si="384"/>
        <v>8.8123946700000033</v>
      </c>
      <c r="T529">
        <f>$S529+測地線補正!$Q$26*(lattice!$N529/1000)^3+測地線補正!$P$26*(lattice!$N529/1000)^2+測地線補正!$O$26*(lattice!$N529/1000)+測地線補正!$N$26</f>
        <v>-1.1285967874495253</v>
      </c>
      <c r="U529">
        <f>-ATAN(($P$531-$P$529)/ABS($N$531-$N$529))</f>
        <v>-3.8203333123180966E-4</v>
      </c>
      <c r="W529">
        <f>ATAN(($Q$531-$Q$529)/ABS($N$531-$N$529))</f>
        <v>8.7468921437114405E-5</v>
      </c>
      <c r="X529">
        <f>$Z$530-($Y$530+$Y$528)/2</f>
        <v>453.89280000000008</v>
      </c>
      <c r="Y529">
        <f>_xlfn.XLOOKUP($F529,設計座標!$E$13:$E$2301,設計座標!$L$13:$L$2301," ",0,1)</f>
        <v>1869.25</v>
      </c>
      <c r="Z529">
        <f>503.7967+85+849.7211</f>
        <v>1438.5178000000001</v>
      </c>
      <c r="AA529">
        <f>_xlfn.XLOOKUP($G529,magnet_list!$A$2:$A$592,magnet_list!$AJ$2:$AJ$592,"n/a",0,1)</f>
        <v>1.9092</v>
      </c>
      <c r="AB529">
        <f>_xlfn.XLOOKUP($G529,magnet_list!$A$2:$A$592,magnet_list!$L$2:$L$592,"n/a",0,1)</f>
        <v>25</v>
      </c>
      <c r="AD529" t="s">
        <v>2345</v>
      </c>
      <c r="AF529">
        <v>85</v>
      </c>
    </row>
    <row r="530" spans="1:32">
      <c r="A530" t="s">
        <v>797</v>
      </c>
      <c r="B530" t="s">
        <v>3812</v>
      </c>
      <c r="C530" t="s">
        <v>805</v>
      </c>
      <c r="D530" t="s">
        <v>806</v>
      </c>
      <c r="E530" t="s">
        <v>804</v>
      </c>
      <c r="F530" t="s">
        <v>86</v>
      </c>
      <c r="G530" t="s">
        <v>2453</v>
      </c>
      <c r="I530">
        <f>_xlfn.XLOOKUP($F530,設計座標!$E$13:$E$2301,設計座標!$G$13:$G$2301,"n/a",0,1)</f>
        <v>137.92676661115482</v>
      </c>
      <c r="J530">
        <f>_xlfn.XLOOKUP($F530,設計座標!$E$13:$E$2301,設計座標!$H$13:$H$2301,"n/a",0,1)</f>
        <v>-9509</v>
      </c>
      <c r="K530">
        <f>_xlfn.XLOOKUP($F530,設計座標!$E$13:$E$2301,設計座標!$I$13:$I$2301,"n/a",0,1)</f>
        <v>124108.41531081</v>
      </c>
      <c r="L530">
        <f>_xlfn.XLOOKUP($F530,設計座標!$E$13:$E$2301,設計座標!$J$13:$J$2301,"n/a",0,1)</f>
        <v>110</v>
      </c>
      <c r="M530" s="2">
        <f>_xlfn.XLOOKUP($F530,survey_data!$A$2:$A$833,survey_data!$B$2:$B$833,"n/a",0,1)</f>
        <v>-9522.5036036199999</v>
      </c>
      <c r="N530" s="2">
        <f>_xlfn.XLOOKUP($F530,survey_data!$A$2:$A$833,survey_data!$C$2:$C$833,"n/a",0,1)</f>
        <v>124108.41531081</v>
      </c>
      <c r="O530" s="23">
        <f>_xlfn.XLOOKUP($F530,survey_data!$A$2:$A$833,survey_data!$D$2:$D$833,"n/a",0,1)</f>
        <v>118.75412369</v>
      </c>
      <c r="P530" s="1">
        <f t="shared" si="362"/>
        <v>108.81313677581916</v>
      </c>
      <c r="Q530" s="1">
        <f t="shared" si="383"/>
        <v>-13.503603619999922</v>
      </c>
      <c r="R530">
        <f t="shared" si="380"/>
        <v>0</v>
      </c>
      <c r="S530" s="23">
        <f t="shared" si="384"/>
        <v>8.7541236900000001</v>
      </c>
      <c r="T530">
        <f>$S530+測地線補正!$Q$26*(lattice!$N530/1000)^3+測地線補正!$P$26*(lattice!$N530/1000)^2+測地線補正!$O$26*(lattice!$N530/1000)+測地線補正!$N$26</f>
        <v>-1.186863224180833</v>
      </c>
      <c r="U530">
        <f t="shared" ref="U530:U531" si="418">-ATAN(($P$531-$P$529)/ABS($N$531-$N$529))</f>
        <v>-3.8203333123180966E-4</v>
      </c>
      <c r="W530">
        <f t="shared" ref="W530:W531" si="419">ATAN(($Q$531-$Q$529)/ABS($N$531-$N$529))</f>
        <v>8.7468921437114405E-5</v>
      </c>
      <c r="X530">
        <f>$Z$530-($Y$530+$Y$528)/2</f>
        <v>453.89280000000008</v>
      </c>
      <c r="Y530">
        <f>_xlfn.XLOOKUP($F530,設計座標!$E$13:$E$2301,設計座標!$L$13:$L$2301," ",0,1)</f>
        <v>1869.25</v>
      </c>
      <c r="Z530">
        <f t="shared" ref="Z530:Z531" si="420">503.7967+85+849.7211</f>
        <v>1438.5178000000001</v>
      </c>
      <c r="AA530">
        <f>_xlfn.XLOOKUP($G530,magnet_list!$A$2:$A$592,magnet_list!$AJ$2:$AJ$592,"n/a",0,1)</f>
        <v>1.9092</v>
      </c>
      <c r="AB530">
        <f>_xlfn.XLOOKUP($G530,magnet_list!$A$2:$A$592,magnet_list!$L$2:$L$592,"n/a",0,1)</f>
        <v>25</v>
      </c>
      <c r="AD530" t="s">
        <v>2344</v>
      </c>
      <c r="AF530">
        <v>849.72109999999998</v>
      </c>
    </row>
    <row r="531" spans="1:32">
      <c r="A531" t="s">
        <v>797</v>
      </c>
      <c r="B531" t="s">
        <v>3812</v>
      </c>
      <c r="C531" t="s">
        <v>805</v>
      </c>
      <c r="D531" t="s">
        <v>806</v>
      </c>
      <c r="E531" t="s">
        <v>804</v>
      </c>
      <c r="F531" t="s">
        <v>87</v>
      </c>
      <c r="G531" t="s">
        <v>2453</v>
      </c>
      <c r="I531">
        <f>_xlfn.XLOOKUP($F531,設計座標!$E$13:$E$2301,設計座標!$G$13:$G$2301,"n/a",0,1)</f>
        <v>138.77648771115483</v>
      </c>
      <c r="J531">
        <f>_xlfn.XLOOKUP($F531,設計座標!$E$13:$E$2301,設計座標!$H$13:$H$2301,"n/a",0,1)</f>
        <v>-10264.052</v>
      </c>
      <c r="K531">
        <f>_xlfn.XLOOKUP($F531,設計座標!$E$13:$E$2301,設計座標!$I$13:$I$2301,"n/a",0,1)</f>
        <v>123672.55759762001</v>
      </c>
      <c r="L531">
        <f>_xlfn.XLOOKUP($F531,設計座標!$E$13:$E$2301,設計座標!$J$13:$J$2301,"n/a",0,1)</f>
        <v>110</v>
      </c>
      <c r="M531" s="2">
        <f>_xlfn.XLOOKUP($F531,survey_data!$A$2:$A$833,survey_data!$B$2:$B$833,"n/a",0,1)</f>
        <v>-10277.301510810001</v>
      </c>
      <c r="N531" s="2">
        <f>_xlfn.XLOOKUP($F531,survey_data!$A$2:$A$833,survey_data!$C$2:$C$833,"n/a",0,1)</f>
        <v>123672.55759762001</v>
      </c>
      <c r="O531" s="23">
        <f>_xlfn.XLOOKUP($F531,survey_data!$A$2:$A$833,survey_data!$D$2:$D$833,"n/a",0,1)</f>
        <v>118.93864086000001</v>
      </c>
      <c r="P531" s="1">
        <f t="shared" ref="P531:P595" si="421">$L531+$T531</f>
        <v>109.03793415742688</v>
      </c>
      <c r="Q531" s="1">
        <f t="shared" si="383"/>
        <v>-13.249510810001084</v>
      </c>
      <c r="R531">
        <f t="shared" si="380"/>
        <v>0</v>
      </c>
      <c r="S531" s="23">
        <f t="shared" si="384"/>
        <v>8.9386408600000067</v>
      </c>
      <c r="T531">
        <f>$S531+測地線補正!$Q$26*(lattice!$N531/1000)^3+測地線補正!$P$26*(lattice!$N531/1000)^2+測地線補正!$O$26*(lattice!$N531/1000)+測地線補正!$N$26</f>
        <v>-0.96206584257312699</v>
      </c>
      <c r="U531">
        <f t="shared" si="418"/>
        <v>-3.8203333123180966E-4</v>
      </c>
      <c r="W531">
        <f t="shared" si="419"/>
        <v>8.7468921437114405E-5</v>
      </c>
      <c r="X531">
        <f>$Z$530-($Y$530+$Y$528)/2</f>
        <v>453.89280000000008</v>
      </c>
      <c r="Y531">
        <f>_xlfn.XLOOKUP($F531,設計座標!$E$13:$E$2301,設計座標!$L$13:$L$2301," ",0,1)</f>
        <v>1869.25</v>
      </c>
      <c r="Z531">
        <f t="shared" si="420"/>
        <v>1438.5178000000001</v>
      </c>
      <c r="AA531">
        <f>_xlfn.XLOOKUP($G531,magnet_list!$A$2:$A$592,magnet_list!$AJ$2:$AJ$592,"n/a",0,1)</f>
        <v>1.9092</v>
      </c>
      <c r="AB531">
        <f>_xlfn.XLOOKUP($G531,magnet_list!$A$2:$A$592,magnet_list!$L$2:$L$592,"n/a",0,1)</f>
        <v>25</v>
      </c>
      <c r="AD531" t="s">
        <v>2346</v>
      </c>
      <c r="AF531">
        <v>849.72109999999998</v>
      </c>
    </row>
    <row r="532" spans="1:32">
      <c r="A532" t="s">
        <v>797</v>
      </c>
      <c r="B532" t="s">
        <v>3812</v>
      </c>
      <c r="C532" t="s">
        <v>805</v>
      </c>
      <c r="D532" t="s">
        <v>1152</v>
      </c>
      <c r="E532" t="s">
        <v>804</v>
      </c>
      <c r="F532" t="s">
        <v>3847</v>
      </c>
      <c r="G532" t="s">
        <v>3847</v>
      </c>
      <c r="I532">
        <f>_xlfn.XLOOKUP($F532,設計座標!$E$13:$E$2301,設計座標!$G$13:$G$2301,"n/a",0,1)</f>
        <v>139.13648771115484</v>
      </c>
      <c r="J532">
        <f>_xlfn.XLOOKUP($F532,設計座標!$E$13:$E$2301,設計座標!$H$13:$H$2301,"n/a",0,1)</f>
        <v>-10570.7858</v>
      </c>
      <c r="K532">
        <f>_xlfn.XLOOKUP($F532,設計座標!$E$13:$E$2301,設計座標!$I$13:$I$2301,"n/a",0,1)</f>
        <v>123491.39129762001</v>
      </c>
      <c r="L532">
        <f>_xlfn.XLOOKUP($F532,設計座標!$E$13:$E$2301,設計座標!$J$13:$J$2301,"n/a",0,1)</f>
        <v>-140</v>
      </c>
      <c r="M532" s="2">
        <f t="shared" ref="M532:M539" si="422">$J532+$Q532</f>
        <v>-10584.326514153332</v>
      </c>
      <c r="N532" s="2">
        <f>_xlfn.XLOOKUP($F532,設計座標!$E$13:$E$2301,設計座標!$I$13:$I$2301,"n/a",0,1)</f>
        <v>123491.39129762001</v>
      </c>
      <c r="O532" s="23">
        <f t="shared" ref="O532:O539" si="423">$L532+$S532</f>
        <v>-130.93091777389779</v>
      </c>
      <c r="P532" s="1">
        <f t="shared" si="421"/>
        <v>-140.81490518787533</v>
      </c>
      <c r="Q532" s="1">
        <f>($Q$533-$Q$531)/($N$533-$N$531)*($N532-$N$531)+$Q$531</f>
        <v>-13.540714153331713</v>
      </c>
      <c r="R532">
        <f t="shared" si="380"/>
        <v>0</v>
      </c>
      <c r="S532" s="23">
        <f>($S$533-$S$531)/($N$533-$N$531)*($N532-$N$531)+$S$531</f>
        <v>9.0690822261022053</v>
      </c>
      <c r="T532">
        <f>$S532+測地線補正!$Q$26*(lattice!$N532/1000)^3+測地線補正!$P$26*(lattice!$N532/1000)^2+測地線補正!$O$26*(lattice!$N532/1000)+測地線補正!$N$26</f>
        <v>-0.81490518787531774</v>
      </c>
      <c r="U532">
        <v>0</v>
      </c>
      <c r="V532">
        <v>0</v>
      </c>
      <c r="W532">
        <v>0</v>
      </c>
      <c r="X532">
        <f>$Z$532-($Y$532+$Y$530)/2</f>
        <v>225.09609999999998</v>
      </c>
      <c r="Y532">
        <f>_xlfn.XLOOKUP($F532,設計座標!$E$13:$E$2301,設計座標!$L$13:$L$2301," ",0,1)</f>
        <v>100</v>
      </c>
      <c r="Z532">
        <f>275+85+849.7211</f>
        <v>1209.7211</v>
      </c>
      <c r="AA532">
        <f>_xlfn.XLOOKUP($G532,magnet_list!$A$2:$A$592,magnet_list!$AJ$2:$AJ$592,"n/a",0,1)</f>
        <v>0.14260890000000001</v>
      </c>
      <c r="AB532">
        <f>_xlfn.XLOOKUP($G532,magnet_list!$A$2:$A$592,magnet_list!$L$2:$L$592,"n/a",0,1)</f>
        <v>44</v>
      </c>
    </row>
    <row r="533" spans="1:32">
      <c r="A533" t="s">
        <v>797</v>
      </c>
      <c r="B533" t="s">
        <v>3812</v>
      </c>
      <c r="C533" t="s">
        <v>805</v>
      </c>
      <c r="D533" t="s">
        <v>806</v>
      </c>
      <c r="F533" t="s">
        <v>88</v>
      </c>
      <c r="G533" t="s">
        <v>2454</v>
      </c>
      <c r="I533">
        <f>_xlfn.XLOOKUP($F533,設計座標!$E$13:$E$2301,設計座標!$G$13:$G$2301,"n/a",0,1)</f>
        <v>139.43896399834094</v>
      </c>
      <c r="J533">
        <f>_xlfn.XLOOKUP($F533,設計座標!$E$13:$E$2301,設計座標!$H$13:$H$2301,"n/a",0,1)</f>
        <v>-10837.492</v>
      </c>
      <c r="K533">
        <f>_xlfn.XLOOKUP($F533,設計座標!$E$13:$E$2301,設計座標!$I$13:$I$2301,"n/a",0,1)</f>
        <v>123340.8327154</v>
      </c>
      <c r="L533">
        <f>_xlfn.XLOOKUP($F533,設計座標!$E$13:$E$2301,設計座標!$J$13:$J$2301,"n/a",0,1)</f>
        <v>35</v>
      </c>
      <c r="M533" s="2">
        <f>_xlfn.XLOOKUP($F533,survey_data!$A$2:$A$833,survey_data!$B$2:$B$833,"n/a",0,1)</f>
        <v>-10851.27471922</v>
      </c>
      <c r="N533" s="2">
        <f>_xlfn.XLOOKUP($F533,survey_data!$A$2:$A$833,survey_data!$C$2:$C$833,"n/a",0,1)</f>
        <v>123340.8327154</v>
      </c>
      <c r="O533" s="23">
        <f>_xlfn.XLOOKUP($F533,survey_data!$A$2:$A$833,survey_data!$D$2:$D$833,"n/a",0,1)</f>
        <v>44.177485760000003</v>
      </c>
      <c r="P533" s="1">
        <f t="shared" si="421"/>
        <v>34.307382504827309</v>
      </c>
      <c r="Q533" s="1">
        <f t="shared" si="383"/>
        <v>-13.782719220000217</v>
      </c>
      <c r="R533">
        <f t="shared" si="380"/>
        <v>0</v>
      </c>
      <c r="S533" s="23">
        <f t="shared" si="384"/>
        <v>9.1774857600000033</v>
      </c>
      <c r="T533">
        <f>$S533+測地線補正!$Q$26*(lattice!$N533/1000)^3+測地線補正!$P$26*(lattice!$N533/1000)^2+測地線補正!$O$26*(lattice!$N533/1000)+測地線補正!$N$26</f>
        <v>-0.69261749517269</v>
      </c>
      <c r="U533">
        <f>-ATAN(($P$535-$P$533)/ABS($N$535-$N$533))</f>
        <v>-7.1633554755457483E-5</v>
      </c>
      <c r="W533">
        <f>ATAN(($Q$535-$Q$533)/ABS($N$535-$N$533))</f>
        <v>1.1517021606261351E-2</v>
      </c>
      <c r="X533">
        <f>$Z$534-($Y$534+$Y$532)/2</f>
        <v>181.47952469090887</v>
      </c>
      <c r="Y533">
        <f>_xlfn.XLOOKUP($F533,設計座標!$E$13:$E$2301,設計座標!$L$13:$L$2301," ",0,1)</f>
        <v>300</v>
      </c>
      <c r="Z533">
        <f>SQRT(($M$534-$M$532)^2+($N$534-$N$532)^2)</f>
        <v>381.47952469090887</v>
      </c>
      <c r="AA533">
        <f>_xlfn.XLOOKUP($G533,magnet_list!$A$2:$A$592,magnet_list!$AJ$2:$AJ$592,"n/a",0,1)</f>
        <v>0.3231</v>
      </c>
      <c r="AB533">
        <f>_xlfn.XLOOKUP($G533,magnet_list!$A$2:$A$592,magnet_list!$L$2:$L$592,"n/a",0,1)</f>
        <v>44</v>
      </c>
      <c r="AD533" t="s">
        <v>2347</v>
      </c>
      <c r="AF533">
        <v>85</v>
      </c>
    </row>
    <row r="534" spans="1:32">
      <c r="A534" t="s">
        <v>797</v>
      </c>
      <c r="B534" t="s">
        <v>3812</v>
      </c>
      <c r="C534" t="s">
        <v>805</v>
      </c>
      <c r="D534" t="s">
        <v>1152</v>
      </c>
      <c r="E534" t="s">
        <v>804</v>
      </c>
      <c r="F534" t="s">
        <v>590</v>
      </c>
      <c r="G534" t="s">
        <v>2454</v>
      </c>
      <c r="I534">
        <f>_xlfn.XLOOKUP($F534,設計座標!$E$13:$E$2301,設計座標!$G$13:$G$2301,"n/a",0,1)</f>
        <v>139.51434225110353</v>
      </c>
      <c r="J534">
        <f>_xlfn.XLOOKUP($F534,設計座標!$E$13:$E$2301,設計座標!$H$13:$H$2301,"n/a",0,1)</f>
        <v>-10902.877</v>
      </c>
      <c r="K534">
        <f>_xlfn.XLOOKUP($F534,設計座標!$E$13:$E$2301,設計座標!$I$13:$I$2301,"n/a",0,1)</f>
        <v>123303.32694565</v>
      </c>
      <c r="L534">
        <f>_xlfn.XLOOKUP($F534,設計座標!$E$13:$E$2301,設計座標!$J$13:$J$2301,"n/a",0,1)</f>
        <v>35</v>
      </c>
      <c r="M534" s="2">
        <f t="shared" si="422"/>
        <v>-10916.22774536</v>
      </c>
      <c r="N534" s="2">
        <f t="shared" ref="N534:N539" si="424">$K534</f>
        <v>123303.32694565</v>
      </c>
      <c r="O534" s="23">
        <f t="shared" si="423"/>
        <v>44.176715505000004</v>
      </c>
      <c r="P534" s="1">
        <f t="shared" si="421"/>
        <v>34.310069470269973</v>
      </c>
      <c r="Q534" s="1">
        <f>(Q$535-Q$533)/($N$535-$N$533)*($N534-$N$533)+Q$533</f>
        <v>-13.350745359999564</v>
      </c>
      <c r="R534">
        <f t="shared" si="380"/>
        <v>0</v>
      </c>
      <c r="S534" s="23">
        <f>(S$535-S$533)/($N$535-$N$533)*($N534-$N$533)+S$533</f>
        <v>9.1767155050000007</v>
      </c>
      <c r="T534">
        <f>$S534+測地線補正!$Q$26*(lattice!$N534/1000)^3+測地線補正!$P$26*(lattice!$N534/1000)^2+測地線補正!$O$26*(lattice!$N534/1000)+測地線補正!$N$26</f>
        <v>-0.68993052973002844</v>
      </c>
      <c r="U534">
        <f t="shared" ref="U534:U535" si="425">-ATAN(($P$535-$P$533)/ABS($N$535-$N$533))</f>
        <v>-7.1633554755457483E-5</v>
      </c>
      <c r="W534">
        <f t="shared" ref="W534:W535" si="426">ATAN(($Q$535-$Q$533)/ABS($N$535-$N$533))</f>
        <v>1.1517021606261351E-2</v>
      </c>
      <c r="X534">
        <f>$Z$534-($Y$534+$Y$532)/2</f>
        <v>181.47952469090887</v>
      </c>
      <c r="Y534">
        <f>_xlfn.XLOOKUP($F534,設計座標!$E$13:$E$2301,設計座標!$L$13:$L$2301," ",0,1)</f>
        <v>300</v>
      </c>
      <c r="Z534">
        <f>SQRT(($M$534-$M$532)^2+($N$534-$N$532)^2)</f>
        <v>381.47952469090887</v>
      </c>
      <c r="AA534">
        <f>_xlfn.XLOOKUP($G534,magnet_list!$A$2:$A$592,magnet_list!$AJ$2:$AJ$592,"n/a",0,1)</f>
        <v>0.3231</v>
      </c>
      <c r="AB534">
        <f>_xlfn.XLOOKUP($G534,magnet_list!$A$2:$A$592,magnet_list!$L$2:$L$592,"n/a",0,1)</f>
        <v>44</v>
      </c>
      <c r="AF534">
        <v>85</v>
      </c>
    </row>
    <row r="535" spans="1:32">
      <c r="A535" t="s">
        <v>797</v>
      </c>
      <c r="B535" t="s">
        <v>3812</v>
      </c>
      <c r="C535" t="s">
        <v>805</v>
      </c>
      <c r="D535" t="s">
        <v>806</v>
      </c>
      <c r="F535" t="s">
        <v>89</v>
      </c>
      <c r="G535" t="s">
        <v>2454</v>
      </c>
      <c r="I535">
        <f>_xlfn.XLOOKUP($F535,設計座標!$E$13:$E$2301,設計座標!$G$13:$G$2301,"n/a",0,1)</f>
        <v>139.58972050386612</v>
      </c>
      <c r="J535">
        <f>_xlfn.XLOOKUP($F535,設計座標!$E$13:$E$2301,設計座標!$H$13:$H$2301,"n/a",0,1)</f>
        <v>-10968.262000000001</v>
      </c>
      <c r="K535">
        <f>_xlfn.XLOOKUP($F535,設計座標!$E$13:$E$2301,設計座標!$I$13:$I$2301,"n/a",0,1)</f>
        <v>123265.8211759</v>
      </c>
      <c r="L535">
        <f>_xlfn.XLOOKUP($F535,設計座標!$E$13:$E$2301,設計座標!$J$13:$J$2301,"n/a",0,1)</f>
        <v>35</v>
      </c>
      <c r="M535" s="2">
        <f>_xlfn.XLOOKUP($F535,survey_data!$A$2:$A$833,survey_data!$B$2:$B$833,"n/a",0,1)</f>
        <v>-10981.1807715</v>
      </c>
      <c r="N535" s="2">
        <f>_xlfn.XLOOKUP($F535,survey_data!$A$2:$A$833,survey_data!$C$2:$C$833,"n/a",0,1)</f>
        <v>123265.8211759</v>
      </c>
      <c r="O535" s="23">
        <f>_xlfn.XLOOKUP($F535,survey_data!$A$2:$A$833,survey_data!$D$2:$D$833,"n/a",0,1)</f>
        <v>44.175945249999998</v>
      </c>
      <c r="P535" s="1">
        <f t="shared" si="421"/>
        <v>34.312755848058565</v>
      </c>
      <c r="Q535" s="1">
        <f t="shared" si="383"/>
        <v>-12.918771499998911</v>
      </c>
      <c r="R535">
        <f t="shared" si="380"/>
        <v>0</v>
      </c>
      <c r="S535" s="23">
        <f t="shared" si="384"/>
        <v>9.1759452499999981</v>
      </c>
      <c r="T535">
        <f>$S535+測地線補正!$Q$26*(lattice!$N535/1000)^3+測地線補正!$P$26*(lattice!$N535/1000)^2+測地線補正!$O$26*(lattice!$N535/1000)+測地線補正!$N$26</f>
        <v>-0.68724415194143185</v>
      </c>
      <c r="U535">
        <f t="shared" si="425"/>
        <v>-7.1633554755457483E-5</v>
      </c>
      <c r="W535">
        <f t="shared" si="426"/>
        <v>1.1517021606261351E-2</v>
      </c>
      <c r="X535">
        <f>$Z$534-($Y$534+$Y$532)/2</f>
        <v>181.47952469090887</v>
      </c>
      <c r="Y535">
        <f>_xlfn.XLOOKUP($F535,設計座標!$E$13:$E$2301,設計座標!$L$13:$L$2301," ",0,1)</f>
        <v>300</v>
      </c>
      <c r="Z535">
        <f>SQRT(($M$534-$M$532)^2+($N$534-$N$532)^2)</f>
        <v>381.47952469090887</v>
      </c>
      <c r="AA535">
        <f>_xlfn.XLOOKUP($G535,magnet_list!$A$2:$A$592,magnet_list!$AJ$2:$AJ$592,"n/a",0,1)</f>
        <v>0.3231</v>
      </c>
      <c r="AB535">
        <f>_xlfn.XLOOKUP($G535,magnet_list!$A$2:$A$592,magnet_list!$L$2:$L$592,"n/a",0,1)</f>
        <v>44</v>
      </c>
    </row>
    <row r="536" spans="1:32">
      <c r="A536" t="s">
        <v>797</v>
      </c>
      <c r="B536" t="s">
        <v>3812</v>
      </c>
      <c r="C536" t="s">
        <v>1152</v>
      </c>
      <c r="D536" t="s">
        <v>1152</v>
      </c>
      <c r="E536" t="s">
        <v>804</v>
      </c>
      <c r="F536" t="s">
        <v>2000</v>
      </c>
      <c r="G536" t="s">
        <v>2000</v>
      </c>
      <c r="I536">
        <f>_xlfn.XLOOKUP($F536,設計座標!$E$13:$E$2301,設計座標!$G$13:$G$2301,"n/a",0,1)</f>
        <v>139.86224420386611</v>
      </c>
      <c r="J536">
        <f>_xlfn.XLOOKUP($F536,設計座標!$E$13:$E$2301,設計座標!$H$13:$H$2301,"n/a",0,1)</f>
        <v>-11204.139944084505</v>
      </c>
      <c r="K536">
        <f>_xlfn.XLOOKUP($F536,設計座標!$E$13:$E$2301,設計座標!$I$13:$I$2301,"n/a",0,1)</f>
        <v>123129.326624521</v>
      </c>
      <c r="L536">
        <f>_xlfn.XLOOKUP($F536,設計座標!$E$13:$E$2301,設計座標!$J$13:$J$2301,"n/a",0,1)</f>
        <v>-270</v>
      </c>
      <c r="M536" s="2">
        <f t="shared" si="422"/>
        <v>-11217.385951159144</v>
      </c>
      <c r="N536" s="2">
        <f t="shared" si="424"/>
        <v>123129.326624521</v>
      </c>
      <c r="O536" s="23">
        <f t="shared" si="423"/>
        <v>-260.82593518960891</v>
      </c>
      <c r="P536" s="1">
        <f t="shared" si="421"/>
        <v>-270.67654984617405</v>
      </c>
      <c r="Q536" s="1">
        <f>(Q$538-Q$535)/($N$538-$N$535)*($N536-$N$535)+Q$535</f>
        <v>-13.246007074637998</v>
      </c>
      <c r="R536">
        <f t="shared" si="380"/>
        <v>0</v>
      </c>
      <c r="S536" s="23">
        <f t="shared" ref="S536:S537" si="427">(S$538-S$535)/($N$538-$N$535)*($N536-$N$535)+S$535</f>
        <v>9.1740648103910907</v>
      </c>
      <c r="T536">
        <f>$S536+測地線補正!$Q$26*(lattice!$N536/1000)^3+測地線補正!$P$26*(lattice!$N536/1000)^2+測地線補正!$O$26*(lattice!$N536/1000)+測地線補正!$N$26</f>
        <v>-0.67654984617406133</v>
      </c>
      <c r="U536">
        <v>0</v>
      </c>
      <c r="V536">
        <v>0</v>
      </c>
      <c r="W536">
        <v>0</v>
      </c>
      <c r="X536">
        <f>$Z$536-($Y$536+$Y$535)/2</f>
        <v>197.81083461151013</v>
      </c>
      <c r="Y536">
        <f>_xlfn.XLOOKUP($F536,設計座標!$E$13:$E$2301,設計座標!$L$13:$L$2301," ",0,1)</f>
        <v>0</v>
      </c>
      <c r="Z536">
        <f>SQRT(($M$536-$M$534)^2+($N$536-$N$534)^2)</f>
        <v>347.81083461151013</v>
      </c>
    </row>
    <row r="537" spans="1:32">
      <c r="A537" t="s">
        <v>797</v>
      </c>
      <c r="B537" t="s">
        <v>3812</v>
      </c>
      <c r="C537" t="s">
        <v>1152</v>
      </c>
      <c r="D537" t="s">
        <v>1152</v>
      </c>
      <c r="E537" t="s">
        <v>804</v>
      </c>
      <c r="F537" t="s">
        <v>2001</v>
      </c>
      <c r="G537" t="s">
        <v>2001</v>
      </c>
      <c r="I537">
        <f>_xlfn.XLOOKUP($F537,設計座標!$E$13:$E$2301,設計座標!$G$13:$G$2301,"n/a",0,1)</f>
        <v>139.94724420386612</v>
      </c>
      <c r="J537">
        <f>_xlfn.XLOOKUP($F537,設計座標!$E$13:$E$2301,設計座標!$H$13:$H$2301,"n/a",0,1)</f>
        <v>-11277.710151912981</v>
      </c>
      <c r="K537">
        <f>_xlfn.XLOOKUP($F537,設計座標!$E$13:$E$2301,設計座標!$I$13:$I$2301,"n/a",0,1)</f>
        <v>123086.75404508217</v>
      </c>
      <c r="L537">
        <f>_xlfn.XLOOKUP($F537,設計座標!$E$13:$E$2301,設計座標!$J$13:$J$2301,"n/a",0,1)</f>
        <v>-270</v>
      </c>
      <c r="M537" s="2">
        <f t="shared" si="422"/>
        <v>-11291.058223592805</v>
      </c>
      <c r="N537" s="2">
        <f t="shared" si="424"/>
        <v>123086.75404508217</v>
      </c>
      <c r="O537" s="23">
        <f t="shared" si="423"/>
        <v>-260.82652169774292</v>
      </c>
      <c r="P537" s="1">
        <f t="shared" si="421"/>
        <v>-270.67321588969656</v>
      </c>
      <c r="Q537" s="1">
        <f>(Q$538-Q$535)/($N$538-$N$535)*($N537-$N$535)+Q$535</f>
        <v>-13.348071679823962</v>
      </c>
      <c r="R537">
        <f t="shared" si="380"/>
        <v>0</v>
      </c>
      <c r="S537" s="23">
        <f t="shared" si="427"/>
        <v>9.1734783022570916</v>
      </c>
      <c r="T537">
        <f>$S537+測地線補正!$Q$26*(lattice!$N537/1000)^3+測地線補正!$P$26*(lattice!$N537/1000)^2+測地線補正!$O$26*(lattice!$N537/1000)+測地線補正!$N$26</f>
        <v>-0.67321588969654411</v>
      </c>
      <c r="U537">
        <v>0</v>
      </c>
      <c r="V537">
        <v>0</v>
      </c>
      <c r="W537">
        <v>0</v>
      </c>
      <c r="X537">
        <f>$Z$537-($Y$537+$Y$536)/2</f>
        <v>85.088355523037833</v>
      </c>
      <c r="Y537">
        <f>_xlfn.XLOOKUP($F537,設計座標!$E$13:$E$2301,設計座標!$L$13:$L$2301," ",0,1)</f>
        <v>0</v>
      </c>
      <c r="Z537">
        <f>SQRT(($M$537-$M$536)^2+($N$537-$N$536)^2)</f>
        <v>85.088355523037833</v>
      </c>
    </row>
    <row r="538" spans="1:32">
      <c r="A538" t="s">
        <v>797</v>
      </c>
      <c r="B538" t="s">
        <v>3812</v>
      </c>
      <c r="C538" t="s">
        <v>805</v>
      </c>
      <c r="D538" t="s">
        <v>806</v>
      </c>
      <c r="F538" t="s">
        <v>90</v>
      </c>
      <c r="G538" t="s">
        <v>2455</v>
      </c>
      <c r="I538">
        <f>_xlfn.XLOOKUP($F538,設計座標!$E$13:$E$2301,設計座標!$G$13:$G$2301,"n/a",0,1)</f>
        <v>140.03899108465697</v>
      </c>
      <c r="J538">
        <f>_xlfn.XLOOKUP($F538,設計座標!$E$13:$E$2301,設計座標!$H$13:$H$2301,"n/a",0,1)</f>
        <v>-11357.12</v>
      </c>
      <c r="K538">
        <f>_xlfn.XLOOKUP($F538,設計座標!$E$13:$E$2301,設計座標!$I$13:$I$2301,"n/a",0,1)</f>
        <v>123040.80226425</v>
      </c>
      <c r="L538">
        <f>_xlfn.XLOOKUP($F538,設計座標!$E$13:$E$2301,設計座標!$J$13:$J$2301,"n/a",0,1)</f>
        <v>35</v>
      </c>
      <c r="M538" s="2">
        <f>_xlfn.XLOOKUP($F538,survey_data!$A$2:$A$833,survey_data!$B$2:$B$833,"n/a",0,1)</f>
        <v>-11370.578237670001</v>
      </c>
      <c r="N538" s="2">
        <f>_xlfn.XLOOKUP($F538,survey_data!$A$2:$A$833,survey_data!$C$2:$C$833,"n/a",0,1)</f>
        <v>123040.80226425</v>
      </c>
      <c r="O538" s="23">
        <f>_xlfn.XLOOKUP($F538,survey_data!$A$2:$A$833,survey_data!$D$2:$D$833,"n/a",0,1)</f>
        <v>44.172845240000001</v>
      </c>
      <c r="P538" s="1">
        <f t="shared" si="421"/>
        <v>34.330381850473543</v>
      </c>
      <c r="Q538" s="1">
        <f t="shared" si="383"/>
        <v>-13.458237670000017</v>
      </c>
      <c r="R538">
        <f t="shared" si="380"/>
        <v>0</v>
      </c>
      <c r="S538" s="23">
        <f t="shared" si="384"/>
        <v>9.1728452400000009</v>
      </c>
      <c r="T538">
        <f>$S538+測地線補正!$Q$26*(lattice!$N538/1000)^3+測地線補正!$P$26*(lattice!$N538/1000)^2+測地線補正!$O$26*(lattice!$N538/1000)+測地線補正!$N$26</f>
        <v>-0.66961814952645349</v>
      </c>
      <c r="U538">
        <f>-ATAN(($P$540-$P$538)/ABS($N$540-$N$538))</f>
        <v>1.263251535987074E-4</v>
      </c>
      <c r="W538">
        <f>ATAN(($Q$540-$Q$538)/ABS($N$540-$N$538))</f>
        <v>1.1709986999706599E-2</v>
      </c>
      <c r="X538">
        <f>$Z$539-($Y$539+$Y$537)/2</f>
        <v>16.841644107510604</v>
      </c>
      <c r="Y538">
        <f>_xlfn.XLOOKUP($F538,設計座標!$E$13:$E$2301,設計座標!$L$13:$L$2301," ",0,1)</f>
        <v>300</v>
      </c>
      <c r="Z538">
        <f>SQRT(($M$539-$M$537)^2+($N$539-$N$537)^2)</f>
        <v>166.8416441075106</v>
      </c>
      <c r="AA538">
        <f>_xlfn.XLOOKUP($G538,magnet_list!$A$2:$A$592,magnet_list!$AJ$2:$AJ$592,"n/a",0,1)</f>
        <v>0.3231</v>
      </c>
      <c r="AB538">
        <f>_xlfn.XLOOKUP($G538,magnet_list!$A$2:$A$592,magnet_list!$L$2:$L$592,"n/a",0,1)</f>
        <v>44</v>
      </c>
    </row>
    <row r="539" spans="1:32">
      <c r="A539" t="s">
        <v>797</v>
      </c>
      <c r="B539" t="s">
        <v>3812</v>
      </c>
      <c r="C539" t="s">
        <v>805</v>
      </c>
      <c r="D539" t="s">
        <v>1152</v>
      </c>
      <c r="E539" t="s">
        <v>804</v>
      </c>
      <c r="F539" t="s">
        <v>591</v>
      </c>
      <c r="G539" t="s">
        <v>2455</v>
      </c>
      <c r="I539">
        <f>_xlfn.XLOOKUP($F539,設計座標!$E$13:$E$2301,設計座標!$G$13:$G$2301,"n/a",0,1)</f>
        <v>140.11437117378034</v>
      </c>
      <c r="J539">
        <f>_xlfn.XLOOKUP($F539,設計座標!$E$13:$E$2301,設計座標!$H$13:$H$2301,"n/a",0,1)</f>
        <v>-11422.505000000001</v>
      </c>
      <c r="K539">
        <f>_xlfn.XLOOKUP($F539,設計座標!$E$13:$E$2301,設計座標!$I$13:$I$2301,"n/a",0,1)</f>
        <v>123003.29280396001</v>
      </c>
      <c r="L539">
        <f>_xlfn.XLOOKUP($F539,設計座標!$E$13:$E$2301,設計座標!$J$13:$J$2301,"n/a",0,1)</f>
        <v>35</v>
      </c>
      <c r="M539" s="2">
        <f t="shared" si="422"/>
        <v>-11435.523982300001</v>
      </c>
      <c r="N539" s="2">
        <f t="shared" si="424"/>
        <v>123003.29280396001</v>
      </c>
      <c r="O539" s="23">
        <f t="shared" si="423"/>
        <v>44.164654285000005</v>
      </c>
      <c r="P539" s="1">
        <f t="shared" si="421"/>
        <v>34.325643755828835</v>
      </c>
      <c r="Q539" s="1">
        <f>(Q$540-Q$538)/($N$540-$N$538)*($N539-$N$538)+Q$538</f>
        <v>-13.018982300000147</v>
      </c>
      <c r="R539">
        <f t="shared" si="380"/>
        <v>0</v>
      </c>
      <c r="S539" s="23">
        <f>(S$540-S$538)/($N$540-$N$538)*($N539-$N$538)+S$538</f>
        <v>9.1646542850000028</v>
      </c>
      <c r="T539">
        <f>$S539+測地線補正!$Q$26*(lattice!$N539/1000)^3+測地線補正!$P$26*(lattice!$N539/1000)^2+測地線補正!$O$26*(lattice!$N539/1000)+測地線補正!$N$26</f>
        <v>-0.6743562441711648</v>
      </c>
      <c r="U539">
        <f t="shared" ref="U539:U540" si="428">-ATAN(($P$540-$P$538)/ABS($N$540-$N$538))</f>
        <v>1.263251535987074E-4</v>
      </c>
      <c r="W539">
        <f t="shared" ref="W539:W540" si="429">ATAN(($Q$540-$Q$538)/ABS($N$540-$N$538))</f>
        <v>1.1709986999706599E-2</v>
      </c>
      <c r="X539">
        <f>$Z$539-($Y$539+$Y$537)/2</f>
        <v>16.841644107510604</v>
      </c>
      <c r="Y539">
        <f>_xlfn.XLOOKUP($F539,設計座標!$E$13:$E$2301,設計座標!$L$13:$L$2301," ",0,1)</f>
        <v>300</v>
      </c>
      <c r="Z539">
        <f>SQRT(($M$539-$M$537)^2+($N$539-$N$537)^2)</f>
        <v>166.8416441075106</v>
      </c>
      <c r="AA539">
        <f>_xlfn.XLOOKUP($G539,magnet_list!$A$2:$A$592,magnet_list!$AJ$2:$AJ$592,"n/a",0,1)</f>
        <v>0.3231</v>
      </c>
      <c r="AB539">
        <f>_xlfn.XLOOKUP($G539,magnet_list!$A$2:$A$592,magnet_list!$L$2:$L$592,"n/a",0,1)</f>
        <v>44</v>
      </c>
    </row>
    <row r="540" spans="1:32">
      <c r="A540" t="s">
        <v>797</v>
      </c>
      <c r="B540" t="s">
        <v>3812</v>
      </c>
      <c r="C540" t="s">
        <v>805</v>
      </c>
      <c r="D540" t="s">
        <v>806</v>
      </c>
      <c r="F540" t="s">
        <v>91</v>
      </c>
      <c r="G540" t="s">
        <v>2455</v>
      </c>
      <c r="I540">
        <f>_xlfn.XLOOKUP($F540,設計座標!$E$13:$E$2301,設計座標!$G$13:$G$2301,"n/a",0,1)</f>
        <v>140.18975126290371</v>
      </c>
      <c r="J540">
        <f>_xlfn.XLOOKUP($F540,設計座標!$E$13:$E$2301,設計座標!$H$13:$H$2301,"n/a",0,1)</f>
        <v>-11487.89</v>
      </c>
      <c r="K540">
        <f>_xlfn.XLOOKUP($F540,設計座標!$E$13:$E$2301,設計座標!$I$13:$I$2301,"n/a",0,1)</f>
        <v>122965.78334367</v>
      </c>
      <c r="L540">
        <f>_xlfn.XLOOKUP($F540,設計座標!$E$13:$E$2301,設計座標!$J$13:$J$2301,"n/a",0,1)</f>
        <v>35</v>
      </c>
      <c r="M540" s="2">
        <f>_xlfn.XLOOKUP($F540,survey_data!$A$2:$A$833,survey_data!$B$2:$B$833,"n/a",0,1)</f>
        <v>-11500.46972693</v>
      </c>
      <c r="N540" s="2">
        <f>_xlfn.XLOOKUP($F540,survey_data!$A$2:$A$833,survey_data!$C$2:$C$833,"n/a",0,1)</f>
        <v>122965.78334367</v>
      </c>
      <c r="O540" s="23">
        <f>_xlfn.XLOOKUP($F540,survey_data!$A$2:$A$833,survey_data!$D$2:$D$833,"n/a",0,1)</f>
        <v>44.156463330000001</v>
      </c>
      <c r="P540" s="1">
        <f t="shared" si="421"/>
        <v>34.320905073758055</v>
      </c>
      <c r="Q540" s="1">
        <f t="shared" si="383"/>
        <v>-12.579726930000106</v>
      </c>
      <c r="R540">
        <f t="shared" si="380"/>
        <v>0</v>
      </c>
      <c r="S540" s="23">
        <f t="shared" si="384"/>
        <v>9.1564633300000011</v>
      </c>
      <c r="T540">
        <f>$S540+測地線補正!$Q$26*(lattice!$N540/1000)^3+測地線補正!$P$26*(lattice!$N540/1000)^2+測地線補正!$O$26*(lattice!$N540/1000)+測地線補正!$N$26</f>
        <v>-0.67909492624194745</v>
      </c>
      <c r="U540">
        <f t="shared" si="428"/>
        <v>1.263251535987074E-4</v>
      </c>
      <c r="W540">
        <f t="shared" si="429"/>
        <v>1.1709986999706599E-2</v>
      </c>
      <c r="X540">
        <f>$Z$539-($Y$539+$Y$537)/2</f>
        <v>16.841644107510604</v>
      </c>
      <c r="Y540">
        <f>_xlfn.XLOOKUP($F540,設計座標!$E$13:$E$2301,設計座標!$L$13:$L$2301," ",0,1)</f>
        <v>300</v>
      </c>
      <c r="Z540">
        <f>SQRT(($M$539-$M$537)^2+($N$539-$N$537)^2)</f>
        <v>166.8416441075106</v>
      </c>
      <c r="AA540">
        <f>_xlfn.XLOOKUP($G540,magnet_list!$A$2:$A$592,magnet_list!$AJ$2:$AJ$592,"n/a",0,1)</f>
        <v>0.3231</v>
      </c>
      <c r="AB540">
        <f>_xlfn.XLOOKUP($G540,magnet_list!$A$2:$A$592,magnet_list!$L$2:$L$592,"n/a",0,1)</f>
        <v>44</v>
      </c>
    </row>
    <row r="541" spans="1:32">
      <c r="A541" t="s">
        <v>797</v>
      </c>
      <c r="B541" t="s">
        <v>3812</v>
      </c>
      <c r="C541" t="s">
        <v>805</v>
      </c>
      <c r="D541" t="s">
        <v>806</v>
      </c>
      <c r="E541" t="s">
        <v>804</v>
      </c>
      <c r="F541" t="s">
        <v>92</v>
      </c>
      <c r="G541" t="s">
        <v>92</v>
      </c>
      <c r="I541">
        <f>_xlfn.XLOOKUP($F541,設計座標!$E$13:$E$2301,設計座標!$G$13:$G$2301,"n/a",0,1)</f>
        <v>140.56438580082383</v>
      </c>
      <c r="J541">
        <f>_xlfn.XLOOKUP($F541,設計座標!$E$13:$E$2301,設計座標!$H$13:$H$2301,"n/a",0,1)</f>
        <v>-11812.210999999999</v>
      </c>
      <c r="K541">
        <f>_xlfn.XLOOKUP($F541,設計座標!$E$13:$E$2301,設計座標!$I$13:$I$2301,"n/a",0,1)</f>
        <v>122778.2548766</v>
      </c>
      <c r="L541">
        <f>_xlfn.XLOOKUP($F541,設計座標!$E$13:$E$2301,設計座標!$J$13:$J$2301,"n/a",0,1)</f>
        <v>35</v>
      </c>
      <c r="M541" s="2">
        <f>_xlfn.XLOOKUP($F541,survey_data!$A$2:$A$833,survey_data!$B$2:$B$833,"n/a",0,1)</f>
        <v>-11825.30257322</v>
      </c>
      <c r="N541" s="2">
        <f>_xlfn.XLOOKUP($F541,survey_data!$A$2:$A$833,survey_data!$C$2:$C$833,"n/a",0,1)</f>
        <v>122778.2548766</v>
      </c>
      <c r="O541" s="23">
        <f>_xlfn.XLOOKUP($F541,survey_data!$A$2:$A$833,survey_data!$D$2:$D$833,"n/a",0,1)</f>
        <v>44.175422769999997</v>
      </c>
      <c r="P541" s="1">
        <f t="shared" si="421"/>
        <v>34.357115336671406</v>
      </c>
      <c r="Q541" s="1">
        <f t="shared" si="383"/>
        <v>-13.09157322000101</v>
      </c>
      <c r="R541">
        <f t="shared" si="380"/>
        <v>0</v>
      </c>
      <c r="S541" s="23">
        <f t="shared" si="384"/>
        <v>9.1754227699999973</v>
      </c>
      <c r="T541">
        <f>$S541+測地線補正!$Q$26*(lattice!$N541/1000)^3+測地線補正!$P$26*(lattice!$N541/1000)^2+測地線補正!$O$26*(lattice!$N541/1000)+測地線補正!$N$26</f>
        <v>-0.64288466332859273</v>
      </c>
      <c r="U541">
        <v>0</v>
      </c>
      <c r="V541">
        <v>0</v>
      </c>
      <c r="W541">
        <v>0</v>
      </c>
      <c r="X541">
        <f>$Z$541-($Y$541+$Y$539)/2</f>
        <v>175.07773059792487</v>
      </c>
      <c r="Y541">
        <f>_xlfn.XLOOKUP($F541,設計座標!$E$13:$E$2301,設計座標!$L$13:$L$2301," ",0,1)</f>
        <v>100</v>
      </c>
      <c r="Z541">
        <f>SQRT(($M$541-$M$540)^2+($N$541-$N$540)^2)</f>
        <v>375.07773059792487</v>
      </c>
      <c r="AA541">
        <f>_xlfn.XLOOKUP($G541,magnet_list!$A$2:$A$592,magnet_list!$AJ$2:$AJ$592,"n/a",0,1)</f>
        <v>0.11679</v>
      </c>
      <c r="AB541">
        <f>_xlfn.XLOOKUP($G541,magnet_list!$A$2:$A$592,magnet_list!$L$2:$L$592,"n/a",0,1)</f>
        <v>52</v>
      </c>
    </row>
    <row r="542" spans="1:32">
      <c r="A542" t="s">
        <v>797</v>
      </c>
      <c r="B542" t="s">
        <v>3812</v>
      </c>
      <c r="C542" t="s">
        <v>805</v>
      </c>
      <c r="D542" t="s">
        <v>806</v>
      </c>
      <c r="E542" t="s">
        <v>804</v>
      </c>
      <c r="F542" t="s">
        <v>93</v>
      </c>
      <c r="G542" t="s">
        <v>2456</v>
      </c>
      <c r="I542">
        <f>_xlfn.XLOOKUP($F542,設計座標!$E$13:$E$2301,設計座標!$G$13:$G$2301,"n/a",0,1)</f>
        <v>141.05313441019882</v>
      </c>
      <c r="J542">
        <f>_xlfn.XLOOKUP($F542,設計座標!$E$13:$E$2301,設計座標!$H$13:$H$2301,"n/a",0,1)</f>
        <v>-12235.437</v>
      </c>
      <c r="K542">
        <f>_xlfn.XLOOKUP($F542,設計座標!$E$13:$E$2301,設計座標!$I$13:$I$2301,"n/a",0,1)</f>
        <v>122533.80660785999</v>
      </c>
      <c r="L542">
        <f>_xlfn.XLOOKUP($F542,設計座標!$E$13:$E$2301,設計座標!$J$13:$J$2301,"n/a",0,1)</f>
        <v>110</v>
      </c>
      <c r="M542" s="2">
        <f>_xlfn.XLOOKUP($F542,survey_data!$A$2:$A$833,survey_data!$B$2:$B$833,"n/a",0,1)</f>
        <v>-12248.67895963</v>
      </c>
      <c r="N542" s="2">
        <f>_xlfn.XLOOKUP($F542,survey_data!$A$2:$A$833,survey_data!$C$2:$C$833,"n/a",0,1)</f>
        <v>122533.80660785999</v>
      </c>
      <c r="O542" s="23">
        <f>_xlfn.XLOOKUP($F542,survey_data!$A$2:$A$833,survey_data!$D$2:$D$833,"n/a",0,1)</f>
        <v>119.12251153</v>
      </c>
      <c r="P542" s="1">
        <f t="shared" si="421"/>
        <v>109.32666896275168</v>
      </c>
      <c r="Q542" s="1">
        <f t="shared" si="383"/>
        <v>-13.241959630000565</v>
      </c>
      <c r="R542">
        <f t="shared" si="380"/>
        <v>0</v>
      </c>
      <c r="S542" s="23">
        <f t="shared" si="384"/>
        <v>9.122511529999997</v>
      </c>
      <c r="T542">
        <f>$S542+測地線補正!$Q$26*(lattice!$N542/1000)^3+測地線補正!$P$26*(lattice!$N542/1000)^2+測地線補正!$O$26*(lattice!$N542/1000)+測地線補正!$N$26</f>
        <v>-0.67333103724832122</v>
      </c>
      <c r="U542">
        <f>-ATAN(($P$544-$P$542)/ABS($N$544-$N$542))</f>
        <v>-1.0888906529584839E-4</v>
      </c>
      <c r="W542">
        <f>ATAN(($Q$544-$Q$542)/ABS($N$544-$N$542))</f>
        <v>2.2412278309173126E-5</v>
      </c>
      <c r="X542">
        <f>$Z$543-($Y$543+$Y$541)/2</f>
        <v>353.50819999999999</v>
      </c>
      <c r="Y542">
        <f>_xlfn.XLOOKUP($F542,設計座標!$E$13:$E$2301,設計座標!$L$13:$L$2301," ",0,1)</f>
        <v>1869.25</v>
      </c>
      <c r="Z542">
        <f>403.4121+85+849.7211</f>
        <v>1338.1332</v>
      </c>
      <c r="AA542">
        <f>_xlfn.XLOOKUP($G542,magnet_list!$A$2:$A$592,magnet_list!$AJ$2:$AJ$592,"n/a",0,1)</f>
        <v>1.9092</v>
      </c>
      <c r="AB542">
        <f>_xlfn.XLOOKUP($G542,magnet_list!$A$2:$A$592,magnet_list!$L$2:$L$592,"n/a",0,1)</f>
        <v>25</v>
      </c>
      <c r="AD542" t="s">
        <v>2345</v>
      </c>
      <c r="AF542">
        <v>85</v>
      </c>
    </row>
    <row r="543" spans="1:32">
      <c r="A543" t="s">
        <v>797</v>
      </c>
      <c r="B543" t="s">
        <v>3812</v>
      </c>
      <c r="C543" t="s">
        <v>805</v>
      </c>
      <c r="D543" t="s">
        <v>806</v>
      </c>
      <c r="E543" t="s">
        <v>804</v>
      </c>
      <c r="F543" t="s">
        <v>94</v>
      </c>
      <c r="G543" t="s">
        <v>2456</v>
      </c>
      <c r="I543">
        <f>_xlfn.XLOOKUP($F543,設計座標!$E$13:$E$2301,設計座標!$G$13:$G$2301,"n/a",0,1)</f>
        <v>141.90285551019883</v>
      </c>
      <c r="J543">
        <f>_xlfn.XLOOKUP($F543,設計座標!$E$13:$E$2301,設計座標!$H$13:$H$2301,"n/a",0,1)</f>
        <v>-12989.584999999999</v>
      </c>
      <c r="K543">
        <f>_xlfn.XLOOKUP($F543,設計座標!$E$13:$E$2301,設計座標!$I$13:$I$2301,"n/a",0,1)</f>
        <v>122098.00996804</v>
      </c>
      <c r="L543">
        <f>_xlfn.XLOOKUP($F543,設計座標!$E$13:$E$2301,設計座標!$J$13:$J$2301,"n/a",0,1)</f>
        <v>110</v>
      </c>
      <c r="M543" s="2">
        <f>_xlfn.XLOOKUP($F543,survey_data!$A$2:$A$833,survey_data!$B$2:$B$833,"n/a",0,1)</f>
        <v>-13003.52469247</v>
      </c>
      <c r="N543" s="2">
        <f>_xlfn.XLOOKUP($F543,survey_data!$A$2:$A$833,survey_data!$C$2:$C$833,"n/a",0,1)</f>
        <v>122098.00996804</v>
      </c>
      <c r="O543" s="23">
        <f>_xlfn.XLOOKUP($F543,survey_data!$A$2:$A$833,survey_data!$D$2:$D$833,"n/a",0,1)</f>
        <v>119.06697371</v>
      </c>
      <c r="P543" s="1">
        <f t="shared" si="421"/>
        <v>109.31111915765422</v>
      </c>
      <c r="Q543" s="1">
        <f t="shared" si="383"/>
        <v>-13.939692470001319</v>
      </c>
      <c r="R543">
        <f t="shared" si="380"/>
        <v>0</v>
      </c>
      <c r="S543" s="23">
        <f t="shared" si="384"/>
        <v>9.0669737099999992</v>
      </c>
      <c r="T543">
        <f>$S543+測地線補正!$Q$26*(lattice!$N543/1000)^3+測地線補正!$P$26*(lattice!$N543/1000)^2+測地線補正!$O$26*(lattice!$N543/1000)+測地線補正!$N$26</f>
        <v>-0.68888084234578728</v>
      </c>
      <c r="U543">
        <f t="shared" ref="U543:U544" si="430">-ATAN(($P$544-$P$542)/ABS($N$544-$N$542))</f>
        <v>-1.0888906529584839E-4</v>
      </c>
      <c r="W543">
        <f t="shared" ref="W543:W544" si="431">ATAN(($Q$544-$Q$542)/ABS($N$544-$N$542))</f>
        <v>2.2412278309173126E-5</v>
      </c>
      <c r="X543">
        <f>$Z$543-($Y$543+$Y$541)/2</f>
        <v>353.50819999999999</v>
      </c>
      <c r="Y543">
        <f>_xlfn.XLOOKUP($F543,設計座標!$E$13:$E$2301,設計座標!$L$13:$L$2301," ",0,1)</f>
        <v>1869.25</v>
      </c>
      <c r="Z543">
        <f t="shared" ref="Z543:Z544" si="432">403.4121+85+849.7211</f>
        <v>1338.1332</v>
      </c>
      <c r="AA543">
        <f>_xlfn.XLOOKUP($G543,magnet_list!$A$2:$A$592,magnet_list!$AJ$2:$AJ$592,"n/a",0,1)</f>
        <v>1.9092</v>
      </c>
      <c r="AB543">
        <f>_xlfn.XLOOKUP($G543,magnet_list!$A$2:$A$592,magnet_list!$L$2:$L$592,"n/a",0,1)</f>
        <v>25</v>
      </c>
      <c r="AD543" t="s">
        <v>2344</v>
      </c>
      <c r="AF543">
        <v>849.72109999999998</v>
      </c>
    </row>
    <row r="544" spans="1:32">
      <c r="A544" t="s">
        <v>797</v>
      </c>
      <c r="B544" t="s">
        <v>3812</v>
      </c>
      <c r="C544" t="s">
        <v>805</v>
      </c>
      <c r="D544" t="s">
        <v>806</v>
      </c>
      <c r="E544" t="s">
        <v>804</v>
      </c>
      <c r="F544" t="s">
        <v>95</v>
      </c>
      <c r="G544" t="s">
        <v>2456</v>
      </c>
      <c r="I544">
        <f>_xlfn.XLOOKUP($F544,設計座標!$E$13:$E$2301,設計座標!$G$13:$G$2301,"n/a",0,1)</f>
        <v>142.75257661019884</v>
      </c>
      <c r="J544">
        <f>_xlfn.XLOOKUP($F544,設計座標!$E$13:$E$2301,設計座標!$H$13:$H$2301,"n/a",0,1)</f>
        <v>-13426.036</v>
      </c>
      <c r="K544">
        <f>_xlfn.XLOOKUP($F544,設計座標!$E$13:$E$2301,設計座標!$I$13:$I$2301,"n/a",0,1)</f>
        <v>121343.13247702</v>
      </c>
      <c r="L544">
        <f>_xlfn.XLOOKUP($F544,設計座標!$E$13:$E$2301,設計座標!$J$13:$J$2301,"n/a",0,1)</f>
        <v>110</v>
      </c>
      <c r="M544" s="2">
        <f>_xlfn.XLOOKUP($F544,survey_data!$A$2:$A$833,survey_data!$B$2:$B$833,"n/a",0,1)</f>
        <v>-13439.25127391</v>
      </c>
      <c r="N544" s="2">
        <f>_xlfn.XLOOKUP($F544,survey_data!$A$2:$A$833,survey_data!$C$2:$C$833,"n/a",0,1)</f>
        <v>121343.13247702</v>
      </c>
      <c r="O544" s="23">
        <f>_xlfn.XLOOKUP($F544,survey_data!$A$2:$A$833,survey_data!$D$2:$D$833,"n/a",0,1)</f>
        <v>119.1430958</v>
      </c>
      <c r="P544" s="1">
        <f t="shared" si="421"/>
        <v>109.45632035644321</v>
      </c>
      <c r="Q544" s="1">
        <f t="shared" si="383"/>
        <v>-13.215273910000178</v>
      </c>
      <c r="R544">
        <f t="shared" si="380"/>
        <v>0</v>
      </c>
      <c r="S544" s="23">
        <f t="shared" si="384"/>
        <v>9.1430957999999976</v>
      </c>
      <c r="T544">
        <f>$S544+測地線補正!$Q$26*(lattice!$N544/1000)^3+測地線補正!$P$26*(lattice!$N544/1000)^2+測地線補正!$O$26*(lattice!$N544/1000)+測地線補正!$N$26</f>
        <v>-0.543679643556785</v>
      </c>
      <c r="U544">
        <f t="shared" si="430"/>
        <v>-1.0888906529584839E-4</v>
      </c>
      <c r="W544">
        <f t="shared" si="431"/>
        <v>2.2412278309173126E-5</v>
      </c>
      <c r="X544">
        <f>$Z$543-($Y$543+$Y$541)/2</f>
        <v>353.50819999999999</v>
      </c>
      <c r="Y544">
        <f>_xlfn.XLOOKUP($F544,設計座標!$E$13:$E$2301,設計座標!$L$13:$L$2301," ",0,1)</f>
        <v>1869.25</v>
      </c>
      <c r="Z544">
        <f t="shared" si="432"/>
        <v>1338.1332</v>
      </c>
      <c r="AA544">
        <f>_xlfn.XLOOKUP($G544,magnet_list!$A$2:$A$592,magnet_list!$AJ$2:$AJ$592,"n/a",0,1)</f>
        <v>1.9092</v>
      </c>
      <c r="AB544">
        <f>_xlfn.XLOOKUP($G544,magnet_list!$A$2:$A$592,magnet_list!$L$2:$L$592,"n/a",0,1)</f>
        <v>25</v>
      </c>
      <c r="AD544" t="s">
        <v>2346</v>
      </c>
      <c r="AF544">
        <v>849.72109999999998</v>
      </c>
    </row>
    <row r="545" spans="1:32">
      <c r="A545" t="s">
        <v>797</v>
      </c>
      <c r="B545" t="s">
        <v>3812</v>
      </c>
      <c r="C545" t="s">
        <v>1152</v>
      </c>
      <c r="D545" t="s">
        <v>1152</v>
      </c>
      <c r="E545" t="s">
        <v>804</v>
      </c>
      <c r="F545" t="s">
        <v>2002</v>
      </c>
      <c r="G545" t="s">
        <v>2002</v>
      </c>
      <c r="I545">
        <f>_xlfn.XLOOKUP($F545,設計座標!$E$13:$E$2301,設計座標!$G$13:$G$2301,"n/a",0,1)</f>
        <v>143.56377661019886</v>
      </c>
      <c r="J545">
        <f>_xlfn.XLOOKUP($F545,設計座標!$E$13:$E$2301,設計座標!$H$13:$H$2301,"n/a",0,1)</f>
        <v>-13831.511558579545</v>
      </c>
      <c r="K545">
        <f>_xlfn.XLOOKUP($F545,設計座標!$E$13:$E$2301,設計座標!$I$13:$I$2301,"n/a",0,1)</f>
        <v>120640.54083787631</v>
      </c>
      <c r="L545">
        <f>_xlfn.XLOOKUP($F545,設計座標!$E$13:$E$2301,設計座標!$J$13:$J$2301,"n/a",0,1)</f>
        <v>-270</v>
      </c>
      <c r="M545" s="2">
        <f t="shared" ref="M545:M550" si="433">$J545+$Q545</f>
        <v>-13844.980023182232</v>
      </c>
      <c r="N545" s="2">
        <f t="shared" ref="N545:N550" si="434">$K545</f>
        <v>120640.54083787631</v>
      </c>
      <c r="O545" s="23">
        <f t="shared" ref="O545:O550" si="435">$L545+$S545</f>
        <v>-260.85539898258691</v>
      </c>
      <c r="P545" s="1">
        <f t="shared" si="421"/>
        <v>-270.47809309823225</v>
      </c>
      <c r="Q545" s="1">
        <f>(Q$547-Q$544)/($N$547-$N$544)*($N545-$N$544)+Q$544</f>
        <v>-13.468464602686897</v>
      </c>
      <c r="R545">
        <f t="shared" si="380"/>
        <v>0</v>
      </c>
      <c r="S545" s="23">
        <f t="shared" ref="S545:S546" si="436">(S$547-S$544)/($N$547-$N$544)*($N545-$N$544)+S$544</f>
        <v>9.1446010174131178</v>
      </c>
      <c r="T545">
        <f>$S545+測地線補正!$Q$26*(lattice!$N545/1000)^3+測地線補正!$P$26*(lattice!$N545/1000)^2+測地線補正!$O$26*(lattice!$N545/1000)+測地線補正!$N$26</f>
        <v>-0.47809309823224333</v>
      </c>
      <c r="U545">
        <v>0</v>
      </c>
      <c r="V545">
        <v>0</v>
      </c>
      <c r="W545">
        <v>0</v>
      </c>
      <c r="X545">
        <f>$Z$545-($Y$545+$Y$543)/2</f>
        <v>726.29610000000002</v>
      </c>
      <c r="Y545">
        <f>_xlfn.XLOOKUP($F545,設計座標!$E$13:$E$2301,設計座標!$L$13:$L$2301," ",0,1)</f>
        <v>0</v>
      </c>
      <c r="Z545">
        <f>726.2+85+849.7211</f>
        <v>1660.9211</v>
      </c>
      <c r="AD545" t="s">
        <v>2347</v>
      </c>
      <c r="AF545">
        <v>85</v>
      </c>
    </row>
    <row r="546" spans="1:32">
      <c r="A546" t="s">
        <v>797</v>
      </c>
      <c r="B546" t="s">
        <v>3812</v>
      </c>
      <c r="C546" t="s">
        <v>1152</v>
      </c>
      <c r="D546" t="s">
        <v>1152</v>
      </c>
      <c r="E546" t="s">
        <v>804</v>
      </c>
      <c r="F546" t="s">
        <v>2003</v>
      </c>
      <c r="G546" t="s">
        <v>2003</v>
      </c>
      <c r="I546">
        <f>_xlfn.XLOOKUP($F546,設計座標!$E$13:$E$2301,設計座標!$G$13:$G$2301,"n/a",0,1)</f>
        <v>143.64877331019886</v>
      </c>
      <c r="J546">
        <f>_xlfn.XLOOKUP($F546,設計座標!$E$13:$E$2301,設計座標!$H$13:$H$2301,"n/a",0,1)</f>
        <v>-13873.996869735758</v>
      </c>
      <c r="K546">
        <f>_xlfn.XLOOKUP($F546,設計座標!$E$13:$E$2301,設計座標!$I$13:$I$2301,"n/a",0,1)</f>
        <v>120566.9240099981</v>
      </c>
      <c r="L546">
        <f>_xlfn.XLOOKUP($F546,設計座標!$E$13:$E$2301,設計座標!$J$13:$J$2301,"n/a",0,1)</f>
        <v>-270</v>
      </c>
      <c r="M546" s="2">
        <f t="shared" si="433"/>
        <v>-13887.491863398294</v>
      </c>
      <c r="N546" s="2">
        <f t="shared" si="434"/>
        <v>120566.9240099981</v>
      </c>
      <c r="O546" s="23">
        <f t="shared" si="435"/>
        <v>-260.85524126745759</v>
      </c>
      <c r="P546" s="1">
        <f t="shared" si="421"/>
        <v>-270.47123288633423</v>
      </c>
      <c r="Q546" s="1">
        <f>(Q$547-Q$544)/($N$547-$N$544)*($N546-$N$544)+Q$544</f>
        <v>-13.494993662535375</v>
      </c>
      <c r="R546">
        <f t="shared" si="380"/>
        <v>0</v>
      </c>
      <c r="S546" s="23">
        <f t="shared" si="436"/>
        <v>9.1447587325424298</v>
      </c>
      <c r="T546">
        <f>$S546+測地線補正!$Q$26*(lattice!$N546/1000)^3+測地線補正!$P$26*(lattice!$N546/1000)^2+測地線補正!$O$26*(lattice!$N546/1000)+測地線補正!$N$26</f>
        <v>-0.47123288633424676</v>
      </c>
      <c r="U546">
        <v>0</v>
      </c>
      <c r="V546">
        <v>0</v>
      </c>
      <c r="W546">
        <v>0</v>
      </c>
      <c r="X546">
        <f>$Z$546-($Y$546+$Y$545)/2</f>
        <v>85.009963565493393</v>
      </c>
      <c r="Y546">
        <f>_xlfn.XLOOKUP($F546,設計座標!$E$13:$E$2301,設計座標!$L$13:$L$2301," ",0,1)</f>
        <v>0</v>
      </c>
      <c r="Z546">
        <f>SQRT(($M$546-$M$545)^2+($N$546-$N$545)^2)</f>
        <v>85.009963565493393</v>
      </c>
    </row>
    <row r="547" spans="1:32">
      <c r="A547" t="s">
        <v>797</v>
      </c>
      <c r="B547" t="s">
        <v>3812</v>
      </c>
      <c r="C547" t="s">
        <v>805</v>
      </c>
      <c r="D547" t="s">
        <v>806</v>
      </c>
      <c r="F547" t="s">
        <v>96</v>
      </c>
      <c r="G547" t="s">
        <v>2457</v>
      </c>
      <c r="I547">
        <f>_xlfn.XLOOKUP($F547,設計座標!$E$13:$E$2301,設計座標!$G$13:$G$2301,"n/a",0,1)</f>
        <v>143.81610290882631</v>
      </c>
      <c r="J547">
        <f>_xlfn.XLOOKUP($F547,設計座標!$E$13:$E$2301,設計座標!$H$13:$H$2301,"n/a",0,1)</f>
        <v>-13957.636</v>
      </c>
      <c r="K547">
        <f>_xlfn.XLOOKUP($F547,設計座標!$E$13:$E$2301,設計座標!$I$13:$I$2301,"n/a",0,1)</f>
        <v>120421.99750978001</v>
      </c>
      <c r="L547">
        <f>_xlfn.XLOOKUP($F547,設計座標!$E$13:$E$2301,設計座標!$J$13:$J$2301,"n/a",0,1)</f>
        <v>35</v>
      </c>
      <c r="M547" s="2">
        <f>_xlfn.XLOOKUP($F547,survey_data!$A$2:$A$833,survey_data!$B$2:$B$833,"n/a",0,1)</f>
        <v>-13971.183220360001</v>
      </c>
      <c r="N547" s="2">
        <f>_xlfn.XLOOKUP($F547,survey_data!$A$2:$A$833,survey_data!$C$2:$C$833,"n/a",0,1)</f>
        <v>120421.99750978001</v>
      </c>
      <c r="O547" s="23">
        <f>_xlfn.XLOOKUP($F547,survey_data!$A$2:$A$833,survey_data!$D$2:$D$833,"n/a",0,1)</f>
        <v>44.145069220000003</v>
      </c>
      <c r="P547" s="1">
        <f t="shared" si="421"/>
        <v>34.542265957839959</v>
      </c>
      <c r="Q547" s="1">
        <f t="shared" si="383"/>
        <v>-13.54722036000021</v>
      </c>
      <c r="R547">
        <f t="shared" si="380"/>
        <v>0</v>
      </c>
      <c r="S547" s="23">
        <f t="shared" si="384"/>
        <v>9.1450692200000034</v>
      </c>
      <c r="T547">
        <f>$S547+測地線補正!$Q$26*(lattice!$N547/1000)^3+測地線補正!$P$26*(lattice!$N547/1000)^2+測地線補正!$O$26*(lattice!$N547/1000)+測地線補正!$N$26</f>
        <v>-0.45773404216003866</v>
      </c>
      <c r="U547">
        <f>-ATAN(($P$549-$P$547)/ABS($N$549-$N$547))</f>
        <v>-2.1935085041666885E-4</v>
      </c>
      <c r="W547">
        <f>ATAN(($Q$549-$Q$547)/ABS($N$549-$N$547))</f>
        <v>3.584324135353359E-3</v>
      </c>
      <c r="X547">
        <f>$Z$548-($Y$548+$Y$546)/2</f>
        <v>92.366392214587279</v>
      </c>
      <c r="Y547">
        <f>_xlfn.XLOOKUP($F547,設計座標!$E$13:$E$2301,設計座標!$L$13:$L$2301," ",0,1)</f>
        <v>300</v>
      </c>
      <c r="Z547">
        <f>SQRT(($M$548-$M$546)^2+($N$548-$N$546)^2)</f>
        <v>242.36639221458728</v>
      </c>
      <c r="AA547">
        <f>_xlfn.XLOOKUP($G547,magnet_list!$A$2:$A$592,magnet_list!$AJ$2:$AJ$592,"n/a",0,1)</f>
        <v>0.3231</v>
      </c>
      <c r="AB547">
        <f>_xlfn.XLOOKUP($G547,magnet_list!$A$2:$A$592,magnet_list!$L$2:$L$592,"n/a",0,1)</f>
        <v>44</v>
      </c>
    </row>
    <row r="548" spans="1:32">
      <c r="A548" t="s">
        <v>797</v>
      </c>
      <c r="B548" t="s">
        <v>3812</v>
      </c>
      <c r="C548" t="s">
        <v>805</v>
      </c>
      <c r="D548" t="s">
        <v>1152</v>
      </c>
      <c r="E548" t="s">
        <v>804</v>
      </c>
      <c r="F548" t="s">
        <v>592</v>
      </c>
      <c r="G548" t="s">
        <v>2457</v>
      </c>
      <c r="I548">
        <f>_xlfn.XLOOKUP($F548,設計座標!$E$13:$E$2301,設計座標!$G$13:$G$2301,"n/a",0,1)</f>
        <v>143.89123030759043</v>
      </c>
      <c r="J548">
        <f>_xlfn.XLOOKUP($F548,設計座標!$E$13:$E$2301,設計座標!$H$13:$H$2301,"n/a",0,1)</f>
        <v>-13995.386</v>
      </c>
      <c r="K548">
        <f>_xlfn.XLOOKUP($F548,設計座標!$E$13:$E$2301,設計座標!$I$13:$I$2301,"n/a",0,1)</f>
        <v>120357.04319087</v>
      </c>
      <c r="L548">
        <f>_xlfn.XLOOKUP($F548,設計座標!$E$13:$E$2301,設計座標!$J$13:$J$2301,"n/a",0,1)</f>
        <v>35</v>
      </c>
      <c r="M548" s="2">
        <f t="shared" si="433"/>
        <v>-14008.700402029999</v>
      </c>
      <c r="N548" s="2">
        <f t="shared" si="434"/>
        <v>120357.04319087</v>
      </c>
      <c r="O548" s="23">
        <f t="shared" si="435"/>
        <v>44.153409850000003</v>
      </c>
      <c r="P548" s="1">
        <f t="shared" si="421"/>
        <v>34.556514619375285</v>
      </c>
      <c r="Q548" s="1">
        <f>(Q$549-Q$547)/($N$549-$N$547)*($N548-$N$547)+Q$547</f>
        <v>-13.314402029999629</v>
      </c>
      <c r="R548">
        <f t="shared" si="380"/>
        <v>0</v>
      </c>
      <c r="S548" s="23">
        <f>(S$549-S$547)/($N$549-$N$547)*($N548-$N$547)+S$547</f>
        <v>9.1534098500000045</v>
      </c>
      <c r="T548">
        <f>$S548+測地線補正!$Q$26*(lattice!$N548/1000)^3+測地線補正!$P$26*(lattice!$N548/1000)^2+測地線補正!$O$26*(lattice!$N548/1000)+測地線補正!$N$26</f>
        <v>-0.44348538062471587</v>
      </c>
      <c r="U548">
        <f t="shared" ref="U548:U549" si="437">-ATAN(($P$549-$P$547)/ABS($N$549-$N$547))</f>
        <v>-2.1935085041666885E-4</v>
      </c>
      <c r="W548">
        <f t="shared" ref="W548:W549" si="438">ATAN(($Q$549-$Q$547)/ABS($N$549-$N$547))</f>
        <v>3.584324135353359E-3</v>
      </c>
      <c r="X548">
        <f>$Z$548-($Y$548+$Y$546)/2</f>
        <v>92.366392214587279</v>
      </c>
      <c r="Y548">
        <f>_xlfn.XLOOKUP($F548,設計座標!$E$13:$E$2301,設計座標!$L$13:$L$2301," ",0,1)</f>
        <v>300</v>
      </c>
      <c r="Z548">
        <f>SQRT(($M$548-$M$546)^2+($N$548-$N$546)^2)</f>
        <v>242.36639221458728</v>
      </c>
      <c r="AA548">
        <f>_xlfn.XLOOKUP($G548,magnet_list!$A$2:$A$592,magnet_list!$AJ$2:$AJ$592,"n/a",0,1)</f>
        <v>0.3231</v>
      </c>
      <c r="AB548">
        <f>_xlfn.XLOOKUP($G548,magnet_list!$A$2:$A$592,magnet_list!$L$2:$L$592,"n/a",0,1)</f>
        <v>44</v>
      </c>
    </row>
    <row r="549" spans="1:32">
      <c r="A549" t="s">
        <v>797</v>
      </c>
      <c r="B549" t="s">
        <v>3812</v>
      </c>
      <c r="C549" t="s">
        <v>805</v>
      </c>
      <c r="D549" t="s">
        <v>806</v>
      </c>
      <c r="F549" t="s">
        <v>97</v>
      </c>
      <c r="G549" t="s">
        <v>2457</v>
      </c>
      <c r="I549">
        <f>_xlfn.XLOOKUP($F549,設計座標!$E$13:$E$2301,設計座標!$G$13:$G$2301,"n/a",0,1)</f>
        <v>143.96635770635453</v>
      </c>
      <c r="J549">
        <f>_xlfn.XLOOKUP($F549,設計座標!$E$13:$E$2301,設計座標!$H$13:$H$2301,"n/a",0,1)</f>
        <v>-14033.136</v>
      </c>
      <c r="K549">
        <f>_xlfn.XLOOKUP($F549,設計座標!$E$13:$E$2301,設計座標!$I$13:$I$2301,"n/a",0,1)</f>
        <v>120292.08887196</v>
      </c>
      <c r="L549">
        <f>_xlfn.XLOOKUP($F549,設計座標!$E$13:$E$2301,設計座標!$J$13:$J$2301,"n/a",0,1)</f>
        <v>35</v>
      </c>
      <c r="M549" s="2">
        <f>_xlfn.XLOOKUP($F549,survey_data!$A$2:$A$833,survey_data!$B$2:$B$833,"n/a",0,1)</f>
        <v>-14046.2175837</v>
      </c>
      <c r="N549" s="2">
        <f>_xlfn.XLOOKUP($F549,survey_data!$A$2:$A$833,survey_data!$C$2:$C$833,"n/a",0,1)</f>
        <v>120292.08887196</v>
      </c>
      <c r="O549" s="23">
        <f>_xlfn.XLOOKUP($F549,survey_data!$A$2:$A$833,survey_data!$D$2:$D$833,"n/a",0,1)</f>
        <v>44.161750480000002</v>
      </c>
      <c r="P549" s="1">
        <f t="shared" si="421"/>
        <v>34.570761528479267</v>
      </c>
      <c r="Q549" s="1">
        <f t="shared" si="383"/>
        <v>-13.081583699999101</v>
      </c>
      <c r="R549">
        <f t="shared" si="380"/>
        <v>0</v>
      </c>
      <c r="S549" s="23">
        <f t="shared" si="384"/>
        <v>9.161750480000002</v>
      </c>
      <c r="T549">
        <f>$S549+測地線補正!$Q$26*(lattice!$N549/1000)^3+測地線補正!$P$26*(lattice!$N549/1000)^2+測地線補正!$O$26*(lattice!$N549/1000)+測地線補正!$N$26</f>
        <v>-0.4292384715207318</v>
      </c>
      <c r="U549">
        <f t="shared" si="437"/>
        <v>-2.1935085041666885E-4</v>
      </c>
      <c r="W549">
        <f t="shared" si="438"/>
        <v>3.584324135353359E-3</v>
      </c>
      <c r="X549">
        <f>$Z$548-($Y$548+$Y$546)/2</f>
        <v>92.366392214587279</v>
      </c>
      <c r="Y549">
        <f>_xlfn.XLOOKUP($F549,設計座標!$E$13:$E$2301,設計座標!$L$13:$L$2301," ",0,1)</f>
        <v>300</v>
      </c>
      <c r="Z549">
        <f>SQRT(($M$548-$M$546)^2+($N$548-$N$546)^2)</f>
        <v>242.36639221458728</v>
      </c>
      <c r="AA549">
        <f>_xlfn.XLOOKUP($G549,magnet_list!$A$2:$A$592,magnet_list!$AJ$2:$AJ$592,"n/a",0,1)</f>
        <v>0.3231</v>
      </c>
      <c r="AB549">
        <f>_xlfn.XLOOKUP($G549,magnet_list!$A$2:$A$592,magnet_list!$L$2:$L$592,"n/a",0,1)</f>
        <v>44</v>
      </c>
    </row>
    <row r="550" spans="1:32">
      <c r="A550" t="s">
        <v>797</v>
      </c>
      <c r="B550" t="s">
        <v>3812</v>
      </c>
      <c r="C550" t="s">
        <v>1152</v>
      </c>
      <c r="D550" t="s">
        <v>1152</v>
      </c>
      <c r="E550" t="s">
        <v>804</v>
      </c>
      <c r="F550" t="s">
        <v>2004</v>
      </c>
      <c r="G550" t="s">
        <v>2004</v>
      </c>
      <c r="I550">
        <f>_xlfn.XLOOKUP($F550,設計座標!$E$13:$E$2301,設計座標!$G$13:$G$2301,"n/a",0,1)</f>
        <v>144.17927430759045</v>
      </c>
      <c r="J550">
        <f>_xlfn.XLOOKUP($F550,設計座標!$E$13:$E$2301,設計座標!$H$13:$H$2301,"n/a",0,1)</f>
        <v>-14139.501736011465</v>
      </c>
      <c r="K550">
        <f>_xlfn.XLOOKUP($F550,設計座標!$E$13:$E$2301,設計座標!$I$13:$I$2301,"n/a",0,1)</f>
        <v>120107.64427517117</v>
      </c>
      <c r="L550">
        <f>_xlfn.XLOOKUP($F550,設計座標!$E$13:$E$2301,設計座標!$J$13:$J$2301,"n/a",0,1)</f>
        <v>-270</v>
      </c>
      <c r="M550" s="2">
        <f t="shared" si="433"/>
        <v>-14152.649358094723</v>
      </c>
      <c r="N550" s="2">
        <f t="shared" si="434"/>
        <v>120107.64427517117</v>
      </c>
      <c r="O550" s="23">
        <f t="shared" si="435"/>
        <v>-260.82557952162193</v>
      </c>
      <c r="P550" s="1">
        <f t="shared" si="421"/>
        <v>-270.39980652593778</v>
      </c>
      <c r="Q550" s="1">
        <f>(Q$551-Q$549)/($N$551-$N$549)*($N550-$N$549)+Q$549</f>
        <v>-13.147622083257659</v>
      </c>
      <c r="R550">
        <f t="shared" si="380"/>
        <v>0</v>
      </c>
      <c r="S550" s="23">
        <f>(S$551-S$549)/($N$551-$N$549)*($N550-$N$549)+S$549</f>
        <v>9.1744204783780727</v>
      </c>
      <c r="T550">
        <f>$S550+測地線補正!$Q$26*(lattice!$N550/1000)^3+測地線補正!$P$26*(lattice!$N550/1000)^2+測地線補正!$O$26*(lattice!$N550/1000)+測地線補正!$N$26</f>
        <v>-0.39980652593777255</v>
      </c>
      <c r="U550">
        <v>0</v>
      </c>
      <c r="V550">
        <v>0</v>
      </c>
      <c r="W550">
        <v>0</v>
      </c>
      <c r="X550">
        <f>$Z$550-($Y$550+$Y$548)/2</f>
        <v>137.96027695477915</v>
      </c>
      <c r="Y550">
        <f>_xlfn.XLOOKUP($F550,設計座標!$E$13:$E$2301,設計座標!$L$13:$L$2301," ",0,1)</f>
        <v>0</v>
      </c>
      <c r="Z550">
        <f>SQRT(($M$550-$M$548)^2+($N$550-$N$548)^2)</f>
        <v>287.96027695477915</v>
      </c>
    </row>
    <row r="551" spans="1:32">
      <c r="A551" t="s">
        <v>797</v>
      </c>
      <c r="B551" t="s">
        <v>3812</v>
      </c>
      <c r="C551" t="s">
        <v>805</v>
      </c>
      <c r="D551" t="s">
        <v>806</v>
      </c>
      <c r="E551" t="s">
        <v>804</v>
      </c>
      <c r="F551" t="s">
        <v>98</v>
      </c>
      <c r="G551" t="s">
        <v>98</v>
      </c>
      <c r="I551">
        <f>_xlfn.XLOOKUP($F551,設計座標!$E$13:$E$2301,設計座標!$G$13:$G$2301,"n/a",0,1)</f>
        <v>144.47630109788997</v>
      </c>
      <c r="J551">
        <f>_xlfn.XLOOKUP($F551,設計座標!$E$13:$E$2301,設計座標!$H$13:$H$2301,"n/a",0,1)</f>
        <v>-14287.886</v>
      </c>
      <c r="K551">
        <f>_xlfn.XLOOKUP($F551,設計座標!$E$13:$E$2301,設計座標!$I$13:$I$2301,"n/a",0,1)</f>
        <v>119850.33701846001</v>
      </c>
      <c r="L551">
        <f>_xlfn.XLOOKUP($F551,設計座標!$E$13:$E$2301,設計座標!$J$13:$J$2301,"n/a",0,1)</f>
        <v>35</v>
      </c>
      <c r="M551" s="2">
        <f>_xlfn.XLOOKUP($F551,survey_data!$A$2:$A$833,survey_data!$B$2:$B$833,"n/a",0,1)</f>
        <v>-14301.12574815</v>
      </c>
      <c r="N551" s="2">
        <f>_xlfn.XLOOKUP($F551,survey_data!$A$2:$A$833,survey_data!$C$2:$C$833,"n/a",0,1)</f>
        <v>119850.33701846001</v>
      </c>
      <c r="O551" s="23">
        <f>_xlfn.XLOOKUP($F551,survey_data!$A$2:$A$833,survey_data!$D$2:$D$833,"n/a",0,1)</f>
        <v>44.192095610000003</v>
      </c>
      <c r="P551" s="1">
        <f t="shared" si="421"/>
        <v>34.641228568698196</v>
      </c>
      <c r="Q551" s="1">
        <f t="shared" si="383"/>
        <v>-13.239748149999286</v>
      </c>
      <c r="R551">
        <f t="shared" si="380"/>
        <v>0</v>
      </c>
      <c r="S551" s="23">
        <f t="shared" si="384"/>
        <v>9.1920956100000026</v>
      </c>
      <c r="T551">
        <f>$S551+測地線補正!$Q$26*(lattice!$N551/1000)^3+測地線補正!$P$26*(lattice!$N551/1000)^2+測地線補正!$O$26*(lattice!$N551/1000)+測地線補正!$N$26</f>
        <v>-0.35877143130180067</v>
      </c>
      <c r="U551">
        <v>0</v>
      </c>
      <c r="V551">
        <v>0</v>
      </c>
      <c r="W551">
        <v>0</v>
      </c>
      <c r="X551">
        <f>$Z$551-($Y$551+$Y$550)/2</f>
        <v>247.07282400124222</v>
      </c>
      <c r="Y551">
        <f>_xlfn.XLOOKUP($F551,設計座標!$E$13:$E$2301,設計座標!$L$13:$L$2301," ",0,1)</f>
        <v>100</v>
      </c>
      <c r="Z551">
        <f>SQRT(($M$551-$M$550)^2+($N$551-$N$550)^2)</f>
        <v>297.07282400124222</v>
      </c>
      <c r="AA551">
        <f>_xlfn.XLOOKUP($G551,magnet_list!$A$2:$A$592,magnet_list!$AJ$2:$AJ$592,"n/a",0,1)</f>
        <v>0.11679</v>
      </c>
      <c r="AB551">
        <f>_xlfn.XLOOKUP($G551,magnet_list!$A$2:$A$592,magnet_list!$L$2:$L$592,"n/a",0,1)</f>
        <v>52</v>
      </c>
    </row>
    <row r="552" spans="1:32">
      <c r="A552" t="s">
        <v>797</v>
      </c>
      <c r="B552" t="s">
        <v>3812</v>
      </c>
      <c r="C552" t="s">
        <v>805</v>
      </c>
      <c r="D552" t="s">
        <v>806</v>
      </c>
      <c r="E552" t="s">
        <v>804</v>
      </c>
      <c r="F552" t="s">
        <v>99</v>
      </c>
      <c r="G552" t="s">
        <v>2458</v>
      </c>
      <c r="I552">
        <f>_xlfn.XLOOKUP($F552,設計座標!$E$13:$E$2301,設計座標!$G$13:$G$2301,"n/a",0,1)</f>
        <v>145.02935006136889</v>
      </c>
      <c r="J552">
        <f>_xlfn.XLOOKUP($F552,設計座標!$E$13:$E$2301,設計座標!$H$13:$H$2301,"n/a",0,1)</f>
        <v>-14564.210999999999</v>
      </c>
      <c r="K552">
        <f>_xlfn.XLOOKUP($F552,設計座標!$E$13:$E$2301,設計座標!$I$13:$I$2301,"n/a",0,1)</f>
        <v>119371.26745109</v>
      </c>
      <c r="L552">
        <f>_xlfn.XLOOKUP($F552,設計座標!$E$13:$E$2301,設計座標!$J$13:$J$2301,"n/a",0,1)</f>
        <v>110</v>
      </c>
      <c r="M552" s="2">
        <f>_xlfn.XLOOKUP($F552,survey_data!$A$2:$A$833,survey_data!$B$2:$B$833,"n/a",0,1)</f>
        <v>-14576.297403439999</v>
      </c>
      <c r="N552" s="2">
        <f>_xlfn.XLOOKUP($F552,survey_data!$A$2:$A$833,survey_data!$C$2:$C$833,"n/a",0,1)</f>
        <v>119371.26745109</v>
      </c>
      <c r="O552" s="23">
        <f>_xlfn.XLOOKUP($F552,survey_data!$A$2:$A$833,survey_data!$D$2:$D$833,"n/a",0,1)</f>
        <v>119.06638894</v>
      </c>
      <c r="P552" s="1">
        <f t="shared" si="421"/>
        <v>109.55894165094588</v>
      </c>
      <c r="Q552" s="1">
        <f t="shared" si="383"/>
        <v>-12.08640344000014</v>
      </c>
      <c r="R552">
        <f t="shared" si="380"/>
        <v>0</v>
      </c>
      <c r="S552" s="23">
        <f t="shared" si="384"/>
        <v>9.066388939999996</v>
      </c>
      <c r="T552">
        <f>$S552+測地線補正!$Q$26*(lattice!$N552/1000)^3+測地線補正!$P$26*(lattice!$N552/1000)^2+測地線補正!$O$26*(lattice!$N552/1000)+測地線補正!$N$26</f>
        <v>-0.44105834905412089</v>
      </c>
      <c r="U552">
        <f>-ATAN(($P$554-$P$552)/ABS($N$554-$N$552))</f>
        <v>-1.060153230184597E-4</v>
      </c>
      <c r="W552">
        <f>ATAN(($Q$554-$Q$552)/ABS($N$554-$N$552))</f>
        <v>8.1576633179593517E-6</v>
      </c>
      <c r="X552">
        <f>$Z$553-($Y$553+$Y$551)/2</f>
        <v>417.72900000000004</v>
      </c>
      <c r="Y552">
        <f>_xlfn.XLOOKUP($F552,設計座標!$E$13:$E$2301,設計座標!$L$13:$L$2301," ",0,1)</f>
        <v>1869.25</v>
      </c>
      <c r="Z552">
        <f>467.6329+85+849.7211</f>
        <v>1402.354</v>
      </c>
      <c r="AA552">
        <f>_xlfn.XLOOKUP($G552,magnet_list!$A$2:$A$592,magnet_list!$AJ$2:$AJ$592,"n/a",0,1)</f>
        <v>1.90757</v>
      </c>
      <c r="AB552">
        <f>_xlfn.XLOOKUP($G552,magnet_list!$A$2:$A$592,magnet_list!$L$2:$L$592,"n/a",0,1)</f>
        <v>25</v>
      </c>
      <c r="AD552" t="s">
        <v>2345</v>
      </c>
      <c r="AF552">
        <v>85</v>
      </c>
    </row>
    <row r="553" spans="1:32">
      <c r="A553" t="s">
        <v>797</v>
      </c>
      <c r="B553" t="s">
        <v>3812</v>
      </c>
      <c r="C553" t="s">
        <v>805</v>
      </c>
      <c r="D553" t="s">
        <v>806</v>
      </c>
      <c r="E553" t="s">
        <v>804</v>
      </c>
      <c r="F553" t="s">
        <v>100</v>
      </c>
      <c r="G553" t="s">
        <v>2458</v>
      </c>
      <c r="I553">
        <f>_xlfn.XLOOKUP($F553,設計座標!$E$13:$E$2301,設計座標!$G$13:$G$2301,"n/a",0,1)</f>
        <v>145.8790711613689</v>
      </c>
      <c r="J553">
        <f>_xlfn.XLOOKUP($F553,設計座標!$E$13:$E$2301,設計座標!$H$13:$H$2301,"n/a",0,1)</f>
        <v>-14878.355</v>
      </c>
      <c r="K553">
        <f>_xlfn.XLOOKUP($F553,設計座標!$E$13:$E$2301,設計座標!$I$13:$I$2301,"n/a",0,1)</f>
        <v>118584.37400082</v>
      </c>
      <c r="L553">
        <f>_xlfn.XLOOKUP($F553,設計座標!$E$13:$E$2301,設計座標!$J$13:$J$2301,"n/a",0,1)</f>
        <v>110</v>
      </c>
      <c r="M553" s="2">
        <f>_xlfn.XLOOKUP($F553,survey_data!$A$2:$A$833,survey_data!$B$2:$B$833,"n/a",0,1)</f>
        <v>-14891.396538520001</v>
      </c>
      <c r="N553" s="2">
        <f>_xlfn.XLOOKUP($F553,survey_data!$A$2:$A$833,survey_data!$C$2:$C$833,"n/a",0,1)</f>
        <v>118584.37400082</v>
      </c>
      <c r="O553" s="23">
        <f>_xlfn.XLOOKUP($F553,survey_data!$A$2:$A$833,survey_data!$D$2:$D$833,"n/a",0,1)</f>
        <v>119.05417507999999</v>
      </c>
      <c r="P553" s="1">
        <f t="shared" si="421"/>
        <v>109.61784025442222</v>
      </c>
      <c r="Q553" s="1">
        <f t="shared" si="383"/>
        <v>-13.041538520001268</v>
      </c>
      <c r="R553">
        <f t="shared" si="380"/>
        <v>0</v>
      </c>
      <c r="S553" s="23">
        <f t="shared" si="384"/>
        <v>9.0541750799999932</v>
      </c>
      <c r="T553">
        <f>$S553+測地線補正!$Q$26*(lattice!$N553/1000)^3+測地線補正!$P$26*(lattice!$N553/1000)^2+測地線補正!$O$26*(lattice!$N553/1000)+測地線補正!$N$26</f>
        <v>-0.38215974557778165</v>
      </c>
      <c r="U553">
        <f t="shared" ref="U553:U554" si="439">-ATAN(($P$554-$P$552)/ABS($N$554-$N$552))</f>
        <v>-1.060153230184597E-4</v>
      </c>
      <c r="W553">
        <f t="shared" ref="W553:W554" si="440">ATAN(($Q$554-$Q$552)/ABS($N$554-$N$552))</f>
        <v>8.1576633179593517E-6</v>
      </c>
      <c r="X553">
        <f>$Z$553-($Y$553+$Y$551)/2</f>
        <v>417.72900000000004</v>
      </c>
      <c r="Y553">
        <f>_xlfn.XLOOKUP($F553,設計座標!$E$13:$E$2301,設計座標!$L$13:$L$2301," ",0,1)</f>
        <v>1869.25</v>
      </c>
      <c r="Z553">
        <f t="shared" ref="Z553:Z554" si="441">467.6329+85+849.7211</f>
        <v>1402.354</v>
      </c>
      <c r="AA553">
        <f>_xlfn.XLOOKUP($G553,magnet_list!$A$2:$A$592,magnet_list!$AJ$2:$AJ$592,"n/a",0,1)</f>
        <v>1.90757</v>
      </c>
      <c r="AB553">
        <f>_xlfn.XLOOKUP($G553,magnet_list!$A$2:$A$592,magnet_list!$L$2:$L$592,"n/a",0,1)</f>
        <v>25</v>
      </c>
      <c r="AD553" t="s">
        <v>2344</v>
      </c>
      <c r="AF553">
        <v>849.72109999999998</v>
      </c>
    </row>
    <row r="554" spans="1:32">
      <c r="A554" t="s">
        <v>797</v>
      </c>
      <c r="B554" t="s">
        <v>3812</v>
      </c>
      <c r="C554" t="s">
        <v>805</v>
      </c>
      <c r="D554" t="s">
        <v>806</v>
      </c>
      <c r="E554" t="s">
        <v>804</v>
      </c>
      <c r="F554" t="s">
        <v>101</v>
      </c>
      <c r="G554" t="s">
        <v>2458</v>
      </c>
      <c r="I554">
        <f>_xlfn.XLOOKUP($F554,設計座標!$E$13:$E$2301,設計座標!$G$13:$G$2301,"n/a",0,1)</f>
        <v>146.72879226136891</v>
      </c>
      <c r="J554">
        <f>_xlfn.XLOOKUP($F554,設計座標!$E$13:$E$2301,設計座標!$H$13:$H$2301,"n/a",0,1)</f>
        <v>-15000</v>
      </c>
      <c r="K554">
        <f>_xlfn.XLOOKUP($F554,設計座標!$E$13:$E$2301,設計座標!$I$13:$I$2301,"n/a",0,1)</f>
        <v>117745.44036273001</v>
      </c>
      <c r="L554">
        <f>_xlfn.XLOOKUP($F554,設計座標!$E$13:$E$2301,設計座標!$J$13:$J$2301,"n/a",0,1)</f>
        <v>110</v>
      </c>
      <c r="M554" s="2">
        <f>_xlfn.XLOOKUP($F554,survey_data!$A$2:$A$833,survey_data!$B$2:$B$833,"n/a",0,1)</f>
        <v>-15012.07314049</v>
      </c>
      <c r="N554" s="2">
        <f>_xlfn.XLOOKUP($F554,survey_data!$A$2:$A$833,survey_data!$C$2:$C$833,"n/a",0,1)</f>
        <v>117745.44036273001</v>
      </c>
      <c r="O554" s="23">
        <f>_xlfn.XLOOKUP($F554,survey_data!$A$2:$A$833,survey_data!$D$2:$D$833,"n/a",0,1)</f>
        <v>119.09210594</v>
      </c>
      <c r="P554" s="1">
        <f t="shared" si="421"/>
        <v>109.73130423553627</v>
      </c>
      <c r="Q554" s="1">
        <f t="shared" si="383"/>
        <v>-12.073140489999787</v>
      </c>
      <c r="R554">
        <f t="shared" si="380"/>
        <v>0</v>
      </c>
      <c r="S554" s="23">
        <f t="shared" si="384"/>
        <v>9.0921059399999962</v>
      </c>
      <c r="T554">
        <f>$S554+測地線補正!$Q$26*(lattice!$N554/1000)^3+測地線補正!$P$26*(lattice!$N554/1000)^2+測地線補正!$O$26*(lattice!$N554/1000)+測地線補正!$N$26</f>
        <v>-0.26869576446373089</v>
      </c>
      <c r="U554">
        <f t="shared" si="439"/>
        <v>-1.060153230184597E-4</v>
      </c>
      <c r="W554">
        <f t="shared" si="440"/>
        <v>8.1576633179593517E-6</v>
      </c>
      <c r="X554">
        <f>$Z$553-($Y$553+$Y$551)/2</f>
        <v>417.72900000000004</v>
      </c>
      <c r="Y554">
        <f>_xlfn.XLOOKUP($F554,設計座標!$E$13:$E$2301,設計座標!$L$13:$L$2301," ",0,1)</f>
        <v>1869.25</v>
      </c>
      <c r="Z554">
        <f t="shared" si="441"/>
        <v>1402.354</v>
      </c>
      <c r="AA554">
        <f>_xlfn.XLOOKUP($G554,magnet_list!$A$2:$A$592,magnet_list!$AJ$2:$AJ$592,"n/a",0,1)</f>
        <v>1.90757</v>
      </c>
      <c r="AB554">
        <f>_xlfn.XLOOKUP($G554,magnet_list!$A$2:$A$592,magnet_list!$L$2:$L$592,"n/a",0,1)</f>
        <v>25</v>
      </c>
      <c r="AD554" t="s">
        <v>2346</v>
      </c>
      <c r="AF554">
        <v>849.72109999999998</v>
      </c>
    </row>
    <row r="555" spans="1:32">
      <c r="A555" t="s">
        <v>797</v>
      </c>
      <c r="B555" t="s">
        <v>3812</v>
      </c>
      <c r="C555" t="s">
        <v>1152</v>
      </c>
      <c r="D555" t="s">
        <v>1152</v>
      </c>
      <c r="E555" t="s">
        <v>804</v>
      </c>
      <c r="F555" t="s">
        <v>2005</v>
      </c>
      <c r="G555" t="s">
        <v>2005</v>
      </c>
      <c r="I555">
        <f>_xlfn.XLOOKUP($F555,設計座標!$E$13:$E$2301,設計座標!$G$13:$G$2301,"n/a",0,1)</f>
        <v>147.00983776136891</v>
      </c>
      <c r="J555">
        <f>_xlfn.XLOOKUP($F555,設計座標!$E$13:$E$2301,設計座標!$H$13:$H$2301,"n/a",0,1)</f>
        <v>-15000</v>
      </c>
      <c r="K555">
        <f>_xlfn.XLOOKUP($F555,設計座標!$E$13:$E$2301,設計座標!$I$13:$I$2301,"n/a",0,1)</f>
        <v>117452.21970454</v>
      </c>
      <c r="L555">
        <f>_xlfn.XLOOKUP($F555,設計座標!$E$13:$E$2301,設計座標!$J$13:$J$2301,"n/a",0,1)</f>
        <v>-270</v>
      </c>
      <c r="M555" s="2">
        <f t="shared" ref="M555:M558" si="442">$J555+$Q555</f>
        <v>-15012.403833682236</v>
      </c>
      <c r="N555" s="2">
        <f t="shared" ref="N555:N558" si="443">$K555</f>
        <v>117452.21970454</v>
      </c>
      <c r="O555" s="23">
        <f t="shared" ref="O555:O558" si="444">$L555+$S555</f>
        <v>-260.92288158607943</v>
      </c>
      <c r="P555" s="1">
        <f t="shared" si="421"/>
        <v>-270.25735187807209</v>
      </c>
      <c r="Q555" s="1">
        <f>(Q$557-Q$554)/($N$557-$N$554)*($N555-$N$554)+Q$554</f>
        <v>-12.403833682236371</v>
      </c>
      <c r="R555">
        <f t="shared" ref="R555:R618" si="445">$N555-$K555</f>
        <v>0</v>
      </c>
      <c r="S555" s="23">
        <f t="shared" ref="S555:S556" si="446">(S$557-S$554)/($N$557-$N$554)*($N555-$N$554)+S$554</f>
        <v>9.0771184139205836</v>
      </c>
      <c r="T555">
        <f>$S555+測地線補正!$Q$26*(lattice!$N555/1000)^3+測地線補正!$P$26*(lattice!$N555/1000)^2+測地線補正!$O$26*(lattice!$N555/1000)+測地線補正!$N$26</f>
        <v>-0.25735187807210402</v>
      </c>
      <c r="U555">
        <v>0</v>
      </c>
      <c r="V555">
        <v>0</v>
      </c>
      <c r="W555">
        <v>0</v>
      </c>
      <c r="X555">
        <f>$Z$555-($Y$555+$Y$553)/2</f>
        <v>196.14159999999993</v>
      </c>
      <c r="Y555">
        <f>_xlfn.XLOOKUP($F555,設計座標!$E$13:$E$2301,設計座標!$L$13:$L$2301," ",0,1)</f>
        <v>0</v>
      </c>
      <c r="Z555">
        <f>196.0455+85+849.7211</f>
        <v>1130.7665999999999</v>
      </c>
      <c r="AD555" t="s">
        <v>2347</v>
      </c>
      <c r="AF555">
        <v>85</v>
      </c>
    </row>
    <row r="556" spans="1:32">
      <c r="A556" t="s">
        <v>797</v>
      </c>
      <c r="B556" t="s">
        <v>3812</v>
      </c>
      <c r="C556" t="s">
        <v>2288</v>
      </c>
      <c r="D556" t="s">
        <v>1152</v>
      </c>
      <c r="E556" t="s">
        <v>804</v>
      </c>
      <c r="F556" t="s">
        <v>2310</v>
      </c>
      <c r="G556" t="s">
        <v>2310</v>
      </c>
      <c r="I556">
        <f>_xlfn.XLOOKUP($F556,設計座標!$E$13:$E$2301,設計座標!$G$13:$G$2301,"n/a",0,1)</f>
        <v>147.55983776136893</v>
      </c>
      <c r="J556">
        <f>_xlfn.XLOOKUP($F556,設計座標!$E$13:$E$2301,設計座標!$H$13:$H$2301,"n/a",0,1)</f>
        <v>-15000</v>
      </c>
      <c r="K556">
        <f>_xlfn.XLOOKUP($F556,設計座標!$E$13:$E$2301,設計座標!$I$13:$I$2301,"n/a",0,1)</f>
        <v>116902.21970454</v>
      </c>
      <c r="L556">
        <f>_xlfn.XLOOKUP($F556,設計座標!$E$13:$E$2301,設計座標!$J$13:$J$2301,"n/a",0,1)</f>
        <v>-270</v>
      </c>
      <c r="M556" s="2">
        <f t="shared" si="442"/>
        <v>-15013.024121682587</v>
      </c>
      <c r="N556" s="2">
        <f t="shared" si="443"/>
        <v>116902.21970454</v>
      </c>
      <c r="O556" s="23">
        <f t="shared" si="444"/>
        <v>-260.95099399601179</v>
      </c>
      <c r="P556" s="1">
        <f t="shared" si="421"/>
        <v>-270.23616966938755</v>
      </c>
      <c r="Q556" s="1">
        <f>(Q$557-Q$554)/($N$557-$N$554)*($N556-$N$554)+Q$554</f>
        <v>-13.024121682586811</v>
      </c>
      <c r="R556">
        <f t="shared" si="445"/>
        <v>0</v>
      </c>
      <c r="S556" s="23">
        <f t="shared" si="446"/>
        <v>9.049006003988211</v>
      </c>
      <c r="T556">
        <f>$S556+測地線補正!$Q$26*(lattice!$N556/1000)^3+測地線補正!$P$26*(lattice!$N556/1000)^2+測地線補正!$O$26*(lattice!$N556/1000)+測地線補正!$N$26</f>
        <v>-0.23616966938757522</v>
      </c>
      <c r="U556">
        <v>0</v>
      </c>
      <c r="V556">
        <v>0</v>
      </c>
      <c r="W556">
        <v>0</v>
      </c>
      <c r="X556">
        <f>$Z$556-($Y$556+$Y$555)/2</f>
        <v>550.00034977916459</v>
      </c>
      <c r="Y556">
        <f>_xlfn.XLOOKUP($F556,設計座標!$E$13:$E$2301,設計座標!$L$13:$L$2301," ",0,1)</f>
        <v>0</v>
      </c>
      <c r="Z556">
        <f>SQRT(($M$556-$M$555)^2+($N$556-$N$555)^2)</f>
        <v>550.00034977916459</v>
      </c>
    </row>
    <row r="557" spans="1:32">
      <c r="A557" t="s">
        <v>797</v>
      </c>
      <c r="B557" t="s">
        <v>3812</v>
      </c>
      <c r="C557" t="s">
        <v>805</v>
      </c>
      <c r="D557" t="s">
        <v>806</v>
      </c>
      <c r="F557" t="s">
        <v>102</v>
      </c>
      <c r="G557" t="s">
        <v>2459</v>
      </c>
      <c r="I557">
        <f>_xlfn.XLOOKUP($F557,設計座標!$E$13:$E$2301,設計座標!$G$13:$G$2301,"n/a",0,1)</f>
        <v>147.70591185118892</v>
      </c>
      <c r="J557">
        <f>_xlfn.XLOOKUP($F557,設計座標!$E$13:$E$2301,設計座標!$H$13:$H$2301,"n/a",0,1)</f>
        <v>-15000</v>
      </c>
      <c r="K557">
        <f>_xlfn.XLOOKUP($F557,設計座標!$E$13:$E$2301,設計座標!$I$13:$I$2301,"n/a",0,1)</f>
        <v>116756.14561471999</v>
      </c>
      <c r="L557">
        <f>_xlfn.XLOOKUP($F557,設計座標!$E$13:$E$2301,設計座標!$J$13:$J$2301,"n/a",0,1)</f>
        <v>-70</v>
      </c>
      <c r="M557" s="2">
        <f>_xlfn.XLOOKUP($F557,survey_data!$A$2:$A$833,survey_data!$B$2:$B$833,"n/a",0,1)</f>
        <v>-15013.18886351</v>
      </c>
      <c r="N557" s="2">
        <f>_xlfn.XLOOKUP($F557,survey_data!$A$2:$A$833,survey_data!$C$2:$C$833,"n/a",0,1)</f>
        <v>116756.14561471999</v>
      </c>
      <c r="O557" s="23">
        <f>_xlfn.XLOOKUP($F557,survey_data!$A$2:$A$833,survey_data!$D$2:$D$833,"n/a",0,1)</f>
        <v>-60.958460350000003</v>
      </c>
      <c r="P557" s="1">
        <f t="shared" si="421"/>
        <v>-70.230564881548588</v>
      </c>
      <c r="Q557" s="1">
        <f t="shared" ref="Q557:Q607" si="447">$M557-$J557</f>
        <v>-13.188863510000374</v>
      </c>
      <c r="R557">
        <f t="shared" si="445"/>
        <v>0</v>
      </c>
      <c r="S557" s="23">
        <f t="shared" ref="S557:S607" si="448">$O557-$L557</f>
        <v>9.0415396499999972</v>
      </c>
      <c r="T557">
        <f>$S557+測地線補正!$Q$26*(lattice!$N557/1000)^3+測地線補正!$P$26*(lattice!$N557/1000)^2+測地線補正!$O$26*(lattice!$N557/1000)+測地線補正!$N$26</f>
        <v>-0.23056488154859189</v>
      </c>
      <c r="U557">
        <f>-ATAN(($P$559-$P$557)/ABS($N$559-$N$557))</f>
        <v>6.195303812932914E-4</v>
      </c>
      <c r="V557">
        <v>0</v>
      </c>
      <c r="W557">
        <f>ATAN(($M$559-$M$557)/ABS($N$559-$N$557))</f>
        <v>5.7020336188844047E-4</v>
      </c>
      <c r="X557">
        <f>$Z$558-($Y$558+$Y$556)/2</f>
        <v>136.07414395212101</v>
      </c>
      <c r="Y557">
        <f>_xlfn.XLOOKUP($F557,設計座標!$E$13:$E$2301,設計座標!$L$13:$L$2301," ",0,1)</f>
        <v>100</v>
      </c>
      <c r="Z557">
        <f>SQRT(($M$558-$M$556)^2+($N$558-$N$556)^2)</f>
        <v>186.07414395212101</v>
      </c>
      <c r="AA557">
        <f>_xlfn.XLOOKUP($G557,magnet_list!$A$2:$A$592,magnet_list!$AJ$2:$AJ$592,"n/a",0,1)</f>
        <v>0.1415265</v>
      </c>
      <c r="AB557">
        <f>_xlfn.XLOOKUP($G557,magnet_list!$A$2:$A$592,magnet_list!$L$2:$L$592,"n/a",0,1)</f>
        <v>44</v>
      </c>
    </row>
    <row r="558" spans="1:32">
      <c r="A558" t="s">
        <v>797</v>
      </c>
      <c r="B558" t="s">
        <v>3812</v>
      </c>
      <c r="C558" t="s">
        <v>805</v>
      </c>
      <c r="D558" t="s">
        <v>1152</v>
      </c>
      <c r="E558" t="s">
        <v>804</v>
      </c>
      <c r="F558" t="s">
        <v>593</v>
      </c>
      <c r="G558" t="s">
        <v>2459</v>
      </c>
      <c r="I558">
        <f>_xlfn.XLOOKUP($F558,設計座標!$E$13:$E$2301,設計座標!$G$13:$G$2301,"n/a",0,1)</f>
        <v>147.74591185118891</v>
      </c>
      <c r="J558">
        <f>_xlfn.XLOOKUP($F558,設計座標!$E$13:$E$2301,設計座標!$H$13:$H$2301,"n/a",0,1)</f>
        <v>-15000</v>
      </c>
      <c r="K558">
        <f>_xlfn.XLOOKUP($F558,設計座標!$E$13:$E$2301,設計座標!$I$13:$I$2301,"n/a",0,1)</f>
        <v>116716.14561471999</v>
      </c>
      <c r="L558">
        <f>_xlfn.XLOOKUP($F558,設計座標!$E$13:$E$2301,設計座標!$J$13:$J$2301,"n/a",0,1)</f>
        <v>-70</v>
      </c>
      <c r="M558" s="2">
        <f t="shared" si="442"/>
        <v>-15013.166055373053</v>
      </c>
      <c r="N558" s="2">
        <f t="shared" si="443"/>
        <v>116716.14561471999</v>
      </c>
      <c r="O558" s="23">
        <f t="shared" si="444"/>
        <v>-60.986819021707149</v>
      </c>
      <c r="P558" s="1">
        <f t="shared" si="421"/>
        <v>-70.255345769839195</v>
      </c>
      <c r="Q558" s="1">
        <f>(Q$559-Q$557)/($N$559-$N$557)*($N558-$N$557)+Q$557</f>
        <v>-13.166055373052952</v>
      </c>
      <c r="R558">
        <f t="shared" si="445"/>
        <v>0</v>
      </c>
      <c r="S558" s="23">
        <f>(S$559-S$557)/($N$559-$N$557)*($N558-$N$557)+S$557</f>
        <v>9.0131809782928496</v>
      </c>
      <c r="T558">
        <f>$S558+測地線補正!$Q$26*(lattice!$N558/1000)^3+測地線補正!$P$26*(lattice!$N558/1000)^2+測地線補正!$O$26*(lattice!$N558/1000)+測地線補正!$N$26</f>
        <v>-0.25534576983919455</v>
      </c>
      <c r="U558">
        <f t="shared" ref="U558:U559" si="449">-ATAN(($P$559-$P$557)/ABS($N$559-$N$557))</f>
        <v>6.195303812932914E-4</v>
      </c>
      <c r="V558">
        <v>0</v>
      </c>
      <c r="W558">
        <f t="shared" ref="W558:W559" si="450">ATAN(($M$559-$M$557)/ABS($N$559-$N$557))</f>
        <v>5.7020336188844047E-4</v>
      </c>
      <c r="X558">
        <f>$Z$558-($Y$558+$Y$556)/2</f>
        <v>136.07414395212101</v>
      </c>
      <c r="Y558">
        <f>_xlfn.XLOOKUP($F558,設計座標!$E$13:$E$2301,設計座標!$L$13:$L$2301," ",0,1)</f>
        <v>100</v>
      </c>
      <c r="Z558">
        <f>SQRT(($M$558-$M$556)^2+($N$558-$N$556)^2)</f>
        <v>186.07414395212101</v>
      </c>
      <c r="AA558">
        <f>_xlfn.XLOOKUP($G558,magnet_list!$A$2:$A$592,magnet_list!$AJ$2:$AJ$592,"n/a",0,1)</f>
        <v>0.1415265</v>
      </c>
      <c r="AB558">
        <f>_xlfn.XLOOKUP($G558,magnet_list!$A$2:$A$592,magnet_list!$L$2:$L$592,"n/a",0,1)</f>
        <v>44</v>
      </c>
    </row>
    <row r="559" spans="1:32">
      <c r="A559" t="s">
        <v>797</v>
      </c>
      <c r="B559" t="s">
        <v>3812</v>
      </c>
      <c r="C559" t="s">
        <v>805</v>
      </c>
      <c r="D559" t="s">
        <v>806</v>
      </c>
      <c r="F559" t="s">
        <v>103</v>
      </c>
      <c r="G559" t="s">
        <v>2459</v>
      </c>
      <c r="I559">
        <f>_xlfn.XLOOKUP($F559,設計座標!$E$13:$E$2301,設計座標!$G$13:$G$2301,"n/a",0,1)</f>
        <v>147.7859378701589</v>
      </c>
      <c r="J559">
        <f>_xlfn.XLOOKUP($F559,設計座標!$E$13:$E$2301,設計座標!$H$13:$H$2301,"n/a",0,1)</f>
        <v>-15000</v>
      </c>
      <c r="K559">
        <f>_xlfn.XLOOKUP($F559,設計座標!$E$13:$E$2301,設計座標!$I$13:$I$2301,"n/a",0,1)</f>
        <v>116676.11959575</v>
      </c>
      <c r="L559">
        <f>_xlfn.XLOOKUP($F559,設計座標!$E$13:$E$2301,設計座標!$J$13:$J$2301,"n/a",0,1)</f>
        <v>-70</v>
      </c>
      <c r="M559" s="2">
        <f>_xlfn.XLOOKUP($F559,survey_data!$A$2:$A$833,survey_data!$B$2:$B$833,"n/a",0,1)</f>
        <v>-15013.1432324</v>
      </c>
      <c r="N559" s="2">
        <f>_xlfn.XLOOKUP($F559,survey_data!$A$2:$A$833,survey_data!$C$2:$C$833,"n/a",0,1)</f>
        <v>116676.11959575</v>
      </c>
      <c r="O559" s="23">
        <f>_xlfn.XLOOKUP($F559,survey_data!$A$2:$A$833,survey_data!$D$2:$D$833,"n/a",0,1)</f>
        <v>-61.01519614</v>
      </c>
      <c r="P559" s="1">
        <f t="shared" si="421"/>
        <v>-70.280143437937497</v>
      </c>
      <c r="Q559" s="1">
        <f t="shared" si="447"/>
        <v>-13.143232399999761</v>
      </c>
      <c r="R559">
        <f t="shared" si="445"/>
        <v>0</v>
      </c>
      <c r="S559" s="23">
        <f t="shared" si="448"/>
        <v>8.9848038599999995</v>
      </c>
      <c r="T559">
        <f>$S559+測地線補正!$Q$26*(lattice!$N559/1000)^3+測地線補正!$P$26*(lattice!$N559/1000)^2+測地線補正!$O$26*(lattice!$N559/1000)+測地線補正!$N$26</f>
        <v>-0.28014343793749963</v>
      </c>
      <c r="U559">
        <f t="shared" si="449"/>
        <v>6.195303812932914E-4</v>
      </c>
      <c r="V559">
        <v>0</v>
      </c>
      <c r="W559">
        <f t="shared" si="450"/>
        <v>5.7020336188844047E-4</v>
      </c>
      <c r="X559">
        <f>$Z$558-($Y$558+$Y$556)/2</f>
        <v>136.07414395212101</v>
      </c>
      <c r="Y559">
        <f>_xlfn.XLOOKUP($F559,設計座標!$E$13:$E$2301,設計座標!$L$13:$L$2301," ",0,1)</f>
        <v>100</v>
      </c>
      <c r="Z559">
        <f>SQRT(($M$558-$M$556)^2+($N$558-$N$556)^2)</f>
        <v>186.07414395212101</v>
      </c>
      <c r="AA559">
        <f>_xlfn.XLOOKUP($G559,magnet_list!$A$2:$A$592,magnet_list!$AJ$2:$AJ$592,"n/a",0,1)</f>
        <v>0.1415265</v>
      </c>
      <c r="AB559">
        <f>_xlfn.XLOOKUP($G559,magnet_list!$A$2:$A$592,magnet_list!$L$2:$L$592,"n/a",0,1)</f>
        <v>44</v>
      </c>
    </row>
    <row r="560" spans="1:32">
      <c r="A560" t="s">
        <v>797</v>
      </c>
      <c r="B560" t="s">
        <v>3812</v>
      </c>
      <c r="C560" t="s">
        <v>805</v>
      </c>
      <c r="D560" t="s">
        <v>806</v>
      </c>
      <c r="F560" t="s">
        <v>104</v>
      </c>
      <c r="G560" t="s">
        <v>2460</v>
      </c>
      <c r="I560">
        <f>_xlfn.XLOOKUP($F560,設計座標!$E$13:$E$2301,設計座標!$G$13:$G$2301,"n/a",0,1)</f>
        <v>147.9560132913189</v>
      </c>
      <c r="J560">
        <f>_xlfn.XLOOKUP($F560,設計座標!$E$13:$E$2301,設計座標!$H$13:$H$2301,"n/a",0,1)</f>
        <v>-15000</v>
      </c>
      <c r="K560">
        <f>_xlfn.XLOOKUP($F560,設計座標!$E$13:$E$2301,設計座標!$I$13:$I$2301,"n/a",0,1)</f>
        <v>116506.04417459</v>
      </c>
      <c r="L560">
        <f>_xlfn.XLOOKUP($F560,設計座標!$E$13:$E$2301,設計座標!$J$13:$J$2301,"n/a",0,1)</f>
        <v>-70</v>
      </c>
      <c r="M560" s="2">
        <f>_xlfn.XLOOKUP($F560,survey_data!$A$2:$A$833,survey_data!$B$2:$B$833,"n/a",0,1)</f>
        <v>-15013.167975570001</v>
      </c>
      <c r="N560" s="2">
        <f>_xlfn.XLOOKUP($F560,survey_data!$A$2:$A$833,survey_data!$C$2:$C$833,"n/a",0,1)</f>
        <v>116506.04417459</v>
      </c>
      <c r="O560" s="23">
        <f>_xlfn.XLOOKUP($F560,survey_data!$A$2:$A$833,survey_data!$D$2:$D$833,"n/a",0,1)</f>
        <v>-61.036706500000001</v>
      </c>
      <c r="P560" s="1">
        <f t="shared" si="421"/>
        <v>-70.286451645738254</v>
      </c>
      <c r="Q560" s="1">
        <f t="shared" si="447"/>
        <v>-13.167975570000635</v>
      </c>
      <c r="R560">
        <f t="shared" si="445"/>
        <v>0</v>
      </c>
      <c r="S560" s="23">
        <f t="shared" si="448"/>
        <v>8.9632934999999989</v>
      </c>
      <c r="T560">
        <f>$S560+測地線補正!$Q$26*(lattice!$N560/1000)^3+測地線補正!$P$26*(lattice!$N560/1000)^2+測地線補正!$O$26*(lattice!$N560/1000)+測地線補正!$N$26</f>
        <v>-0.28645164573824844</v>
      </c>
      <c r="U560">
        <f>-ATAN(($P$562-$P$560)/ABS($N$562-$N$560))</f>
        <v>-1.3299605120800507E-3</v>
      </c>
      <c r="V560">
        <v>0</v>
      </c>
      <c r="W560">
        <f>ATAN(($M$562-$M$560)/ABS($N$562-$N$560))</f>
        <v>2.8475133826023739E-4</v>
      </c>
      <c r="X560">
        <f>$Z$561-($Y$561+$Y$558)/2</f>
        <v>150.10144030927444</v>
      </c>
      <c r="Y560">
        <f>_xlfn.XLOOKUP($F560,設計座標!$E$13:$E$2301,設計座標!$L$13:$L$2301," ",0,1)</f>
        <v>100</v>
      </c>
      <c r="Z560">
        <f>SQRT(($M$561-$M$558)^2+($N$561-$N$558)^2)</f>
        <v>250.10144030927444</v>
      </c>
      <c r="AA560">
        <f>_xlfn.XLOOKUP($G560,magnet_list!$A$2:$A$592,magnet_list!$AJ$2:$AJ$592,"n/a",0,1)</f>
        <v>0.1415265</v>
      </c>
      <c r="AB560">
        <f>_xlfn.XLOOKUP($G560,magnet_list!$A$2:$A$592,magnet_list!$L$2:$L$592,"n/a",0,1)</f>
        <v>44</v>
      </c>
    </row>
    <row r="561" spans="1:28">
      <c r="A561" t="s">
        <v>797</v>
      </c>
      <c r="B561" t="s">
        <v>3812</v>
      </c>
      <c r="C561" t="s">
        <v>805</v>
      </c>
      <c r="D561" t="s">
        <v>1152</v>
      </c>
      <c r="E561" t="s">
        <v>804</v>
      </c>
      <c r="F561" t="s">
        <v>594</v>
      </c>
      <c r="G561" t="s">
        <v>2460</v>
      </c>
      <c r="I561">
        <f>_xlfn.XLOOKUP($F561,設計座標!$E$13:$E$2301,設計座標!$G$13:$G$2301,"n/a",0,1)</f>
        <v>147.99601329131889</v>
      </c>
      <c r="J561">
        <f>_xlfn.XLOOKUP($F561,設計座標!$E$13:$E$2301,設計座標!$H$13:$H$2301,"n/a",0,1)</f>
        <v>-15000</v>
      </c>
      <c r="K561">
        <f>_xlfn.XLOOKUP($F561,設計座標!$E$13:$E$2301,設計座標!$I$13:$I$2301,"n/a",0,1)</f>
        <v>116466.04417459</v>
      </c>
      <c r="L561">
        <f>_xlfn.XLOOKUP($F561,設計座標!$E$13:$E$2301,設計座標!$J$13:$J$2301,"n/a",0,1)</f>
        <v>-70</v>
      </c>
      <c r="M561" s="2">
        <f t="shared" ref="M561" si="451">$J561+$Q561</f>
        <v>-15013.156585516163</v>
      </c>
      <c r="N561" s="2">
        <f t="shared" ref="N561" si="452">$K561</f>
        <v>116466.04417459</v>
      </c>
      <c r="O561" s="23">
        <f t="shared" ref="O561" si="453">$L561+$S561</f>
        <v>-60.987081377085218</v>
      </c>
      <c r="P561" s="1">
        <f t="shared" si="421"/>
        <v>-70.23325286418752</v>
      </c>
      <c r="Q561" s="1">
        <f>(Q$562-Q$560)/($N$562-$N$560)*($N561-$N$560)+Q$560</f>
        <v>-13.156585516162378</v>
      </c>
      <c r="R561">
        <f t="shared" si="445"/>
        <v>0</v>
      </c>
      <c r="S561" s="23">
        <f>(S$562-S$560)/($N$562-$N$560)*($N561-$N$560)+S$560</f>
        <v>9.0129186229147802</v>
      </c>
      <c r="T561">
        <f>$S561+測地線補正!$Q$26*(lattice!$N561/1000)^3+測地線補正!$P$26*(lattice!$N561/1000)^2+測地線補正!$O$26*(lattice!$N561/1000)+測地線補正!$N$26</f>
        <v>-0.23325286418751667</v>
      </c>
      <c r="U561">
        <f t="shared" ref="U561:U562" si="454">-ATAN(($P$562-$P$560)/ABS($N$562-$N$560))</f>
        <v>-1.3299605120800507E-3</v>
      </c>
      <c r="V561">
        <v>0</v>
      </c>
      <c r="W561">
        <f t="shared" ref="W561:W562" si="455">ATAN(($M$562-$M$560)/ABS($N$562-$N$560))</f>
        <v>2.8475133826023739E-4</v>
      </c>
      <c r="X561">
        <f>$Z$561-($Y$561+$Y$558)/2</f>
        <v>150.10144030927444</v>
      </c>
      <c r="Y561">
        <f>_xlfn.XLOOKUP($F561,設計座標!$E$13:$E$2301,設計座標!$L$13:$L$2301," ",0,1)</f>
        <v>100</v>
      </c>
      <c r="Z561">
        <f>SQRT(($M$561-$M$558)^2+($N$561-$N$558)^2)</f>
        <v>250.10144030927444</v>
      </c>
      <c r="AA561">
        <f>_xlfn.XLOOKUP($G561,magnet_list!$A$2:$A$592,magnet_list!$AJ$2:$AJ$592,"n/a",0,1)</f>
        <v>0.1415265</v>
      </c>
      <c r="AB561">
        <f>_xlfn.XLOOKUP($G561,magnet_list!$A$2:$A$592,magnet_list!$L$2:$L$592,"n/a",0,1)</f>
        <v>44</v>
      </c>
    </row>
    <row r="562" spans="1:28">
      <c r="A562" t="s">
        <v>797</v>
      </c>
      <c r="B562" t="s">
        <v>3812</v>
      </c>
      <c r="C562" t="s">
        <v>805</v>
      </c>
      <c r="D562" t="s">
        <v>806</v>
      </c>
      <c r="F562" t="s">
        <v>105</v>
      </c>
      <c r="G562" t="s">
        <v>2460</v>
      </c>
      <c r="I562">
        <f>_xlfn.XLOOKUP($F562,設計座標!$E$13:$E$2301,設計座標!$G$13:$G$2301,"n/a",0,1)</f>
        <v>148.03600694305891</v>
      </c>
      <c r="J562">
        <f>_xlfn.XLOOKUP($F562,設計座標!$E$13:$E$2301,設計座標!$H$13:$H$2301,"n/a",0,1)</f>
        <v>-15000</v>
      </c>
      <c r="K562">
        <f>_xlfn.XLOOKUP($F562,設計座標!$E$13:$E$2301,設計座標!$I$13:$I$2301,"n/a",0,1)</f>
        <v>116426.05052285</v>
      </c>
      <c r="L562">
        <f>_xlfn.XLOOKUP($F562,設計座標!$E$13:$E$2301,設計座標!$J$13:$J$2301,"n/a",0,1)</f>
        <v>-70</v>
      </c>
      <c r="M562" s="2">
        <f>_xlfn.XLOOKUP($F562,survey_data!$A$2:$A$833,survey_data!$B$2:$B$833,"n/a",0,1)</f>
        <v>-15013.14519727</v>
      </c>
      <c r="N562" s="2">
        <f>_xlfn.XLOOKUP($F562,survey_data!$A$2:$A$833,survey_data!$C$2:$C$833,"n/a",0,1)</f>
        <v>116426.05052285</v>
      </c>
      <c r="O562" s="23">
        <f>_xlfn.XLOOKUP($F562,survey_data!$A$2:$A$833,survey_data!$D$2:$D$833,"n/a",0,1)</f>
        <v>-60.937464130000002</v>
      </c>
      <c r="P562" s="1">
        <f t="shared" si="421"/>
        <v>-70.180063184980497</v>
      </c>
      <c r="Q562" s="1">
        <f t="shared" si="447"/>
        <v>-13.145197269999699</v>
      </c>
      <c r="R562">
        <f t="shared" si="445"/>
        <v>0</v>
      </c>
      <c r="S562" s="23">
        <f t="shared" si="448"/>
        <v>9.0625358699999978</v>
      </c>
      <c r="T562">
        <f>$S562+測地線補正!$Q$26*(lattice!$N562/1000)^3+測地線補正!$P$26*(lattice!$N562/1000)^2+測地線補正!$O$26*(lattice!$N562/1000)+測地線補正!$N$26</f>
        <v>-0.18006318498049656</v>
      </c>
      <c r="U562">
        <f t="shared" si="454"/>
        <v>-1.3299605120800507E-3</v>
      </c>
      <c r="V562">
        <v>0</v>
      </c>
      <c r="W562">
        <f t="shared" si="455"/>
        <v>2.8475133826023739E-4</v>
      </c>
      <c r="X562">
        <f>$Z$561-($Y$561+$Y$558)/2</f>
        <v>150.10144030927444</v>
      </c>
      <c r="Y562">
        <f>_xlfn.XLOOKUP($F562,設計座標!$E$13:$E$2301,設計座標!$L$13:$L$2301," ",0,1)</f>
        <v>100</v>
      </c>
      <c r="Z562">
        <f>SQRT(($M$561-$M$558)^2+($N$561-$N$558)^2)</f>
        <v>250.10144030927444</v>
      </c>
      <c r="AA562">
        <f>_xlfn.XLOOKUP($G562,magnet_list!$A$2:$A$592,magnet_list!$AJ$2:$AJ$592,"n/a",0,1)</f>
        <v>0.1415265</v>
      </c>
      <c r="AB562">
        <f>_xlfn.XLOOKUP($G562,magnet_list!$A$2:$A$592,magnet_list!$L$2:$L$592,"n/a",0,1)</f>
        <v>44</v>
      </c>
    </row>
    <row r="563" spans="1:28">
      <c r="A563" t="s">
        <v>797</v>
      </c>
      <c r="B563" t="s">
        <v>3812</v>
      </c>
      <c r="C563" t="s">
        <v>805</v>
      </c>
      <c r="D563" t="s">
        <v>806</v>
      </c>
      <c r="F563" t="s">
        <v>106</v>
      </c>
      <c r="G563" t="s">
        <v>2461</v>
      </c>
      <c r="I563">
        <f>_xlfn.XLOOKUP($F563,設計座標!$E$13:$E$2301,設計座標!$G$13:$G$2301,"n/a",0,1)</f>
        <v>148.31383776136892</v>
      </c>
      <c r="J563">
        <f>_xlfn.XLOOKUP($F563,設計座標!$E$13:$E$2301,設計座標!$H$13:$H$2301,"n/a",0,1)</f>
        <v>-15000</v>
      </c>
      <c r="K563">
        <f>_xlfn.XLOOKUP($F563,設計座標!$E$13:$E$2301,設計座標!$I$13:$I$2301,"n/a",0,1)</f>
        <v>116148.21970454</v>
      </c>
      <c r="L563">
        <f>_xlfn.XLOOKUP($F563,設計座標!$E$13:$E$2301,設計座標!$J$13:$J$2301,"n/a",0,1)</f>
        <v>35</v>
      </c>
      <c r="M563" s="2">
        <f>_xlfn.XLOOKUP($F563,survey_data!$A$2:$A$833,survey_data!$B$2:$B$833,"n/a",0,1)</f>
        <v>-15013.078972060001</v>
      </c>
      <c r="N563" s="2">
        <f>_xlfn.XLOOKUP($F563,survey_data!$A$2:$A$833,survey_data!$C$2:$C$833,"n/a",0,1)</f>
        <v>116148.21970454</v>
      </c>
      <c r="O563" s="23">
        <f>_xlfn.XLOOKUP($F563,survey_data!$A$2:$A$833,survey_data!$D$2:$D$833,"n/a",0,1)</f>
        <v>44.089320780000001</v>
      </c>
      <c r="P563" s="1">
        <f t="shared" si="421"/>
        <v>34.871520762854466</v>
      </c>
      <c r="Q563" s="1">
        <f t="shared" si="447"/>
        <v>-13.078972060000524</v>
      </c>
      <c r="R563">
        <f t="shared" si="445"/>
        <v>0</v>
      </c>
      <c r="S563" s="23">
        <f t="shared" si="448"/>
        <v>9.0893207800000013</v>
      </c>
      <c r="T563">
        <f>$S563+測地線補正!$Q$26*(lattice!$N563/1000)^3+測地線補正!$P$26*(lattice!$N563/1000)^2+測地線補正!$O$26*(lattice!$N563/1000)+測地線補正!$N$26</f>
        <v>-0.12847923714553233</v>
      </c>
      <c r="U563">
        <f>-ATAN(($P$565-$P$563)/ABS($N$565-$N$563))</f>
        <v>-1.0656992441297571E-4</v>
      </c>
      <c r="V563">
        <v>0</v>
      </c>
      <c r="W563">
        <f>ATAN(($M$565-$M$563)/ABS($N$565-$N$563))</f>
        <v>1.2930729874231241E-3</v>
      </c>
      <c r="X563">
        <f>$Z$564-($Y$564+$Y$561)/2</f>
        <v>193.32450908805475</v>
      </c>
      <c r="Y563">
        <f>_xlfn.XLOOKUP($F563,設計座標!$E$13:$E$2301,設計座標!$L$13:$L$2301," ",0,1)</f>
        <v>300</v>
      </c>
      <c r="Z563">
        <f>SQRT(($M$564-$M$561)^2+($N$564-$N$561)^2)</f>
        <v>393.32450908805475</v>
      </c>
      <c r="AA563">
        <f>_xlfn.XLOOKUP($G563,magnet_list!$A$2:$A$592,magnet_list!$AJ$2:$AJ$592,"n/a",0,1)</f>
        <v>0.3231</v>
      </c>
      <c r="AB563">
        <f>_xlfn.XLOOKUP($G563,magnet_list!$A$2:$A$592,magnet_list!$L$2:$L$592,"n/a",0,1)</f>
        <v>44</v>
      </c>
    </row>
    <row r="564" spans="1:28">
      <c r="A564" t="s">
        <v>797</v>
      </c>
      <c r="B564" t="s">
        <v>3812</v>
      </c>
      <c r="C564" t="s">
        <v>805</v>
      </c>
      <c r="D564" t="s">
        <v>1152</v>
      </c>
      <c r="E564" t="s">
        <v>804</v>
      </c>
      <c r="F564" t="s">
        <v>595</v>
      </c>
      <c r="G564" t="s">
        <v>2461</v>
      </c>
      <c r="I564">
        <f>_xlfn.XLOOKUP($F564,設計座標!$E$13:$E$2301,設計座標!$G$13:$G$2301,"n/a",0,1)</f>
        <v>148.38933776136892</v>
      </c>
      <c r="J564">
        <f>_xlfn.XLOOKUP($F564,設計座標!$E$13:$E$2301,設計座標!$H$13:$H$2301,"n/a",0,1)</f>
        <v>-15000</v>
      </c>
      <c r="K564">
        <f>_xlfn.XLOOKUP($F564,設計座標!$E$13:$E$2301,設計座標!$I$13:$I$2301,"n/a",0,1)</f>
        <v>116072.71970454</v>
      </c>
      <c r="L564">
        <f>_xlfn.XLOOKUP($F564,設計座標!$E$13:$E$2301,設計座標!$J$13:$J$2301,"n/a",0,1)</f>
        <v>35</v>
      </c>
      <c r="M564" s="2">
        <f t="shared" ref="M564:M573" si="456">$J564+$Q564</f>
        <v>-15012.981344995038</v>
      </c>
      <c r="N564" s="2">
        <f t="shared" ref="N564:N573" si="457">$K564</f>
        <v>116072.71970454</v>
      </c>
      <c r="O564" s="23">
        <f t="shared" ref="O564:O573" si="458">$L564+$S564</f>
        <v>44.090634371265097</v>
      </c>
      <c r="P564" s="1">
        <f t="shared" si="421"/>
        <v>34.879567950595614</v>
      </c>
      <c r="Q564" s="1">
        <f>(Q$565-Q$563)/($N$565-$N$563)*($N564-$N$563)+Q$563</f>
        <v>-12.981344995038025</v>
      </c>
      <c r="R564">
        <f t="shared" si="445"/>
        <v>0</v>
      </c>
      <c r="S564" s="23">
        <f>(S$565-S$563)/($N$565-$N$563)*($N564-$N$563)+S$563</f>
        <v>9.0906343712650948</v>
      </c>
      <c r="T564">
        <f>$S564+測地線補正!$Q$26*(lattice!$N564/1000)^3+測地線補正!$P$26*(lattice!$N564/1000)^2+測地線補正!$O$26*(lattice!$N564/1000)+測地線補正!$N$26</f>
        <v>-0.12043204940438668</v>
      </c>
      <c r="U564">
        <f t="shared" ref="U564:U565" si="459">-ATAN(($P$565-$P$563)/ABS($N$565-$N$563))</f>
        <v>-1.0656992441297571E-4</v>
      </c>
      <c r="V564">
        <v>0</v>
      </c>
      <c r="W564">
        <f t="shared" ref="W564:W565" si="460">ATAN(($M$565-$M$563)/ABS($N$565-$N$563))</f>
        <v>1.2930729874231241E-3</v>
      </c>
      <c r="X564">
        <f>$Z$564-($Y$564+$Y$561)/2</f>
        <v>193.32450908805475</v>
      </c>
      <c r="Y564">
        <f>_xlfn.XLOOKUP($F564,設計座標!$E$13:$E$2301,設計座標!$L$13:$L$2301," ",0,1)</f>
        <v>300</v>
      </c>
      <c r="Z564">
        <f>SQRT(($M$564-$M$561)^2+($N$564-$N$561)^2)</f>
        <v>393.32450908805475</v>
      </c>
      <c r="AA564">
        <f>_xlfn.XLOOKUP($G564,magnet_list!$A$2:$A$592,magnet_list!$AJ$2:$AJ$592,"n/a",0,1)</f>
        <v>0.3231</v>
      </c>
      <c r="AB564">
        <f>_xlfn.XLOOKUP($G564,magnet_list!$A$2:$A$592,magnet_list!$L$2:$L$592,"n/a",0,1)</f>
        <v>44</v>
      </c>
    </row>
    <row r="565" spans="1:28">
      <c r="A565" t="s">
        <v>797</v>
      </c>
      <c r="B565" t="s">
        <v>3812</v>
      </c>
      <c r="C565" t="s">
        <v>805</v>
      </c>
      <c r="D565" t="s">
        <v>806</v>
      </c>
      <c r="F565" t="s">
        <v>107</v>
      </c>
      <c r="G565" t="s">
        <v>2461</v>
      </c>
      <c r="I565">
        <f>_xlfn.XLOOKUP($F565,設計座標!$E$13:$E$2301,設計座標!$G$13:$G$2301,"n/a",0,1)</f>
        <v>148.4638427060089</v>
      </c>
      <c r="J565">
        <f>_xlfn.XLOOKUP($F565,設計座標!$E$13:$E$2301,設計座標!$H$13:$H$2301,"n/a",0,1)</f>
        <v>-15000</v>
      </c>
      <c r="K565">
        <f>_xlfn.XLOOKUP($F565,設計座標!$E$13:$E$2301,設計座標!$I$13:$I$2301,"n/a",0,1)</f>
        <v>115998.2147599</v>
      </c>
      <c r="L565">
        <f>_xlfn.XLOOKUP($F565,設計座標!$E$13:$E$2301,設計座標!$J$13:$J$2301,"n/a",0,1)</f>
        <v>35</v>
      </c>
      <c r="M565" s="2">
        <f>_xlfn.XLOOKUP($F565,survey_data!$A$2:$A$833,survey_data!$B$2:$B$833,"n/a",0,1)</f>
        <v>-15012.88500461</v>
      </c>
      <c r="N565" s="2">
        <f>_xlfn.XLOOKUP($F565,survey_data!$A$2:$A$833,survey_data!$C$2:$C$833,"n/a",0,1)</f>
        <v>115998.2147599</v>
      </c>
      <c r="O565" s="23">
        <f>_xlfn.XLOOKUP($F565,survey_data!$A$2:$A$833,survey_data!$D$2:$D$833,"n/a",0,1)</f>
        <v>44.091930650000002</v>
      </c>
      <c r="P565" s="1">
        <f t="shared" si="421"/>
        <v>34.887506778526841</v>
      </c>
      <c r="Q565" s="1">
        <f t="shared" si="447"/>
        <v>-12.885004609999669</v>
      </c>
      <c r="R565">
        <f t="shared" si="445"/>
        <v>0</v>
      </c>
      <c r="S565" s="23">
        <f t="shared" si="448"/>
        <v>9.0919306500000019</v>
      </c>
      <c r="T565">
        <f>$S565+測地線補正!$Q$26*(lattice!$N565/1000)^3+測地線補正!$P$26*(lattice!$N565/1000)^2+測地線補正!$O$26*(lattice!$N565/1000)+測地線補正!$N$26</f>
        <v>-0.1124932214731571</v>
      </c>
      <c r="U565">
        <f t="shared" si="459"/>
        <v>-1.0656992441297571E-4</v>
      </c>
      <c r="V565">
        <v>0</v>
      </c>
      <c r="W565">
        <f t="shared" si="460"/>
        <v>1.2930729874231241E-3</v>
      </c>
      <c r="X565">
        <f>$Z$564-($Y$564+$Y$561)/2</f>
        <v>193.32450908805475</v>
      </c>
      <c r="Y565">
        <f>_xlfn.XLOOKUP($F565,設計座標!$E$13:$E$2301,設計座標!$L$13:$L$2301," ",0,1)</f>
        <v>300</v>
      </c>
      <c r="Z565">
        <f>SQRT(($M$564-$M$561)^2+($N$564-$N$561)^2)</f>
        <v>393.32450908805475</v>
      </c>
      <c r="AA565">
        <f>_xlfn.XLOOKUP($G565,magnet_list!$A$2:$A$592,magnet_list!$AJ$2:$AJ$592,"n/a",0,1)</f>
        <v>0.3231</v>
      </c>
      <c r="AB565">
        <f>_xlfn.XLOOKUP($G565,magnet_list!$A$2:$A$592,magnet_list!$L$2:$L$592,"n/a",0,1)</f>
        <v>44</v>
      </c>
    </row>
    <row r="566" spans="1:28">
      <c r="A566" t="s">
        <v>797</v>
      </c>
      <c r="B566" t="s">
        <v>3812</v>
      </c>
      <c r="C566" t="s">
        <v>1152</v>
      </c>
      <c r="D566" t="s">
        <v>1152</v>
      </c>
      <c r="E566" t="s">
        <v>804</v>
      </c>
      <c r="F566" t="s">
        <v>2006</v>
      </c>
      <c r="G566" t="s">
        <v>2006</v>
      </c>
      <c r="I566">
        <f>_xlfn.XLOOKUP($F566,設計座標!$E$13:$E$2301,設計座標!$G$13:$G$2301,"n/a",0,1)</f>
        <v>148.69183776136893</v>
      </c>
      <c r="J566">
        <f>_xlfn.XLOOKUP($F566,設計座標!$E$13:$E$2301,設計座標!$H$13:$H$2301,"n/a",0,1)</f>
        <v>-15000</v>
      </c>
      <c r="K566">
        <f>_xlfn.XLOOKUP($F566,設計座標!$E$13:$E$2301,設計座標!$I$13:$I$2301,"n/a",0,1)</f>
        <v>115770.21970454</v>
      </c>
      <c r="L566">
        <f>_xlfn.XLOOKUP($F566,設計座標!$E$13:$E$2301,設計座標!$J$13:$J$2301,"n/a",0,1)</f>
        <v>-270</v>
      </c>
      <c r="M566" s="2">
        <f t="shared" si="456"/>
        <v>-15012.944603526748</v>
      </c>
      <c r="N566" s="2">
        <f t="shared" si="457"/>
        <v>115770.21970454</v>
      </c>
      <c r="O566" s="23">
        <f t="shared" si="458"/>
        <v>-260.8939109619534</v>
      </c>
      <c r="P566" s="1">
        <f t="shared" si="421"/>
        <v>-270.07802194762212</v>
      </c>
      <c r="Q566" s="1">
        <f>(Q$567-Q$565)/($N$567-$N$565)*($N566-$N$565)+Q$565</f>
        <v>-12.944603526747947</v>
      </c>
      <c r="R566">
        <f t="shared" si="445"/>
        <v>0</v>
      </c>
      <c r="S566" s="23">
        <f>(S$567-S$565)/($N$567-$N$565)*($N566-$N$565)+S$565</f>
        <v>9.1060890380466031</v>
      </c>
      <c r="T566">
        <f>$S566+測地線補正!$Q$26*(lattice!$N566/1000)^3+測地線補正!$P$26*(lattice!$N566/1000)^2+測地線補正!$O$26*(lattice!$N566/1000)+測地線補正!$N$26</f>
        <v>-7.8021947622122889E-2</v>
      </c>
      <c r="U566">
        <v>0</v>
      </c>
      <c r="V566">
        <v>0</v>
      </c>
      <c r="W566">
        <v>0</v>
      </c>
      <c r="X566">
        <f>$Z$566-($Y$566+$Y$564)/2</f>
        <v>152.50000223129831</v>
      </c>
      <c r="Y566">
        <f>_xlfn.XLOOKUP($F566,設計座標!$E$13:$E$2301,設計座標!$L$13:$L$2301," ",0,1)</f>
        <v>0</v>
      </c>
      <c r="Z566">
        <f>SQRT(($M$566-$M$564)^2+($N$566-$N$564)^2)</f>
        <v>302.50000223129831</v>
      </c>
    </row>
    <row r="567" spans="1:28">
      <c r="A567" t="s">
        <v>797</v>
      </c>
      <c r="B567" t="s">
        <v>3812</v>
      </c>
      <c r="C567" t="s">
        <v>805</v>
      </c>
      <c r="D567" t="s">
        <v>806</v>
      </c>
      <c r="F567" t="s">
        <v>108</v>
      </c>
      <c r="G567" t="s">
        <v>2462</v>
      </c>
      <c r="I567">
        <f>_xlfn.XLOOKUP($F567,設計座標!$E$13:$E$2301,設計座標!$G$13:$G$2301,"n/a",0,1)</f>
        <v>148.85878846604894</v>
      </c>
      <c r="J567">
        <f>_xlfn.XLOOKUP($F567,設計座標!$E$13:$E$2301,設計座標!$H$13:$H$2301,"n/a",0,1)</f>
        <v>-15000</v>
      </c>
      <c r="K567">
        <f>_xlfn.XLOOKUP($F567,設計座標!$E$13:$E$2301,設計座標!$I$13:$I$2301,"n/a",0,1)</f>
        <v>115603.26899986</v>
      </c>
      <c r="L567">
        <f>_xlfn.XLOOKUP($F567,設計座標!$E$13:$E$2301,設計座標!$J$13:$J$2301,"n/a",0,1)</f>
        <v>35</v>
      </c>
      <c r="M567" s="2">
        <f>_xlfn.XLOOKUP($F567,survey_data!$A$2:$A$833,survey_data!$B$2:$B$833,"n/a",0,1)</f>
        <v>-15012.98824518</v>
      </c>
      <c r="N567" s="2">
        <f>_xlfn.XLOOKUP($F567,survey_data!$A$2:$A$833,survey_data!$C$2:$C$833,"n/a",0,1)</f>
        <v>115603.26899986</v>
      </c>
      <c r="O567" s="23">
        <f>_xlfn.XLOOKUP($F567,survey_data!$A$2:$A$833,survey_data!$D$2:$D$833,"n/a",0,1)</f>
        <v>44.116456599999999</v>
      </c>
      <c r="P567" s="1">
        <f t="shared" si="421"/>
        <v>34.94720627190879</v>
      </c>
      <c r="Q567" s="1">
        <f t="shared" si="447"/>
        <v>-12.988245180000376</v>
      </c>
      <c r="R567">
        <f t="shared" si="445"/>
        <v>0</v>
      </c>
      <c r="S567" s="23">
        <f t="shared" si="448"/>
        <v>9.1164565999999994</v>
      </c>
      <c r="T567">
        <f>$S567+測地線補正!$Q$26*(lattice!$N567/1000)^3+測地線補正!$P$26*(lattice!$N567/1000)^2+測地線補正!$O$26*(lattice!$N567/1000)+測地線補正!$N$26</f>
        <v>-5.2793728091207415E-2</v>
      </c>
      <c r="U567">
        <f>-ATAN(($P$569-$P$567)/ABS($N$569-$N$567))</f>
        <v>-8.7551679289288836E-6</v>
      </c>
      <c r="V567">
        <v>0</v>
      </c>
      <c r="W567">
        <f>ATAN(($M$569-$M$567)/ABS($N$569-$N$567))</f>
        <v>6.3008794733705937E-4</v>
      </c>
      <c r="X567">
        <f>$Z$568-($Y$568+$Y$566)/2</f>
        <v>91.469662992701842</v>
      </c>
      <c r="Y567">
        <f>_xlfn.XLOOKUP($F567,設計座標!$E$13:$E$2301,設計座標!$L$13:$L$2301," ",0,1)</f>
        <v>300</v>
      </c>
      <c r="Z567">
        <f>SQRT(($M$568-$M$566)^2+($N$568-$N$566)^2)</f>
        <v>241.46966299270184</v>
      </c>
      <c r="AA567">
        <f>_xlfn.XLOOKUP($G567,magnet_list!$A$2:$A$592,magnet_list!$AJ$2:$AJ$592,"n/a",0,1)</f>
        <v>0.3231</v>
      </c>
      <c r="AB567">
        <f>_xlfn.XLOOKUP($G567,magnet_list!$A$2:$A$592,magnet_list!$L$2:$L$592,"n/a",0,1)</f>
        <v>44</v>
      </c>
    </row>
    <row r="568" spans="1:28">
      <c r="A568" t="s">
        <v>797</v>
      </c>
      <c r="B568" t="s">
        <v>3812</v>
      </c>
      <c r="C568" t="s">
        <v>805</v>
      </c>
      <c r="D568" t="s">
        <v>1152</v>
      </c>
      <c r="E568" t="s">
        <v>804</v>
      </c>
      <c r="F568" t="s">
        <v>596</v>
      </c>
      <c r="G568" t="s">
        <v>2462</v>
      </c>
      <c r="I568">
        <f>_xlfn.XLOOKUP($F568,設計座標!$E$13:$E$2301,設計座標!$G$13:$G$2301,"n/a",0,1)</f>
        <v>148.93330742433892</v>
      </c>
      <c r="J568">
        <f>_xlfn.XLOOKUP($F568,設計座標!$E$13:$E$2301,設計座標!$H$13:$H$2301,"n/a",0,1)</f>
        <v>-15000</v>
      </c>
      <c r="K568">
        <f>_xlfn.XLOOKUP($F568,設計座標!$E$13:$E$2301,設計座標!$I$13:$I$2301,"n/a",0,1)</f>
        <v>115528.75004157001</v>
      </c>
      <c r="L568">
        <f>_xlfn.XLOOKUP($F568,設計座標!$E$13:$E$2301,設計座標!$J$13:$J$2301,"n/a",0,1)</f>
        <v>35</v>
      </c>
      <c r="M568" s="2">
        <f t="shared" si="456"/>
        <v>-15012.941291676319</v>
      </c>
      <c r="N568" s="2">
        <f t="shared" si="457"/>
        <v>115528.75004157001</v>
      </c>
      <c r="O568" s="23">
        <f t="shared" si="458"/>
        <v>44.110480785782016</v>
      </c>
      <c r="P568" s="1">
        <f t="shared" si="421"/>
        <v>34.947859855290673</v>
      </c>
      <c r="Q568" s="1">
        <f>(Q$569-Q$567)/($N$569-$N$567)*($N568-$N$567)+Q$567</f>
        <v>-12.941291676320057</v>
      </c>
      <c r="R568">
        <f t="shared" si="445"/>
        <v>0</v>
      </c>
      <c r="S568" s="23">
        <f>(S$569-S$567)/($N$569-$N$567)*($N568-$N$567)+S$567</f>
        <v>9.110480785782018</v>
      </c>
      <c r="T568">
        <f>$S568+測地線補正!$Q$26*(lattice!$N568/1000)^3+測地線補正!$P$26*(lattice!$N568/1000)^2+測地線補正!$O$26*(lattice!$N568/1000)+測地線補正!$N$26</f>
        <v>-5.2140144709328817E-2</v>
      </c>
      <c r="U568">
        <f t="shared" ref="U568:U569" si="461">-ATAN(($P$569-$P$567)/ABS($N$569-$N$567))</f>
        <v>-8.7551679289288836E-6</v>
      </c>
      <c r="V568">
        <v>0</v>
      </c>
      <c r="W568">
        <f t="shared" ref="W568:W569" si="462">ATAN(($M$569-$M$567)/ABS($N$569-$N$567))</f>
        <v>6.3008794733705937E-4</v>
      </c>
      <c r="X568">
        <f>$Z$568-($Y$568+$Y$566)/2</f>
        <v>91.469662992701842</v>
      </c>
      <c r="Y568">
        <f>_xlfn.XLOOKUP($F568,設計座標!$E$13:$E$2301,設計座標!$L$13:$L$2301," ",0,1)</f>
        <v>300</v>
      </c>
      <c r="Z568">
        <f>SQRT(($M$568-$M$566)^2+($N$568-$N$566)^2)</f>
        <v>241.46966299270184</v>
      </c>
      <c r="AA568">
        <f>_xlfn.XLOOKUP($G568,magnet_list!$A$2:$A$592,magnet_list!$AJ$2:$AJ$592,"n/a",0,1)</f>
        <v>0.3231</v>
      </c>
      <c r="AB568">
        <f>_xlfn.XLOOKUP($G568,magnet_list!$A$2:$A$592,magnet_list!$L$2:$L$592,"n/a",0,1)</f>
        <v>44</v>
      </c>
    </row>
    <row r="569" spans="1:28">
      <c r="A569" t="s">
        <v>797</v>
      </c>
      <c r="B569" t="s">
        <v>3812</v>
      </c>
      <c r="C569" t="s">
        <v>805</v>
      </c>
      <c r="D569" t="s">
        <v>806</v>
      </c>
      <c r="F569" t="s">
        <v>109</v>
      </c>
      <c r="G569" t="s">
        <v>2462</v>
      </c>
      <c r="I569">
        <f>_xlfn.XLOOKUP($F569,設計座標!$E$13:$E$2301,設計座標!$G$13:$G$2301,"n/a",0,1)</f>
        <v>149.00880742433893</v>
      </c>
      <c r="J569">
        <f>_xlfn.XLOOKUP($F569,設計座標!$E$13:$E$2301,設計座標!$H$13:$H$2301,"n/a",0,1)</f>
        <v>-15000</v>
      </c>
      <c r="K569">
        <f>_xlfn.XLOOKUP($F569,設計座標!$E$13:$E$2301,設計座標!$I$13:$I$2301,"n/a",0,1)</f>
        <v>115453.25004157001</v>
      </c>
      <c r="L569">
        <f>_xlfn.XLOOKUP($F569,設計座標!$E$13:$E$2301,設計座標!$J$13:$J$2301,"n/a",0,1)</f>
        <v>35</v>
      </c>
      <c r="M569" s="2">
        <f>_xlfn.XLOOKUP($F569,survey_data!$A$2:$A$833,survey_data!$B$2:$B$833,"n/a",0,1)</f>
        <v>-15012.893720030001</v>
      </c>
      <c r="N569" s="2">
        <f>_xlfn.XLOOKUP($F569,survey_data!$A$2:$A$833,survey_data!$C$2:$C$833,"n/a",0,1)</f>
        <v>115453.25004157001</v>
      </c>
      <c r="O569" s="23">
        <f>_xlfn.XLOOKUP($F569,survey_data!$A$2:$A$833,survey_data!$D$2:$D$833,"n/a",0,1)</f>
        <v>44.1044263</v>
      </c>
      <c r="P569" s="1">
        <f t="shared" si="421"/>
        <v>34.948519713081176</v>
      </c>
      <c r="Q569" s="1">
        <f t="shared" si="447"/>
        <v>-12.893720030000623</v>
      </c>
      <c r="R569">
        <f t="shared" si="445"/>
        <v>0</v>
      </c>
      <c r="S569" s="23">
        <f t="shared" si="448"/>
        <v>9.1044263000000001</v>
      </c>
      <c r="T569">
        <f>$S569+測地線補正!$Q$26*(lattice!$N569/1000)^3+測地線補正!$P$26*(lattice!$N569/1000)^2+測地線補正!$O$26*(lattice!$N569/1000)+測地線補正!$N$26</f>
        <v>-5.1480286918827334E-2</v>
      </c>
      <c r="U569">
        <f t="shared" si="461"/>
        <v>-8.7551679289288836E-6</v>
      </c>
      <c r="V569">
        <v>0</v>
      </c>
      <c r="W569">
        <f t="shared" si="462"/>
        <v>6.3008794733705937E-4</v>
      </c>
      <c r="X569">
        <f>$Z$568-($Y$568+$Y$566)/2</f>
        <v>91.469662992701842</v>
      </c>
      <c r="Y569">
        <f>_xlfn.XLOOKUP($F569,設計座標!$E$13:$E$2301,設計座標!$L$13:$L$2301," ",0,1)</f>
        <v>300</v>
      </c>
      <c r="Z569">
        <f>SQRT(($M$568-$M$566)^2+($N$568-$N$566)^2)</f>
        <v>241.46966299270184</v>
      </c>
      <c r="AA569">
        <f>_xlfn.XLOOKUP($G569,magnet_list!$A$2:$A$592,magnet_list!$AJ$2:$AJ$592,"n/a",0,1)</f>
        <v>0.3231</v>
      </c>
      <c r="AB569">
        <f>_xlfn.XLOOKUP($G569,magnet_list!$A$2:$A$592,magnet_list!$L$2:$L$592,"n/a",0,1)</f>
        <v>44</v>
      </c>
    </row>
    <row r="570" spans="1:28">
      <c r="A570" t="s">
        <v>797</v>
      </c>
      <c r="B570" t="s">
        <v>3812</v>
      </c>
      <c r="C570" t="s">
        <v>1152</v>
      </c>
      <c r="D570" t="s">
        <v>1152</v>
      </c>
      <c r="E570" t="s">
        <v>804</v>
      </c>
      <c r="F570" t="s">
        <v>2007</v>
      </c>
      <c r="G570" t="s">
        <v>2007</v>
      </c>
      <c r="I570">
        <f>_xlfn.XLOOKUP($F570,設計座標!$E$13:$E$2301,設計座標!$G$13:$G$2301,"n/a",0,1)</f>
        <v>152.77683776136894</v>
      </c>
      <c r="J570">
        <f>_xlfn.XLOOKUP($F570,設計座標!$E$13:$E$2301,設計座標!$H$13:$H$2301,"n/a",0,1)</f>
        <v>-15000</v>
      </c>
      <c r="K570">
        <f>_xlfn.XLOOKUP($F570,設計座標!$E$13:$E$2301,設計座標!$I$13:$I$2301,"n/a",0,1)</f>
        <v>111685.21970454</v>
      </c>
      <c r="L570">
        <f>_xlfn.XLOOKUP($F570,設計座標!$E$13:$E$2301,設計座標!$J$13:$J$2301,"n/a",0,1)</f>
        <v>-270</v>
      </c>
      <c r="M570" s="2">
        <f t="shared" si="456"/>
        <v>-15012.521875867718</v>
      </c>
      <c r="N570" s="2">
        <f t="shared" si="457"/>
        <v>111685.21970454</v>
      </c>
      <c r="O570" s="23">
        <f t="shared" si="458"/>
        <v>-261.41812888131398</v>
      </c>
      <c r="P570" s="1">
        <f t="shared" si="421"/>
        <v>-270.24190968566512</v>
      </c>
      <c r="Q570" s="1">
        <f>(Q$572-Q$569)/($N$572-$N$569)*($N570-$N$569)+Q$569</f>
        <v>-12.521875867718133</v>
      </c>
      <c r="R570">
        <f t="shared" si="445"/>
        <v>0</v>
      </c>
      <c r="S570" s="23">
        <f t="shared" ref="S570:S571" si="463">(S$572-S$569)/($N$572-$N$569)*($N570-$N$569)+S$569</f>
        <v>8.5818711186860455</v>
      </c>
      <c r="T570">
        <f>$S570+測地線補正!$Q$26*(lattice!$N570/1000)^3+測地線補正!$P$26*(lattice!$N570/1000)^2+測地線補正!$O$26*(lattice!$N570/1000)+測地線補正!$N$26</f>
        <v>-0.2419096856651477</v>
      </c>
      <c r="U570">
        <v>0</v>
      </c>
      <c r="V570">
        <v>0</v>
      </c>
      <c r="W570">
        <v>0</v>
      </c>
      <c r="X570">
        <f>$Z$570-($Y$570+$Y$568)/2</f>
        <v>3693.5303599138697</v>
      </c>
      <c r="Y570">
        <f>_xlfn.XLOOKUP($F570,設計座標!$E$13:$E$2301,設計座標!$L$13:$L$2301," ",0,1)</f>
        <v>0</v>
      </c>
      <c r="Z570">
        <f>SQRT(($M$570-$M$568)^2+($N$570-$N$568)^2)</f>
        <v>3843.5303599138697</v>
      </c>
    </row>
    <row r="571" spans="1:28">
      <c r="A571" t="s">
        <v>797</v>
      </c>
      <c r="B571" t="s">
        <v>3812</v>
      </c>
      <c r="C571" t="s">
        <v>1152</v>
      </c>
      <c r="D571" t="s">
        <v>1152</v>
      </c>
      <c r="E571" t="s">
        <v>804</v>
      </c>
      <c r="F571" t="s">
        <v>2008</v>
      </c>
      <c r="G571" t="s">
        <v>2008</v>
      </c>
      <c r="I571">
        <f>_xlfn.XLOOKUP($F571,設計座標!$E$13:$E$2301,設計座標!$G$13:$G$2301,"n/a",0,1)</f>
        <v>152.86183776136895</v>
      </c>
      <c r="J571">
        <f>_xlfn.XLOOKUP($F571,設計座標!$E$13:$E$2301,設計座標!$H$13:$H$2301,"n/a",0,1)</f>
        <v>-15000</v>
      </c>
      <c r="K571">
        <f>_xlfn.XLOOKUP($F571,設計座標!$E$13:$E$2301,設計座標!$I$13:$I$2301,"n/a",0,1)</f>
        <v>111600.21970454</v>
      </c>
      <c r="L571">
        <f>_xlfn.XLOOKUP($F571,設計座標!$E$13:$E$2301,設計座標!$J$13:$J$2301,"n/a",0,1)</f>
        <v>-270</v>
      </c>
      <c r="M571" s="2">
        <f t="shared" si="456"/>
        <v>-15012.513487730956</v>
      </c>
      <c r="N571" s="2">
        <f t="shared" si="457"/>
        <v>111600.21970454</v>
      </c>
      <c r="O571" s="23">
        <f t="shared" si="458"/>
        <v>-261.42991678810841</v>
      </c>
      <c r="P571" s="1">
        <f t="shared" si="421"/>
        <v>-270.2462724554876</v>
      </c>
      <c r="Q571" s="1">
        <f>(Q$572-Q$569)/($N$572-$N$569)*($N571-$N$569)+Q$569</f>
        <v>-12.513487730955168</v>
      </c>
      <c r="R571">
        <f t="shared" si="445"/>
        <v>0</v>
      </c>
      <c r="S571" s="23">
        <f t="shared" si="463"/>
        <v>8.5700832118915642</v>
      </c>
      <c r="T571">
        <f>$S571+測地線補正!$Q$26*(lattice!$N571/1000)^3+測地線補正!$P$26*(lattice!$N571/1000)^2+測地線補正!$O$26*(lattice!$N571/1000)+測地線補正!$N$26</f>
        <v>-0.24627245548760723</v>
      </c>
      <c r="U571">
        <v>0</v>
      </c>
      <c r="V571">
        <v>0</v>
      </c>
      <c r="W571">
        <v>0</v>
      </c>
      <c r="X571">
        <f>$Z$571-($Y$571+$Y$570)/2</f>
        <v>85.000000413887278</v>
      </c>
      <c r="Y571">
        <f>_xlfn.XLOOKUP($F571,設計座標!$E$13:$E$2301,設計座標!$L$13:$L$2301," ",0,1)</f>
        <v>0</v>
      </c>
      <c r="Z571">
        <f>SQRT(($M$571-$M$570)^2+($N$571-$N$570)^2)</f>
        <v>85.000000413887278</v>
      </c>
    </row>
    <row r="572" spans="1:28">
      <c r="A572" t="s">
        <v>797</v>
      </c>
      <c r="B572" t="s">
        <v>3812</v>
      </c>
      <c r="C572" t="s">
        <v>805</v>
      </c>
      <c r="D572" t="s">
        <v>806</v>
      </c>
      <c r="F572" t="s">
        <v>110</v>
      </c>
      <c r="G572" t="s">
        <v>2463</v>
      </c>
      <c r="I572">
        <f>_xlfn.XLOOKUP($F572,設計座標!$E$13:$E$2301,設計座標!$G$13:$G$2301,"n/a",0,1)</f>
        <v>153.03022217391893</v>
      </c>
      <c r="J572">
        <f>_xlfn.XLOOKUP($F572,設計座標!$E$13:$E$2301,設計座標!$H$13:$H$2301,"n/a",0,1)</f>
        <v>-15000</v>
      </c>
      <c r="K572">
        <f>_xlfn.XLOOKUP($F572,設計座標!$E$13:$E$2301,設計座標!$I$13:$I$2301,"n/a",0,1)</f>
        <v>111431.83529199001</v>
      </c>
      <c r="L572">
        <f>_xlfn.XLOOKUP($F572,設計座標!$E$13:$E$2301,設計座標!$J$13:$J$2301,"n/a",0,1)</f>
        <v>35</v>
      </c>
      <c r="M572" s="2">
        <f>_xlfn.XLOOKUP($F572,survey_data!$A$2:$A$833,survey_data!$B$2:$B$833,"n/a",0,1)</f>
        <v>-15012.49687089</v>
      </c>
      <c r="N572" s="2">
        <f>_xlfn.XLOOKUP($F572,survey_data!$A$2:$A$833,survey_data!$C$2:$C$833,"n/a",0,1)</f>
        <v>111431.83529199001</v>
      </c>
      <c r="O572" s="23">
        <f>_xlfn.XLOOKUP($F572,survey_data!$A$2:$A$833,survey_data!$D$2:$D$833,"n/a",0,1)</f>
        <v>43.546731450000003</v>
      </c>
      <c r="P572" s="1">
        <f t="shared" si="421"/>
        <v>34.745076219328915</v>
      </c>
      <c r="Q572" s="1">
        <f t="shared" si="447"/>
        <v>-12.496870889999627</v>
      </c>
      <c r="R572">
        <f t="shared" si="445"/>
        <v>0</v>
      </c>
      <c r="S572" s="23">
        <f t="shared" si="448"/>
        <v>8.5467314500000029</v>
      </c>
      <c r="T572">
        <f>$S572+測地線補正!$Q$26*(lattice!$N572/1000)^3+測地線補正!$P$26*(lattice!$N572/1000)^2+測地線補正!$O$26*(lattice!$N572/1000)+測地線補正!$N$26</f>
        <v>-0.2549237806710869</v>
      </c>
      <c r="U572">
        <f>-ATAN(($P$574-$P$572)/ABS($N$574-$N$572))</f>
        <v>7.8120939817214182E-5</v>
      </c>
      <c r="V572">
        <v>0</v>
      </c>
      <c r="W572">
        <f>ATAN(($M$574-$M$572)/ABS($N$574-$N$572))</f>
        <v>2.2802932077857201E-4</v>
      </c>
      <c r="X572">
        <f>$Z$573-($Y$573+$Y$571)/2</f>
        <v>93.884414896747501</v>
      </c>
      <c r="Y572">
        <f>_xlfn.XLOOKUP($F572,設計座標!$E$13:$E$2301,設計座標!$L$13:$L$2301," ",0,1)</f>
        <v>300</v>
      </c>
      <c r="Z572">
        <f>SQRT(($M$573-$M$571)^2+($N$573-$N$571)^2)</f>
        <v>243.8844148967475</v>
      </c>
      <c r="AA572">
        <f>_xlfn.XLOOKUP($G572,magnet_list!$A$2:$A$592,magnet_list!$AJ$2:$AJ$592,"n/a",0,1)</f>
        <v>0.3231</v>
      </c>
      <c r="AB572">
        <f>_xlfn.XLOOKUP($G572,magnet_list!$A$2:$A$592,magnet_list!$L$2:$L$592,"n/a",0,1)</f>
        <v>44</v>
      </c>
    </row>
    <row r="573" spans="1:28">
      <c r="A573" t="s">
        <v>797</v>
      </c>
      <c r="B573" t="s">
        <v>3812</v>
      </c>
      <c r="C573" t="s">
        <v>805</v>
      </c>
      <c r="D573" t="s">
        <v>1152</v>
      </c>
      <c r="E573" t="s">
        <v>804</v>
      </c>
      <c r="F573" t="s">
        <v>597</v>
      </c>
      <c r="G573" t="s">
        <v>2463</v>
      </c>
      <c r="I573">
        <f>_xlfn.XLOOKUP($F573,設計座標!$E$13:$E$2301,設計座標!$G$13:$G$2301,"n/a",0,1)</f>
        <v>153.10572217391893</v>
      </c>
      <c r="J573">
        <f>_xlfn.XLOOKUP($F573,設計座標!$E$13:$E$2301,設計座標!$H$13:$H$2301,"n/a",0,1)</f>
        <v>-15000</v>
      </c>
      <c r="K573">
        <f>_xlfn.XLOOKUP($F573,設計座標!$E$13:$E$2301,設計座標!$I$13:$I$2301,"n/a",0,1)</f>
        <v>111356.33529199001</v>
      </c>
      <c r="L573">
        <f>_xlfn.XLOOKUP($F573,設計座標!$E$13:$E$2301,設計座標!$J$13:$J$2301,"n/a",0,1)</f>
        <v>35</v>
      </c>
      <c r="M573" s="2">
        <f t="shared" si="456"/>
        <v>-15012.479654675983</v>
      </c>
      <c r="N573" s="2">
        <f t="shared" si="457"/>
        <v>111356.33529199001</v>
      </c>
      <c r="O573" s="23">
        <f t="shared" si="458"/>
        <v>43.534246859655681</v>
      </c>
      <c r="P573" s="1">
        <f t="shared" si="421"/>
        <v>34.739179235672943</v>
      </c>
      <c r="Q573" s="1">
        <f>(Q$574-Q$572)/($N$574-$N$572)*($N573-$N$572)+Q$572</f>
        <v>-12.479654675982445</v>
      </c>
      <c r="R573">
        <f t="shared" si="445"/>
        <v>0</v>
      </c>
      <c r="S573" s="23">
        <f>(S$574-S$572)/($N$574-$N$572)*($N573-$N$572)+S$572</f>
        <v>8.5342468596556813</v>
      </c>
      <c r="T573">
        <f>$S573+測地線補正!$Q$26*(lattice!$N573/1000)^3+測地線補正!$P$26*(lattice!$N573/1000)^2+測地線補正!$O$26*(lattice!$N573/1000)+測地線補正!$N$26</f>
        <v>-0.2608207643270577</v>
      </c>
      <c r="U573">
        <f t="shared" ref="U573:U574" si="464">-ATAN(($P$574-$P$572)/ABS($N$574-$N$572))</f>
        <v>7.8120939817214182E-5</v>
      </c>
      <c r="V573">
        <v>0</v>
      </c>
      <c r="W573">
        <f t="shared" ref="W573:W574" si="465">ATAN(($M$574-$M$572)/ABS($N$574-$N$572))</f>
        <v>2.2802932077857201E-4</v>
      </c>
      <c r="X573">
        <f>$Z$573-($Y$573+$Y$571)/2</f>
        <v>93.884414896747501</v>
      </c>
      <c r="Y573">
        <f>_xlfn.XLOOKUP($F573,設計座標!$E$13:$E$2301,設計座標!$L$13:$L$2301," ",0,1)</f>
        <v>300</v>
      </c>
      <c r="Z573">
        <f>SQRT(($M$573-$M$571)^2+($N$573-$N$571)^2)</f>
        <v>243.8844148967475</v>
      </c>
      <c r="AA573">
        <f>_xlfn.XLOOKUP($G573,magnet_list!$A$2:$A$592,magnet_list!$AJ$2:$AJ$592,"n/a",0,1)</f>
        <v>0.3231</v>
      </c>
      <c r="AB573">
        <f>_xlfn.XLOOKUP($G573,magnet_list!$A$2:$A$592,magnet_list!$L$2:$L$592,"n/a",0,1)</f>
        <v>44</v>
      </c>
    </row>
    <row r="574" spans="1:28">
      <c r="A574" t="s">
        <v>797</v>
      </c>
      <c r="B574" t="s">
        <v>3812</v>
      </c>
      <c r="C574" t="s">
        <v>805</v>
      </c>
      <c r="D574" t="s">
        <v>806</v>
      </c>
      <c r="F574" t="s">
        <v>111</v>
      </c>
      <c r="G574" t="s">
        <v>2463</v>
      </c>
      <c r="I574">
        <f>_xlfn.XLOOKUP($F574,設計座標!$E$13:$E$2301,設計座標!$G$13:$G$2301,"n/a",0,1)</f>
        <v>153.18020722535894</v>
      </c>
      <c r="J574">
        <f>_xlfn.XLOOKUP($F574,設計座標!$E$13:$E$2301,設計座標!$H$13:$H$2301,"n/a",0,1)</f>
        <v>-15000</v>
      </c>
      <c r="K574">
        <f>_xlfn.XLOOKUP($F574,設計座標!$E$13:$E$2301,設計座標!$I$13:$I$2301,"n/a",0,1)</f>
        <v>111281.85024055</v>
      </c>
      <c r="L574">
        <f>_xlfn.XLOOKUP($F574,設計座標!$E$13:$E$2301,設計座標!$J$13:$J$2301,"n/a",0,1)</f>
        <v>35</v>
      </c>
      <c r="M574" s="2">
        <f>_xlfn.XLOOKUP($F574,survey_data!$A$2:$A$833,survey_data!$B$2:$B$833,"n/a",0,1)</f>
        <v>-15012.4626699</v>
      </c>
      <c r="N574" s="2">
        <f>_xlfn.XLOOKUP($F574,survey_data!$A$2:$A$833,survey_data!$C$2:$C$833,"n/a",0,1)</f>
        <v>111281.85024055</v>
      </c>
      <c r="O574" s="23">
        <f>_xlfn.XLOOKUP($F574,survey_data!$A$2:$A$833,survey_data!$D$2:$D$833,"n/a",0,1)</f>
        <v>43.521930099999999</v>
      </c>
      <c r="P574" s="1">
        <f t="shared" si="421"/>
        <v>34.733359246128053</v>
      </c>
      <c r="Q574" s="1">
        <f t="shared" si="447"/>
        <v>-12.462669900000037</v>
      </c>
      <c r="R574">
        <f t="shared" si="445"/>
        <v>0</v>
      </c>
      <c r="S574" s="23">
        <f t="shared" si="448"/>
        <v>8.5219300999999987</v>
      </c>
      <c r="T574">
        <f>$S574+測地線補正!$Q$26*(lattice!$N574/1000)^3+測地線補正!$P$26*(lattice!$N574/1000)^2+測地線補正!$O$26*(lattice!$N574/1000)+測地線補正!$N$26</f>
        <v>-0.26664075387194885</v>
      </c>
      <c r="U574">
        <f t="shared" si="464"/>
        <v>7.8120939817214182E-5</v>
      </c>
      <c r="V574">
        <v>0</v>
      </c>
      <c r="W574">
        <f t="shared" si="465"/>
        <v>2.2802932077857201E-4</v>
      </c>
      <c r="X574">
        <f>$Z$573-($Y$573+$Y$571)/2</f>
        <v>93.884414896747501</v>
      </c>
      <c r="Y574">
        <f>_xlfn.XLOOKUP($F574,設計座標!$E$13:$E$2301,設計座標!$L$13:$L$2301," ",0,1)</f>
        <v>300</v>
      </c>
      <c r="Z574">
        <f>SQRT(($M$573-$M$571)^2+($N$573-$N$571)^2)</f>
        <v>243.8844148967475</v>
      </c>
      <c r="AA574">
        <f>_xlfn.XLOOKUP($G574,magnet_list!$A$2:$A$592,magnet_list!$AJ$2:$AJ$592,"n/a",0,1)</f>
        <v>0.3231</v>
      </c>
      <c r="AB574">
        <f>_xlfn.XLOOKUP($G574,magnet_list!$A$2:$A$592,magnet_list!$L$2:$L$592,"n/a",0,1)</f>
        <v>44</v>
      </c>
    </row>
    <row r="575" spans="1:28">
      <c r="A575" t="s">
        <v>797</v>
      </c>
      <c r="B575" t="s">
        <v>3812</v>
      </c>
      <c r="C575" t="s">
        <v>805</v>
      </c>
      <c r="D575" t="s">
        <v>806</v>
      </c>
      <c r="F575" t="s">
        <v>112</v>
      </c>
      <c r="G575" t="s">
        <v>2464</v>
      </c>
      <c r="I575">
        <f>_xlfn.XLOOKUP($F575,設計座標!$E$13:$E$2301,設計座標!$G$13:$G$2301,"n/a",0,1)</f>
        <v>153.43949097225894</v>
      </c>
      <c r="J575">
        <f>_xlfn.XLOOKUP($F575,設計座標!$E$13:$E$2301,設計座標!$H$13:$H$2301,"n/a",0,1)</f>
        <v>-15000</v>
      </c>
      <c r="K575">
        <f>_xlfn.XLOOKUP($F575,設計座標!$E$13:$E$2301,設計座標!$I$13:$I$2301,"n/a",0,1)</f>
        <v>111022.56649365</v>
      </c>
      <c r="L575">
        <f>_xlfn.XLOOKUP($F575,設計座標!$E$13:$E$2301,設計座標!$J$13:$J$2301,"n/a",0,1)</f>
        <v>-70</v>
      </c>
      <c r="M575" s="2">
        <f>_xlfn.XLOOKUP($F575,survey_data!$A$2:$A$833,survey_data!$B$2:$B$833,"n/a",0,1)</f>
        <v>-15012.48033206</v>
      </c>
      <c r="N575" s="2">
        <f>_xlfn.XLOOKUP($F575,survey_data!$A$2:$A$833,survey_data!$C$2:$C$833,"n/a",0,1)</f>
        <v>111022.56649365</v>
      </c>
      <c r="O575" s="23">
        <f>_xlfn.XLOOKUP($F575,survey_data!$A$2:$A$833,survey_data!$D$2:$D$833,"n/a",0,1)</f>
        <v>-61.510966060000001</v>
      </c>
      <c r="P575" s="1">
        <f t="shared" si="421"/>
        <v>-70.27693919618504</v>
      </c>
      <c r="Q575" s="1">
        <f t="shared" si="447"/>
        <v>-12.480332060000364</v>
      </c>
      <c r="R575">
        <f t="shared" si="445"/>
        <v>0</v>
      </c>
      <c r="S575" s="23">
        <f t="shared" si="448"/>
        <v>8.4890339399999988</v>
      </c>
      <c r="T575">
        <f>$S575+測地線補正!$Q$26*(lattice!$N575/1000)^3+測地線補正!$P$26*(lattice!$N575/1000)^2+測地線補正!$O$26*(lattice!$N575/1000)+測地線補正!$N$26</f>
        <v>-0.27693919618503782</v>
      </c>
      <c r="U575">
        <f>-ATAN(($Q$577-$Q$575)/ABS($N$577-$N$575))</f>
        <v>4.5961424003072577E-5</v>
      </c>
      <c r="V575">
        <v>0</v>
      </c>
      <c r="W575">
        <f>ATAN(($M$577-$M$575)/ABS($N$577-$N$575))</f>
        <v>-4.5961424003072577E-5</v>
      </c>
      <c r="X575">
        <f>$Z$576-($Y$576+$Y$573)/2</f>
        <v>173.76879834847716</v>
      </c>
      <c r="Y575">
        <f>_xlfn.XLOOKUP($F575,設計座標!$E$13:$E$2301,設計座標!$L$13:$L$2301," ",0,1)</f>
        <v>100</v>
      </c>
      <c r="Z575">
        <f>SQRT(($M$576-$M$573)^2+($N$576-$N$573)^2)</f>
        <v>373.76879834847716</v>
      </c>
      <c r="AA575">
        <f>_xlfn.XLOOKUP($G575,magnet_list!$A$2:$A$592,magnet_list!$AJ$2:$AJ$592,"n/a",0,1)</f>
        <v>0.1415265</v>
      </c>
      <c r="AB575">
        <f>_xlfn.XLOOKUP($G575,magnet_list!$A$2:$A$592,magnet_list!$L$2:$L$592,"n/a",0,1)</f>
        <v>44</v>
      </c>
    </row>
    <row r="576" spans="1:28">
      <c r="A576" t="s">
        <v>797</v>
      </c>
      <c r="B576" t="s">
        <v>3812</v>
      </c>
      <c r="C576" t="s">
        <v>805</v>
      </c>
      <c r="D576" t="s">
        <v>1152</v>
      </c>
      <c r="E576" t="s">
        <v>804</v>
      </c>
      <c r="F576" t="s">
        <v>598</v>
      </c>
      <c r="G576" t="s">
        <v>2464</v>
      </c>
      <c r="I576">
        <f>_xlfn.XLOOKUP($F576,設計座標!$E$13:$E$2301,設計座標!$G$13:$G$2301,"n/a",0,1)</f>
        <v>153.47949097225893</v>
      </c>
      <c r="J576">
        <f>_xlfn.XLOOKUP($F576,設計座標!$E$13:$E$2301,設計座標!$H$13:$H$2301,"n/a",0,1)</f>
        <v>-15000</v>
      </c>
      <c r="K576">
        <f>_xlfn.XLOOKUP($F576,設計座標!$E$13:$E$2301,設計座標!$I$13:$I$2301,"n/a",0,1)</f>
        <v>110982.56649365</v>
      </c>
      <c r="L576">
        <f>_xlfn.XLOOKUP($F576,設計座標!$E$13:$E$2301,設計座標!$J$13:$J$2301,"n/a",0,1)</f>
        <v>-70</v>
      </c>
      <c r="M576" s="2">
        <f t="shared" ref="M576" si="466">$J576+$Q576</f>
        <v>-15012.482170516962</v>
      </c>
      <c r="N576" s="2">
        <f t="shared" ref="N576" si="467">$K576</f>
        <v>110982.56649365</v>
      </c>
      <c r="O576" s="23">
        <f t="shared" ref="O576" si="468">$L576+$S576</f>
        <v>-61.513487879189142</v>
      </c>
      <c r="P576" s="1">
        <f t="shared" si="421"/>
        <v>-70.275977280719516</v>
      </c>
      <c r="Q576" s="1">
        <f>(Q$577-Q$575)/($N$577-$N$575)*($N576-$N$575)+Q$575</f>
        <v>-12.482170516961782</v>
      </c>
      <c r="R576">
        <f t="shared" si="445"/>
        <v>0</v>
      </c>
      <c r="S576" s="23">
        <f>(S$577-S$575)/($N$577-$N$575)*($N576-$N$575)+S$575</f>
        <v>8.4865121208108558</v>
      </c>
      <c r="T576">
        <f>$S576+測地線補正!$Q$26*(lattice!$N576/1000)^3+測地線補正!$P$26*(lattice!$N576/1000)^2+測地線補正!$O$26*(lattice!$N576/1000)+測地線補正!$N$26</f>
        <v>-0.27597728071952177</v>
      </c>
      <c r="U576">
        <f t="shared" ref="U576:U577" si="469">-ATAN(($Q$577-$Q$575)/ABS($N$577-$N$575))</f>
        <v>4.5961424003072577E-5</v>
      </c>
      <c r="V576">
        <v>0</v>
      </c>
      <c r="W576">
        <f t="shared" ref="W576:W577" si="470">ATAN(($M$577-$M$575)/ABS($N$577-$N$575))</f>
        <v>-4.5961424003072577E-5</v>
      </c>
      <c r="X576">
        <f>$Z$576-($Y$576+$Y$573)/2</f>
        <v>173.76879834847716</v>
      </c>
      <c r="Y576">
        <f>_xlfn.XLOOKUP($F576,設計座標!$E$13:$E$2301,設計座標!$L$13:$L$2301," ",0,1)</f>
        <v>100</v>
      </c>
      <c r="Z576">
        <f>SQRT(($M$576-$M$573)^2+($N$576-$N$573)^2)</f>
        <v>373.76879834847716</v>
      </c>
      <c r="AA576">
        <f>_xlfn.XLOOKUP($G576,magnet_list!$A$2:$A$592,magnet_list!$AJ$2:$AJ$592,"n/a",0,1)</f>
        <v>0.1415265</v>
      </c>
      <c r="AB576">
        <f>_xlfn.XLOOKUP($G576,magnet_list!$A$2:$A$592,magnet_list!$L$2:$L$592,"n/a",0,1)</f>
        <v>44</v>
      </c>
    </row>
    <row r="577" spans="1:28">
      <c r="A577" t="s">
        <v>797</v>
      </c>
      <c r="B577" t="s">
        <v>3812</v>
      </c>
      <c r="C577" t="s">
        <v>805</v>
      </c>
      <c r="D577" t="s">
        <v>806</v>
      </c>
      <c r="F577" t="s">
        <v>113</v>
      </c>
      <c r="G577" t="s">
        <v>2464</v>
      </c>
      <c r="I577">
        <f>_xlfn.XLOOKUP($F577,設計座標!$E$13:$E$2301,設計座標!$G$13:$G$2301,"n/a",0,1)</f>
        <v>153.51950241830892</v>
      </c>
      <c r="J577">
        <f>_xlfn.XLOOKUP($F577,設計座標!$E$13:$E$2301,設計座標!$H$13:$H$2301,"n/a",0,1)</f>
        <v>-15000</v>
      </c>
      <c r="K577">
        <f>_xlfn.XLOOKUP($F577,設計座標!$E$13:$E$2301,設計座標!$I$13:$I$2301,"n/a",0,1)</f>
        <v>110942.55504760001</v>
      </c>
      <c r="L577">
        <f>_xlfn.XLOOKUP($F577,設計座標!$E$13:$E$2301,設計座標!$J$13:$J$2301,"n/a",0,1)</f>
        <v>-70</v>
      </c>
      <c r="M577" s="2">
        <f>_xlfn.XLOOKUP($F577,survey_data!$A$2:$A$833,survey_data!$B$2:$B$833,"n/a",0,1)</f>
        <v>-15012.4840095</v>
      </c>
      <c r="N577" s="2">
        <f>_xlfn.XLOOKUP($F577,survey_data!$A$2:$A$833,survey_data!$C$2:$C$833,"n/a",0,1)</f>
        <v>110942.55504760001</v>
      </c>
      <c r="O577" s="23">
        <f>_xlfn.XLOOKUP($F577,survey_data!$A$2:$A$833,survey_data!$D$2:$D$833,"n/a",0,1)</f>
        <v>-61.516010420000001</v>
      </c>
      <c r="P577" s="1">
        <f t="shared" si="421"/>
        <v>-70.27501574264663</v>
      </c>
      <c r="Q577" s="1">
        <f t="shared" si="447"/>
        <v>-12.484009499999956</v>
      </c>
      <c r="R577">
        <f t="shared" si="445"/>
        <v>0</v>
      </c>
      <c r="S577" s="23">
        <f t="shared" si="448"/>
        <v>8.4839895799999994</v>
      </c>
      <c r="T577">
        <f>$S577+測地線補正!$Q$26*(lattice!$N577/1000)^3+測地線補正!$P$26*(lattice!$N577/1000)^2+測地線補正!$O$26*(lattice!$N577/1000)+測地線補正!$N$26</f>
        <v>-0.27501574264663042</v>
      </c>
      <c r="U577">
        <f t="shared" si="469"/>
        <v>4.5961424003072577E-5</v>
      </c>
      <c r="V577">
        <v>0</v>
      </c>
      <c r="W577">
        <f t="shared" si="470"/>
        <v>-4.5961424003072577E-5</v>
      </c>
      <c r="X577">
        <f>$Z$576-($Y$576+$Y$573)/2</f>
        <v>173.76879834847716</v>
      </c>
      <c r="Y577">
        <f>_xlfn.XLOOKUP($F577,設計座標!$E$13:$E$2301,設計座標!$L$13:$L$2301," ",0,1)</f>
        <v>100</v>
      </c>
      <c r="Z577">
        <f>SQRT(($M$576-$M$573)^2+($N$576-$N$573)^2)</f>
        <v>373.76879834847716</v>
      </c>
      <c r="AA577">
        <f>_xlfn.XLOOKUP($G577,magnet_list!$A$2:$A$592,magnet_list!$AJ$2:$AJ$592,"n/a",0,1)</f>
        <v>0.1415265</v>
      </c>
      <c r="AB577">
        <f>_xlfn.XLOOKUP($G577,magnet_list!$A$2:$A$592,magnet_list!$L$2:$L$592,"n/a",0,1)</f>
        <v>44</v>
      </c>
    </row>
    <row r="578" spans="1:28">
      <c r="A578" t="s">
        <v>797</v>
      </c>
      <c r="B578" t="s">
        <v>3812</v>
      </c>
      <c r="C578" t="s">
        <v>805</v>
      </c>
      <c r="D578" t="s">
        <v>806</v>
      </c>
      <c r="F578" t="s">
        <v>114</v>
      </c>
      <c r="G578" t="s">
        <v>2465</v>
      </c>
      <c r="I578">
        <f>_xlfn.XLOOKUP($F578,設計座標!$E$13:$E$2301,設計座標!$G$13:$G$2301,"n/a",0,1)</f>
        <v>153.68945968423893</v>
      </c>
      <c r="J578">
        <f>_xlfn.XLOOKUP($F578,設計座標!$E$13:$E$2301,設計座標!$H$13:$H$2301,"n/a",0,1)</f>
        <v>-15000</v>
      </c>
      <c r="K578">
        <f>_xlfn.XLOOKUP($F578,設計座標!$E$13:$E$2301,設計座標!$I$13:$I$2301,"n/a",0,1)</f>
        <v>110772.59778167</v>
      </c>
      <c r="L578">
        <f>_xlfn.XLOOKUP($F578,設計座標!$E$13:$E$2301,設計座標!$J$13:$J$2301,"n/a",0,1)</f>
        <v>-70</v>
      </c>
      <c r="M578" s="2">
        <f>_xlfn.XLOOKUP($F578,survey_data!$A$2:$A$833,survey_data!$B$2:$B$833,"n/a",0,1)</f>
        <v>-15012.470554330001</v>
      </c>
      <c r="N578" s="2">
        <f>_xlfn.XLOOKUP($F578,survey_data!$A$2:$A$833,survey_data!$C$2:$C$833,"n/a",0,1)</f>
        <v>110772.59778167</v>
      </c>
      <c r="O578" s="23">
        <f>_xlfn.XLOOKUP($F578,survey_data!$A$2:$A$833,survey_data!$D$2:$D$833,"n/a",0,1)</f>
        <v>-61.580932099999998</v>
      </c>
      <c r="P578" s="1">
        <f t="shared" si="421"/>
        <v>-70.325145318306156</v>
      </c>
      <c r="Q578" s="1">
        <f t="shared" si="447"/>
        <v>-12.470554330000596</v>
      </c>
      <c r="R578">
        <f t="shared" si="445"/>
        <v>0</v>
      </c>
      <c r="S578" s="23">
        <f t="shared" si="448"/>
        <v>8.4190679000000017</v>
      </c>
      <c r="T578">
        <f>$S578+測地線補正!$Q$26*(lattice!$N578/1000)^3+測地線補正!$P$26*(lattice!$N578/1000)^2+測地線補正!$O$26*(lattice!$N578/1000)+測地線補正!$N$26</f>
        <v>-0.32514531830615501</v>
      </c>
      <c r="U578">
        <f>-ATAN(($P$580-$P$578)/ABS($N$580-$N$578))</f>
        <v>-1.330395469467083E-4</v>
      </c>
      <c r="V578">
        <v>0</v>
      </c>
      <c r="W578">
        <f>ATAN(($M$580-$M$578)/ABS($N$580-$N$578))</f>
        <v>1.3017800126697014E-4</v>
      </c>
      <c r="X578">
        <f>$Z$579-($Y$579+$Y$576)/2</f>
        <v>149.96871254611099</v>
      </c>
      <c r="Y578">
        <f>_xlfn.XLOOKUP($F578,設計座標!$E$13:$E$2301,設計座標!$L$13:$L$2301," ",0,1)</f>
        <v>100</v>
      </c>
      <c r="Z578">
        <f>SQRT(($M$579-$M$576)^2+($N$579-$N$576)^2)</f>
        <v>249.96871254611099</v>
      </c>
      <c r="AA578">
        <f>_xlfn.XLOOKUP($G578,magnet_list!$A$2:$A$592,magnet_list!$AJ$2:$AJ$592,"n/a",0,1)</f>
        <v>0.1415265</v>
      </c>
      <c r="AB578">
        <f>_xlfn.XLOOKUP($G578,magnet_list!$A$2:$A$592,magnet_list!$L$2:$L$592,"n/a",0,1)</f>
        <v>44</v>
      </c>
    </row>
    <row r="579" spans="1:28">
      <c r="A579" t="s">
        <v>797</v>
      </c>
      <c r="B579" t="s">
        <v>3812</v>
      </c>
      <c r="C579" t="s">
        <v>805</v>
      </c>
      <c r="D579" t="s">
        <v>1152</v>
      </c>
      <c r="E579" t="s">
        <v>804</v>
      </c>
      <c r="F579" t="s">
        <v>599</v>
      </c>
      <c r="G579" t="s">
        <v>2465</v>
      </c>
      <c r="I579">
        <f>_xlfn.XLOOKUP($F579,設計座標!$E$13:$E$2301,設計座標!$G$13:$G$2301,"n/a",0,1)</f>
        <v>153.72945968423892</v>
      </c>
      <c r="J579">
        <f>_xlfn.XLOOKUP($F579,設計座標!$E$13:$E$2301,設計座標!$H$13:$H$2301,"n/a",0,1)</f>
        <v>-15000</v>
      </c>
      <c r="K579">
        <f>_xlfn.XLOOKUP($F579,設計座標!$E$13:$E$2301,設計座標!$I$13:$I$2301,"n/a",0,1)</f>
        <v>110732.59778167</v>
      </c>
      <c r="L579">
        <f>_xlfn.XLOOKUP($F579,設計座標!$E$13:$E$2301,設計座標!$J$13:$J$2301,"n/a",0,1)</f>
        <v>-70</v>
      </c>
      <c r="M579" s="2">
        <f t="shared" ref="M579:M642" si="471">$J579+$Q579</f>
        <v>-15012.46534720992</v>
      </c>
      <c r="N579" s="2">
        <f t="shared" ref="N579:N642" si="472">$K579</f>
        <v>110732.59778167</v>
      </c>
      <c r="O579" s="23">
        <f t="shared" ref="O579:O642" si="473">$L579+$S579</f>
        <v>-61.579089850696768</v>
      </c>
      <c r="P579" s="1">
        <f t="shared" si="421"/>
        <v>-70.319823410270317</v>
      </c>
      <c r="Q579" s="1">
        <f>(Q$580-Q$578)/($N$580-$N$578)*($N579-$N$578)+Q$578</f>
        <v>-12.465347209920504</v>
      </c>
      <c r="R579">
        <f t="shared" si="445"/>
        <v>0</v>
      </c>
      <c r="S579" s="23">
        <f>(S$580-S$578)/($N$580-$N$578)*($N579-$N$578)+S$578</f>
        <v>8.4209101493032339</v>
      </c>
      <c r="T579">
        <f>$S579+測地線補正!$Q$26*(lattice!$N579/1000)^3+測地線補正!$P$26*(lattice!$N579/1000)^2+測地線補正!$O$26*(lattice!$N579/1000)+測地線補正!$N$26</f>
        <v>-0.31982341027031169</v>
      </c>
      <c r="U579">
        <f t="shared" ref="U579:U580" si="474">-ATAN(($P$580-$P$578)/ABS($N$580-$N$578))</f>
        <v>-1.330395469467083E-4</v>
      </c>
      <c r="V579">
        <v>0</v>
      </c>
      <c r="W579">
        <f t="shared" ref="W579:W580" si="475">ATAN(($M$580-$M$578)/ABS($N$580-$N$578))</f>
        <v>1.3017800126697014E-4</v>
      </c>
      <c r="X579">
        <f>$Z$579-($Y$579+$Y$576)/2</f>
        <v>149.96871254611099</v>
      </c>
      <c r="Y579">
        <f>_xlfn.XLOOKUP($F579,設計座標!$E$13:$E$2301,設計座標!$L$13:$L$2301," ",0,1)</f>
        <v>100</v>
      </c>
      <c r="Z579">
        <f>SQRT(($M$579-$M$576)^2+($N$579-$N$576)^2)</f>
        <v>249.96871254611099</v>
      </c>
      <c r="AA579">
        <f>_xlfn.XLOOKUP($G579,magnet_list!$A$2:$A$592,magnet_list!$AJ$2:$AJ$592,"n/a",0,1)</f>
        <v>0.1415265</v>
      </c>
      <c r="AB579">
        <f>_xlfn.XLOOKUP($G579,magnet_list!$A$2:$A$592,magnet_list!$L$2:$L$592,"n/a",0,1)</f>
        <v>44</v>
      </c>
    </row>
    <row r="580" spans="1:28">
      <c r="A580" t="s">
        <v>797</v>
      </c>
      <c r="B580" t="s">
        <v>3812</v>
      </c>
      <c r="C580" t="s">
        <v>805</v>
      </c>
      <c r="D580" t="s">
        <v>806</v>
      </c>
      <c r="F580" t="s">
        <v>115</v>
      </c>
      <c r="G580" t="s">
        <v>2465</v>
      </c>
      <c r="I580">
        <f>_xlfn.XLOOKUP($F580,設計座標!$E$13:$E$2301,設計座標!$G$13:$G$2301,"n/a",0,1)</f>
        <v>153.76947274204892</v>
      </c>
      <c r="J580">
        <f>_xlfn.XLOOKUP($F580,設計座標!$E$13:$E$2301,設計座標!$H$13:$H$2301,"n/a",0,1)</f>
        <v>-15000</v>
      </c>
      <c r="K580">
        <f>_xlfn.XLOOKUP($F580,設計座標!$E$13:$E$2301,設計座標!$I$13:$I$2301,"n/a",0,1)</f>
        <v>110692.58472386</v>
      </c>
      <c r="L580">
        <f>_xlfn.XLOOKUP($F580,設計座標!$E$13:$E$2301,設計座標!$J$13:$J$2301,"n/a",0,1)</f>
        <v>-70</v>
      </c>
      <c r="M580" s="2">
        <f>_xlfn.XLOOKUP($F580,survey_data!$A$2:$A$833,survey_data!$B$2:$B$833,"n/a",0,1)</f>
        <v>-15012.460138390001</v>
      </c>
      <c r="N580" s="2">
        <f>_xlfn.XLOOKUP($F580,survey_data!$A$2:$A$833,survey_data!$C$2:$C$833,"n/a",0,1)</f>
        <v>110692.58472386</v>
      </c>
      <c r="O580" s="23">
        <f>_xlfn.XLOOKUP($F580,survey_data!$A$2:$A$833,survey_data!$D$2:$D$833,"n/a",0,1)</f>
        <v>-61.577247</v>
      </c>
      <c r="P580" s="1">
        <f t="shared" si="421"/>
        <v>-70.314500417282488</v>
      </c>
      <c r="Q580" s="1">
        <f t="shared" si="447"/>
        <v>-12.460138390000793</v>
      </c>
      <c r="R580">
        <f t="shared" si="445"/>
        <v>0</v>
      </c>
      <c r="S580" s="23">
        <f t="shared" si="448"/>
        <v>8.4227530000000002</v>
      </c>
      <c r="T580">
        <f>$S580+測地線補正!$Q$26*(lattice!$N580/1000)^3+測地線補正!$P$26*(lattice!$N580/1000)^2+測地線補正!$O$26*(lattice!$N580/1000)+測地線補正!$N$26</f>
        <v>-0.31450041728248945</v>
      </c>
      <c r="U580">
        <f t="shared" si="474"/>
        <v>-1.330395469467083E-4</v>
      </c>
      <c r="V580">
        <v>0</v>
      </c>
      <c r="W580">
        <f t="shared" si="475"/>
        <v>1.3017800126697014E-4</v>
      </c>
      <c r="X580">
        <f>$Z$579-($Y$579+$Y$576)/2</f>
        <v>149.96871254611099</v>
      </c>
      <c r="Y580">
        <f>_xlfn.XLOOKUP($F580,設計座標!$E$13:$E$2301,設計座標!$L$13:$L$2301," ",0,1)</f>
        <v>100</v>
      </c>
      <c r="Z580">
        <f>SQRT(($M$579-$M$576)^2+($N$579-$N$576)^2)</f>
        <v>249.96871254611099</v>
      </c>
      <c r="AA580">
        <f>_xlfn.XLOOKUP($G580,magnet_list!$A$2:$A$592,magnet_list!$AJ$2:$AJ$592,"n/a",0,1)</f>
        <v>0.1415265</v>
      </c>
      <c r="AB580">
        <f>_xlfn.XLOOKUP($G580,magnet_list!$A$2:$A$592,magnet_list!$L$2:$L$592,"n/a",0,1)</f>
        <v>44</v>
      </c>
    </row>
    <row r="581" spans="1:28">
      <c r="A581" t="s">
        <v>797</v>
      </c>
      <c r="B581" t="s">
        <v>3812</v>
      </c>
      <c r="C581" t="s">
        <v>1152</v>
      </c>
      <c r="D581" t="s">
        <v>1152</v>
      </c>
      <c r="E581" t="s">
        <v>804</v>
      </c>
      <c r="F581" t="s">
        <v>2009</v>
      </c>
      <c r="G581" t="s">
        <v>2009</v>
      </c>
      <c r="I581">
        <f>_xlfn.XLOOKUP($F581,設計座標!$E$13:$E$2301,設計座標!$G$13:$G$2301,"n/a",0,1)</f>
        <v>153.91353776136896</v>
      </c>
      <c r="J581">
        <f>_xlfn.XLOOKUP($F581,設計座標!$E$13:$E$2301,設計座標!$H$13:$H$2301,"n/a",0,1)</f>
        <v>-15000</v>
      </c>
      <c r="K581">
        <f>_xlfn.XLOOKUP($F581,設計座標!$E$13:$E$2301,設計座標!$I$13:$I$2301,"n/a",0,1)</f>
        <v>110548.51970454</v>
      </c>
      <c r="L581">
        <f>_xlfn.XLOOKUP($F581,設計座標!$E$13:$E$2301,設計座標!$J$13:$J$2301,"n/a",0,1)</f>
        <v>-270</v>
      </c>
      <c r="M581" s="2">
        <f t="shared" si="471"/>
        <v>-15012.445724630159</v>
      </c>
      <c r="N581" s="2">
        <f t="shared" si="472"/>
        <v>110548.51970454</v>
      </c>
      <c r="O581" s="23">
        <f t="shared" si="473"/>
        <v>-261.59087573924654</v>
      </c>
      <c r="P581" s="1">
        <f t="shared" si="421"/>
        <v>-270.31560448057093</v>
      </c>
      <c r="Q581" s="1">
        <f>(Q$604-Q$580)/($N$604-$N$580)*($N581-$N$580)+Q$580</f>
        <v>-12.445724630158844</v>
      </c>
      <c r="R581">
        <f t="shared" si="445"/>
        <v>0</v>
      </c>
      <c r="S581" s="23">
        <f t="shared" ref="S581:S603" si="476">(S$604-S$580)/($N$604-$N$580)*($N581-$N$580)+S$580</f>
        <v>8.4091242607534387</v>
      </c>
      <c r="T581">
        <f>$S581+測地線補正!$Q$26*(lattice!$N581/1000)^3+測地線補正!$P$26*(lattice!$N581/1000)^2+測地線補正!$O$26*(lattice!$N581/1000)+測地線補正!$N$26</f>
        <v>-0.31560448057095258</v>
      </c>
      <c r="U581">
        <v>0</v>
      </c>
      <c r="V581">
        <v>0</v>
      </c>
      <c r="W581">
        <v>0</v>
      </c>
      <c r="X581">
        <f>$Z$581-($Y$581+$Y$579)/2</f>
        <v>134.07807817588099</v>
      </c>
      <c r="Y581">
        <f>_xlfn.XLOOKUP($F581,設計座標!$E$13:$E$2301,設計座標!$L$13:$L$2301," ",0,1)</f>
        <v>0</v>
      </c>
      <c r="Z581">
        <f>SQRT(($M$581-$M$579)^2+($N$581-$N$579)^2)</f>
        <v>184.07807817588099</v>
      </c>
    </row>
    <row r="582" spans="1:28">
      <c r="A582" t="s">
        <v>797</v>
      </c>
      <c r="B582" t="s">
        <v>3812</v>
      </c>
      <c r="C582" t="s">
        <v>1152</v>
      </c>
      <c r="D582" t="s">
        <v>1152</v>
      </c>
      <c r="E582" t="s">
        <v>804</v>
      </c>
      <c r="F582" t="s">
        <v>2311</v>
      </c>
      <c r="G582" t="s">
        <v>2311</v>
      </c>
      <c r="I582">
        <f>_xlfn.XLOOKUP($F582,設計座標!$E$13:$E$2301,設計座標!$G$13:$G$2301,"n/a",0,1)</f>
        <v>155.19013726136896</v>
      </c>
      <c r="J582">
        <f>_xlfn.XLOOKUP($F582,設計座標!$E$13:$E$2301,設計座標!$H$13:$H$2301,"n/a",0,1)</f>
        <v>-15000</v>
      </c>
      <c r="K582">
        <f>_xlfn.XLOOKUP($F582,設計座標!$E$13:$E$2301,設計座標!$I$13:$I$2301,"n/a",0,1)</f>
        <v>109271.92020454</v>
      </c>
      <c r="L582">
        <f>_xlfn.XLOOKUP($F582,設計座標!$E$13:$E$2301,設計座標!$J$13:$J$2301,"n/a",0,1)</f>
        <v>-270</v>
      </c>
      <c r="M582" s="2">
        <f t="shared" si="471"/>
        <v>-15012.318000365836</v>
      </c>
      <c r="N582" s="2">
        <f t="shared" si="472"/>
        <v>109271.92020454</v>
      </c>
      <c r="O582" s="23">
        <f t="shared" si="473"/>
        <v>-261.71164372157784</v>
      </c>
      <c r="P582" s="1">
        <f t="shared" si="421"/>
        <v>-270.32575702030806</v>
      </c>
      <c r="Q582" s="1">
        <f t="shared" ref="Q582:Q603" si="477">(Q$604-Q$580)/($N$604-$N$580)*($N582-$N$580)+Q$580</f>
        <v>-12.318000365835671</v>
      </c>
      <c r="R582">
        <f t="shared" si="445"/>
        <v>0</v>
      </c>
      <c r="S582" s="23">
        <f t="shared" si="476"/>
        <v>8.2883562784221709</v>
      </c>
      <c r="T582">
        <f>$S582+測地線補正!$Q$26*(lattice!$N582/1000)^3+測地線補正!$P$26*(lattice!$N582/1000)^2+測地線補正!$O$26*(lattice!$N582/1000)+測地線補正!$N$26</f>
        <v>-0.32575702030805265</v>
      </c>
      <c r="U582">
        <v>0</v>
      </c>
      <c r="V582">
        <v>0</v>
      </c>
      <c r="W582">
        <v>0</v>
      </c>
      <c r="X582">
        <f>$Z$582-($Y$582+$Y$581)/2</f>
        <v>1276.599506389427</v>
      </c>
      <c r="Y582">
        <f>_xlfn.XLOOKUP($F582,設計座標!$E$13:$E$2301,設計座標!$L$13:$L$2301," ",0,1)</f>
        <v>0</v>
      </c>
      <c r="Z582">
        <f>SQRT(($M$582-$M$581)^2+($N$582-$N$581)^2)</f>
        <v>1276.599506389427</v>
      </c>
    </row>
    <row r="583" spans="1:28">
      <c r="A583" t="s">
        <v>797</v>
      </c>
      <c r="B583" t="s">
        <v>3813</v>
      </c>
      <c r="C583" t="s">
        <v>2288</v>
      </c>
      <c r="D583" t="s">
        <v>1152</v>
      </c>
      <c r="E583" t="s">
        <v>804</v>
      </c>
      <c r="F583" t="s">
        <v>2312</v>
      </c>
      <c r="G583" t="s">
        <v>2312</v>
      </c>
      <c r="I583">
        <f>_xlfn.XLOOKUP($F583,設計座標!$E$13:$E$2301,設計座標!$G$13:$G$2301,"n/a",0,1)</f>
        <v>156.56693726136896</v>
      </c>
      <c r="J583">
        <f>_xlfn.XLOOKUP($F583,設計座標!$E$13:$E$2301,設計座標!$H$13:$H$2301,"n/a",0,1)</f>
        <v>-15000</v>
      </c>
      <c r="K583">
        <f>_xlfn.XLOOKUP($F583,設計座標!$E$13:$E$2301,設計座標!$I$13:$I$2301,"n/a",0,1)</f>
        <v>107895.12020454</v>
      </c>
      <c r="L583">
        <f>_xlfn.XLOOKUP($F583,設計座標!$E$13:$E$2301,設計座標!$J$13:$J$2301,"n/a",0,1)</f>
        <v>-270</v>
      </c>
      <c r="M583" s="2">
        <f t="shared" si="471"/>
        <v>-15012.18025100347</v>
      </c>
      <c r="N583" s="2">
        <f t="shared" si="472"/>
        <v>107895.12020454</v>
      </c>
      <c r="O583" s="23">
        <f t="shared" si="473"/>
        <v>-261.84189080225872</v>
      </c>
      <c r="P583" s="1">
        <f t="shared" si="421"/>
        <v>-270.33744859843557</v>
      </c>
      <c r="Q583" s="1">
        <f t="shared" si="477"/>
        <v>-12.180251003470929</v>
      </c>
      <c r="R583">
        <f t="shared" si="445"/>
        <v>0</v>
      </c>
      <c r="S583" s="23">
        <f t="shared" si="476"/>
        <v>8.1581091977412754</v>
      </c>
      <c r="T583">
        <f>$S583+測地線補正!$Q$26*(lattice!$N583/1000)^3+測地線補正!$P$26*(lattice!$N583/1000)^2+測地線補正!$O$26*(lattice!$N583/1000)+測地線補正!$N$26</f>
        <v>-0.33744859843556996</v>
      </c>
      <c r="U583">
        <v>0</v>
      </c>
      <c r="V583">
        <v>0</v>
      </c>
      <c r="W583">
        <v>0</v>
      </c>
      <c r="X583">
        <f>$Z$583-($Y$583+$Y$582)/2</f>
        <v>1376.8000068909407</v>
      </c>
      <c r="Y583">
        <f>_xlfn.XLOOKUP($F583,設計座標!$E$13:$E$2301,設計座標!$L$13:$L$2301," ",0,1)</f>
        <v>0</v>
      </c>
      <c r="Z583">
        <f>SQRT(($M$583-$M$582)^2+($N$583-$N$582)^2)</f>
        <v>1376.8000068909407</v>
      </c>
    </row>
    <row r="584" spans="1:28">
      <c r="A584" t="s">
        <v>797</v>
      </c>
      <c r="B584" t="s">
        <v>3813</v>
      </c>
      <c r="C584" t="s">
        <v>804</v>
      </c>
      <c r="D584" t="s">
        <v>1152</v>
      </c>
      <c r="E584" t="s">
        <v>804</v>
      </c>
      <c r="F584" t="s">
        <v>1490</v>
      </c>
      <c r="G584" t="s">
        <v>2466</v>
      </c>
      <c r="I584">
        <f>_xlfn.XLOOKUP($F584,設計座標!$E$13:$E$2301,設計座標!$G$13:$G$2301,"n/a",0,1)</f>
        <v>156.74693716136895</v>
      </c>
      <c r="J584">
        <f>_xlfn.XLOOKUP($F584,設計座標!$E$13:$E$2301,設計座標!$H$13:$H$2301,"n/a",0,1)</f>
        <v>-15000</v>
      </c>
      <c r="K584">
        <f>_xlfn.XLOOKUP($F584,設計座標!$E$13:$E$2301,設計座標!$I$13:$I$2301,"n/a",0,1)</f>
        <v>107715.12030454</v>
      </c>
      <c r="L584">
        <f>_xlfn.XLOOKUP($F584,設計座標!$E$13:$E$2301,設計座標!$J$13:$J$2301,"n/a",0,1)</f>
        <v>-270</v>
      </c>
      <c r="M584" s="2">
        <f t="shared" si="471"/>
        <v>-15012.162241945183</v>
      </c>
      <c r="N584" s="2">
        <f t="shared" si="472"/>
        <v>107715.12030454</v>
      </c>
      <c r="O584" s="23">
        <f t="shared" si="473"/>
        <v>-261.85891902821589</v>
      </c>
      <c r="P584" s="1">
        <f t="shared" si="421"/>
        <v>-270.33903395145035</v>
      </c>
      <c r="Q584" s="1">
        <f t="shared" si="477"/>
        <v>-12.162241945183075</v>
      </c>
      <c r="R584">
        <f t="shared" si="445"/>
        <v>0</v>
      </c>
      <c r="S584" s="23">
        <f t="shared" si="476"/>
        <v>8.141080971784092</v>
      </c>
      <c r="T584">
        <f>$S584+測地線補正!$Q$26*(lattice!$N584/1000)^3+測地線補正!$P$26*(lattice!$N584/1000)^2+測地線補正!$O$26*(lattice!$N584/1000)+測地線補正!$N$26</f>
        <v>-0.33903395145036197</v>
      </c>
      <c r="U584">
        <f>-ATAN(($P$588-$P$584)/ABS($N$588-$N$584))</f>
        <v>9.2261762119601026E-6</v>
      </c>
      <c r="V584">
        <v>0</v>
      </c>
      <c r="W584">
        <f>ATAN(($M$588-$M$584)/ABS($N$588-$N$584))</f>
        <v>1.0005037907091981E-4</v>
      </c>
      <c r="X584">
        <f>SQRT(($M$584-$M$583)^2+($N$584-$N$583)^2)</f>
        <v>179.99990090090182</v>
      </c>
      <c r="Y584">
        <f>_xlfn.XLOOKUP($F584,設計座標!$E$13:$E$2301,設計座標!$L$13:$L$2301," ",0,1)</f>
        <v>1889.4492</v>
      </c>
      <c r="Z584">
        <f>SQRT(($M$587-$M$585)^2+($N$587-$N$585)^2)</f>
        <v>311.22450155768746</v>
      </c>
    </row>
    <row r="585" spans="1:28">
      <c r="A585" t="s">
        <v>797</v>
      </c>
      <c r="B585" t="s">
        <v>3813</v>
      </c>
      <c r="C585" t="s">
        <v>3855</v>
      </c>
      <c r="D585" t="s">
        <v>1152</v>
      </c>
      <c r="E585" t="s">
        <v>804</v>
      </c>
      <c r="F585" t="s">
        <v>2252</v>
      </c>
      <c r="G585" t="s">
        <v>2252</v>
      </c>
      <c r="I585">
        <f>_xlfn.XLOOKUP($F585,設計座標!$E$13:$E$2301,設計座標!$G$13:$G$2301,"n/a",0,1)</f>
        <v>157.38043726136897</v>
      </c>
      <c r="J585">
        <f>_xlfn.XLOOKUP($F585,設計座標!$E$13:$E$2301,設計座標!$H$13:$H$2301,"n/a",0,1)</f>
        <v>-15000</v>
      </c>
      <c r="K585">
        <f>_xlfn.XLOOKUP($F585,設計座標!$E$13:$E$2301,設計座標!$I$13:$I$2301,"n/a",0,1)</f>
        <v>107081.62020454</v>
      </c>
      <c r="L585">
        <f>_xlfn.XLOOKUP($F585,設計座標!$E$13:$E$2301,設計座標!$J$13:$J$2301,"n/a",0,1)</f>
        <v>-270</v>
      </c>
      <c r="M585" s="2">
        <f t="shared" si="471"/>
        <v>-15012.098860019825</v>
      </c>
      <c r="N585" s="2">
        <f t="shared" si="472"/>
        <v>107081.62020454</v>
      </c>
      <c r="O585" s="23">
        <f t="shared" si="473"/>
        <v>-261.91884896621423</v>
      </c>
      <c r="P585" s="1">
        <f t="shared" si="421"/>
        <v>-270.34471786213709</v>
      </c>
      <c r="Q585" s="1">
        <f t="shared" si="477"/>
        <v>-12.098860019824999</v>
      </c>
      <c r="R585">
        <f t="shared" si="445"/>
        <v>0</v>
      </c>
      <c r="S585" s="23">
        <f t="shared" si="476"/>
        <v>8.0811510337857939</v>
      </c>
      <c r="T585">
        <f>$S585+測地線補正!$Q$26*(lattice!$N585/1000)^3+測地線補正!$P$26*(lattice!$N585/1000)^2+測地線補正!$O$26*(lattice!$N585/1000)+測地線補正!$N$26</f>
        <v>-0.34471786213710254</v>
      </c>
      <c r="U585">
        <f t="shared" ref="U585:U586" si="478">-ATAN(($P$588-$P$584)/ABS($N$588-$N$584))</f>
        <v>9.2261762119601026E-6</v>
      </c>
      <c r="V585">
        <v>0</v>
      </c>
      <c r="W585">
        <f t="shared" ref="W585:W586" si="479">ATAN(($M$588-$M$584)/ABS($N$588-$N$584))</f>
        <v>1.0005037907091981E-4</v>
      </c>
      <c r="X585" t="s">
        <v>3860</v>
      </c>
      <c r="Y585">
        <f>_xlfn.XLOOKUP($F585,設計座標!$E$13:$E$2301,設計座標!$L$13:$L$2301," ",0,1)</f>
        <v>1000</v>
      </c>
      <c r="Z585">
        <f>SQRT(($M$585-$M$583)^2+($N$585-$N$583)^2)</f>
        <v>813.50000407159939</v>
      </c>
      <c r="AA585">
        <f>_xlfn.XLOOKUP($G585,magnet_list!$A$2:$A$592,magnet_list!$AJ$2:$AJ$592,"n/a",0,1)</f>
        <v>0.95010000000000006</v>
      </c>
      <c r="AB585">
        <f>_xlfn.XLOOKUP($G585,magnet_list!$A$2:$A$592,magnet_list!$L$2:$L$592,"n/a",0,1)</f>
        <v>120</v>
      </c>
    </row>
    <row r="586" spans="1:28">
      <c r="A586" t="s">
        <v>797</v>
      </c>
      <c r="B586" t="s">
        <v>3813</v>
      </c>
      <c r="C586" t="s">
        <v>3855</v>
      </c>
      <c r="D586" t="s">
        <v>1152</v>
      </c>
      <c r="E586" t="s">
        <v>804</v>
      </c>
      <c r="F586" t="s">
        <v>2253</v>
      </c>
      <c r="G586" t="s">
        <v>2253</v>
      </c>
      <c r="I586">
        <f>_xlfn.XLOOKUP($F586,設計座標!$E$13:$E$2301,設計座標!$G$13:$G$2301,"n/a",0,1)</f>
        <v>157.38043726136897</v>
      </c>
      <c r="J586">
        <f>_xlfn.XLOOKUP($F586,設計座標!$E$13:$E$2301,設計座標!$H$13:$H$2301,"n/a",0,1)</f>
        <v>-15000</v>
      </c>
      <c r="K586">
        <f>_xlfn.XLOOKUP($F586,設計座標!$E$13:$E$2301,設計座標!$I$13:$I$2301,"n/a",0,1)</f>
        <v>107081.62020454</v>
      </c>
      <c r="L586">
        <f>_xlfn.XLOOKUP($F586,設計座標!$E$13:$E$2301,設計座標!$J$13:$J$2301,"n/a",0,1)</f>
        <v>-270</v>
      </c>
      <c r="M586" s="2">
        <f t="shared" si="471"/>
        <v>-15012.098860019825</v>
      </c>
      <c r="N586" s="2">
        <f t="shared" si="472"/>
        <v>107081.62020454</v>
      </c>
      <c r="O586" s="23">
        <f t="shared" si="473"/>
        <v>-261.91884896621423</v>
      </c>
      <c r="P586" s="1">
        <f t="shared" si="421"/>
        <v>-270.34471786213709</v>
      </c>
      <c r="Q586" s="1">
        <f t="shared" si="477"/>
        <v>-12.098860019824999</v>
      </c>
      <c r="R586">
        <f t="shared" si="445"/>
        <v>0</v>
      </c>
      <c r="S586" s="23">
        <f t="shared" si="476"/>
        <v>8.0811510337857939</v>
      </c>
      <c r="T586">
        <f>$S586+測地線補正!$Q$26*(lattice!$N586/1000)^3+測地線補正!$P$26*(lattice!$N586/1000)^2+測地線補正!$O$26*(lattice!$N586/1000)+測地線補正!$N$26</f>
        <v>-0.34471786213710254</v>
      </c>
      <c r="U586">
        <f t="shared" si="478"/>
        <v>9.2261762119601026E-6</v>
      </c>
      <c r="V586">
        <v>0</v>
      </c>
      <c r="W586">
        <f t="shared" si="479"/>
        <v>1.0005037907091981E-4</v>
      </c>
      <c r="X586" t="s">
        <v>3860</v>
      </c>
      <c r="Y586">
        <f>_xlfn.XLOOKUP($F586,設計座標!$E$13:$E$2301,設計座標!$L$13:$L$2301," ",0,1)</f>
        <v>1000</v>
      </c>
      <c r="Z586">
        <f>SQRT(($M$585-$M$583)^2+($N$585-$N$583)^2)</f>
        <v>813.50000407159939</v>
      </c>
      <c r="AA586">
        <f>_xlfn.XLOOKUP($G586,magnet_list!$A$2:$A$592,magnet_list!$AJ$2:$AJ$592,"n/a",0,1)</f>
        <v>0.95010000000000006</v>
      </c>
      <c r="AB586">
        <f>_xlfn.XLOOKUP($G586,magnet_list!$A$2:$A$592,magnet_list!$L$2:$L$592,"n/a",0,1)</f>
        <v>120</v>
      </c>
    </row>
    <row r="587" spans="1:28">
      <c r="A587" t="s">
        <v>797</v>
      </c>
      <c r="B587" t="s">
        <v>3813</v>
      </c>
      <c r="C587" t="s">
        <v>804</v>
      </c>
      <c r="D587" t="s">
        <v>1152</v>
      </c>
      <c r="E587" t="s">
        <v>804</v>
      </c>
      <c r="F587" t="s">
        <v>1177</v>
      </c>
      <c r="G587" t="s">
        <v>2466</v>
      </c>
      <c r="I587">
        <f>_xlfn.XLOOKUP($F587,設計座標!$E$13:$E$2301,設計座標!$G$13:$G$2301,"n/a",0,1)</f>
        <v>157.69166176136895</v>
      </c>
      <c r="J587">
        <f>_xlfn.XLOOKUP($F587,設計座標!$E$13:$E$2301,設計座標!$H$13:$H$2301,"n/a",0,1)</f>
        <v>-15000</v>
      </c>
      <c r="K587">
        <f>_xlfn.XLOOKUP($F587,設計座標!$E$13:$E$2301,設計座標!$I$13:$I$2301,"n/a",0,1)</f>
        <v>106770.39570454</v>
      </c>
      <c r="L587">
        <f>_xlfn.XLOOKUP($F587,設計座標!$E$13:$E$2301,設計座標!$J$13:$J$2301,"n/a",0,1)</f>
        <v>-270</v>
      </c>
      <c r="M587" s="2">
        <f t="shared" si="471"/>
        <v>-15012.06772189052</v>
      </c>
      <c r="N587" s="2">
        <f t="shared" si="472"/>
        <v>106770.39570454</v>
      </c>
      <c r="O587" s="23">
        <f t="shared" si="473"/>
        <v>-261.94829121095665</v>
      </c>
      <c r="P587" s="1">
        <f t="shared" si="421"/>
        <v>-270.34756972744213</v>
      </c>
      <c r="Q587" s="1">
        <f t="shared" si="477"/>
        <v>-12.067721890519881</v>
      </c>
      <c r="R587">
        <f t="shared" si="445"/>
        <v>0</v>
      </c>
      <c r="S587" s="23">
        <f t="shared" si="476"/>
        <v>8.051708789043369</v>
      </c>
      <c r="T587">
        <f>$S587+測地線補正!$Q$26*(lattice!$N587/1000)^3+測地線補正!$P$26*(lattice!$N587/1000)^2+測地線補正!$O$26*(lattice!$N587/1000)+測地線補正!$N$26</f>
        <v>-0.34756972744215564</v>
      </c>
      <c r="U587">
        <f t="shared" ref="U587:U588" si="480">-ATAN(($P$588-$P$584)/ABS($N$588-$N$584))</f>
        <v>9.2261762119601026E-6</v>
      </c>
      <c r="V587">
        <v>0</v>
      </c>
      <c r="W587">
        <f t="shared" ref="W587:W588" si="481">ATAN(($M$588-$M$584)/ABS($N$588-$N$584))</f>
        <v>1.0005037907091981E-4</v>
      </c>
      <c r="X587" t="s">
        <v>3860</v>
      </c>
      <c r="Y587">
        <f>_xlfn.XLOOKUP($F587,設計座標!$E$13:$E$2301,設計座標!$L$13:$L$2301," ",0,1)</f>
        <v>1889.4492</v>
      </c>
      <c r="Z587">
        <f>SQRT(($M$587-$M$585)^2+($N$587-$N$585)^2)</f>
        <v>311.22450155768746</v>
      </c>
    </row>
    <row r="588" spans="1:28">
      <c r="A588" t="s">
        <v>797</v>
      </c>
      <c r="B588" t="s">
        <v>3813</v>
      </c>
      <c r="C588" t="s">
        <v>804</v>
      </c>
      <c r="D588" t="s">
        <v>1152</v>
      </c>
      <c r="E588" t="s">
        <v>804</v>
      </c>
      <c r="F588" t="s">
        <v>1491</v>
      </c>
      <c r="G588" t="s">
        <v>2466</v>
      </c>
      <c r="I588">
        <f>_xlfn.XLOOKUP($F588,設計座標!$E$13:$E$2301,設計座標!$G$13:$G$2301,"n/a",0,1)</f>
        <v>158.63638636136895</v>
      </c>
      <c r="J588">
        <f>_xlfn.XLOOKUP($F588,設計座標!$E$13:$E$2301,設計座標!$H$13:$H$2301,"n/a",0,1)</f>
        <v>-15000</v>
      </c>
      <c r="K588">
        <f>_xlfn.XLOOKUP($F588,設計座標!$E$13:$E$2301,設計座標!$I$13:$I$2301,"n/a",0,1)</f>
        <v>105825.67110454</v>
      </c>
      <c r="L588">
        <f>_xlfn.XLOOKUP($F588,設計座標!$E$13:$E$2301,設計座標!$J$13:$J$2301,"n/a",0,1)</f>
        <v>-270</v>
      </c>
      <c r="M588" s="2">
        <f t="shared" si="471"/>
        <v>-15011.973201835857</v>
      </c>
      <c r="N588" s="2">
        <f t="shared" si="472"/>
        <v>105825.67110454</v>
      </c>
      <c r="O588" s="23">
        <f t="shared" si="473"/>
        <v>-262.03766339369736</v>
      </c>
      <c r="P588" s="1">
        <f t="shared" si="421"/>
        <v>-270.35646634271359</v>
      </c>
      <c r="Q588" s="1">
        <f t="shared" si="477"/>
        <v>-11.973201835856688</v>
      </c>
      <c r="R588">
        <f t="shared" si="445"/>
        <v>0</v>
      </c>
      <c r="S588" s="23">
        <f t="shared" si="476"/>
        <v>7.9623366063026477</v>
      </c>
      <c r="T588">
        <f>$S588+測地線補正!$Q$26*(lattice!$N588/1000)^3+測地線補正!$P$26*(lattice!$N588/1000)^2+測地線補正!$O$26*(lattice!$N588/1000)+測地線補正!$N$26</f>
        <v>-0.35646634271356814</v>
      </c>
      <c r="U588">
        <f t="shared" si="480"/>
        <v>9.2261762119601026E-6</v>
      </c>
      <c r="V588">
        <v>0</v>
      </c>
      <c r="W588">
        <f t="shared" si="481"/>
        <v>1.0005037907091981E-4</v>
      </c>
      <c r="X588" t="s">
        <v>3860</v>
      </c>
      <c r="Y588">
        <f>_xlfn.XLOOKUP($F588,設計座標!$E$13:$E$2301,設計座標!$L$13:$L$2301," ",0,1)</f>
        <v>1889.4492</v>
      </c>
      <c r="Z588">
        <f>SQRT(($M$587-$M$585)^2+($N$587-$N$585)^2)</f>
        <v>311.22450155768746</v>
      </c>
    </row>
    <row r="589" spans="1:28">
      <c r="A589" t="s">
        <v>797</v>
      </c>
      <c r="B589" t="s">
        <v>3813</v>
      </c>
      <c r="C589" t="s">
        <v>804</v>
      </c>
      <c r="D589" t="s">
        <v>1152</v>
      </c>
      <c r="E589" t="s">
        <v>804</v>
      </c>
      <c r="F589" t="s">
        <v>1492</v>
      </c>
      <c r="G589" t="s">
        <v>2467</v>
      </c>
      <c r="I589">
        <f>_xlfn.XLOOKUP($F589,設計座標!$E$13:$E$2301,設計座標!$G$13:$G$2301,"n/a",0,1)</f>
        <v>158.84632516136895</v>
      </c>
      <c r="J589">
        <f>_xlfn.XLOOKUP($F589,設計座標!$E$13:$E$2301,設計座標!$H$13:$H$2301,"n/a",0,1)</f>
        <v>-15000</v>
      </c>
      <c r="K589">
        <f>_xlfn.XLOOKUP($F589,設計座標!$E$13:$E$2301,設計座標!$I$13:$I$2301,"n/a",0,1)</f>
        <v>105615.73230454</v>
      </c>
      <c r="L589">
        <f>_xlfn.XLOOKUP($F589,設計座標!$E$13:$E$2301,設計座標!$J$13:$J$2301,"n/a",0,1)</f>
        <v>-270</v>
      </c>
      <c r="M589" s="2">
        <f t="shared" si="471"/>
        <v>-15011.952197379265</v>
      </c>
      <c r="N589" s="2">
        <f t="shared" si="472"/>
        <v>105615.73230454</v>
      </c>
      <c r="O589" s="23">
        <f t="shared" si="473"/>
        <v>-262.05752387875083</v>
      </c>
      <c r="P589" s="1">
        <f t="shared" si="421"/>
        <v>-270.35849230214569</v>
      </c>
      <c r="Q589" s="1">
        <f t="shared" si="477"/>
        <v>-11.952197379264867</v>
      </c>
      <c r="R589">
        <f t="shared" si="445"/>
        <v>0</v>
      </c>
      <c r="S589" s="23">
        <f t="shared" si="476"/>
        <v>7.942476121249153</v>
      </c>
      <c r="T589">
        <f>$S589+測地線補正!$Q$26*(lattice!$N589/1000)^3+測地線補正!$P$26*(lattice!$N589/1000)^2+測地線補正!$O$26*(lattice!$N589/1000)+測地線補正!$N$26</f>
        <v>-0.35849230214568917</v>
      </c>
      <c r="U589">
        <f>-ATAN(($P$591-$P$589)/ABS($N$591-$N$589))</f>
        <v>1.0073164032015698E-5</v>
      </c>
      <c r="V589">
        <v>0</v>
      </c>
      <c r="W589">
        <f>ATAN(($M$591-$M$589)/ABS($N$591-$N$589))</f>
        <v>1.0005037907091981E-4</v>
      </c>
      <c r="X589">
        <f>SQRT(($M$589-$M$588)^2+($N$589-$N$588)^2)</f>
        <v>209.93880105075547</v>
      </c>
      <c r="Y589">
        <f>_xlfn.XLOOKUP($F589,設計座標!$E$13:$E$2301,設計座標!$L$13:$L$2301," ",0,1)</f>
        <v>1889.4492</v>
      </c>
      <c r="Z589">
        <f>SQRT(($M$590-$M$587)^2+($N$590-$N$587)^2)</f>
        <v>2099.3880105075255</v>
      </c>
    </row>
    <row r="590" spans="1:28">
      <c r="A590" t="s">
        <v>797</v>
      </c>
      <c r="B590" t="s">
        <v>3813</v>
      </c>
      <c r="C590" t="s">
        <v>804</v>
      </c>
      <c r="D590" t="s">
        <v>1152</v>
      </c>
      <c r="E590" t="s">
        <v>804</v>
      </c>
      <c r="F590" t="s">
        <v>1233</v>
      </c>
      <c r="G590" t="s">
        <v>2467</v>
      </c>
      <c r="I590">
        <f>_xlfn.XLOOKUP($F590,設計座標!$E$13:$E$2301,設計座標!$G$13:$G$2301,"n/a",0,1)</f>
        <v>159.79104976136895</v>
      </c>
      <c r="J590">
        <f>_xlfn.XLOOKUP($F590,設計座標!$E$13:$E$2301,設計座標!$H$13:$H$2301,"n/a",0,1)</f>
        <v>-15000</v>
      </c>
      <c r="K590">
        <f>_xlfn.XLOOKUP($F590,設計座標!$E$13:$E$2301,設計座標!$I$13:$I$2301,"n/a",0,1)</f>
        <v>104671.00770454</v>
      </c>
      <c r="L590">
        <f>_xlfn.XLOOKUP($F590,設計座標!$E$13:$E$2301,設計座標!$J$13:$J$2301,"n/a",0,1)</f>
        <v>-270</v>
      </c>
      <c r="M590" s="2">
        <f t="shared" si="471"/>
        <v>-15011.857677324602</v>
      </c>
      <c r="N590" s="2">
        <f t="shared" si="472"/>
        <v>104671.00770454</v>
      </c>
      <c r="O590" s="23">
        <f t="shared" si="473"/>
        <v>-262.14689606149159</v>
      </c>
      <c r="P590" s="1">
        <f t="shared" si="421"/>
        <v>-270.3678290110434</v>
      </c>
      <c r="Q590" s="1">
        <f t="shared" si="477"/>
        <v>-11.857677324601672</v>
      </c>
      <c r="R590">
        <f t="shared" si="445"/>
        <v>0</v>
      </c>
      <c r="S590" s="23">
        <f t="shared" si="476"/>
        <v>7.8531039385084318</v>
      </c>
      <c r="T590">
        <f>$S590+測地線補正!$Q$26*(lattice!$N590/1000)^3+測地線補正!$P$26*(lattice!$N590/1000)^2+測地線補正!$O$26*(lattice!$N590/1000)+測地線補正!$N$26</f>
        <v>-0.36782901104338639</v>
      </c>
      <c r="U590">
        <f t="shared" ref="U590:U591" si="482">-ATAN(($P$591-$P$589)/ABS($N$591-$N$589))</f>
        <v>1.0073164032015698E-5</v>
      </c>
      <c r="V590">
        <v>0</v>
      </c>
      <c r="W590">
        <f t="shared" ref="W590:W591" si="483">ATAN(($M$591-$M$589)/ABS($N$591-$N$589))</f>
        <v>1.0005037907091981E-4</v>
      </c>
      <c r="X590" t="s">
        <v>3860</v>
      </c>
      <c r="Y590">
        <f>_xlfn.XLOOKUP($F590,設計座標!$E$13:$E$2301,設計座標!$L$13:$L$2301," ",0,1)</f>
        <v>1889.4492</v>
      </c>
      <c r="Z590">
        <f>SQRT(($M$590-$M$587)^2+($N$590-$N$587)^2)</f>
        <v>2099.3880105075255</v>
      </c>
    </row>
    <row r="591" spans="1:28">
      <c r="A591" t="s">
        <v>797</v>
      </c>
      <c r="B591" t="s">
        <v>3813</v>
      </c>
      <c r="C591" t="s">
        <v>804</v>
      </c>
      <c r="D591" t="s">
        <v>1152</v>
      </c>
      <c r="E591" t="s">
        <v>804</v>
      </c>
      <c r="F591" t="s">
        <v>1493</v>
      </c>
      <c r="G591" t="s">
        <v>2467</v>
      </c>
      <c r="I591">
        <f>_xlfn.XLOOKUP($F591,設計座標!$E$13:$E$2301,設計座標!$G$13:$G$2301,"n/a",0,1)</f>
        <v>160.73577436136895</v>
      </c>
      <c r="J591">
        <f>_xlfn.XLOOKUP($F591,設計座標!$E$13:$E$2301,設計座標!$H$13:$H$2301,"n/a",0,1)</f>
        <v>-15000</v>
      </c>
      <c r="K591">
        <f>_xlfn.XLOOKUP($F591,設計座標!$E$13:$E$2301,設計座標!$I$13:$I$2301,"n/a",0,1)</f>
        <v>103726.28310453999</v>
      </c>
      <c r="L591">
        <f>_xlfn.XLOOKUP($F591,設計座標!$E$13:$E$2301,設計座標!$J$13:$J$2301,"n/a",0,1)</f>
        <v>-270</v>
      </c>
      <c r="M591" s="2">
        <f t="shared" si="471"/>
        <v>-15011.763157269939</v>
      </c>
      <c r="N591" s="2">
        <f t="shared" si="472"/>
        <v>103726.28310453999</v>
      </c>
      <c r="O591" s="23">
        <f t="shared" si="473"/>
        <v>-262.23626824423229</v>
      </c>
      <c r="P591" s="1">
        <f t="shared" si="421"/>
        <v>-270.3775250338681</v>
      </c>
      <c r="Q591" s="1">
        <f t="shared" si="477"/>
        <v>-11.763157269938478</v>
      </c>
      <c r="R591">
        <f t="shared" si="445"/>
        <v>0</v>
      </c>
      <c r="S591" s="23">
        <f t="shared" si="476"/>
        <v>7.7637317557677097</v>
      </c>
      <c r="T591">
        <f>$S591+測地線補正!$Q$26*(lattice!$N591/1000)^3+測地線補正!$P$26*(lattice!$N591/1000)^2+測地線補正!$O$26*(lattice!$N591/1000)+測地線補正!$N$26</f>
        <v>-0.37752503386811243</v>
      </c>
      <c r="U591">
        <f t="shared" si="482"/>
        <v>1.0073164032015698E-5</v>
      </c>
      <c r="V591">
        <v>0</v>
      </c>
      <c r="W591">
        <f t="shared" si="483"/>
        <v>1.0005037907091981E-4</v>
      </c>
      <c r="X591" t="s">
        <v>3860</v>
      </c>
      <c r="Y591">
        <f>_xlfn.XLOOKUP($F591,設計座標!$E$13:$E$2301,設計座標!$L$13:$L$2301," ",0,1)</f>
        <v>1889.4492</v>
      </c>
      <c r="Z591">
        <f>SQRT(($M$590-$M$587)^2+($N$590-$N$587)^2)</f>
        <v>2099.3880105075255</v>
      </c>
    </row>
    <row r="592" spans="1:28">
      <c r="A592" t="s">
        <v>797</v>
      </c>
      <c r="B592" t="s">
        <v>3813</v>
      </c>
      <c r="C592" t="s">
        <v>1152</v>
      </c>
      <c r="D592" t="s">
        <v>1152</v>
      </c>
      <c r="E592" t="s">
        <v>804</v>
      </c>
      <c r="F592" t="s">
        <v>2010</v>
      </c>
      <c r="G592" t="s">
        <v>2010</v>
      </c>
      <c r="I592">
        <f>_xlfn.XLOOKUP($F592,設計座標!$E$13:$E$2301,設計座標!$G$13:$G$2301,"n/a",0,1)</f>
        <v>160.86977426136895</v>
      </c>
      <c r="J592">
        <f>_xlfn.XLOOKUP($F592,設計座標!$E$13:$E$2301,設計座標!$H$13:$H$2301,"n/a",0,1)</f>
        <v>-15000</v>
      </c>
      <c r="K592">
        <f>_xlfn.XLOOKUP($F592,設計座標!$E$13:$E$2301,設計座標!$I$13:$I$2301,"n/a",0,1)</f>
        <v>103592.28320454</v>
      </c>
      <c r="L592">
        <f>_xlfn.XLOOKUP($F592,設計座標!$E$13:$E$2301,設計座標!$J$13:$J$2301,"n/a",0,1)</f>
        <v>-270</v>
      </c>
      <c r="M592" s="2">
        <f t="shared" si="471"/>
        <v>-15011.749750529103</v>
      </c>
      <c r="N592" s="2">
        <f t="shared" si="472"/>
        <v>103592.28320454</v>
      </c>
      <c r="O592" s="23">
        <f t="shared" si="473"/>
        <v>-262.2489448100273</v>
      </c>
      <c r="P592" s="1">
        <f t="shared" si="421"/>
        <v>-270.37892937675849</v>
      </c>
      <c r="Q592" s="1">
        <f t="shared" si="477"/>
        <v>-11.749750529103252</v>
      </c>
      <c r="R592">
        <f t="shared" si="445"/>
        <v>0</v>
      </c>
      <c r="S592" s="23">
        <f t="shared" si="476"/>
        <v>7.7510551899727274</v>
      </c>
      <c r="T592">
        <f>$S592+測地線補正!$Q$26*(lattice!$N592/1000)^3+測地線補正!$P$26*(lattice!$N592/1000)^2+測地線補正!$O$26*(lattice!$N592/1000)+測地線補正!$N$26</f>
        <v>-0.3789293767585129</v>
      </c>
      <c r="U592">
        <v>0</v>
      </c>
      <c r="V592">
        <v>0</v>
      </c>
      <c r="W592">
        <v>0</v>
      </c>
      <c r="X592">
        <f>SQRT(($M$592-$M$591)^2+($N$592-$N$591)^2)</f>
        <v>133.99990067067</v>
      </c>
      <c r="Y592">
        <f>_xlfn.XLOOKUP($F592,設計座標!$E$13:$E$2301,設計座標!$L$13:$L$2301," ",0,1)</f>
        <v>0</v>
      </c>
      <c r="Z592">
        <f>SQRT(($M$592-$M$590)^2+($N$592-$N$590)^2)</f>
        <v>1078.724505399055</v>
      </c>
    </row>
    <row r="593" spans="1:28">
      <c r="A593" t="s">
        <v>797</v>
      </c>
      <c r="B593" t="s">
        <v>3813</v>
      </c>
      <c r="C593" t="s">
        <v>1152</v>
      </c>
      <c r="D593" t="s">
        <v>1152</v>
      </c>
      <c r="E593" t="s">
        <v>804</v>
      </c>
      <c r="F593" t="s">
        <v>2011</v>
      </c>
      <c r="G593" t="s">
        <v>2011</v>
      </c>
      <c r="I593">
        <f>_xlfn.XLOOKUP($F593,設計座標!$E$13:$E$2301,設計座標!$G$13:$G$2301,"n/a",0,1)</f>
        <v>161.08977426136894</v>
      </c>
      <c r="J593">
        <f>_xlfn.XLOOKUP($F593,設計座標!$E$13:$E$2301,設計座標!$H$13:$H$2301,"n/a",0,1)</f>
        <v>-15000</v>
      </c>
      <c r="K593">
        <f>_xlfn.XLOOKUP($F593,設計座標!$E$13:$E$2301,設計座標!$I$13:$I$2301,"n/a",0,1)</f>
        <v>103372.28320454</v>
      </c>
      <c r="L593">
        <f>_xlfn.XLOOKUP($F593,設計座標!$E$13:$E$2301,設計座標!$J$13:$J$2301,"n/a",0,1)</f>
        <v>-270</v>
      </c>
      <c r="M593" s="2">
        <f t="shared" si="471"/>
        <v>-15011.727739445634</v>
      </c>
      <c r="N593" s="2">
        <f t="shared" si="472"/>
        <v>103372.28320454</v>
      </c>
      <c r="O593" s="23">
        <f t="shared" si="473"/>
        <v>-262.26975709775957</v>
      </c>
      <c r="P593" s="1">
        <f t="shared" si="421"/>
        <v>-270.38125065782833</v>
      </c>
      <c r="Q593" s="1">
        <f t="shared" si="477"/>
        <v>-11.727739445634162</v>
      </c>
      <c r="R593">
        <f t="shared" si="445"/>
        <v>0</v>
      </c>
      <c r="S593" s="23">
        <f t="shared" si="476"/>
        <v>7.7302429022404517</v>
      </c>
      <c r="T593">
        <f>$S593+測地線補正!$Q$26*(lattice!$N593/1000)^3+測地線補正!$P$26*(lattice!$N593/1000)^2+測地線補正!$O$26*(lattice!$N593/1000)+測地線補正!$N$26</f>
        <v>-0.3812506578283188</v>
      </c>
      <c r="U593">
        <v>0</v>
      </c>
      <c r="V593">
        <v>0</v>
      </c>
      <c r="W593">
        <v>0</v>
      </c>
      <c r="X593">
        <f>$Z$593-($Y$593+$Y$592)/2</f>
        <v>220.00000110110864</v>
      </c>
      <c r="Y593">
        <f>_xlfn.XLOOKUP($F593,設計座標!$E$13:$E$2301,設計座標!$L$13:$L$2301," ",0,1)</f>
        <v>0</v>
      </c>
      <c r="Z593">
        <f>SQRT(($M$593-$M$592)^2+($N$593-$N$592)^2)</f>
        <v>220.00000110110864</v>
      </c>
    </row>
    <row r="594" spans="1:28">
      <c r="A594" t="s">
        <v>797</v>
      </c>
      <c r="B594" t="s">
        <v>3813</v>
      </c>
      <c r="C594" t="s">
        <v>804</v>
      </c>
      <c r="D594" t="s">
        <v>1152</v>
      </c>
      <c r="E594" t="s">
        <v>804</v>
      </c>
      <c r="F594" t="s">
        <v>1494</v>
      </c>
      <c r="G594" t="s">
        <v>2468</v>
      </c>
      <c r="I594">
        <f>_xlfn.XLOOKUP($F594,設計座標!$E$13:$E$2301,設計座標!$G$13:$G$2301,"n/a",0,1)</f>
        <v>161.26062116136896</v>
      </c>
      <c r="J594">
        <f>_xlfn.XLOOKUP($F594,設計座標!$E$13:$E$2301,設計座標!$H$13:$H$2301,"n/a",0,1)</f>
        <v>-15000</v>
      </c>
      <c r="K594">
        <f>_xlfn.XLOOKUP($F594,設計座標!$E$13:$E$2301,設計座標!$I$13:$I$2301,"n/a",0,1)</f>
        <v>103201.43630454</v>
      </c>
      <c r="L594">
        <f>_xlfn.XLOOKUP($F594,設計座標!$E$13:$E$2301,設計座標!$J$13:$J$2301,"n/a",0,1)</f>
        <v>-270</v>
      </c>
      <c r="M594" s="2">
        <f t="shared" si="471"/>
        <v>-15011.710646148469</v>
      </c>
      <c r="N594" s="2">
        <f t="shared" si="472"/>
        <v>103201.43630454</v>
      </c>
      <c r="O594" s="23">
        <f t="shared" si="473"/>
        <v>-262.28591943794578</v>
      </c>
      <c r="P594" s="1">
        <f t="shared" si="421"/>
        <v>-270.38306671753048</v>
      </c>
      <c r="Q594" s="1">
        <f t="shared" si="477"/>
        <v>-11.710646148469003</v>
      </c>
      <c r="R594">
        <f t="shared" si="445"/>
        <v>0</v>
      </c>
      <c r="S594" s="23">
        <f t="shared" si="476"/>
        <v>7.714080562054237</v>
      </c>
      <c r="T594">
        <f>$S594+測地線補正!$Q$26*(lattice!$N594/1000)^3+測地線補正!$P$26*(lattice!$N594/1000)^2+測地線補正!$O$26*(lattice!$N594/1000)+測地線補正!$N$26</f>
        <v>-0.38306671753050847</v>
      </c>
      <c r="U594">
        <f>-ATAN(($P$598-$P$594)/ABS($N$598-$N$594))</f>
        <v>1.1042764279272633E-5</v>
      </c>
      <c r="V594">
        <v>0</v>
      </c>
      <c r="W594">
        <f>ATAN(($M$598-$M$594)/ABS($N$598-$N$594))</f>
        <v>1.0005037907091981E-4</v>
      </c>
      <c r="X594">
        <f>SQRT(($M$594-$M$593)^2+($N$594-$N$593)^2)</f>
        <v>170.84690085509953</v>
      </c>
      <c r="Y594">
        <f>_xlfn.XLOOKUP($F594,設計座標!$E$13:$E$2301,設計座標!$L$13:$L$2301," ",0,1)</f>
        <v>1889.4492</v>
      </c>
      <c r="Z594">
        <f>SQRT(($M$597-$M$595)^2+($N$597-$N$595)^2)</f>
        <v>311.22450155770201</v>
      </c>
    </row>
    <row r="595" spans="1:28">
      <c r="A595" t="s">
        <v>797</v>
      </c>
      <c r="B595" t="s">
        <v>3813</v>
      </c>
      <c r="C595" t="s">
        <v>3855</v>
      </c>
      <c r="D595" t="s">
        <v>1152</v>
      </c>
      <c r="E595" t="s">
        <v>804</v>
      </c>
      <c r="F595" t="s">
        <v>2254</v>
      </c>
      <c r="G595" t="s">
        <v>2254</v>
      </c>
      <c r="I595">
        <f>_xlfn.XLOOKUP($F595,設計座標!$E$13:$E$2301,設計座標!$G$13:$G$2301,"n/a",0,1)</f>
        <v>161.89412126136895</v>
      </c>
      <c r="J595">
        <f>_xlfn.XLOOKUP($F595,設計座標!$E$13:$E$2301,設計座標!$H$13:$H$2301,"n/a",0,1)</f>
        <v>-15000</v>
      </c>
      <c r="K595">
        <f>_xlfn.XLOOKUP($F595,設計座標!$E$13:$E$2301,設計座標!$I$13:$I$2301,"n/a",0,1)</f>
        <v>102567.93620454</v>
      </c>
      <c r="L595">
        <f>_xlfn.XLOOKUP($F595,設計座標!$E$13:$E$2301,設計座標!$J$13:$J$2301,"n/a",0,1)</f>
        <v>-270</v>
      </c>
      <c r="M595" s="2">
        <f t="shared" si="471"/>
        <v>-15011.647264223111</v>
      </c>
      <c r="N595" s="2">
        <f t="shared" si="472"/>
        <v>102567.93620454</v>
      </c>
      <c r="O595" s="23">
        <f t="shared" si="473"/>
        <v>-262.34584937594406</v>
      </c>
      <c r="P595" s="1">
        <f t="shared" si="421"/>
        <v>-270.38990289873635</v>
      </c>
      <c r="Q595" s="1">
        <f t="shared" si="477"/>
        <v>-11.647264223110927</v>
      </c>
      <c r="R595">
        <f t="shared" si="445"/>
        <v>0</v>
      </c>
      <c r="S595" s="23">
        <f t="shared" si="476"/>
        <v>7.6541506240559416</v>
      </c>
      <c r="T595">
        <f>$S595+測地線補正!$Q$26*(lattice!$N595/1000)^3+測地線補正!$P$26*(lattice!$N595/1000)^2+測地線補正!$O$26*(lattice!$N595/1000)+測地線補正!$N$26</f>
        <v>-0.38990289873633199</v>
      </c>
      <c r="U595">
        <f t="shared" ref="U595:U596" si="484">-ATAN(($P$598-$P$594)/ABS($N$598-$N$594))</f>
        <v>1.1042764279272633E-5</v>
      </c>
      <c r="V595">
        <v>0</v>
      </c>
      <c r="W595">
        <f t="shared" ref="W595:W596" si="485">ATAN(($M$598-$M$594)/ABS($N$598-$N$594))</f>
        <v>1.0005037907091981E-4</v>
      </c>
      <c r="X595" t="s">
        <v>3860</v>
      </c>
      <c r="Y595">
        <f>_xlfn.XLOOKUP($F595,設計座標!$E$13:$E$2301,設計座標!$L$13:$L$2301," ",0,1)</f>
        <v>1000</v>
      </c>
      <c r="Z595">
        <f>SQRT(($M$595-$M$593)^2+($N$595-$N$593)^2)</f>
        <v>804.34700402578255</v>
      </c>
      <c r="AA595">
        <f>_xlfn.XLOOKUP($G595,magnet_list!$A$2:$A$592,magnet_list!$AJ$2:$AJ$592,"n/a",0,1)</f>
        <v>0.95010000000000006</v>
      </c>
      <c r="AB595">
        <f>_xlfn.XLOOKUP($G595,magnet_list!$A$2:$A$592,magnet_list!$L$2:$L$592,"n/a",0,1)</f>
        <v>120</v>
      </c>
    </row>
    <row r="596" spans="1:28">
      <c r="A596" t="s">
        <v>797</v>
      </c>
      <c r="B596" t="s">
        <v>3813</v>
      </c>
      <c r="C596" t="s">
        <v>3855</v>
      </c>
      <c r="D596" t="s">
        <v>1152</v>
      </c>
      <c r="E596" t="s">
        <v>804</v>
      </c>
      <c r="F596" t="s">
        <v>2255</v>
      </c>
      <c r="G596" t="s">
        <v>2255</v>
      </c>
      <c r="I596">
        <f>_xlfn.XLOOKUP($F596,設計座標!$E$13:$E$2301,設計座標!$G$13:$G$2301,"n/a",0,1)</f>
        <v>161.89412126136895</v>
      </c>
      <c r="J596">
        <f>_xlfn.XLOOKUP($F596,設計座標!$E$13:$E$2301,設計座標!$H$13:$H$2301,"n/a",0,1)</f>
        <v>-15000</v>
      </c>
      <c r="K596">
        <f>_xlfn.XLOOKUP($F596,設計座標!$E$13:$E$2301,設計座標!$I$13:$I$2301,"n/a",0,1)</f>
        <v>102567.93620454</v>
      </c>
      <c r="L596">
        <f>_xlfn.XLOOKUP($F596,設計座標!$E$13:$E$2301,設計座標!$J$13:$J$2301,"n/a",0,1)</f>
        <v>-270</v>
      </c>
      <c r="M596" s="2">
        <f t="shared" si="471"/>
        <v>-15011.647264223111</v>
      </c>
      <c r="N596" s="2">
        <f t="shared" si="472"/>
        <v>102567.93620454</v>
      </c>
      <c r="O596" s="23">
        <f t="shared" si="473"/>
        <v>-262.34584937594406</v>
      </c>
      <c r="P596" s="1">
        <f t="shared" ref="P596:P659" si="486">$L596+$T596</f>
        <v>-270.38990289873635</v>
      </c>
      <c r="Q596" s="1">
        <f t="shared" si="477"/>
        <v>-11.647264223110927</v>
      </c>
      <c r="R596">
        <f t="shared" si="445"/>
        <v>0</v>
      </c>
      <c r="S596" s="23">
        <f t="shared" si="476"/>
        <v>7.6541506240559416</v>
      </c>
      <c r="T596">
        <f>$S596+測地線補正!$Q$26*(lattice!$N596/1000)^3+測地線補正!$P$26*(lattice!$N596/1000)^2+測地線補正!$O$26*(lattice!$N596/1000)+測地線補正!$N$26</f>
        <v>-0.38990289873633199</v>
      </c>
      <c r="U596">
        <f t="shared" si="484"/>
        <v>1.1042764279272633E-5</v>
      </c>
      <c r="V596">
        <v>0</v>
      </c>
      <c r="W596">
        <f t="shared" si="485"/>
        <v>1.0005037907091981E-4</v>
      </c>
      <c r="X596" t="s">
        <v>3860</v>
      </c>
      <c r="Y596">
        <f>_xlfn.XLOOKUP($F596,設計座標!$E$13:$E$2301,設計座標!$L$13:$L$2301," ",0,1)</f>
        <v>1000</v>
      </c>
      <c r="Z596">
        <f>SQRT(($M$595-$M$593)^2+($N$595-$N$593)^2)</f>
        <v>804.34700402578255</v>
      </c>
      <c r="AA596">
        <f>_xlfn.XLOOKUP($G596,magnet_list!$A$2:$A$592,magnet_list!$AJ$2:$AJ$592,"n/a",0,1)</f>
        <v>0.95010000000000006</v>
      </c>
      <c r="AB596">
        <f>_xlfn.XLOOKUP($G596,magnet_list!$A$2:$A$592,magnet_list!$L$2:$L$592,"n/a",0,1)</f>
        <v>120</v>
      </c>
    </row>
    <row r="597" spans="1:28">
      <c r="A597" t="s">
        <v>797</v>
      </c>
      <c r="B597" t="s">
        <v>3813</v>
      </c>
      <c r="C597" t="s">
        <v>804</v>
      </c>
      <c r="D597" t="s">
        <v>1152</v>
      </c>
      <c r="E597" t="s">
        <v>804</v>
      </c>
      <c r="F597" t="s">
        <v>1288</v>
      </c>
      <c r="G597" t="s">
        <v>2468</v>
      </c>
      <c r="I597">
        <f>_xlfn.XLOOKUP($F597,設計座標!$E$13:$E$2301,設計座標!$G$13:$G$2301,"n/a",0,1)</f>
        <v>162.20534576136896</v>
      </c>
      <c r="J597">
        <f>_xlfn.XLOOKUP($F597,設計座標!$E$13:$E$2301,設計座標!$H$13:$H$2301,"n/a",0,1)</f>
        <v>-15000</v>
      </c>
      <c r="K597">
        <f>_xlfn.XLOOKUP($F597,設計座標!$E$13:$E$2301,設計座標!$I$13:$I$2301,"n/a",0,1)</f>
        <v>102256.71170453999</v>
      </c>
      <c r="L597">
        <f>_xlfn.XLOOKUP($F597,設計座標!$E$13:$E$2301,設計座標!$J$13:$J$2301,"n/a",0,1)</f>
        <v>-270</v>
      </c>
      <c r="M597" s="2">
        <f t="shared" si="471"/>
        <v>-15011.616126093806</v>
      </c>
      <c r="N597" s="2">
        <f t="shared" si="472"/>
        <v>102256.71170453999</v>
      </c>
      <c r="O597" s="23">
        <f t="shared" si="473"/>
        <v>-262.37529162068648</v>
      </c>
      <c r="P597" s="1">
        <f t="shared" si="486"/>
        <v>-270.39332030871168</v>
      </c>
      <c r="Q597" s="1">
        <f t="shared" si="477"/>
        <v>-11.616126093805809</v>
      </c>
      <c r="R597">
        <f t="shared" si="445"/>
        <v>0</v>
      </c>
      <c r="S597" s="23">
        <f t="shared" si="476"/>
        <v>7.6247083793135149</v>
      </c>
      <c r="T597">
        <f>$S597+測地線補正!$Q$26*(lattice!$N597/1000)^3+測地線補正!$P$26*(lattice!$N597/1000)^2+測地線補正!$O$26*(lattice!$N597/1000)+測地線補正!$N$26</f>
        <v>-0.39332030871169299</v>
      </c>
      <c r="U597">
        <f t="shared" ref="U597:U598" si="487">-ATAN(($P$598-$P$594)/ABS($N$598-$N$594))</f>
        <v>1.1042764279272633E-5</v>
      </c>
      <c r="V597">
        <v>0</v>
      </c>
      <c r="W597">
        <f t="shared" ref="W597:W598" si="488">ATAN(($M$598-$M$594)/ABS($N$598-$N$594))</f>
        <v>1.0005037907091981E-4</v>
      </c>
      <c r="X597" t="s">
        <v>3860</v>
      </c>
      <c r="Y597">
        <f>_xlfn.XLOOKUP($F597,設計座標!$E$13:$E$2301,設計座標!$L$13:$L$2301," ",0,1)</f>
        <v>1889.4492</v>
      </c>
      <c r="Z597">
        <f>SQRT(($M$597-$M$595)^2+($N$597-$N$595)^2)</f>
        <v>311.22450155770201</v>
      </c>
    </row>
    <row r="598" spans="1:28">
      <c r="A598" t="s">
        <v>797</v>
      </c>
      <c r="B598" t="s">
        <v>3813</v>
      </c>
      <c r="C598" t="s">
        <v>804</v>
      </c>
      <c r="D598" t="s">
        <v>1152</v>
      </c>
      <c r="E598" t="s">
        <v>804</v>
      </c>
      <c r="F598" t="s">
        <v>1495</v>
      </c>
      <c r="G598" t="s">
        <v>2468</v>
      </c>
      <c r="I598">
        <f>_xlfn.XLOOKUP($F598,設計座標!$E$13:$E$2301,設計座標!$G$13:$G$2301,"n/a",0,1)</f>
        <v>163.15007036136896</v>
      </c>
      <c r="J598">
        <f>_xlfn.XLOOKUP($F598,設計座標!$E$13:$E$2301,設計座標!$H$13:$H$2301,"n/a",0,1)</f>
        <v>-15000</v>
      </c>
      <c r="K598">
        <f>_xlfn.XLOOKUP($F598,設計座標!$E$13:$E$2301,設計座標!$I$13:$I$2301,"n/a",0,1)</f>
        <v>101311.98710453999</v>
      </c>
      <c r="L598">
        <f>_xlfn.XLOOKUP($F598,設計座標!$E$13:$E$2301,設計座標!$J$13:$J$2301,"n/a",0,1)</f>
        <v>-270</v>
      </c>
      <c r="M598" s="2">
        <f t="shared" si="471"/>
        <v>-15011.521606039143</v>
      </c>
      <c r="N598" s="2">
        <f t="shared" si="472"/>
        <v>101311.98710453999</v>
      </c>
      <c r="O598" s="23">
        <f t="shared" si="473"/>
        <v>-262.46466380342719</v>
      </c>
      <c r="P598" s="1">
        <f t="shared" si="486"/>
        <v>-270.40393145966459</v>
      </c>
      <c r="Q598" s="1">
        <f t="shared" si="477"/>
        <v>-11.521606039142615</v>
      </c>
      <c r="R598">
        <f t="shared" si="445"/>
        <v>0</v>
      </c>
      <c r="S598" s="23">
        <f t="shared" si="476"/>
        <v>7.5353361965727927</v>
      </c>
      <c r="T598">
        <f>$S598+測地線補正!$Q$26*(lattice!$N598/1000)^3+測地線補正!$P$26*(lattice!$N598/1000)^2+測地線補正!$O$26*(lattice!$N598/1000)+測地線補正!$N$26</f>
        <v>-0.40393145966457333</v>
      </c>
      <c r="U598">
        <f t="shared" si="487"/>
        <v>1.1042764279272633E-5</v>
      </c>
      <c r="V598">
        <v>0</v>
      </c>
      <c r="W598">
        <f t="shared" si="488"/>
        <v>1.0005037907091981E-4</v>
      </c>
      <c r="X598" t="s">
        <v>3860</v>
      </c>
      <c r="Y598">
        <f>_xlfn.XLOOKUP($F598,設計座標!$E$13:$E$2301,設計座標!$L$13:$L$2301," ",0,1)</f>
        <v>1889.4492</v>
      </c>
      <c r="Z598">
        <f>SQRT(($M$597-$M$595)^2+($N$597-$N$595)^2)</f>
        <v>311.22450155770201</v>
      </c>
    </row>
    <row r="599" spans="1:28">
      <c r="A599" t="s">
        <v>797</v>
      </c>
      <c r="B599" t="s">
        <v>3813</v>
      </c>
      <c r="C599" t="s">
        <v>804</v>
      </c>
      <c r="D599" t="s">
        <v>1152</v>
      </c>
      <c r="E599" t="s">
        <v>804</v>
      </c>
      <c r="F599" t="s">
        <v>1496</v>
      </c>
      <c r="G599" t="s">
        <v>2469</v>
      </c>
      <c r="I599">
        <f>_xlfn.XLOOKUP($F599,設計座標!$E$13:$E$2301,設計座標!$G$13:$G$2301,"n/a",0,1)</f>
        <v>163.36000916136896</v>
      </c>
      <c r="J599">
        <f>_xlfn.XLOOKUP($F599,設計座標!$E$13:$E$2301,設計座標!$H$13:$H$2301,"n/a",0,1)</f>
        <v>-15000</v>
      </c>
      <c r="K599">
        <f>_xlfn.XLOOKUP($F599,設計座標!$E$13:$E$2301,設計座標!$I$13:$I$2301,"n/a",0,1)</f>
        <v>101102.04830453999</v>
      </c>
      <c r="L599">
        <f>_xlfn.XLOOKUP($F599,設計座標!$E$13:$E$2301,設計座標!$J$13:$J$2301,"n/a",0,1)</f>
        <v>-270</v>
      </c>
      <c r="M599" s="2">
        <f t="shared" si="471"/>
        <v>-15011.500601582551</v>
      </c>
      <c r="N599" s="2">
        <f t="shared" si="472"/>
        <v>101102.04830453999</v>
      </c>
      <c r="O599" s="23">
        <f t="shared" si="473"/>
        <v>-262.48452428848071</v>
      </c>
      <c r="P599" s="1">
        <f t="shared" si="486"/>
        <v>-270.40633798166061</v>
      </c>
      <c r="Q599" s="1">
        <f t="shared" si="477"/>
        <v>-11.500601582550793</v>
      </c>
      <c r="R599">
        <f t="shared" si="445"/>
        <v>0</v>
      </c>
      <c r="S599" s="23">
        <f t="shared" si="476"/>
        <v>7.5154757115192989</v>
      </c>
      <c r="T599">
        <f>$S599+測地線補正!$Q$26*(lattice!$N599/1000)^3+測地線補正!$P$26*(lattice!$N599/1000)^2+測地線補正!$O$26*(lattice!$N599/1000)+測地線補正!$N$26</f>
        <v>-0.40633798166063362</v>
      </c>
      <c r="U599">
        <f>-ATAN(($P$601-$P$599)/ABS($N$601-$N$599))</f>
        <v>1.1882037898385951E-5</v>
      </c>
      <c r="V599">
        <v>0</v>
      </c>
      <c r="W599">
        <f>ATAN(($M$601-$M$599)/ABS($N$601-$N$599))</f>
        <v>1.0005037907091981E-4</v>
      </c>
      <c r="X599">
        <f>SQRT(($M$599-$M$598)^2+($N$599-$N$598)^2)</f>
        <v>209.93880105075547</v>
      </c>
      <c r="Y599">
        <f>_xlfn.XLOOKUP($F599,設計座標!$E$13:$E$2301,設計座標!$L$13:$L$2301," ",0,1)</f>
        <v>1889.4492</v>
      </c>
      <c r="Z599">
        <f>SQRT(($M$600-$M$597)^2+($N$600-$N$597)^2)</f>
        <v>2099.3880105075255</v>
      </c>
    </row>
    <row r="600" spans="1:28">
      <c r="A600" t="s">
        <v>797</v>
      </c>
      <c r="B600" t="s">
        <v>3813</v>
      </c>
      <c r="C600" t="s">
        <v>804</v>
      </c>
      <c r="D600" t="s">
        <v>1152</v>
      </c>
      <c r="E600" t="s">
        <v>804</v>
      </c>
      <c r="F600" t="s">
        <v>1342</v>
      </c>
      <c r="G600" t="s">
        <v>2469</v>
      </c>
      <c r="I600">
        <f>_xlfn.XLOOKUP($F600,設計座標!$E$13:$E$2301,設計座標!$G$13:$G$2301,"n/a",0,1)</f>
        <v>164.30473376136896</v>
      </c>
      <c r="J600">
        <f>_xlfn.XLOOKUP($F600,設計座標!$E$13:$E$2301,設計座標!$H$13:$H$2301,"n/a",0,1)</f>
        <v>-15000</v>
      </c>
      <c r="K600">
        <f>_xlfn.XLOOKUP($F600,設計座標!$E$13:$E$2301,設計座標!$I$13:$I$2301,"n/a",0,1)</f>
        <v>100157.32370453999</v>
      </c>
      <c r="L600">
        <f>_xlfn.XLOOKUP($F600,設計座標!$E$13:$E$2301,設計座標!$J$13:$J$2301,"n/a",0,1)</f>
        <v>-270</v>
      </c>
      <c r="M600" s="2">
        <f t="shared" si="471"/>
        <v>-15011.406081527888</v>
      </c>
      <c r="N600" s="2">
        <f t="shared" si="472"/>
        <v>100157.32370453999</v>
      </c>
      <c r="O600" s="23">
        <f t="shared" si="473"/>
        <v>-262.57389647122142</v>
      </c>
      <c r="P600" s="1">
        <f t="shared" si="486"/>
        <v>-270.41738521795236</v>
      </c>
      <c r="Q600" s="1">
        <f t="shared" si="477"/>
        <v>-11.406081527887599</v>
      </c>
      <c r="R600">
        <f t="shared" si="445"/>
        <v>0</v>
      </c>
      <c r="S600" s="23">
        <f t="shared" si="476"/>
        <v>7.4261035287785777</v>
      </c>
      <c r="T600">
        <f>$S600+測地線補正!$Q$26*(lattice!$N600/1000)^3+測地線補正!$P$26*(lattice!$N600/1000)^2+測地線補正!$O$26*(lattice!$N600/1000)+測地線補正!$N$26</f>
        <v>-0.41738521795233141</v>
      </c>
      <c r="U600">
        <f t="shared" ref="U600:U601" si="489">-ATAN(($P$601-$P$599)/ABS($N$601-$N$599))</f>
        <v>1.1882037898385951E-5</v>
      </c>
      <c r="V600">
        <v>0</v>
      </c>
      <c r="W600">
        <f t="shared" ref="W600:W601" si="490">ATAN(($M$601-$M$599)/ABS($N$601-$N$599))</f>
        <v>1.0005037907091981E-4</v>
      </c>
      <c r="X600" t="s">
        <v>3860</v>
      </c>
      <c r="Y600">
        <f>_xlfn.XLOOKUP($F600,設計座標!$E$13:$E$2301,設計座標!$L$13:$L$2301," ",0,1)</f>
        <v>1889.4492</v>
      </c>
      <c r="Z600">
        <f>SQRT(($M$600-$M$597)^2+($N$600-$N$597)^2)</f>
        <v>2099.3880105075255</v>
      </c>
    </row>
    <row r="601" spans="1:28">
      <c r="A601" t="s">
        <v>797</v>
      </c>
      <c r="B601" t="s">
        <v>3813</v>
      </c>
      <c r="C601" t="s">
        <v>804</v>
      </c>
      <c r="D601" t="s">
        <v>1152</v>
      </c>
      <c r="E601" t="s">
        <v>804</v>
      </c>
      <c r="F601" t="s">
        <v>1497</v>
      </c>
      <c r="G601" t="s">
        <v>2469</v>
      </c>
      <c r="I601">
        <f>_xlfn.XLOOKUP($F601,設計座標!$E$13:$E$2301,設計座標!$G$13:$G$2301,"n/a",0,1)</f>
        <v>165.24945836136897</v>
      </c>
      <c r="J601">
        <f>_xlfn.XLOOKUP($F601,設計座標!$E$13:$E$2301,設計座標!$H$13:$H$2301,"n/a",0,1)</f>
        <v>-15000</v>
      </c>
      <c r="K601">
        <f>_xlfn.XLOOKUP($F601,設計座標!$E$13:$E$2301,設計座標!$I$13:$I$2301,"n/a",0,1)</f>
        <v>99212.599104539986</v>
      </c>
      <c r="L601">
        <f>_xlfn.XLOOKUP($F601,設計座標!$E$13:$E$2301,設計座標!$J$13:$J$2301,"n/a",0,1)</f>
        <v>-270</v>
      </c>
      <c r="M601" s="2">
        <f t="shared" si="471"/>
        <v>-15011.311561473225</v>
      </c>
      <c r="N601" s="2">
        <f t="shared" si="472"/>
        <v>99212.599104539986</v>
      </c>
      <c r="O601" s="23">
        <f t="shared" si="473"/>
        <v>-262.66326865396212</v>
      </c>
      <c r="P601" s="1">
        <f t="shared" si="486"/>
        <v>-270.42878848866314</v>
      </c>
      <c r="Q601" s="1">
        <f t="shared" si="477"/>
        <v>-11.311561473224405</v>
      </c>
      <c r="R601">
        <f t="shared" si="445"/>
        <v>0</v>
      </c>
      <c r="S601" s="23">
        <f t="shared" si="476"/>
        <v>7.3367313460378556</v>
      </c>
      <c r="T601">
        <f>$S601+測地線補正!$Q$26*(lattice!$N601/1000)^3+測地線補正!$P$26*(lattice!$N601/1000)^2+測地線補正!$O$26*(lattice!$N601/1000)+測地線補正!$N$26</f>
        <v>-0.42878848866313324</v>
      </c>
      <c r="U601">
        <f t="shared" si="489"/>
        <v>1.1882037898385951E-5</v>
      </c>
      <c r="V601">
        <v>0</v>
      </c>
      <c r="W601">
        <f t="shared" si="490"/>
        <v>1.0005037907091981E-4</v>
      </c>
      <c r="X601" t="s">
        <v>3860</v>
      </c>
      <c r="Y601">
        <f>_xlfn.XLOOKUP($F601,設計座標!$E$13:$E$2301,設計座標!$L$13:$L$2301," ",0,1)</f>
        <v>1889.4492</v>
      </c>
      <c r="Z601">
        <f>SQRT(($M$600-$M$597)^2+($N$600-$N$597)^2)</f>
        <v>2099.3880105075255</v>
      </c>
    </row>
    <row r="602" spans="1:28">
      <c r="A602" t="s">
        <v>797</v>
      </c>
      <c r="B602" t="s">
        <v>3813</v>
      </c>
      <c r="C602" t="s">
        <v>1152</v>
      </c>
      <c r="D602" t="s">
        <v>1152</v>
      </c>
      <c r="E602" t="s">
        <v>804</v>
      </c>
      <c r="F602" t="s">
        <v>2012</v>
      </c>
      <c r="G602" t="s">
        <v>2012</v>
      </c>
      <c r="I602">
        <f>_xlfn.XLOOKUP($F602,設計座標!$E$13:$E$2301,設計座標!$G$13:$G$2301,"n/a",0,1)</f>
        <v>165.38345826136896</v>
      </c>
      <c r="J602">
        <f>_xlfn.XLOOKUP($F602,設計座標!$E$13:$E$2301,設計座標!$H$13:$H$2301,"n/a",0,1)</f>
        <v>-15000</v>
      </c>
      <c r="K602">
        <f>_xlfn.XLOOKUP($F602,設計座標!$E$13:$E$2301,設計座標!$I$13:$I$2301,"n/a",0,1)</f>
        <v>99078.599204539991</v>
      </c>
      <c r="L602">
        <f>_xlfn.XLOOKUP($F602,設計座標!$E$13:$E$2301,設計座標!$J$13:$J$2301,"n/a",0,1)</f>
        <v>-270</v>
      </c>
      <c r="M602" s="2">
        <f t="shared" si="471"/>
        <v>-15011.298154732389</v>
      </c>
      <c r="N602" s="2">
        <f t="shared" si="472"/>
        <v>99078.599204539991</v>
      </c>
      <c r="O602" s="23">
        <f t="shared" si="473"/>
        <v>-262.67594521975712</v>
      </c>
      <c r="P602" s="1">
        <f t="shared" si="486"/>
        <v>-270.43043472231517</v>
      </c>
      <c r="Q602" s="1">
        <f t="shared" si="477"/>
        <v>-11.298154732389179</v>
      </c>
      <c r="R602">
        <f t="shared" si="445"/>
        <v>0</v>
      </c>
      <c r="S602" s="23">
        <f t="shared" si="476"/>
        <v>7.3240547802428733</v>
      </c>
      <c r="T602">
        <f>$S602+測地線補正!$Q$26*(lattice!$N602/1000)^3+測地線補正!$P$26*(lattice!$N602/1000)^2+測地線補正!$O$26*(lattice!$N602/1000)+測地線補正!$N$26</f>
        <v>-0.43043472231518476</v>
      </c>
      <c r="U602">
        <v>0</v>
      </c>
      <c r="V602">
        <v>0</v>
      </c>
      <c r="W602">
        <v>0</v>
      </c>
      <c r="X602">
        <f>SQRT(($M$602-$M$601)^2+($N$602-$N$601)^2)</f>
        <v>133.99990067067</v>
      </c>
      <c r="Y602">
        <f>_xlfn.XLOOKUP($F602,設計座標!$E$13:$E$2301,設計座標!$L$13:$L$2301," ",0,1)</f>
        <v>0</v>
      </c>
      <c r="Z602">
        <f>SQRT(($M$602-$M$600)^2+($N$602-$N$600)^2)</f>
        <v>1078.724505399055</v>
      </c>
    </row>
    <row r="603" spans="1:28">
      <c r="A603" t="s">
        <v>797</v>
      </c>
      <c r="B603" t="s">
        <v>3813</v>
      </c>
      <c r="C603" t="s">
        <v>1152</v>
      </c>
      <c r="D603" t="s">
        <v>1152</v>
      </c>
      <c r="E603" t="s">
        <v>804</v>
      </c>
      <c r="F603" t="s">
        <v>3715</v>
      </c>
      <c r="G603" t="s">
        <v>3715</v>
      </c>
      <c r="I603">
        <f>_xlfn.XLOOKUP($F603,設計座標!$E$13:$E$2301,設計座標!$G$13:$G$2301,"n/a",0,1)</f>
        <v>165.46845826136897</v>
      </c>
      <c r="J603">
        <f>_xlfn.XLOOKUP($F603,設計座標!$E$13:$E$2301,設計座標!$H$13:$H$2301,"n/a",0,1)</f>
        <v>-15000</v>
      </c>
      <c r="K603">
        <f>_xlfn.XLOOKUP($F603,設計座標!$E$13:$E$2301,設計座標!$I$13:$I$2301,"n/a",0,1)</f>
        <v>98993.599204539991</v>
      </c>
      <c r="L603">
        <f>_xlfn.XLOOKUP($F603,設計座標!$E$13:$E$2301,設計座標!$J$13:$J$2301,"n/a",0,1)</f>
        <v>-270</v>
      </c>
      <c r="M603" s="2">
        <f t="shared" si="471"/>
        <v>-15011.28965045014</v>
      </c>
      <c r="N603" s="2">
        <f t="shared" si="472"/>
        <v>98993.599204539991</v>
      </c>
      <c r="O603" s="23">
        <f t="shared" si="473"/>
        <v>-262.68398633092642</v>
      </c>
      <c r="P603" s="1">
        <f t="shared" si="486"/>
        <v>-270.43148268064408</v>
      </c>
      <c r="Q603" s="1">
        <f t="shared" si="477"/>
        <v>-11.289650450139758</v>
      </c>
      <c r="R603">
        <f t="shared" si="445"/>
        <v>0</v>
      </c>
      <c r="S603" s="23">
        <f t="shared" si="476"/>
        <v>7.3160136690735849</v>
      </c>
      <c r="T603">
        <f>$S603+測地線補正!$Q$26*(lattice!$N603/1000)^3+測地線補正!$P$26*(lattice!$N603/1000)^2+測地線補正!$O$26*(lattice!$N603/1000)+測地線補正!$N$26</f>
        <v>-0.43148268064409145</v>
      </c>
      <c r="U603">
        <v>0</v>
      </c>
      <c r="V603">
        <v>0</v>
      </c>
      <c r="W603">
        <v>0</v>
      </c>
      <c r="X603">
        <f>$Z$603-($Y$603+$Y$602)/2</f>
        <v>85.00000042542834</v>
      </c>
      <c r="Y603">
        <f>_xlfn.XLOOKUP($F603,設計座標!$E$13:$E$2301,設計座標!$L$13:$L$2301," ",0,1)</f>
        <v>0</v>
      </c>
      <c r="Z603">
        <f>SQRT(($M$603-$M$602)^2+($N$603-$N$602)^2)</f>
        <v>85.00000042542834</v>
      </c>
    </row>
    <row r="604" spans="1:28">
      <c r="A604" t="s">
        <v>797</v>
      </c>
      <c r="B604" t="s">
        <v>3813</v>
      </c>
      <c r="C604" t="s">
        <v>805</v>
      </c>
      <c r="D604" t="s">
        <v>806</v>
      </c>
      <c r="F604" t="s">
        <v>116</v>
      </c>
      <c r="G604" t="s">
        <v>116</v>
      </c>
      <c r="I604">
        <f>_xlfn.XLOOKUP($F604,設計座標!$E$13:$E$2301,設計座標!$G$13:$G$2301,"n/a",0,1)</f>
        <v>165.64128239499897</v>
      </c>
      <c r="J604">
        <f>_xlfn.XLOOKUP($F604,設計座標!$E$13:$E$2301,設計座標!$H$13:$H$2301,"n/a",0,1)</f>
        <v>-15000</v>
      </c>
      <c r="K604">
        <f>_xlfn.XLOOKUP($F604,設計座標!$E$13:$E$2301,設計座標!$I$13:$I$2301,"n/a",0,1)</f>
        <v>98820.775070909993</v>
      </c>
      <c r="L604">
        <f>_xlfn.XLOOKUP($F604,設計座標!$E$13:$E$2301,設計座標!$J$13:$J$2301,"n/a",0,1)</f>
        <v>-20</v>
      </c>
      <c r="M604" s="2">
        <f>_xlfn.XLOOKUP($F604,survey_data!$A$2:$A$833,survey_data!$B$2:$B$833,"n/a",0,1)</f>
        <v>-15011.27235933</v>
      </c>
      <c r="N604" s="2">
        <f>_xlfn.XLOOKUP($F604,survey_data!$A$2:$A$833,survey_data!$C$2:$C$833,"n/a",0,1)</f>
        <v>98820.775070909993</v>
      </c>
      <c r="O604" s="23">
        <f>_xlfn.XLOOKUP($F604,survey_data!$A$2:$A$833,survey_data!$D$2:$D$833,"n/a",0,1)</f>
        <v>-12.70033572</v>
      </c>
      <c r="P604" s="1">
        <f t="shared" si="486"/>
        <v>-20.433622281683963</v>
      </c>
      <c r="Q604" s="1">
        <f t="shared" si="447"/>
        <v>-11.272359329999745</v>
      </c>
      <c r="R604">
        <f t="shared" si="445"/>
        <v>0</v>
      </c>
      <c r="S604" s="23">
        <f t="shared" si="448"/>
        <v>7.29966428</v>
      </c>
      <c r="T604">
        <f>$S604+測地線補正!$Q$26*(lattice!$N604/1000)^3+測地線補正!$P$26*(lattice!$N604/1000)^2+測地線補正!$O$26*(lattice!$N604/1000)+測地線補正!$N$26</f>
        <v>-0.43362228168396411</v>
      </c>
      <c r="U604">
        <f>-ATAN(($P$605-$P$604)/ABS($N$605-$N$604))</f>
        <v>-3.852643619044951E-4</v>
      </c>
      <c r="V604">
        <v>0</v>
      </c>
      <c r="W604">
        <f>ATAN(($M$605-$M$604)/ABS($N$605-$N$604))</f>
        <v>3.9288543515179154E-4</v>
      </c>
      <c r="X604">
        <f>$Z$605-($Y$605+$Y$603)/2</f>
        <v>152.82413804092133</v>
      </c>
      <c r="Y604">
        <f>_xlfn.XLOOKUP($F604,設計座標!$E$13:$E$2301,設計座標!$L$13:$L$2301," ",0,1)</f>
        <v>190</v>
      </c>
      <c r="Z604">
        <f>SQRT(($M$605-$M$603)^2+($N$605-$N$603)^2)</f>
        <v>247.82413804092133</v>
      </c>
      <c r="AA604">
        <f>_xlfn.XLOOKUP($G604,magnet_list!$A$2:$A$592,magnet_list!$AJ$2:$AJ$592,"n/a",0,1)</f>
        <v>0.2039</v>
      </c>
      <c r="AB604">
        <f>_xlfn.XLOOKUP($G604,magnet_list!$A$2:$A$592,magnet_list!$L$2:$L$592,"n/a",0,1)</f>
        <v>23</v>
      </c>
    </row>
    <row r="605" spans="1:28">
      <c r="A605" t="s">
        <v>797</v>
      </c>
      <c r="B605" t="s">
        <v>3813</v>
      </c>
      <c r="C605" t="s">
        <v>805</v>
      </c>
      <c r="D605" t="s">
        <v>1152</v>
      </c>
      <c r="E605" t="s">
        <v>804</v>
      </c>
      <c r="F605" t="s">
        <v>600</v>
      </c>
      <c r="G605" t="s">
        <v>116</v>
      </c>
      <c r="I605">
        <f>_xlfn.XLOOKUP($F605,設計座標!$E$13:$E$2301,設計座標!$G$13:$G$2301,"n/a",0,1)</f>
        <v>165.71628239499896</v>
      </c>
      <c r="J605">
        <f>_xlfn.XLOOKUP($F605,設計座標!$E$13:$E$2301,設計座標!$H$13:$H$2301,"n/a",0,1)</f>
        <v>-15000</v>
      </c>
      <c r="K605">
        <f>_xlfn.XLOOKUP($F605,設計座標!$E$13:$E$2301,設計座標!$I$13:$I$2301,"n/a",0,1)</f>
        <v>98745.775070909993</v>
      </c>
      <c r="L605">
        <f>_xlfn.XLOOKUP($F605,設計座標!$E$13:$E$2301,設計座標!$J$13:$J$2301,"n/a",0,1)</f>
        <v>-20</v>
      </c>
      <c r="M605" s="2">
        <f t="shared" si="471"/>
        <v>-15011.242892920847</v>
      </c>
      <c r="N605" s="2">
        <f t="shared" si="472"/>
        <v>98745.775070909993</v>
      </c>
      <c r="O605" s="23">
        <f t="shared" si="473"/>
        <v>-12.677603775488535</v>
      </c>
      <c r="P605" s="1">
        <f t="shared" si="486"/>
        <v>-20.404727453111519</v>
      </c>
      <c r="Q605" s="1">
        <f>(Q$607-Q$604)/($N$607-$N$604)*($N605-$N$604)+Q$604</f>
        <v>-11.242892920846627</v>
      </c>
      <c r="R605">
        <f t="shared" si="445"/>
        <v>0</v>
      </c>
      <c r="S605" s="23">
        <f t="shared" ref="S605:S606" si="491">(S$607-S$604)/($N$607-$N$604)*($N605-$N$604)+S$604</f>
        <v>7.3223962245114658</v>
      </c>
      <c r="T605">
        <f>$S605+測地線補正!$Q$26*(lattice!$N605/1000)^3+測地線補正!$P$26*(lattice!$N605/1000)^2+測地線補正!$O$26*(lattice!$N605/1000)+測地線補正!$N$26</f>
        <v>-0.4047274531115177</v>
      </c>
      <c r="U605">
        <f>-ATAN(($P$605-$P$604)/ABS($N$605-$N$604))</f>
        <v>-3.852643619044951E-4</v>
      </c>
      <c r="V605">
        <v>0</v>
      </c>
      <c r="W605">
        <f>ATAN(($M$605-$M$604)/ABS($N$605-$N$604))</f>
        <v>3.9288543515179154E-4</v>
      </c>
      <c r="X605">
        <f>$Z$605-($Y$605+$Y$603)/2</f>
        <v>152.82413804092133</v>
      </c>
      <c r="Y605">
        <f>_xlfn.XLOOKUP($F605,設計座標!$E$13:$E$2301,設計座標!$L$13:$L$2301," ",0,1)</f>
        <v>190</v>
      </c>
      <c r="Z605">
        <f>SQRT(($M$605-$M$603)^2+($N$605-$N$603)^2)</f>
        <v>247.82413804092133</v>
      </c>
      <c r="AA605">
        <f>_xlfn.XLOOKUP($G605,magnet_list!$A$2:$A$592,magnet_list!$AJ$2:$AJ$592,"n/a",0,1)</f>
        <v>0.2039</v>
      </c>
      <c r="AB605">
        <f>_xlfn.XLOOKUP($G605,magnet_list!$A$2:$A$592,magnet_list!$L$2:$L$592,"n/a",0,1)</f>
        <v>23</v>
      </c>
    </row>
    <row r="606" spans="1:28">
      <c r="A606" t="s">
        <v>797</v>
      </c>
      <c r="B606" t="s">
        <v>3813</v>
      </c>
      <c r="C606" t="s">
        <v>805</v>
      </c>
      <c r="D606" t="s">
        <v>1152</v>
      </c>
      <c r="E606" t="s">
        <v>804</v>
      </c>
      <c r="F606" t="s">
        <v>601</v>
      </c>
      <c r="G606" t="s">
        <v>117</v>
      </c>
      <c r="I606">
        <f>_xlfn.XLOOKUP($F606,設計座標!$E$13:$E$2301,設計座標!$G$13:$G$2301,"n/a",0,1)</f>
        <v>166.01114080756895</v>
      </c>
      <c r="J606">
        <f>_xlfn.XLOOKUP($F606,設計座標!$E$13:$E$2301,設計座標!$H$13:$H$2301,"n/a",0,1)</f>
        <v>-15000</v>
      </c>
      <c r="K606">
        <f>_xlfn.XLOOKUP($F606,設計座標!$E$13:$E$2301,設計座標!$I$13:$I$2301,"n/a",0,1)</f>
        <v>98450.916658339993</v>
      </c>
      <c r="L606">
        <f>_xlfn.XLOOKUP($F606,設計座標!$E$13:$E$2301,設計座標!$J$13:$J$2301,"n/a",0,1)</f>
        <v>-20</v>
      </c>
      <c r="M606" s="2">
        <f t="shared" si="471"/>
        <v>-15011.127047339152</v>
      </c>
      <c r="N606" s="2">
        <f t="shared" si="472"/>
        <v>98450.916658339993</v>
      </c>
      <c r="O606" s="23">
        <f t="shared" si="473"/>
        <v>-12.588234374511465</v>
      </c>
      <c r="P606" s="1">
        <f t="shared" si="486"/>
        <v>-20.291150695476809</v>
      </c>
      <c r="Q606" s="1">
        <f>(Q$607-Q$604)/($N$607-$N$604)*($N606-$N$604)+Q$604</f>
        <v>-11.12704733915294</v>
      </c>
      <c r="R606">
        <f t="shared" si="445"/>
        <v>0</v>
      </c>
      <c r="S606" s="23">
        <f t="shared" si="491"/>
        <v>7.4117656254885338</v>
      </c>
      <c r="T606">
        <f>$S606+測地線補正!$Q$26*(lattice!$N606/1000)^3+測地線補正!$P$26*(lattice!$N606/1000)^2+測地線補正!$O$26*(lattice!$N606/1000)+測地線補正!$N$26</f>
        <v>-0.29115069547680883</v>
      </c>
      <c r="U606">
        <f>-ATAN(($P$607-$P$606)/ABS($N$607-$N$606))</f>
        <v>-3.8511728885984455E-4</v>
      </c>
      <c r="V606">
        <v>0</v>
      </c>
      <c r="W606">
        <f>ATAN(($M$607-$M$606)/ABS($N$607-$N$606))</f>
        <v>3.9288543515179154E-4</v>
      </c>
      <c r="X606">
        <f>$Z$606-($Y$606+$Y$605)/2</f>
        <v>104.85843532702108</v>
      </c>
      <c r="Y606">
        <f>_xlfn.XLOOKUP($F606,設計座標!$E$13:$E$2301,設計座標!$L$13:$L$2301," ",0,1)</f>
        <v>190</v>
      </c>
      <c r="Z606">
        <f>SQRT(($M$606-$M$605)^2+($N$606-$N$605)^2)</f>
        <v>294.85843532702108</v>
      </c>
      <c r="AA606">
        <f>_xlfn.XLOOKUP($G606,magnet_list!$A$2:$A$592,magnet_list!$AJ$2:$AJ$592,"n/a",0,1)</f>
        <v>0.2039</v>
      </c>
      <c r="AB606">
        <f>_xlfn.XLOOKUP($G606,magnet_list!$A$2:$A$592,magnet_list!$L$2:$L$592,"n/a",0,1)</f>
        <v>23</v>
      </c>
    </row>
    <row r="607" spans="1:28">
      <c r="A607" t="s">
        <v>797</v>
      </c>
      <c r="B607" t="s">
        <v>3813</v>
      </c>
      <c r="C607" t="s">
        <v>805</v>
      </c>
      <c r="D607" t="s">
        <v>806</v>
      </c>
      <c r="F607" t="s">
        <v>117</v>
      </c>
      <c r="G607" t="s">
        <v>117</v>
      </c>
      <c r="I607">
        <f>_xlfn.XLOOKUP($F607,設計座標!$E$13:$E$2301,設計座標!$G$13:$G$2301,"n/a",0,1)</f>
        <v>166.08614080756894</v>
      </c>
      <c r="J607">
        <f>_xlfn.XLOOKUP($F607,設計座標!$E$13:$E$2301,設計座標!$H$13:$H$2301,"n/a",0,1)</f>
        <v>-15000</v>
      </c>
      <c r="K607">
        <f>_xlfn.XLOOKUP($F607,設計座標!$E$13:$E$2301,設計座標!$I$13:$I$2301,"n/a",0,1)</f>
        <v>98375.916658339993</v>
      </c>
      <c r="L607">
        <f>_xlfn.XLOOKUP($F607,設計座標!$E$13:$E$2301,設計座標!$J$13:$J$2301,"n/a",0,1)</f>
        <v>-20</v>
      </c>
      <c r="M607" s="2">
        <f>_xlfn.XLOOKUP($F607,survey_data!$A$2:$A$833,survey_data!$B$2:$B$833,"n/a",0,1)</f>
        <v>-15011.09758093</v>
      </c>
      <c r="N607" s="2">
        <f>_xlfn.XLOOKUP($F607,survey_data!$A$2:$A$833,survey_data!$C$2:$C$833,"n/a",0,1)</f>
        <v>98375.916658339993</v>
      </c>
      <c r="O607" s="23">
        <f>_xlfn.XLOOKUP($F607,survey_data!$A$2:$A$833,survey_data!$D$2:$D$833,"n/a",0,1)</f>
        <v>-12.56550243</v>
      </c>
      <c r="P607" s="1">
        <f t="shared" si="486"/>
        <v>-20.26226689738435</v>
      </c>
      <c r="Q607" s="1">
        <f t="shared" si="447"/>
        <v>-11.097580929999822</v>
      </c>
      <c r="R607">
        <f t="shared" si="445"/>
        <v>0</v>
      </c>
      <c r="S607" s="23">
        <f t="shared" si="448"/>
        <v>7.4344975699999996</v>
      </c>
      <c r="T607">
        <f>$S607+測地線補正!$Q$26*(lattice!$N607/1000)^3+測地線補正!$P$26*(lattice!$N607/1000)^2+測地線補正!$O$26*(lattice!$N607/1000)+測地線補正!$N$26</f>
        <v>-0.26226689738435049</v>
      </c>
      <c r="U607">
        <f>-ATAN(($P$607-$P$606)/ABS($N$607-$N$606))</f>
        <v>-3.8511728885984455E-4</v>
      </c>
      <c r="V607">
        <v>0</v>
      </c>
      <c r="W607">
        <f>ATAN(($M$607-$M$606)/ABS($N$607-$N$606))</f>
        <v>3.9288543515179154E-4</v>
      </c>
      <c r="X607">
        <f>$Z$606-($Y$606+$Y$605)/2</f>
        <v>104.85843532702108</v>
      </c>
      <c r="Y607">
        <f>_xlfn.XLOOKUP($F607,設計座標!$E$13:$E$2301,設計座標!$L$13:$L$2301," ",0,1)</f>
        <v>190</v>
      </c>
      <c r="Z607">
        <f>SQRT(($M$606-$M$605)^2+($N$606-$N$605)^2)</f>
        <v>294.85843532702108</v>
      </c>
      <c r="AA607">
        <f>_xlfn.XLOOKUP($G607,magnet_list!$A$2:$A$592,magnet_list!$AJ$2:$AJ$592,"n/a",0,1)</f>
        <v>0.2039</v>
      </c>
      <c r="AB607">
        <f>_xlfn.XLOOKUP($G607,magnet_list!$A$2:$A$592,magnet_list!$L$2:$L$592,"n/a",0,1)</f>
        <v>23</v>
      </c>
    </row>
    <row r="608" spans="1:28">
      <c r="A608" t="s">
        <v>797</v>
      </c>
      <c r="B608" t="s">
        <v>3813</v>
      </c>
      <c r="C608" t="s">
        <v>2288</v>
      </c>
      <c r="D608" t="s">
        <v>1152</v>
      </c>
      <c r="E608" t="s">
        <v>804</v>
      </c>
      <c r="F608" t="s">
        <v>2313</v>
      </c>
      <c r="G608" t="s">
        <v>2313</v>
      </c>
      <c r="I608">
        <f>_xlfn.XLOOKUP($F608,設計座標!$E$13:$E$2301,設計座標!$G$13:$G$2301,"n/a",0,1)</f>
        <v>166.21293726136898</v>
      </c>
      <c r="J608">
        <f>_xlfn.XLOOKUP($F608,設計座標!$E$13:$E$2301,設計座標!$H$13:$H$2301,"n/a",0,1)</f>
        <v>-15000</v>
      </c>
      <c r="K608">
        <f>_xlfn.XLOOKUP($F608,設計座標!$E$13:$E$2301,設計座標!$I$13:$I$2301,"n/a",0,1)</f>
        <v>98249.120204539984</v>
      </c>
      <c r="L608">
        <f>_xlfn.XLOOKUP($F608,設計座標!$E$13:$E$2301,設計座標!$J$13:$J$2301,"n/a",0,1)</f>
        <v>-270</v>
      </c>
      <c r="M608" s="2">
        <f t="shared" si="471"/>
        <v>-15011.0828442325</v>
      </c>
      <c r="N608" s="2">
        <f t="shared" si="472"/>
        <v>98249.120204539984</v>
      </c>
      <c r="O608" s="23">
        <f t="shared" si="473"/>
        <v>-262.57464285421429</v>
      </c>
      <c r="P608" s="1">
        <f t="shared" si="486"/>
        <v>-270.26101196350169</v>
      </c>
      <c r="Q608" s="1">
        <f>(Q$628-Q$607)/($N$628-$N$607)*($N608-$N$607)+Q$607</f>
        <v>-11.082844232499792</v>
      </c>
      <c r="R608">
        <f t="shared" si="445"/>
        <v>0</v>
      </c>
      <c r="S608" s="23">
        <f t="shared" ref="S608:S627" si="492">(S$628-S$607)/($N$628-$N$607)*($N608-$N$607)+S$607</f>
        <v>7.4253571457857062</v>
      </c>
      <c r="T608">
        <f>$S608+測地線補正!$Q$26*(lattice!$N608/1000)^3+測地線補正!$P$26*(lattice!$N608/1000)^2+測地線補正!$O$26*(lattice!$N608/1000)+測地線補正!$N$26</f>
        <v>-0.26101196350167766</v>
      </c>
      <c r="U608">
        <v>0</v>
      </c>
      <c r="V608">
        <v>0</v>
      </c>
      <c r="W608">
        <v>0</v>
      </c>
      <c r="X608">
        <f>$Z$608-($Y$608+$Y$606)/2</f>
        <v>106.79645864130941</v>
      </c>
      <c r="Y608">
        <f>_xlfn.XLOOKUP($F608,設計座標!$E$13:$E$2301,設計座標!$L$13:$L$2301," ",0,1)</f>
        <v>0</v>
      </c>
      <c r="Z608">
        <f>SQRT(($M$608-$M$606)^2+($N$608-$N$606)^2)</f>
        <v>201.79645864130941</v>
      </c>
    </row>
    <row r="609" spans="1:28">
      <c r="A609" t="s">
        <v>797</v>
      </c>
      <c r="B609" t="s">
        <v>3813</v>
      </c>
      <c r="C609" t="s">
        <v>804</v>
      </c>
      <c r="D609" t="s">
        <v>1152</v>
      </c>
      <c r="E609" t="s">
        <v>804</v>
      </c>
      <c r="F609" t="s">
        <v>1498</v>
      </c>
      <c r="G609" t="s">
        <v>2470</v>
      </c>
      <c r="I609">
        <f>_xlfn.XLOOKUP($F609,設計座標!$E$13:$E$2301,設計座標!$G$13:$G$2301,"n/a",0,1)</f>
        <v>166.34693716136897</v>
      </c>
      <c r="J609">
        <f>_xlfn.XLOOKUP($F609,設計座標!$E$13:$E$2301,設計座標!$H$13:$H$2301,"n/a",0,1)</f>
        <v>-15000</v>
      </c>
      <c r="K609">
        <f>_xlfn.XLOOKUP($F609,設計座標!$E$13:$E$2301,設計座標!$I$13:$I$2301,"n/a",0,1)</f>
        <v>98115.120304539989</v>
      </c>
      <c r="L609">
        <f>_xlfn.XLOOKUP($F609,設計座標!$E$13:$E$2301,設計座標!$J$13:$J$2301,"n/a",0,1)</f>
        <v>-270</v>
      </c>
      <c r="M609" s="2">
        <f t="shared" si="471"/>
        <v>-15011.067270326983</v>
      </c>
      <c r="N609" s="2">
        <f t="shared" si="472"/>
        <v>98115.120304539989</v>
      </c>
      <c r="O609" s="23">
        <f t="shared" si="473"/>
        <v>-262.58430255599592</v>
      </c>
      <c r="P609" s="1">
        <f t="shared" si="486"/>
        <v>-270.25969267866236</v>
      </c>
      <c r="Q609" s="1">
        <f t="shared" ref="Q609:Q627" si="493">(Q$628-Q$607)/($N$628-$N$607)*($N609-$N$607)+Q$607</f>
        <v>-11.06727032698309</v>
      </c>
      <c r="R609">
        <f t="shared" si="445"/>
        <v>0</v>
      </c>
      <c r="S609" s="23">
        <f t="shared" si="492"/>
        <v>7.4156974440041035</v>
      </c>
      <c r="T609">
        <f>$S609+測地線補正!$Q$26*(lattice!$N609/1000)^3+測地線補正!$P$26*(lattice!$N609/1000)^2+測地線補正!$O$26*(lattice!$N609/1000)+測地線補正!$N$26</f>
        <v>-0.25969267866236856</v>
      </c>
      <c r="U609">
        <f>-ATAN(($P$613-$P$609)/ABS($N$613-$N$609))</f>
        <v>-9.4439873631036401E-6</v>
      </c>
      <c r="V609">
        <v>0</v>
      </c>
      <c r="W609">
        <f>ATAN(($M$613-$M$609)/ABS($N$613-$N$609))</f>
        <v>1.1622326170818338E-4</v>
      </c>
      <c r="X609">
        <f>SQRT(($M$609-$M$608)^2+($N$609-$N$608)^2)</f>
        <v>133.9999009050203</v>
      </c>
      <c r="Y609">
        <f>_xlfn.XLOOKUP($F609,設計座標!$E$13:$E$2301,設計座標!$L$13:$L$2301," ",0,1)</f>
        <v>1889.4492</v>
      </c>
      <c r="Z609">
        <f>SQRT(($M$612-$M$610)^2+($N$612-$N$610)^2)</f>
        <v>311.22450210198303</v>
      </c>
    </row>
    <row r="610" spans="1:28">
      <c r="A610" t="s">
        <v>797</v>
      </c>
      <c r="B610" t="s">
        <v>3813</v>
      </c>
      <c r="C610" t="s">
        <v>3855</v>
      </c>
      <c r="D610" t="s">
        <v>1152</v>
      </c>
      <c r="E610" t="s">
        <v>804</v>
      </c>
      <c r="F610" t="s">
        <v>2256</v>
      </c>
      <c r="G610" t="s">
        <v>2256</v>
      </c>
      <c r="I610">
        <f>_xlfn.XLOOKUP($F610,設計座標!$E$13:$E$2301,設計座標!$G$13:$G$2301,"n/a",0,1)</f>
        <v>166.98043726136899</v>
      </c>
      <c r="J610">
        <f>_xlfn.XLOOKUP($F610,設計座標!$E$13:$E$2301,設計座標!$H$13:$H$2301,"n/a",0,1)</f>
        <v>-15000</v>
      </c>
      <c r="K610">
        <f>_xlfn.XLOOKUP($F610,設計座標!$E$13:$E$2301,設計座標!$I$13:$I$2301,"n/a",0,1)</f>
        <v>97481.620204539984</v>
      </c>
      <c r="L610">
        <f>_xlfn.XLOOKUP($F610,設計座標!$E$13:$E$2301,設計座標!$J$13:$J$2301,"n/a",0,1)</f>
        <v>-270</v>
      </c>
      <c r="M610" s="2">
        <f t="shared" si="471"/>
        <v>-15010.993642878737</v>
      </c>
      <c r="N610" s="2">
        <f t="shared" si="472"/>
        <v>97481.620204539984</v>
      </c>
      <c r="O610" s="23">
        <f t="shared" si="473"/>
        <v>-262.62996991876719</v>
      </c>
      <c r="P610" s="1">
        <f t="shared" si="486"/>
        <v>-270.25355214790227</v>
      </c>
      <c r="Q610" s="1">
        <f t="shared" si="493"/>
        <v>-10.99364287873707</v>
      </c>
      <c r="R610">
        <f t="shared" si="445"/>
        <v>0</v>
      </c>
      <c r="S610" s="23">
        <f t="shared" si="492"/>
        <v>7.3700300812328194</v>
      </c>
      <c r="T610">
        <f>$S610+測地線補正!$Q$26*(lattice!$N610/1000)^3+測地線補正!$P$26*(lattice!$N610/1000)^2+測地線補正!$O$26*(lattice!$N610/1000)+測地線補正!$N$26</f>
        <v>-0.25355214790225333</v>
      </c>
      <c r="U610">
        <f t="shared" ref="U610:U611" si="494">-ATAN(($P$613-$P$609)/ABS($N$613-$N$609))</f>
        <v>-9.4439873631036401E-6</v>
      </c>
      <c r="V610">
        <v>0</v>
      </c>
      <c r="W610">
        <f t="shared" ref="W610:W611" si="495">ATAN(($M$613-$M$609)/ABS($N$613-$N$609))</f>
        <v>1.1622326170818338E-4</v>
      </c>
      <c r="X610" t="s">
        <v>3860</v>
      </c>
      <c r="Y610">
        <f>_xlfn.XLOOKUP($F610,設計座標!$E$13:$E$2301,設計座標!$L$13:$L$2301," ",0,1)</f>
        <v>1000</v>
      </c>
      <c r="Z610">
        <f>SQRT(($M$610-$M$608)^2+($N$610-$N$608)^2)</f>
        <v>767.50000518363618</v>
      </c>
      <c r="AA610">
        <f>_xlfn.XLOOKUP($G610,magnet_list!$A$2:$A$592,magnet_list!$AJ$2:$AJ$592,"n/a",0,1)</f>
        <v>0.95010000000000006</v>
      </c>
      <c r="AB610">
        <f>_xlfn.XLOOKUP($G610,magnet_list!$A$2:$A$592,magnet_list!$L$2:$L$592,"n/a",0,1)</f>
        <v>120</v>
      </c>
    </row>
    <row r="611" spans="1:28">
      <c r="A611" t="s">
        <v>797</v>
      </c>
      <c r="B611" t="s">
        <v>3813</v>
      </c>
      <c r="C611" t="s">
        <v>3855</v>
      </c>
      <c r="D611" t="s">
        <v>1152</v>
      </c>
      <c r="E611" t="s">
        <v>804</v>
      </c>
      <c r="F611" t="s">
        <v>2257</v>
      </c>
      <c r="G611" t="s">
        <v>2257</v>
      </c>
      <c r="I611">
        <f>_xlfn.XLOOKUP($F611,設計座標!$E$13:$E$2301,設計座標!$G$13:$G$2301,"n/a",0,1)</f>
        <v>166.98043726136899</v>
      </c>
      <c r="J611">
        <f>_xlfn.XLOOKUP($F611,設計座標!$E$13:$E$2301,設計座標!$H$13:$H$2301,"n/a",0,1)</f>
        <v>-15000</v>
      </c>
      <c r="K611">
        <f>_xlfn.XLOOKUP($F611,設計座標!$E$13:$E$2301,設計座標!$I$13:$I$2301,"n/a",0,1)</f>
        <v>97481.620204539984</v>
      </c>
      <c r="L611">
        <f>_xlfn.XLOOKUP($F611,設計座標!$E$13:$E$2301,設計座標!$J$13:$J$2301,"n/a",0,1)</f>
        <v>-270</v>
      </c>
      <c r="M611" s="2">
        <f t="shared" si="471"/>
        <v>-15010.993642878737</v>
      </c>
      <c r="N611" s="2">
        <f t="shared" si="472"/>
        <v>97481.620204539984</v>
      </c>
      <c r="O611" s="23">
        <f t="shared" si="473"/>
        <v>-262.62996991876719</v>
      </c>
      <c r="P611" s="1">
        <f t="shared" si="486"/>
        <v>-270.25355214790227</v>
      </c>
      <c r="Q611" s="1">
        <f t="shared" si="493"/>
        <v>-10.99364287873707</v>
      </c>
      <c r="R611">
        <f t="shared" si="445"/>
        <v>0</v>
      </c>
      <c r="S611" s="23">
        <f t="shared" si="492"/>
        <v>7.3700300812328194</v>
      </c>
      <c r="T611">
        <f>$S611+測地線補正!$Q$26*(lattice!$N611/1000)^3+測地線補正!$P$26*(lattice!$N611/1000)^2+測地線補正!$O$26*(lattice!$N611/1000)+測地線補正!$N$26</f>
        <v>-0.25355214790225333</v>
      </c>
      <c r="U611">
        <f t="shared" si="494"/>
        <v>-9.4439873631036401E-6</v>
      </c>
      <c r="V611">
        <v>0</v>
      </c>
      <c r="W611">
        <f t="shared" si="495"/>
        <v>1.1622326170818338E-4</v>
      </c>
      <c r="X611" t="s">
        <v>3860</v>
      </c>
      <c r="Y611">
        <f>_xlfn.XLOOKUP($F611,設計座標!$E$13:$E$2301,設計座標!$L$13:$L$2301," ",0,1)</f>
        <v>1000</v>
      </c>
      <c r="Z611">
        <f>SQRT(($M$610-$M$608)^2+($N$610-$N$608)^2)</f>
        <v>767.50000518363618</v>
      </c>
      <c r="AA611">
        <f>_xlfn.XLOOKUP($G611,magnet_list!$A$2:$A$592,magnet_list!$AJ$2:$AJ$592,"n/a",0,1)</f>
        <v>0.95010000000000006</v>
      </c>
      <c r="AB611">
        <f>_xlfn.XLOOKUP($G611,magnet_list!$A$2:$A$592,magnet_list!$L$2:$L$592,"n/a",0,1)</f>
        <v>120</v>
      </c>
    </row>
    <row r="612" spans="1:28">
      <c r="A612" t="s">
        <v>797</v>
      </c>
      <c r="B612" t="s">
        <v>3813</v>
      </c>
      <c r="C612" t="s">
        <v>804</v>
      </c>
      <c r="D612" t="s">
        <v>1152</v>
      </c>
      <c r="E612" t="s">
        <v>804</v>
      </c>
      <c r="F612" t="s">
        <v>1178</v>
      </c>
      <c r="G612" t="s">
        <v>2470</v>
      </c>
      <c r="I612">
        <f>_xlfn.XLOOKUP($F612,設計座標!$E$13:$E$2301,設計座標!$G$13:$G$2301,"n/a",0,1)</f>
        <v>167.29166176136897</v>
      </c>
      <c r="J612">
        <f>_xlfn.XLOOKUP($F612,設計座標!$E$13:$E$2301,設計座標!$H$13:$H$2301,"n/a",0,1)</f>
        <v>-15000</v>
      </c>
      <c r="K612">
        <f>_xlfn.XLOOKUP($F612,設計座標!$E$13:$E$2301,設計座標!$I$13:$I$2301,"n/a",0,1)</f>
        <v>97170.395704539987</v>
      </c>
      <c r="L612">
        <f>_xlfn.XLOOKUP($F612,設計座標!$E$13:$E$2301,設計座標!$J$13:$J$2301,"n/a",0,1)</f>
        <v>-270</v>
      </c>
      <c r="M612" s="2">
        <f t="shared" si="471"/>
        <v>-15010.957471352061</v>
      </c>
      <c r="N612" s="2">
        <f t="shared" si="472"/>
        <v>97170.395704539987</v>
      </c>
      <c r="O612" s="23">
        <f t="shared" si="473"/>
        <v>-262.65240527772738</v>
      </c>
      <c r="P612" s="1">
        <f t="shared" si="486"/>
        <v>-270.25059377937487</v>
      </c>
      <c r="Q612" s="1">
        <f t="shared" si="493"/>
        <v>-10.957471352060683</v>
      </c>
      <c r="R612">
        <f t="shared" si="445"/>
        <v>0</v>
      </c>
      <c r="S612" s="23">
        <f t="shared" si="492"/>
        <v>7.3475947222726372</v>
      </c>
      <c r="T612">
        <f>$S612+測地線補正!$Q$26*(lattice!$N612/1000)^3+測地線補正!$P$26*(lattice!$N612/1000)^2+測地線補正!$O$26*(lattice!$N612/1000)+測地線補正!$N$26</f>
        <v>-0.25059377937485583</v>
      </c>
      <c r="U612">
        <f t="shared" ref="U612:U613" si="496">-ATAN(($P$613-$P$609)/ABS($N$613-$N$609))</f>
        <v>-9.4439873631036401E-6</v>
      </c>
      <c r="V612">
        <v>0</v>
      </c>
      <c r="W612">
        <f t="shared" ref="W612:W613" si="497">ATAN(($M$613-$M$609)/ABS($N$613-$N$609))</f>
        <v>1.1622326170818338E-4</v>
      </c>
      <c r="X612" t="s">
        <v>3860</v>
      </c>
      <c r="Y612">
        <f>_xlfn.XLOOKUP($F612,設計座標!$E$13:$E$2301,設計座標!$L$13:$L$2301," ",0,1)</f>
        <v>1889.4492</v>
      </c>
      <c r="Z612">
        <f>SQRT(($M$612-$M$610)^2+($N$612-$N$610)^2)</f>
        <v>311.22450210198303</v>
      </c>
    </row>
    <row r="613" spans="1:28">
      <c r="A613" t="s">
        <v>797</v>
      </c>
      <c r="B613" t="s">
        <v>3813</v>
      </c>
      <c r="C613" t="s">
        <v>804</v>
      </c>
      <c r="D613" t="s">
        <v>1152</v>
      </c>
      <c r="E613" t="s">
        <v>804</v>
      </c>
      <c r="F613" t="s">
        <v>1499</v>
      </c>
      <c r="G613" t="s">
        <v>2470</v>
      </c>
      <c r="I613">
        <f>_xlfn.XLOOKUP($F613,設計座標!$E$13:$E$2301,設計座標!$G$13:$G$2301,"n/a",0,1)</f>
        <v>168.23638636136897</v>
      </c>
      <c r="J613">
        <f>_xlfn.XLOOKUP($F613,設計座標!$E$13:$E$2301,設計座標!$H$13:$H$2301,"n/a",0,1)</f>
        <v>-15000</v>
      </c>
      <c r="K613">
        <f>_xlfn.XLOOKUP($F613,設計座標!$E$13:$E$2301,設計座標!$I$13:$I$2301,"n/a",0,1)</f>
        <v>96225.671104539986</v>
      </c>
      <c r="L613">
        <f>_xlfn.XLOOKUP($F613,設計座標!$E$13:$E$2301,設計座標!$J$13:$J$2301,"n/a",0,1)</f>
        <v>-270</v>
      </c>
      <c r="M613" s="2">
        <f t="shared" si="471"/>
        <v>-15010.847672377138</v>
      </c>
      <c r="N613" s="2">
        <f t="shared" si="472"/>
        <v>96225.671104539986</v>
      </c>
      <c r="O613" s="23">
        <f t="shared" si="473"/>
        <v>-262.72050799945885</v>
      </c>
      <c r="P613" s="1">
        <f t="shared" si="486"/>
        <v>-270.2418487442938</v>
      </c>
      <c r="Q613" s="1">
        <f t="shared" si="493"/>
        <v>-10.847672377138277</v>
      </c>
      <c r="R613">
        <f t="shared" si="445"/>
        <v>0</v>
      </c>
      <c r="S613" s="23">
        <f t="shared" si="492"/>
        <v>7.2794920005411701</v>
      </c>
      <c r="T613">
        <f>$S613+測地線補正!$Q$26*(lattice!$N613/1000)^3+測地線補正!$P$26*(lattice!$N613/1000)^2+測地線補正!$O$26*(lattice!$N613/1000)+測地線補正!$N$26</f>
        <v>-0.24184874429381087</v>
      </c>
      <c r="U613">
        <f t="shared" si="496"/>
        <v>-9.4439873631036401E-6</v>
      </c>
      <c r="V613">
        <v>0</v>
      </c>
      <c r="W613">
        <f t="shared" si="497"/>
        <v>1.1622326170818338E-4</v>
      </c>
      <c r="X613" t="s">
        <v>3860</v>
      </c>
      <c r="Y613">
        <f>_xlfn.XLOOKUP($F613,設計座標!$E$13:$E$2301,設計座標!$L$13:$L$2301," ",0,1)</f>
        <v>1889.4492</v>
      </c>
      <c r="Z613">
        <f>SQRT(($M$612-$M$610)^2+($N$612-$N$610)^2)</f>
        <v>311.22450210198303</v>
      </c>
    </row>
    <row r="614" spans="1:28">
      <c r="A614" t="s">
        <v>797</v>
      </c>
      <c r="B614" t="s">
        <v>3813</v>
      </c>
      <c r="C614" t="s">
        <v>804</v>
      </c>
      <c r="D614" t="s">
        <v>1152</v>
      </c>
      <c r="E614" t="s">
        <v>804</v>
      </c>
      <c r="F614" t="s">
        <v>1500</v>
      </c>
      <c r="G614" t="s">
        <v>2471</v>
      </c>
      <c r="I614">
        <f>_xlfn.XLOOKUP($F614,設計座標!$E$13:$E$2301,設計座標!$G$13:$G$2301,"n/a",0,1)</f>
        <v>168.44632516136897</v>
      </c>
      <c r="J614">
        <f>_xlfn.XLOOKUP($F614,設計座標!$E$13:$E$2301,設計座標!$H$13:$H$2301,"n/a",0,1)</f>
        <v>-15000</v>
      </c>
      <c r="K614">
        <f>_xlfn.XLOOKUP($F614,設計座標!$E$13:$E$2301,設計座標!$I$13:$I$2301,"n/a",0,1)</f>
        <v>96015.732304539983</v>
      </c>
      <c r="L614">
        <f>_xlfn.XLOOKUP($F614,設計座標!$E$13:$E$2301,設計座標!$J$13:$J$2301,"n/a",0,1)</f>
        <v>-270</v>
      </c>
      <c r="M614" s="2">
        <f t="shared" si="471"/>
        <v>-15010.823272604934</v>
      </c>
      <c r="N614" s="2">
        <f t="shared" si="472"/>
        <v>96015.732304539983</v>
      </c>
      <c r="O614" s="23">
        <f t="shared" si="473"/>
        <v>-262.73564193762138</v>
      </c>
      <c r="P614" s="1">
        <f t="shared" si="486"/>
        <v>-270.23995338974879</v>
      </c>
      <c r="Q614" s="1">
        <f t="shared" si="493"/>
        <v>-10.823272604933299</v>
      </c>
      <c r="R614">
        <f t="shared" si="445"/>
        <v>0</v>
      </c>
      <c r="S614" s="23">
        <f t="shared" si="492"/>
        <v>7.2643580623786219</v>
      </c>
      <c r="T614">
        <f>$S614+測地線補正!$Q$26*(lattice!$N614/1000)^3+測地線補正!$P$26*(lattice!$N614/1000)^2+測地線補正!$O$26*(lattice!$N614/1000)+測地線補正!$N$26</f>
        <v>-0.23995338974878355</v>
      </c>
      <c r="U614">
        <f>-ATAN(($P$616-$P$614)/ABS($N$616-$N$614))</f>
        <v>-8.6134066129205718E-6</v>
      </c>
      <c r="V614">
        <v>0</v>
      </c>
      <c r="W614">
        <f>ATAN(($M$616-$M$614)/ABS($N$616-$N$614))</f>
        <v>1.1622326170818338E-4</v>
      </c>
      <c r="X614">
        <f>SQRT(($M$614-$M$613)^2+($N$614-$N$613)^2)</f>
        <v>209.93880141791411</v>
      </c>
      <c r="Y614">
        <f>_xlfn.XLOOKUP($F614,設計座標!$E$13:$E$2301,設計座標!$L$13:$L$2301," ",0,1)</f>
        <v>1889.4492</v>
      </c>
      <c r="Z614">
        <f>SQRT(($M$615-$M$612)^2+($N$615-$N$612)^2)</f>
        <v>2099.3880141791119</v>
      </c>
    </row>
    <row r="615" spans="1:28">
      <c r="A615" t="s">
        <v>797</v>
      </c>
      <c r="B615" t="s">
        <v>3813</v>
      </c>
      <c r="C615" t="s">
        <v>804</v>
      </c>
      <c r="D615" t="s">
        <v>1152</v>
      </c>
      <c r="E615" t="s">
        <v>804</v>
      </c>
      <c r="F615" t="s">
        <v>1234</v>
      </c>
      <c r="G615" t="s">
        <v>2471</v>
      </c>
      <c r="I615">
        <f>_xlfn.XLOOKUP($F615,設計座標!$E$13:$E$2301,設計座標!$G$13:$G$2301,"n/a",0,1)</f>
        <v>169.39104976136898</v>
      </c>
      <c r="J615">
        <f>_xlfn.XLOOKUP($F615,設計座標!$E$13:$E$2301,設計座標!$H$13:$H$2301,"n/a",0,1)</f>
        <v>-15000</v>
      </c>
      <c r="K615">
        <f>_xlfn.XLOOKUP($F615,設計座標!$E$13:$E$2301,設計座標!$I$13:$I$2301,"n/a",0,1)</f>
        <v>95071.007704539981</v>
      </c>
      <c r="L615">
        <f>_xlfn.XLOOKUP($F615,設計座標!$E$13:$E$2301,設計座標!$J$13:$J$2301,"n/a",0,1)</f>
        <v>-270</v>
      </c>
      <c r="M615" s="2">
        <f t="shared" si="471"/>
        <v>-15010.71347363001</v>
      </c>
      <c r="N615" s="2">
        <f t="shared" si="472"/>
        <v>95071.007704539981</v>
      </c>
      <c r="O615" s="23">
        <f t="shared" si="473"/>
        <v>-262.80374465935284</v>
      </c>
      <c r="P615" s="1">
        <f t="shared" si="486"/>
        <v>-270.23163992320463</v>
      </c>
      <c r="Q615" s="1">
        <f t="shared" si="493"/>
        <v>-10.713473630010894</v>
      </c>
      <c r="R615">
        <f t="shared" si="445"/>
        <v>0</v>
      </c>
      <c r="S615" s="23">
        <f t="shared" si="492"/>
        <v>7.1962553406471557</v>
      </c>
      <c r="T615">
        <f>$S615+測地線補正!$Q$26*(lattice!$N615/1000)^3+測地線補正!$P$26*(lattice!$N615/1000)^2+測地線補正!$O$26*(lattice!$N615/1000)+測地線補正!$N$26</f>
        <v>-0.23163992320461202</v>
      </c>
      <c r="U615">
        <f t="shared" ref="U615:U616" si="498">-ATAN(($P$616-$P$614)/ABS($N$616-$N$614))</f>
        <v>-8.6134066129205718E-6</v>
      </c>
      <c r="V615">
        <v>0</v>
      </c>
      <c r="W615">
        <f t="shared" ref="W615:W616" si="499">ATAN(($M$616-$M$614)/ABS($N$616-$N$614))</f>
        <v>1.1622326170818338E-4</v>
      </c>
      <c r="X615" t="s">
        <v>3860</v>
      </c>
      <c r="Y615">
        <f>_xlfn.XLOOKUP($F615,設計座標!$E$13:$E$2301,設計座標!$L$13:$L$2301," ",0,1)</f>
        <v>1889.4492</v>
      </c>
      <c r="Z615">
        <f>SQRT(($M$615-$M$612)^2+($N$615-$N$612)^2)</f>
        <v>2099.3880141791119</v>
      </c>
    </row>
    <row r="616" spans="1:28">
      <c r="A616" t="s">
        <v>797</v>
      </c>
      <c r="B616" t="s">
        <v>3813</v>
      </c>
      <c r="C616" t="s">
        <v>804</v>
      </c>
      <c r="D616" t="s">
        <v>1152</v>
      </c>
      <c r="E616" t="s">
        <v>804</v>
      </c>
      <c r="F616" t="s">
        <v>1501</v>
      </c>
      <c r="G616" t="s">
        <v>2471</v>
      </c>
      <c r="I616">
        <f>_xlfn.XLOOKUP($F616,設計座標!$E$13:$E$2301,設計座標!$G$13:$G$2301,"n/a",0,1)</f>
        <v>170.33577436136898</v>
      </c>
      <c r="J616">
        <f>_xlfn.XLOOKUP($F616,設計座標!$E$13:$E$2301,設計座標!$H$13:$H$2301,"n/a",0,1)</f>
        <v>-15000</v>
      </c>
      <c r="K616">
        <f>_xlfn.XLOOKUP($F616,設計座標!$E$13:$E$2301,設計座標!$I$13:$I$2301,"n/a",0,1)</f>
        <v>94126.28310453998</v>
      </c>
      <c r="L616">
        <f>_xlfn.XLOOKUP($F616,設計座標!$E$13:$E$2301,設計座標!$J$13:$J$2301,"n/a",0,1)</f>
        <v>-270</v>
      </c>
      <c r="M616" s="2">
        <f t="shared" si="471"/>
        <v>-15010.603674655089</v>
      </c>
      <c r="N616" s="2">
        <f t="shared" si="472"/>
        <v>94126.28310453998</v>
      </c>
      <c r="O616" s="23">
        <f t="shared" si="473"/>
        <v>-262.87184738108431</v>
      </c>
      <c r="P616" s="1">
        <f t="shared" si="486"/>
        <v>-270.22367879551433</v>
      </c>
      <c r="Q616" s="1">
        <f t="shared" si="493"/>
        <v>-10.603674655088486</v>
      </c>
      <c r="R616">
        <f t="shared" si="445"/>
        <v>0</v>
      </c>
      <c r="S616" s="23">
        <f t="shared" si="492"/>
        <v>7.1281526189156894</v>
      </c>
      <c r="T616">
        <f>$S616+測地線補正!$Q$26*(lattice!$N616/1000)^3+測地線補正!$P$26*(lattice!$N616/1000)^2+測地線補正!$O$26*(lattice!$N616/1000)+測地線補正!$N$26</f>
        <v>-0.22367879551431646</v>
      </c>
      <c r="U616">
        <f t="shared" si="498"/>
        <v>-8.6134066129205718E-6</v>
      </c>
      <c r="V616">
        <v>0</v>
      </c>
      <c r="W616">
        <f t="shared" si="499"/>
        <v>1.1622326170818338E-4</v>
      </c>
      <c r="X616" t="s">
        <v>3860</v>
      </c>
      <c r="Y616">
        <f>_xlfn.XLOOKUP($F616,設計座標!$E$13:$E$2301,設計座標!$L$13:$L$2301," ",0,1)</f>
        <v>1889.4492</v>
      </c>
      <c r="Z616">
        <f>SQRT(($M$615-$M$612)^2+($N$615-$N$612)^2)</f>
        <v>2099.3880141791119</v>
      </c>
    </row>
    <row r="617" spans="1:28">
      <c r="A617" t="s">
        <v>797</v>
      </c>
      <c r="B617" t="s">
        <v>3813</v>
      </c>
      <c r="C617" t="s">
        <v>1152</v>
      </c>
      <c r="D617" t="s">
        <v>1152</v>
      </c>
      <c r="E617" t="s">
        <v>804</v>
      </c>
      <c r="F617" t="s">
        <v>2013</v>
      </c>
      <c r="G617" t="s">
        <v>2013</v>
      </c>
      <c r="I617">
        <f>_xlfn.XLOOKUP($F617,設計座標!$E$13:$E$2301,設計座標!$G$13:$G$2301,"n/a",0,1)</f>
        <v>170.60477426136896</v>
      </c>
      <c r="J617">
        <f>_xlfn.XLOOKUP($F617,設計座標!$E$13:$E$2301,設計座標!$H$13:$H$2301,"n/a",0,1)</f>
        <v>-15000</v>
      </c>
      <c r="K617">
        <f>_xlfn.XLOOKUP($F617,設計座標!$E$13:$E$2301,設計座標!$I$13:$I$2301,"n/a",0,1)</f>
        <v>93857.283204539985</v>
      </c>
      <c r="L617">
        <f>_xlfn.XLOOKUP($F617,設計座標!$E$13:$E$2301,設計座標!$J$13:$J$2301,"n/a",0,1)</f>
        <v>-270</v>
      </c>
      <c r="M617" s="2">
        <f t="shared" si="471"/>
        <v>-15010.572410609171</v>
      </c>
      <c r="N617" s="2">
        <f t="shared" si="472"/>
        <v>93857.283204539985</v>
      </c>
      <c r="O617" s="23">
        <f t="shared" si="473"/>
        <v>-262.89123887923677</v>
      </c>
      <c r="P617" s="1">
        <f t="shared" si="486"/>
        <v>-270.22147630214062</v>
      </c>
      <c r="Q617" s="1">
        <f t="shared" si="493"/>
        <v>-10.572410609170525</v>
      </c>
      <c r="R617">
        <f t="shared" si="445"/>
        <v>0</v>
      </c>
      <c r="S617" s="23">
        <f t="shared" si="492"/>
        <v>7.1087611207632202</v>
      </c>
      <c r="T617">
        <f>$S617+測地線補正!$Q$26*(lattice!$N617/1000)^3+測地線補正!$P$26*(lattice!$N617/1000)^2+測地線補正!$O$26*(lattice!$N617/1000)+測地線補正!$N$26</f>
        <v>-0.22147630214061675</v>
      </c>
      <c r="U617">
        <v>0</v>
      </c>
      <c r="V617">
        <v>0</v>
      </c>
      <c r="W617">
        <v>0</v>
      </c>
      <c r="X617">
        <f>SQRT(($M$617-$M$616)^2+($N$617-$N$616)^2)</f>
        <v>268.99990181679993</v>
      </c>
      <c r="Y617">
        <f>_xlfn.XLOOKUP($F617,設計座標!$E$13:$E$2301,設計座標!$L$13:$L$2301," ",0,1)</f>
        <v>0</v>
      </c>
      <c r="Z617">
        <f>SQRT(($M$617-$M$615)^2+($N$617-$N$615)^2)</f>
        <v>1213.7245081973988</v>
      </c>
    </row>
    <row r="618" spans="1:28">
      <c r="A618" t="s">
        <v>797</v>
      </c>
      <c r="B618" t="s">
        <v>3813</v>
      </c>
      <c r="C618" t="s">
        <v>1152</v>
      </c>
      <c r="D618" t="s">
        <v>1152</v>
      </c>
      <c r="E618" t="s">
        <v>804</v>
      </c>
      <c r="F618" t="s">
        <v>2014</v>
      </c>
      <c r="G618" t="s">
        <v>2014</v>
      </c>
      <c r="I618">
        <f>_xlfn.XLOOKUP($F618,設計座標!$E$13:$E$2301,設計座標!$G$13:$G$2301,"n/a",0,1)</f>
        <v>170.68977426136897</v>
      </c>
      <c r="J618">
        <f>_xlfn.XLOOKUP($F618,設計座標!$E$13:$E$2301,設計座標!$H$13:$H$2301,"n/a",0,1)</f>
        <v>-15000</v>
      </c>
      <c r="K618">
        <f>_xlfn.XLOOKUP($F618,設計座標!$E$13:$E$2301,設計座標!$I$13:$I$2301,"n/a",0,1)</f>
        <v>93772.283204539985</v>
      </c>
      <c r="L618">
        <f>_xlfn.XLOOKUP($F618,設計座標!$E$13:$E$2301,設計座標!$J$13:$J$2301,"n/a",0,1)</f>
        <v>-270</v>
      </c>
      <c r="M618" s="2">
        <f t="shared" si="471"/>
        <v>-15010.56253163188</v>
      </c>
      <c r="N618" s="2">
        <f t="shared" si="472"/>
        <v>93772.283204539985</v>
      </c>
      <c r="O618" s="23">
        <f t="shared" si="473"/>
        <v>-262.89736630658138</v>
      </c>
      <c r="P618" s="1">
        <f t="shared" si="486"/>
        <v>-270.22078627200665</v>
      </c>
      <c r="Q618" s="1">
        <f t="shared" si="493"/>
        <v>-10.562531631880841</v>
      </c>
      <c r="R618">
        <f t="shared" si="445"/>
        <v>0</v>
      </c>
      <c r="S618" s="23">
        <f t="shared" si="492"/>
        <v>7.1026336934186007</v>
      </c>
      <c r="T618">
        <f>$S618+測地線補正!$Q$26*(lattice!$N618/1000)^3+測地線補正!$P$26*(lattice!$N618/1000)^2+測地線補正!$O$26*(lattice!$N618/1000)+測地線補正!$N$26</f>
        <v>-0.22078627200665335</v>
      </c>
      <c r="U618">
        <v>0</v>
      </c>
      <c r="V618">
        <v>0</v>
      </c>
      <c r="W618">
        <v>0</v>
      </c>
      <c r="X618">
        <f>$Z$618-($Y$618+$Y$617)/2</f>
        <v>85.000000574083487</v>
      </c>
      <c r="Y618">
        <f>_xlfn.XLOOKUP($F618,設計座標!$E$13:$E$2301,設計座標!$L$13:$L$2301," ",0,1)</f>
        <v>0</v>
      </c>
      <c r="Z618">
        <f>SQRT(($M$618-$M$617)^2+($N$618-$N$617)^2)</f>
        <v>85.000000574083487</v>
      </c>
    </row>
    <row r="619" spans="1:28">
      <c r="A619" t="s">
        <v>797</v>
      </c>
      <c r="B619" t="s">
        <v>3813</v>
      </c>
      <c r="C619" t="s">
        <v>804</v>
      </c>
      <c r="D619" t="s">
        <v>1152</v>
      </c>
      <c r="E619" t="s">
        <v>804</v>
      </c>
      <c r="F619" t="s">
        <v>1502</v>
      </c>
      <c r="G619" t="s">
        <v>2472</v>
      </c>
      <c r="I619">
        <f>_xlfn.XLOOKUP($F619,設計座標!$E$13:$E$2301,設計座標!$G$13:$G$2301,"n/a",0,1)</f>
        <v>170.86062116136898</v>
      </c>
      <c r="J619">
        <f>_xlfn.XLOOKUP($F619,設計座標!$E$13:$E$2301,設計座標!$H$13:$H$2301,"n/a",0,1)</f>
        <v>-15000</v>
      </c>
      <c r="K619">
        <f>_xlfn.XLOOKUP($F619,設計座標!$E$13:$E$2301,設計座標!$I$13:$I$2301,"n/a",0,1)</f>
        <v>93601.43630453998</v>
      </c>
      <c r="L619">
        <f>_xlfn.XLOOKUP($F619,設計座標!$E$13:$E$2301,設計座標!$J$13:$J$2301,"n/a",0,1)</f>
        <v>-270</v>
      </c>
      <c r="M619" s="2">
        <f t="shared" si="471"/>
        <v>-15010.542675247822</v>
      </c>
      <c r="N619" s="2">
        <f t="shared" si="472"/>
        <v>93601.43630453998</v>
      </c>
      <c r="O619" s="23">
        <f t="shared" si="473"/>
        <v>-262.90968221207322</v>
      </c>
      <c r="P619" s="1">
        <f t="shared" si="486"/>
        <v>-270.21940794093194</v>
      </c>
      <c r="Q619" s="1">
        <f t="shared" si="493"/>
        <v>-10.542675247820693</v>
      </c>
      <c r="R619">
        <f t="shared" ref="R619:R682" si="500">$N619-$K619</f>
        <v>0</v>
      </c>
      <c r="S619" s="23">
        <f t="shared" si="492"/>
        <v>7.0903177879267947</v>
      </c>
      <c r="T619">
        <f>$S619+測地線補正!$Q$26*(lattice!$N619/1000)^3+測地線補正!$P$26*(lattice!$N619/1000)^2+測地線補正!$O$26*(lattice!$N619/1000)+測地線補正!$N$26</f>
        <v>-0.21940794093192317</v>
      </c>
      <c r="U619">
        <f>-ATAN(($P$623-$P$619)/ABS($N$623-$N$619))</f>
        <v>-7.6626744945136242E-6</v>
      </c>
      <c r="V619">
        <v>0</v>
      </c>
      <c r="W619">
        <f>ATAN(($M$623-$M$619)/ABS($N$623-$N$619))</f>
        <v>1.1622326170914608E-4</v>
      </c>
      <c r="X619">
        <f>SQRT(($M$619-$M$618)^2+($N$619-$N$618)^2)</f>
        <v>170.84690115389097</v>
      </c>
      <c r="Y619">
        <f>_xlfn.XLOOKUP($F619,設計座標!$E$13:$E$2301,設計座標!$L$13:$L$2301," ",0,1)</f>
        <v>1889.4492</v>
      </c>
      <c r="Z619">
        <f>SQRT(($M$622-$M$620)^2+($N$622-$N$620)^2)</f>
        <v>311.22450210199759</v>
      </c>
    </row>
    <row r="620" spans="1:28">
      <c r="A620" t="s">
        <v>797</v>
      </c>
      <c r="B620" t="s">
        <v>3813</v>
      </c>
      <c r="C620" t="s">
        <v>3855</v>
      </c>
      <c r="D620" t="s">
        <v>1152</v>
      </c>
      <c r="E620" t="s">
        <v>804</v>
      </c>
      <c r="F620" t="s">
        <v>2258</v>
      </c>
      <c r="G620" t="s">
        <v>2258</v>
      </c>
      <c r="I620">
        <f>_xlfn.XLOOKUP($F620,設計座標!$E$13:$E$2301,設計座標!$G$13:$G$2301,"n/a",0,1)</f>
        <v>171.49412126136897</v>
      </c>
      <c r="J620">
        <f>_xlfn.XLOOKUP($F620,設計座標!$E$13:$E$2301,設計座標!$H$13:$H$2301,"n/a",0,1)</f>
        <v>-15000</v>
      </c>
      <c r="K620">
        <f>_xlfn.XLOOKUP($F620,設計座標!$E$13:$E$2301,設計座標!$I$13:$I$2301,"n/a",0,1)</f>
        <v>92967.93620453999</v>
      </c>
      <c r="L620">
        <f>_xlfn.XLOOKUP($F620,設計座標!$E$13:$E$2301,設計座標!$J$13:$J$2301,"n/a",0,1)</f>
        <v>-270</v>
      </c>
      <c r="M620" s="2">
        <f t="shared" si="471"/>
        <v>-15010.469047799575</v>
      </c>
      <c r="N620" s="2">
        <f t="shared" si="472"/>
        <v>92967.93620453999</v>
      </c>
      <c r="O620" s="23">
        <f t="shared" si="473"/>
        <v>-262.95534957484449</v>
      </c>
      <c r="P620" s="1">
        <f t="shared" si="486"/>
        <v>-270.21439733384898</v>
      </c>
      <c r="Q620" s="1">
        <f t="shared" si="493"/>
        <v>-10.469047799574675</v>
      </c>
      <c r="R620">
        <f t="shared" si="500"/>
        <v>0</v>
      </c>
      <c r="S620" s="23">
        <f t="shared" si="492"/>
        <v>7.0446504251555115</v>
      </c>
      <c r="T620">
        <f>$S620+測地線補正!$Q$26*(lattice!$N620/1000)^3+測地線補正!$P$26*(lattice!$N620/1000)^2+測地線補正!$O$26*(lattice!$N620/1000)+測地線補正!$N$26</f>
        <v>-0.21439733384895221</v>
      </c>
      <c r="U620">
        <f t="shared" ref="U620:U621" si="501">-ATAN(($P$623-$P$619)/ABS($N$623-$N$619))</f>
        <v>-7.6626744945136242E-6</v>
      </c>
      <c r="V620">
        <v>0</v>
      </c>
      <c r="W620">
        <f t="shared" ref="W620:W621" si="502">ATAN(($M$623-$M$619)/ABS($N$623-$N$619))</f>
        <v>1.1622326170914608E-4</v>
      </c>
      <c r="X620" t="s">
        <v>3860</v>
      </c>
      <c r="Y620">
        <f>_xlfn.XLOOKUP($F620,設計座標!$E$13:$E$2301,設計座標!$L$13:$L$2301," ",0,1)</f>
        <v>1000</v>
      </c>
      <c r="Z620">
        <f>SQRT(($M$620-$M$618)^2+($N$620-$N$618)^2)</f>
        <v>804.34700543249221</v>
      </c>
      <c r="AA620">
        <f>_xlfn.XLOOKUP($G620,magnet_list!$A$2:$A$592,magnet_list!$AJ$2:$AJ$592,"n/a",0,1)</f>
        <v>0.95010000000000006</v>
      </c>
      <c r="AB620">
        <f>_xlfn.XLOOKUP($G620,magnet_list!$A$2:$A$592,magnet_list!$L$2:$L$592,"n/a",0,1)</f>
        <v>120</v>
      </c>
    </row>
    <row r="621" spans="1:28">
      <c r="A621" t="s">
        <v>797</v>
      </c>
      <c r="B621" t="s">
        <v>3813</v>
      </c>
      <c r="C621" t="s">
        <v>3855</v>
      </c>
      <c r="D621" t="s">
        <v>1152</v>
      </c>
      <c r="E621" t="s">
        <v>804</v>
      </c>
      <c r="F621" t="s">
        <v>2259</v>
      </c>
      <c r="G621" t="s">
        <v>2259</v>
      </c>
      <c r="I621">
        <f>_xlfn.XLOOKUP($F621,設計座標!$E$13:$E$2301,設計座標!$G$13:$G$2301,"n/a",0,1)</f>
        <v>171.49412126136897</v>
      </c>
      <c r="J621">
        <f>_xlfn.XLOOKUP($F621,設計座標!$E$13:$E$2301,設計座標!$H$13:$H$2301,"n/a",0,1)</f>
        <v>-15000</v>
      </c>
      <c r="K621">
        <f>_xlfn.XLOOKUP($F621,設計座標!$E$13:$E$2301,設計座標!$I$13:$I$2301,"n/a",0,1)</f>
        <v>92967.93620453999</v>
      </c>
      <c r="L621">
        <f>_xlfn.XLOOKUP($F621,設計座標!$E$13:$E$2301,設計座標!$J$13:$J$2301,"n/a",0,1)</f>
        <v>-270</v>
      </c>
      <c r="M621" s="2">
        <f t="shared" si="471"/>
        <v>-15010.469047799575</v>
      </c>
      <c r="N621" s="2">
        <f t="shared" si="472"/>
        <v>92967.93620453999</v>
      </c>
      <c r="O621" s="23">
        <f t="shared" si="473"/>
        <v>-262.95534957484449</v>
      </c>
      <c r="P621" s="1">
        <f t="shared" si="486"/>
        <v>-270.21439733384898</v>
      </c>
      <c r="Q621" s="1">
        <f t="shared" si="493"/>
        <v>-10.469047799574675</v>
      </c>
      <c r="R621">
        <f t="shared" si="500"/>
        <v>0</v>
      </c>
      <c r="S621" s="23">
        <f t="shared" si="492"/>
        <v>7.0446504251555115</v>
      </c>
      <c r="T621">
        <f>$S621+測地線補正!$Q$26*(lattice!$N621/1000)^3+測地線補正!$P$26*(lattice!$N621/1000)^2+測地線補正!$O$26*(lattice!$N621/1000)+測地線補正!$N$26</f>
        <v>-0.21439733384895221</v>
      </c>
      <c r="U621">
        <f t="shared" si="501"/>
        <v>-7.6626744945136242E-6</v>
      </c>
      <c r="V621">
        <v>0</v>
      </c>
      <c r="W621">
        <f t="shared" si="502"/>
        <v>1.1622326170914608E-4</v>
      </c>
      <c r="X621" t="s">
        <v>3860</v>
      </c>
      <c r="Y621">
        <f>_xlfn.XLOOKUP($F621,設計座標!$E$13:$E$2301,設計座標!$L$13:$L$2301," ",0,1)</f>
        <v>1000</v>
      </c>
      <c r="Z621">
        <f>SQRT(($M$620-$M$618)^2+($N$620-$N$618)^2)</f>
        <v>804.34700543249221</v>
      </c>
      <c r="AA621">
        <f>_xlfn.XLOOKUP($G621,magnet_list!$A$2:$A$592,magnet_list!$AJ$2:$AJ$592,"n/a",0,1)</f>
        <v>0.95010000000000006</v>
      </c>
      <c r="AB621">
        <f>_xlfn.XLOOKUP($G621,magnet_list!$A$2:$A$592,magnet_list!$L$2:$L$592,"n/a",0,1)</f>
        <v>120</v>
      </c>
    </row>
    <row r="622" spans="1:28">
      <c r="A622" t="s">
        <v>797</v>
      </c>
      <c r="B622" t="s">
        <v>3813</v>
      </c>
      <c r="C622" t="s">
        <v>804</v>
      </c>
      <c r="D622" t="s">
        <v>1152</v>
      </c>
      <c r="E622" t="s">
        <v>804</v>
      </c>
      <c r="F622" t="s">
        <v>1289</v>
      </c>
      <c r="G622" t="s">
        <v>2472</v>
      </c>
      <c r="I622">
        <f>_xlfn.XLOOKUP($F622,設計座標!$E$13:$E$2301,設計座標!$G$13:$G$2301,"n/a",0,1)</f>
        <v>171.80534576136898</v>
      </c>
      <c r="J622">
        <f>_xlfn.XLOOKUP($F622,設計座標!$E$13:$E$2301,設計座標!$H$13:$H$2301,"n/a",0,1)</f>
        <v>-15000</v>
      </c>
      <c r="K622">
        <f>_xlfn.XLOOKUP($F622,設計座標!$E$13:$E$2301,設計座標!$I$13:$I$2301,"n/a",0,1)</f>
        <v>92656.711704539979</v>
      </c>
      <c r="L622">
        <f>_xlfn.XLOOKUP($F622,設計座標!$E$13:$E$2301,設計座標!$J$13:$J$2301,"n/a",0,1)</f>
        <v>-270</v>
      </c>
      <c r="M622" s="2">
        <f t="shared" si="471"/>
        <v>-15010.432876272898</v>
      </c>
      <c r="N622" s="2">
        <f t="shared" si="472"/>
        <v>92656.711704539979</v>
      </c>
      <c r="O622" s="23">
        <f t="shared" si="473"/>
        <v>-262.97778493380468</v>
      </c>
      <c r="P622" s="1">
        <f t="shared" si="486"/>
        <v>-270.21199353148575</v>
      </c>
      <c r="Q622" s="1">
        <f t="shared" si="493"/>
        <v>-10.432876272898287</v>
      </c>
      <c r="R622">
        <f t="shared" si="500"/>
        <v>0</v>
      </c>
      <c r="S622" s="23">
        <f t="shared" si="492"/>
        <v>7.0222150661953284</v>
      </c>
      <c r="T622">
        <f>$S622+測地線補正!$Q$26*(lattice!$N622/1000)^3+測地線補正!$P$26*(lattice!$N622/1000)^2+測地線補正!$O$26*(lattice!$N622/1000)+測地線補正!$N$26</f>
        <v>-0.21199353148576461</v>
      </c>
      <c r="U622">
        <f t="shared" ref="U622:U623" si="503">-ATAN(($P$623-$P$619)/ABS($N$623-$N$619))</f>
        <v>-7.6626744945136242E-6</v>
      </c>
      <c r="V622">
        <v>0</v>
      </c>
      <c r="W622">
        <f t="shared" ref="W622:W623" si="504">ATAN(($M$623-$M$619)/ABS($N$623-$N$619))</f>
        <v>1.1622326170914608E-4</v>
      </c>
      <c r="X622" t="s">
        <v>3860</v>
      </c>
      <c r="Y622">
        <f>_xlfn.XLOOKUP($F622,設計座標!$E$13:$E$2301,設計座標!$L$13:$L$2301," ",0,1)</f>
        <v>1889.4492</v>
      </c>
      <c r="Z622">
        <f>SQRT(($M$622-$M$620)^2+($N$622-$N$620)^2)</f>
        <v>311.22450210199759</v>
      </c>
    </row>
    <row r="623" spans="1:28">
      <c r="A623" t="s">
        <v>797</v>
      </c>
      <c r="B623" t="s">
        <v>3813</v>
      </c>
      <c r="C623" t="s">
        <v>804</v>
      </c>
      <c r="D623" t="s">
        <v>1152</v>
      </c>
      <c r="E623" t="s">
        <v>804</v>
      </c>
      <c r="F623" t="s">
        <v>1503</v>
      </c>
      <c r="G623" t="s">
        <v>2472</v>
      </c>
      <c r="I623">
        <f>_xlfn.XLOOKUP($F623,設計座標!$E$13:$E$2301,設計座標!$G$13:$G$2301,"n/a",0,1)</f>
        <v>172.75007036136898</v>
      </c>
      <c r="J623">
        <f>_xlfn.XLOOKUP($F623,設計座標!$E$13:$E$2301,設計座標!$H$13:$H$2301,"n/a",0,1)</f>
        <v>-15000</v>
      </c>
      <c r="K623">
        <f>_xlfn.XLOOKUP($F623,設計座標!$E$13:$E$2301,設計座標!$I$13:$I$2301,"n/a",0,1)</f>
        <v>91711.987104539978</v>
      </c>
      <c r="L623">
        <f>_xlfn.XLOOKUP($F623,設計座標!$E$13:$E$2301,設計座標!$J$13:$J$2301,"n/a",0,1)</f>
        <v>-270</v>
      </c>
      <c r="M623" s="2">
        <f t="shared" si="471"/>
        <v>-15010.323077297975</v>
      </c>
      <c r="N623" s="2">
        <f t="shared" si="472"/>
        <v>91711.987104539978</v>
      </c>
      <c r="O623" s="23">
        <f t="shared" si="473"/>
        <v>-263.04588765553615</v>
      </c>
      <c r="P623" s="1">
        <f t="shared" si="486"/>
        <v>-270.20492970673814</v>
      </c>
      <c r="Q623" s="1">
        <f t="shared" si="493"/>
        <v>-10.323077297975882</v>
      </c>
      <c r="R623">
        <f t="shared" si="500"/>
        <v>0</v>
      </c>
      <c r="S623" s="23">
        <f t="shared" si="492"/>
        <v>6.9541123444638622</v>
      </c>
      <c r="T623">
        <f>$S623+測地線補正!$Q$26*(lattice!$N623/1000)^3+測地線補正!$P$26*(lattice!$N623/1000)^2+測地線補正!$O$26*(lattice!$N623/1000)+測地線補正!$N$26</f>
        <v>-0.20492970673814903</v>
      </c>
      <c r="U623">
        <f t="shared" si="503"/>
        <v>-7.6626744945136242E-6</v>
      </c>
      <c r="V623">
        <v>0</v>
      </c>
      <c r="W623">
        <f t="shared" si="504"/>
        <v>1.1622326170914608E-4</v>
      </c>
      <c r="X623" t="s">
        <v>3860</v>
      </c>
      <c r="Y623">
        <f>_xlfn.XLOOKUP($F623,設計座標!$E$13:$E$2301,設計座標!$L$13:$L$2301," ",0,1)</f>
        <v>1889.4492</v>
      </c>
      <c r="Z623">
        <f>SQRT(($M$622-$M$620)^2+($N$622-$N$620)^2)</f>
        <v>311.22450210199759</v>
      </c>
    </row>
    <row r="624" spans="1:28">
      <c r="A624" t="s">
        <v>797</v>
      </c>
      <c r="B624" t="s">
        <v>3813</v>
      </c>
      <c r="C624" t="s">
        <v>804</v>
      </c>
      <c r="D624" t="s">
        <v>1152</v>
      </c>
      <c r="E624" t="s">
        <v>804</v>
      </c>
      <c r="F624" t="s">
        <v>1504</v>
      </c>
      <c r="G624" t="s">
        <v>2473</v>
      </c>
      <c r="I624">
        <f>_xlfn.XLOOKUP($F624,設計座標!$E$13:$E$2301,設計座標!$G$13:$G$2301,"n/a",0,1)</f>
        <v>172.96000916136899</v>
      </c>
      <c r="J624">
        <f>_xlfn.XLOOKUP($F624,設計座標!$E$13:$E$2301,設計座標!$H$13:$H$2301,"n/a",0,1)</f>
        <v>-15000</v>
      </c>
      <c r="K624">
        <f>_xlfn.XLOOKUP($F624,設計座標!$E$13:$E$2301,設計座標!$I$13:$I$2301,"n/a",0,1)</f>
        <v>91502.048304539974</v>
      </c>
      <c r="L624">
        <f>_xlfn.XLOOKUP($F624,設計座標!$E$13:$E$2301,設計座標!$J$13:$J$2301,"n/a",0,1)</f>
        <v>-270</v>
      </c>
      <c r="M624" s="2">
        <f t="shared" si="471"/>
        <v>-15010.29867752577</v>
      </c>
      <c r="N624" s="2">
        <f t="shared" si="472"/>
        <v>91502.048304539974</v>
      </c>
      <c r="O624" s="23">
        <f t="shared" si="473"/>
        <v>-263.06102159369868</v>
      </c>
      <c r="P624" s="1">
        <f t="shared" si="486"/>
        <v>-270.20340750912419</v>
      </c>
      <c r="Q624" s="1">
        <f t="shared" si="493"/>
        <v>-10.298677525770902</v>
      </c>
      <c r="R624">
        <f t="shared" si="500"/>
        <v>0</v>
      </c>
      <c r="S624" s="23">
        <f t="shared" si="492"/>
        <v>6.938978406301314</v>
      </c>
      <c r="T624">
        <f>$S624+測地線補正!$Q$26*(lattice!$N624/1000)^3+測地線補正!$P$26*(lattice!$N624/1000)^2+測地線補正!$O$26*(lattice!$N624/1000)+測地線補正!$N$26</f>
        <v>-0.20340750912416561</v>
      </c>
      <c r="U624">
        <f>-ATAN(($P$626-$P$624)/ABS($N$626-$N$624))</f>
        <v>-6.8398079452470766E-6</v>
      </c>
      <c r="V624">
        <v>0</v>
      </c>
      <c r="W624">
        <f>ATAN(($M$626-$M$624)/ABS($N$626-$N$624))</f>
        <v>1.1622326170818338E-4</v>
      </c>
      <c r="X624">
        <f>SQRT(($M$624-$M$623)^2+($N$624-$N$623)^2)</f>
        <v>209.93880141791411</v>
      </c>
      <c r="Y624">
        <f>_xlfn.XLOOKUP($F624,設計座標!$E$13:$E$2301,設計座標!$L$13:$L$2301," ",0,1)</f>
        <v>1889.4492</v>
      </c>
      <c r="Z624">
        <f>SQRT(($M$625-$M$622)^2+($N$625-$N$622)^2)</f>
        <v>2099.3880141791119</v>
      </c>
    </row>
    <row r="625" spans="1:28">
      <c r="A625" t="s">
        <v>797</v>
      </c>
      <c r="B625" t="s">
        <v>3813</v>
      </c>
      <c r="C625" t="s">
        <v>804</v>
      </c>
      <c r="D625" t="s">
        <v>1152</v>
      </c>
      <c r="E625" t="s">
        <v>804</v>
      </c>
      <c r="F625" t="s">
        <v>1343</v>
      </c>
      <c r="G625" t="s">
        <v>2473</v>
      </c>
      <c r="I625">
        <f>_xlfn.XLOOKUP($F625,設計座標!$E$13:$E$2301,設計座標!$G$13:$G$2301,"n/a",0,1)</f>
        <v>173.90473376136899</v>
      </c>
      <c r="J625">
        <f>_xlfn.XLOOKUP($F625,設計座標!$E$13:$E$2301,設計座標!$H$13:$H$2301,"n/a",0,1)</f>
        <v>-15000</v>
      </c>
      <c r="K625">
        <f>_xlfn.XLOOKUP($F625,設計座標!$E$13:$E$2301,設計座標!$I$13:$I$2301,"n/a",0,1)</f>
        <v>90557.323704539973</v>
      </c>
      <c r="L625">
        <f>_xlfn.XLOOKUP($F625,設計座標!$E$13:$E$2301,設計座標!$J$13:$J$2301,"n/a",0,1)</f>
        <v>-270</v>
      </c>
      <c r="M625" s="2">
        <f t="shared" si="471"/>
        <v>-15010.188878550849</v>
      </c>
      <c r="N625" s="2">
        <f t="shared" si="472"/>
        <v>90557.323704539973</v>
      </c>
      <c r="O625" s="23">
        <f t="shared" si="473"/>
        <v>-263.12912431543015</v>
      </c>
      <c r="P625" s="1">
        <f t="shared" si="486"/>
        <v>-270.19677124462595</v>
      </c>
      <c r="Q625" s="1">
        <f t="shared" si="493"/>
        <v>-10.188878550848496</v>
      </c>
      <c r="R625">
        <f t="shared" si="500"/>
        <v>0</v>
      </c>
      <c r="S625" s="23">
        <f t="shared" si="492"/>
        <v>6.8708756845698478</v>
      </c>
      <c r="T625">
        <f>$S625+測地線補正!$Q$26*(lattice!$N625/1000)^3+測地線補正!$P$26*(lattice!$N625/1000)^2+測地線補正!$O$26*(lattice!$N625/1000)+測地線補正!$N$26</f>
        <v>-0.19677124462595708</v>
      </c>
      <c r="U625">
        <f t="shared" ref="U625:U626" si="505">-ATAN(($P$626-$P$624)/ABS($N$626-$N$624))</f>
        <v>-6.8398079452470766E-6</v>
      </c>
      <c r="V625">
        <v>0</v>
      </c>
      <c r="W625">
        <f t="shared" ref="W625:W626" si="506">ATAN(($M$626-$M$624)/ABS($N$626-$N$624))</f>
        <v>1.1622326170818338E-4</v>
      </c>
      <c r="X625" t="s">
        <v>3860</v>
      </c>
      <c r="Y625">
        <f>_xlfn.XLOOKUP($F625,設計座標!$E$13:$E$2301,設計座標!$L$13:$L$2301," ",0,1)</f>
        <v>1889.4492</v>
      </c>
      <c r="Z625">
        <f>SQRT(($M$625-$M$622)^2+($N$625-$N$622)^2)</f>
        <v>2099.3880141791119</v>
      </c>
    </row>
    <row r="626" spans="1:28">
      <c r="A626" t="s">
        <v>797</v>
      </c>
      <c r="B626" t="s">
        <v>3813</v>
      </c>
      <c r="C626" t="s">
        <v>804</v>
      </c>
      <c r="D626" t="s">
        <v>1152</v>
      </c>
      <c r="E626" t="s">
        <v>804</v>
      </c>
      <c r="F626" t="s">
        <v>1505</v>
      </c>
      <c r="G626" t="s">
        <v>2473</v>
      </c>
      <c r="I626">
        <f>_xlfn.XLOOKUP($F626,設計座標!$E$13:$E$2301,設計座標!$G$13:$G$2301,"n/a",0,1)</f>
        <v>174.84945836136899</v>
      </c>
      <c r="J626">
        <f>_xlfn.XLOOKUP($F626,設計座標!$E$13:$E$2301,設計座標!$H$13:$H$2301,"n/a",0,1)</f>
        <v>-15000</v>
      </c>
      <c r="K626">
        <f>_xlfn.XLOOKUP($F626,設計座標!$E$13:$E$2301,設計座標!$I$13:$I$2301,"n/a",0,1)</f>
        <v>89612.599104539971</v>
      </c>
      <c r="L626">
        <f>_xlfn.XLOOKUP($F626,設計座標!$E$13:$E$2301,設計座標!$J$13:$J$2301,"n/a",0,1)</f>
        <v>-270</v>
      </c>
      <c r="M626" s="2">
        <f t="shared" si="471"/>
        <v>-15010.079079575926</v>
      </c>
      <c r="N626" s="2">
        <f t="shared" si="472"/>
        <v>89612.599104539971</v>
      </c>
      <c r="O626" s="23">
        <f t="shared" si="473"/>
        <v>-263.19722703716161</v>
      </c>
      <c r="P626" s="1">
        <f t="shared" si="486"/>
        <v>-270.19048403947369</v>
      </c>
      <c r="Q626" s="1">
        <f t="shared" si="493"/>
        <v>-10.079079575926091</v>
      </c>
      <c r="R626">
        <f t="shared" si="500"/>
        <v>0</v>
      </c>
      <c r="S626" s="23">
        <f t="shared" si="492"/>
        <v>6.8027729628383806</v>
      </c>
      <c r="T626">
        <f>$S626+測地線補正!$Q$26*(lattice!$N626/1000)^3+測地線補正!$P$26*(lattice!$N626/1000)^2+測地線補正!$O$26*(lattice!$N626/1000)+測地線補正!$N$26</f>
        <v>-0.19048403947369974</v>
      </c>
      <c r="U626">
        <f t="shared" si="505"/>
        <v>-6.8398079452470766E-6</v>
      </c>
      <c r="V626">
        <v>0</v>
      </c>
      <c r="W626">
        <f t="shared" si="506"/>
        <v>1.1622326170818338E-4</v>
      </c>
      <c r="X626" t="s">
        <v>3860</v>
      </c>
      <c r="Y626">
        <f>_xlfn.XLOOKUP($F626,設計座標!$E$13:$E$2301,設計座標!$L$13:$L$2301," ",0,1)</f>
        <v>1889.4492</v>
      </c>
      <c r="Z626">
        <f>SQRT(($M$625-$M$622)^2+($N$625-$N$622)^2)</f>
        <v>2099.3880141791119</v>
      </c>
    </row>
    <row r="627" spans="1:28">
      <c r="A627" t="s">
        <v>797</v>
      </c>
      <c r="B627" t="s">
        <v>3813</v>
      </c>
      <c r="C627" t="s">
        <v>1152</v>
      </c>
      <c r="D627" t="s">
        <v>1152</v>
      </c>
      <c r="E627" t="s">
        <v>804</v>
      </c>
      <c r="F627" t="s">
        <v>2015</v>
      </c>
      <c r="G627" t="s">
        <v>2015</v>
      </c>
      <c r="I627">
        <f>_xlfn.XLOOKUP($F627,設計座標!$E$13:$E$2301,設計座標!$G$13:$G$2301,"n/a",0,1)</f>
        <v>174.98345826136898</v>
      </c>
      <c r="J627">
        <f>_xlfn.XLOOKUP($F627,設計座標!$E$13:$E$2301,設計座標!$H$13:$H$2301,"n/a",0,1)</f>
        <v>-15000</v>
      </c>
      <c r="K627">
        <f>_xlfn.XLOOKUP($F627,設計座標!$E$13:$E$2301,設計座標!$I$13:$I$2301,"n/a",0,1)</f>
        <v>89478.599204539976</v>
      </c>
      <c r="L627">
        <f>_xlfn.XLOOKUP($F627,設計座標!$E$13:$E$2301,設計座標!$J$13:$J$2301,"n/a",0,1)</f>
        <v>-270</v>
      </c>
      <c r="M627" s="2">
        <f t="shared" si="471"/>
        <v>-15010.063505670409</v>
      </c>
      <c r="N627" s="2">
        <f t="shared" si="472"/>
        <v>89478.599204539976</v>
      </c>
      <c r="O627" s="23">
        <f t="shared" si="473"/>
        <v>-263.20688673894324</v>
      </c>
      <c r="P627" s="1">
        <f t="shared" si="486"/>
        <v>-270.18962048814473</v>
      </c>
      <c r="Q627" s="1">
        <f t="shared" si="493"/>
        <v>-10.063505670409388</v>
      </c>
      <c r="R627">
        <f t="shared" si="500"/>
        <v>0</v>
      </c>
      <c r="S627" s="23">
        <f t="shared" si="492"/>
        <v>6.7931132610567779</v>
      </c>
      <c r="T627">
        <f>$S627+測地線補正!$Q$26*(lattice!$N627/1000)^3+測地線補正!$P$26*(lattice!$N627/1000)^2+測地線補正!$O$26*(lattice!$N627/1000)+測地線補正!$N$26</f>
        <v>-0.18962048814475296</v>
      </c>
      <c r="U627">
        <v>0</v>
      </c>
      <c r="V627">
        <v>0</v>
      </c>
      <c r="W627">
        <v>0</v>
      </c>
      <c r="X627">
        <f>SQRT(($M$627-$M$626)^2+($N$627-$N$626)^2)</f>
        <v>133.9999009050203</v>
      </c>
      <c r="Y627">
        <f>_xlfn.XLOOKUP($F627,設計座標!$E$13:$E$2301,設計座標!$L$13:$L$2301," ",0,1)</f>
        <v>0</v>
      </c>
      <c r="Z627">
        <f>SQRT(($M$627-$M$625)^2+($N$627-$N$625)^2)</f>
        <v>1078.7245072856192</v>
      </c>
    </row>
    <row r="628" spans="1:28">
      <c r="A628" t="s">
        <v>797</v>
      </c>
      <c r="B628" t="s">
        <v>3813</v>
      </c>
      <c r="C628" t="s">
        <v>805</v>
      </c>
      <c r="D628" t="s">
        <v>806</v>
      </c>
      <c r="F628" t="s">
        <v>118</v>
      </c>
      <c r="G628" t="s">
        <v>118</v>
      </c>
      <c r="I628">
        <f>_xlfn.XLOOKUP($F628,設計座標!$E$13:$E$2301,設計座標!$G$13:$G$2301,"n/a",0,1)</f>
        <v>175.15461694360894</v>
      </c>
      <c r="J628">
        <f>_xlfn.XLOOKUP($F628,設計座標!$E$13:$E$2301,設計座標!$H$13:$H$2301,"n/a",0,1)</f>
        <v>-15000</v>
      </c>
      <c r="K628">
        <f>_xlfn.XLOOKUP($F628,設計座標!$E$13:$E$2301,設計座標!$I$13:$I$2301,"n/a",0,1)</f>
        <v>89307.440522300007</v>
      </c>
      <c r="L628">
        <f>_xlfn.XLOOKUP($F628,設計座標!$E$13:$E$2301,設計座標!$J$13:$J$2301,"n/a",0,1)</f>
        <v>-20</v>
      </c>
      <c r="M628" s="2">
        <f>_xlfn.XLOOKUP($F628,survey_data!$A$2:$A$833,survey_data!$B$2:$B$833,"n/a",0,1)</f>
        <v>-15010.04361305</v>
      </c>
      <c r="N628" s="2">
        <f>_xlfn.XLOOKUP($F628,survey_data!$A$2:$A$833,survey_data!$C$2:$C$833,"n/a",0,1)</f>
        <v>89307.440522300007</v>
      </c>
      <c r="O628" s="23">
        <f>_xlfn.XLOOKUP($F628,survey_data!$A$2:$A$833,survey_data!$D$2:$D$833,"n/a",0,1)</f>
        <v>-13.219225120000001</v>
      </c>
      <c r="P628" s="1">
        <f t="shared" si="486"/>
        <v>-20.188527660610383</v>
      </c>
      <c r="Q628" s="1">
        <f t="shared" ref="Q628:Q677" si="507">$M628-$J628</f>
        <v>-10.043613050000204</v>
      </c>
      <c r="R628">
        <f t="shared" si="500"/>
        <v>0</v>
      </c>
      <c r="S628" s="23">
        <f t="shared" ref="S628:S677" si="508">$O628-$L628</f>
        <v>6.7807748799999992</v>
      </c>
      <c r="T628">
        <f>$S628+測地線補正!$Q$26*(lattice!$N628/1000)^3+測地線補正!$P$26*(lattice!$N628/1000)^2+測地線補正!$O$26*(lattice!$N628/1000)+測地線補正!$N$26</f>
        <v>-0.1885276606103814</v>
      </c>
      <c r="U628">
        <f>-ATAN(($P$629-$P$628)/ABS($N$629-$N$628))</f>
        <v>-4.2471751617506773E-5</v>
      </c>
      <c r="V628">
        <v>0</v>
      </c>
      <c r="W628">
        <f>ATAN(($M$629-$M$628)/ABS($N$629-$N$628))</f>
        <v>2.8319139042916731E-4</v>
      </c>
      <c r="X628">
        <f>$Z$629-($Y$629+$Y$627)/2</f>
        <v>151.15868567645072</v>
      </c>
      <c r="Y628">
        <f>_xlfn.XLOOKUP($F628,設計座標!$E$13:$E$2301,設計座標!$L$13:$L$2301," ",0,1)</f>
        <v>190</v>
      </c>
      <c r="Z628">
        <f>SQRT(($M$629-$M$627)^2+($N$629-$N$627)^2)</f>
        <v>246.15868567645072</v>
      </c>
      <c r="AA628">
        <f>_xlfn.XLOOKUP($G628,magnet_list!$A$2:$A$592,magnet_list!$AJ$2:$AJ$592,"n/a",0,1)</f>
        <v>0.2039</v>
      </c>
      <c r="AB628">
        <f>_xlfn.XLOOKUP($G628,magnet_list!$A$2:$A$592,magnet_list!$L$2:$L$592,"n/a",0,1)</f>
        <v>23</v>
      </c>
    </row>
    <row r="629" spans="1:28">
      <c r="A629" t="s">
        <v>797</v>
      </c>
      <c r="B629" t="s">
        <v>3813</v>
      </c>
      <c r="C629" t="s">
        <v>805</v>
      </c>
      <c r="D629" t="s">
        <v>1152</v>
      </c>
      <c r="E629" t="s">
        <v>804</v>
      </c>
      <c r="F629" t="s">
        <v>602</v>
      </c>
      <c r="G629" t="s">
        <v>118</v>
      </c>
      <c r="I629">
        <f>_xlfn.XLOOKUP($F629,設計座標!$E$13:$E$2301,設計座標!$G$13:$G$2301,"n/a",0,1)</f>
        <v>175.22961694360893</v>
      </c>
      <c r="J629">
        <f>_xlfn.XLOOKUP($F629,設計座標!$E$13:$E$2301,設計座標!$H$13:$H$2301,"n/a",0,1)</f>
        <v>-15000</v>
      </c>
      <c r="K629">
        <f>_xlfn.XLOOKUP($F629,設計座標!$E$13:$E$2301,設計座標!$I$13:$I$2301,"n/a",0,1)</f>
        <v>89232.440522300007</v>
      </c>
      <c r="L629">
        <f>_xlfn.XLOOKUP($F629,設計座標!$E$13:$E$2301,設計座標!$J$13:$J$2301,"n/a",0,1)</f>
        <v>-20</v>
      </c>
      <c r="M629" s="2">
        <f t="shared" si="471"/>
        <v>-15010.02237369515</v>
      </c>
      <c r="N629" s="2">
        <f t="shared" si="472"/>
        <v>89232.440522300007</v>
      </c>
      <c r="O629" s="23">
        <f t="shared" si="473"/>
        <v>-13.221921557035298</v>
      </c>
      <c r="P629" s="1">
        <f t="shared" si="486"/>
        <v>-20.185342279237155</v>
      </c>
      <c r="Q629" s="1">
        <f>(Q$631-Q$628)/($N$631-$N$628)*($N629-$N$628)+Q$628</f>
        <v>-10.02237369515081</v>
      </c>
      <c r="R629">
        <f t="shared" si="500"/>
        <v>0</v>
      </c>
      <c r="S629" s="23">
        <f t="shared" ref="S629:S630" si="509">(S$631-S$628)/($N$631-$N$628)*($N629-$N$628)+S$628</f>
        <v>6.778078442964703</v>
      </c>
      <c r="T629">
        <f>$S629+測地線補正!$Q$26*(lattice!$N629/1000)^3+測地線補正!$P$26*(lattice!$N629/1000)^2+測地線補正!$O$26*(lattice!$N629/1000)+測地線補正!$N$26</f>
        <v>-0.18534227923715396</v>
      </c>
      <c r="U629">
        <f>-ATAN(($P$629-$P$628)/ABS($N$629-$N$628))</f>
        <v>-4.2471751617506773E-5</v>
      </c>
      <c r="V629">
        <v>0</v>
      </c>
      <c r="W629">
        <f>ATAN(($M$629-$M$628)/ABS($N$629-$N$628))</f>
        <v>2.8319139042916731E-4</v>
      </c>
      <c r="X629">
        <f>$Z$629-($Y$629+$Y$627)/2</f>
        <v>151.15868567645072</v>
      </c>
      <c r="Y629">
        <f>_xlfn.XLOOKUP($F629,設計座標!$E$13:$E$2301,設計座標!$L$13:$L$2301," ",0,1)</f>
        <v>190</v>
      </c>
      <c r="Z629">
        <f>SQRT(($M$629-$M$627)^2+($N$629-$N$627)^2)</f>
        <v>246.15868567645072</v>
      </c>
      <c r="AA629">
        <f>_xlfn.XLOOKUP($G629,magnet_list!$A$2:$A$592,magnet_list!$AJ$2:$AJ$592,"n/a",0,1)</f>
        <v>0.2039</v>
      </c>
      <c r="AB629">
        <f>_xlfn.XLOOKUP($G629,magnet_list!$A$2:$A$592,magnet_list!$L$2:$L$592,"n/a",0,1)</f>
        <v>23</v>
      </c>
    </row>
    <row r="630" spans="1:28">
      <c r="A630" t="s">
        <v>797</v>
      </c>
      <c r="B630" t="s">
        <v>3813</v>
      </c>
      <c r="C630" t="s">
        <v>805</v>
      </c>
      <c r="D630" t="s">
        <v>1152</v>
      </c>
      <c r="E630" t="s">
        <v>804</v>
      </c>
      <c r="F630" t="s">
        <v>603</v>
      </c>
      <c r="G630" t="s">
        <v>119</v>
      </c>
      <c r="I630">
        <f>_xlfn.XLOOKUP($F630,設計座標!$E$13:$E$2301,設計座標!$G$13:$G$2301,"n/a",0,1)</f>
        <v>175.52498394360893</v>
      </c>
      <c r="J630">
        <f>_xlfn.XLOOKUP($F630,設計座標!$E$13:$E$2301,設計座標!$H$13:$H$2301,"n/a",0,1)</f>
        <v>-15000</v>
      </c>
      <c r="K630">
        <f>_xlfn.XLOOKUP($F630,設計座標!$E$13:$E$2301,設計座標!$I$13:$I$2301,"n/a",0,1)</f>
        <v>88937.073522300008</v>
      </c>
      <c r="L630">
        <f>_xlfn.XLOOKUP($F630,設計座標!$E$13:$E$2301,設計座標!$J$13:$J$2301,"n/a",0,1)</f>
        <v>-20</v>
      </c>
      <c r="M630" s="2">
        <f t="shared" si="471"/>
        <v>-15009.9387283015</v>
      </c>
      <c r="N630" s="2">
        <f t="shared" si="472"/>
        <v>88937.073522300008</v>
      </c>
      <c r="O630" s="23">
        <f t="shared" si="473"/>
        <v>-13.232540737272686</v>
      </c>
      <c r="P630" s="1">
        <f t="shared" si="486"/>
        <v>-20.172818855187995</v>
      </c>
      <c r="Q630" s="1">
        <f>(Q$631-Q$628)/($N$631-$N$628)*($N630-$N$628)+Q$628</f>
        <v>-9.9387283015001291</v>
      </c>
      <c r="R630">
        <f t="shared" si="500"/>
        <v>0</v>
      </c>
      <c r="S630" s="23">
        <f t="shared" si="509"/>
        <v>6.7674592627273142</v>
      </c>
      <c r="T630">
        <f>$S630+測地線補正!$Q$26*(lattice!$N630/1000)^3+測地線補正!$P$26*(lattice!$N630/1000)^2+測地線補正!$O$26*(lattice!$N630/1000)+測地線補正!$N$26</f>
        <v>-0.17281885518799478</v>
      </c>
      <c r="U630">
        <f>-ATAN(($P$631-$P$630)/ABS($N$631-$N$630))</f>
        <v>-4.2327343028513441E-5</v>
      </c>
      <c r="V630">
        <v>0</v>
      </c>
      <c r="W630">
        <f>ATAN(($M$631-$M$630)/ABS($N$631-$N$630))</f>
        <v>2.8319139042387012E-4</v>
      </c>
      <c r="X630">
        <f>$Z$630-($Y$630+$Y$629)/2</f>
        <v>105.36701184382611</v>
      </c>
      <c r="Y630">
        <f>_xlfn.XLOOKUP($F630,設計座標!$E$13:$E$2301,設計座標!$L$13:$L$2301," ",0,1)</f>
        <v>190</v>
      </c>
      <c r="Z630">
        <f>SQRT(($M$630-$M$629)^2+($N$630-$N$629)^2)</f>
        <v>295.36701184382611</v>
      </c>
      <c r="AA630">
        <f>_xlfn.XLOOKUP($G630,magnet_list!$A$2:$A$592,magnet_list!$AJ$2:$AJ$592,"n/a",0,1)</f>
        <v>0.2039</v>
      </c>
      <c r="AB630">
        <f>_xlfn.XLOOKUP($G630,magnet_list!$A$2:$A$592,magnet_list!$L$2:$L$592,"n/a",0,1)</f>
        <v>23</v>
      </c>
    </row>
    <row r="631" spans="1:28">
      <c r="A631" t="s">
        <v>797</v>
      </c>
      <c r="B631" t="s">
        <v>3813</v>
      </c>
      <c r="C631" t="s">
        <v>805</v>
      </c>
      <c r="D631" t="s">
        <v>806</v>
      </c>
      <c r="F631" t="s">
        <v>119</v>
      </c>
      <c r="G631" t="s">
        <v>119</v>
      </c>
      <c r="I631">
        <f>_xlfn.XLOOKUP($F631,設計座標!$E$13:$E$2301,設計座標!$G$13:$G$2301,"n/a",0,1)</f>
        <v>175.59999272441894</v>
      </c>
      <c r="J631">
        <f>_xlfn.XLOOKUP($F631,設計座標!$E$13:$E$2301,設計座標!$H$13:$H$2301,"n/a",0,1)</f>
        <v>-15000</v>
      </c>
      <c r="K631">
        <f>_xlfn.XLOOKUP($F631,設計座標!$E$13:$E$2301,設計座標!$I$13:$I$2301,"n/a",0,1)</f>
        <v>88862.064741490001</v>
      </c>
      <c r="L631">
        <f>_xlfn.XLOOKUP($F631,設計座標!$E$13:$E$2301,設計座標!$J$13:$J$2301,"n/a",0,1)</f>
        <v>-20</v>
      </c>
      <c r="M631" s="2">
        <f>_xlfn.XLOOKUP($F631,survey_data!$A$2:$A$833,survey_data!$B$2:$B$833,"n/a",0,1)</f>
        <v>-15009.917486460001</v>
      </c>
      <c r="N631" s="2">
        <f>_xlfn.XLOOKUP($F631,survey_data!$A$2:$A$833,survey_data!$C$2:$C$833,"n/a",0,1)</f>
        <v>88862.064741490001</v>
      </c>
      <c r="O631" s="23">
        <f>_xlfn.XLOOKUP($F631,survey_data!$A$2:$A$833,survey_data!$D$2:$D$833,"n/a",0,1)</f>
        <v>-13.235237489999999</v>
      </c>
      <c r="P631" s="1">
        <f t="shared" si="486"/>
        <v>-20.169643932790603</v>
      </c>
      <c r="Q631" s="1">
        <f t="shared" si="507"/>
        <v>-9.9174864600008732</v>
      </c>
      <c r="R631">
        <f t="shared" si="500"/>
        <v>0</v>
      </c>
      <c r="S631" s="23">
        <f t="shared" si="508"/>
        <v>6.7647625100000006</v>
      </c>
      <c r="T631">
        <f>$S631+測地線補正!$Q$26*(lattice!$N631/1000)^3+測地線補正!$P$26*(lattice!$N631/1000)^2+測地線補正!$O$26*(lattice!$N631/1000)+測地線補正!$N$26</f>
        <v>-0.16964393279060297</v>
      </c>
      <c r="U631">
        <f>-ATAN(($P$631-$P$630)/ABS($N$631-$N$630))</f>
        <v>-4.2327343028513441E-5</v>
      </c>
      <c r="V631">
        <v>0</v>
      </c>
      <c r="W631">
        <f>ATAN(($M$631-$M$630)/ABS($N$631-$N$630))</f>
        <v>2.8319139042387012E-4</v>
      </c>
      <c r="X631">
        <f>$Z$630-($Y$630+$Y$629)/2</f>
        <v>105.36701184382611</v>
      </c>
      <c r="Y631">
        <f>_xlfn.XLOOKUP($F631,設計座標!$E$13:$E$2301,設計座標!$L$13:$L$2301," ",0,1)</f>
        <v>190</v>
      </c>
      <c r="Z631">
        <f>SQRT(($M$630-$M$629)^2+($N$630-$N$629)^2)</f>
        <v>295.36701184382611</v>
      </c>
      <c r="AA631">
        <f>_xlfn.XLOOKUP($G631,magnet_list!$A$2:$A$592,magnet_list!$AJ$2:$AJ$592,"n/a",0,1)</f>
        <v>0.2039</v>
      </c>
      <c r="AB631">
        <f>_xlfn.XLOOKUP($G631,magnet_list!$A$2:$A$592,magnet_list!$L$2:$L$592,"n/a",0,1)</f>
        <v>23</v>
      </c>
    </row>
    <row r="632" spans="1:28">
      <c r="A632" t="s">
        <v>797</v>
      </c>
      <c r="B632" t="s">
        <v>3813</v>
      </c>
      <c r="C632" t="s">
        <v>2288</v>
      </c>
      <c r="D632" t="s">
        <v>1152</v>
      </c>
      <c r="E632" t="s">
        <v>804</v>
      </c>
      <c r="F632" t="s">
        <v>2314</v>
      </c>
      <c r="G632" t="s">
        <v>2314</v>
      </c>
      <c r="I632">
        <f>_xlfn.XLOOKUP($F632,設計座標!$E$13:$E$2301,設計座標!$G$13:$G$2301,"n/a",0,1)</f>
        <v>175.81293626136898</v>
      </c>
      <c r="J632">
        <f>_xlfn.XLOOKUP($F632,設計座標!$E$13:$E$2301,設計座標!$H$13:$H$2301,"n/a",0,1)</f>
        <v>-15000</v>
      </c>
      <c r="K632">
        <f>_xlfn.XLOOKUP($F632,設計座標!$E$13:$E$2301,設計座標!$I$13:$I$2301,"n/a",0,1)</f>
        <v>88649.121204539973</v>
      </c>
      <c r="L632">
        <f>_xlfn.XLOOKUP($F632,設計座標!$E$13:$E$2301,設計座標!$J$13:$J$2301,"n/a",0,1)</f>
        <v>-270</v>
      </c>
      <c r="M632" s="2">
        <f t="shared" si="471"/>
        <v>-15009.888318332642</v>
      </c>
      <c r="N632" s="2">
        <f t="shared" si="472"/>
        <v>88649.121204539973</v>
      </c>
      <c r="O632" s="23">
        <f t="shared" si="473"/>
        <v>-263.25157468752428</v>
      </c>
      <c r="P632" s="1">
        <f t="shared" si="486"/>
        <v>-270.169323892205</v>
      </c>
      <c r="Q632" s="1">
        <f>(Q$651-Q$631)/($N$651-$N$631)*($N632-$N$631)+Q$631</f>
        <v>-9.8883183326412425</v>
      </c>
      <c r="R632">
        <f t="shared" si="500"/>
        <v>0</v>
      </c>
      <c r="S632" s="23">
        <f t="shared" ref="S632:S650" si="510">(S$651-S$631)/($N$651-$N$631)*($N632-$N$631)+S$631</f>
        <v>6.7484253124757299</v>
      </c>
      <c r="T632">
        <f>$S632+測地線補正!$Q$26*(lattice!$N632/1000)^3+測地線補正!$P$26*(lattice!$N632/1000)^2+測地線補正!$O$26*(lattice!$N632/1000)+測地線補正!$N$26</f>
        <v>-0.16932389220500998</v>
      </c>
      <c r="U632">
        <v>0</v>
      </c>
      <c r="V632">
        <v>0</v>
      </c>
      <c r="W632">
        <v>0</v>
      </c>
      <c r="X632">
        <f>$Z$632-($Y$632+$Y$630)/2</f>
        <v>192.95232217251015</v>
      </c>
      <c r="Y632">
        <f>_xlfn.XLOOKUP($F632,設計座標!$E$13:$E$2301,設計座標!$L$13:$L$2301," ",0,1)</f>
        <v>0</v>
      </c>
      <c r="Z632">
        <f>SQRT(($M$632-$M$630)^2+($N$632-$N$630)^2)</f>
        <v>287.95232217251015</v>
      </c>
    </row>
    <row r="633" spans="1:28">
      <c r="A633" t="s">
        <v>797</v>
      </c>
      <c r="B633" t="s">
        <v>3813</v>
      </c>
      <c r="C633" t="s">
        <v>804</v>
      </c>
      <c r="D633" t="s">
        <v>1152</v>
      </c>
      <c r="E633" t="s">
        <v>804</v>
      </c>
      <c r="F633" t="s">
        <v>1506</v>
      </c>
      <c r="G633" t="s">
        <v>2474</v>
      </c>
      <c r="I633">
        <f>_xlfn.XLOOKUP($F633,設計座標!$E$13:$E$2301,設計座標!$G$13:$G$2301,"n/a",0,1)</f>
        <v>175.94693716136896</v>
      </c>
      <c r="J633">
        <f>_xlfn.XLOOKUP($F633,設計座標!$E$13:$E$2301,設計座標!$H$13:$H$2301,"n/a",0,1)</f>
        <v>-15000</v>
      </c>
      <c r="K633">
        <f>_xlfn.XLOOKUP($F633,設計座標!$E$13:$E$2301,設計座標!$I$13:$I$2301,"n/a",0,1)</f>
        <v>88515.120304539974</v>
      </c>
      <c r="L633">
        <f>_xlfn.XLOOKUP($F633,設計座標!$E$13:$E$2301,設計座標!$J$13:$J$2301,"n/a",0,1)</f>
        <v>-270</v>
      </c>
      <c r="M633" s="2">
        <f t="shared" si="471"/>
        <v>-15009.869963442075</v>
      </c>
      <c r="N633" s="2">
        <f t="shared" si="472"/>
        <v>88515.120304539974</v>
      </c>
      <c r="O633" s="23">
        <f t="shared" si="473"/>
        <v>-263.26185534315294</v>
      </c>
      <c r="P633" s="1">
        <f t="shared" si="486"/>
        <v>-270.16913155307719</v>
      </c>
      <c r="Q633" s="1">
        <f t="shared" ref="Q633:Q650" si="511">(Q$651-Q$631)/($N$651-$N$631)*($N633-$N$631)+Q$631</f>
        <v>-9.8699634420750062</v>
      </c>
      <c r="R633">
        <f t="shared" si="500"/>
        <v>0</v>
      </c>
      <c r="S633" s="23">
        <f t="shared" si="510"/>
        <v>6.7381446568470791</v>
      </c>
      <c r="T633">
        <f>$S633+測地線補正!$Q$26*(lattice!$N633/1000)^3+測地線補正!$P$26*(lattice!$N633/1000)^2+測地線補正!$O$26*(lattice!$N633/1000)+測地線補正!$N$26</f>
        <v>-0.16913155307720573</v>
      </c>
      <c r="U633">
        <f>-ATAN(($P$637-$P$633)/ABS($N$637-$N$633))</f>
        <v>-1.0418343550124301E-6</v>
      </c>
      <c r="V633">
        <v>0</v>
      </c>
      <c r="W633">
        <f>ATAN(($M$637-$M$633)/ABS($N$637-$N$633))</f>
        <v>1.3697587442650609E-4</v>
      </c>
      <c r="X633">
        <f>SQRT(($M$633-$M$632)^2+($N$633-$N$632)^2)</f>
        <v>134.00090125708769</v>
      </c>
      <c r="Y633">
        <f>_xlfn.XLOOKUP($F633,設計座標!$E$13:$E$2301,設計座標!$L$13:$L$2301," ",0,1)</f>
        <v>1889.4492</v>
      </c>
      <c r="Z633">
        <f>SQRT(($M$636-$M$634)^2+($N$636-$N$634)^2)</f>
        <v>311.22450291965441</v>
      </c>
    </row>
    <row r="634" spans="1:28">
      <c r="A634" t="s">
        <v>797</v>
      </c>
      <c r="B634" t="s">
        <v>3813</v>
      </c>
      <c r="C634" t="s">
        <v>3855</v>
      </c>
      <c r="D634" t="s">
        <v>1152</v>
      </c>
      <c r="E634" t="s">
        <v>804</v>
      </c>
      <c r="F634" t="s">
        <v>2260</v>
      </c>
      <c r="G634" t="s">
        <v>2260</v>
      </c>
      <c r="I634">
        <f>_xlfn.XLOOKUP($F634,設計座標!$E$13:$E$2301,設計座標!$G$13:$G$2301,"n/a",0,1)</f>
        <v>176.58043726136898</v>
      </c>
      <c r="J634">
        <f>_xlfn.XLOOKUP($F634,設計座標!$E$13:$E$2301,設計座標!$H$13:$H$2301,"n/a",0,1)</f>
        <v>-15000</v>
      </c>
      <c r="K634">
        <f>_xlfn.XLOOKUP($F634,設計座標!$E$13:$E$2301,設計座標!$I$13:$I$2301,"n/a",0,1)</f>
        <v>87881.62020453997</v>
      </c>
      <c r="L634">
        <f>_xlfn.XLOOKUP($F634,設計座標!$E$13:$E$2301,設計座標!$J$13:$J$2301,"n/a",0,1)</f>
        <v>-270</v>
      </c>
      <c r="M634" s="2">
        <f t="shared" si="471"/>
        <v>-15009.783189211386</v>
      </c>
      <c r="N634" s="2">
        <f t="shared" si="472"/>
        <v>87881.62020453997</v>
      </c>
      <c r="O634" s="23">
        <f t="shared" si="473"/>
        <v>-263.31045797469358</v>
      </c>
      <c r="P634" s="1">
        <f t="shared" si="486"/>
        <v>-270.16831689613343</v>
      </c>
      <c r="Q634" s="1">
        <f t="shared" si="511"/>
        <v>-9.7831892113855119</v>
      </c>
      <c r="R634">
        <f t="shared" si="500"/>
        <v>0</v>
      </c>
      <c r="S634" s="23">
        <f t="shared" si="510"/>
        <v>6.6895420253064275</v>
      </c>
      <c r="T634">
        <f>$S634+測地線補正!$Q$26*(lattice!$N634/1000)^3+測地線補正!$P$26*(lattice!$N634/1000)^2+測地線補正!$O$26*(lattice!$N634/1000)+測地線補正!$N$26</f>
        <v>-0.16831689613340495</v>
      </c>
      <c r="U634">
        <f t="shared" ref="U634:U635" si="512">-ATAN(($P$637-$P$633)/ABS($N$637-$N$633))</f>
        <v>-1.0418343550124301E-6</v>
      </c>
      <c r="V634">
        <v>0</v>
      </c>
      <c r="W634">
        <f t="shared" ref="W634:W635" si="513">ATAN(($M$637-$M$633)/ABS($N$637-$N$633))</f>
        <v>1.3697587442650609E-4</v>
      </c>
      <c r="X634" t="s">
        <v>3860</v>
      </c>
      <c r="Y634">
        <f>_xlfn.XLOOKUP($F634,設計座標!$E$13:$E$2301,設計座標!$L$13:$L$2301," ",0,1)</f>
        <v>1000</v>
      </c>
      <c r="Z634">
        <f>SQRT(($M$634-$M$632)^2+($N$634-$N$632)^2)</f>
        <v>767.50100720008049</v>
      </c>
      <c r="AA634">
        <f>_xlfn.XLOOKUP($G634,magnet_list!$A$2:$A$592,magnet_list!$AJ$2:$AJ$592,"n/a",0,1)</f>
        <v>0.95010000000000006</v>
      </c>
      <c r="AB634">
        <f>_xlfn.XLOOKUP($G634,magnet_list!$A$2:$A$592,magnet_list!$L$2:$L$592,"n/a",0,1)</f>
        <v>120</v>
      </c>
    </row>
    <row r="635" spans="1:28">
      <c r="A635" t="s">
        <v>797</v>
      </c>
      <c r="B635" t="s">
        <v>3813</v>
      </c>
      <c r="C635" t="s">
        <v>3855</v>
      </c>
      <c r="D635" t="s">
        <v>1152</v>
      </c>
      <c r="E635" t="s">
        <v>804</v>
      </c>
      <c r="F635" t="s">
        <v>2261</v>
      </c>
      <c r="G635" t="s">
        <v>2261</v>
      </c>
      <c r="I635">
        <f>_xlfn.XLOOKUP($F635,設計座標!$E$13:$E$2301,設計座標!$G$13:$G$2301,"n/a",0,1)</f>
        <v>176.58043726136898</v>
      </c>
      <c r="J635">
        <f>_xlfn.XLOOKUP($F635,設計座標!$E$13:$E$2301,設計座標!$H$13:$H$2301,"n/a",0,1)</f>
        <v>-15000</v>
      </c>
      <c r="K635">
        <f>_xlfn.XLOOKUP($F635,設計座標!$E$13:$E$2301,設計座標!$I$13:$I$2301,"n/a",0,1)</f>
        <v>87881.62020453997</v>
      </c>
      <c r="L635">
        <f>_xlfn.XLOOKUP($F635,設計座標!$E$13:$E$2301,設計座標!$J$13:$J$2301,"n/a",0,1)</f>
        <v>-270</v>
      </c>
      <c r="M635" s="2">
        <f t="shared" si="471"/>
        <v>-15009.783189211386</v>
      </c>
      <c r="N635" s="2">
        <f t="shared" si="472"/>
        <v>87881.62020453997</v>
      </c>
      <c r="O635" s="23">
        <f t="shared" si="473"/>
        <v>-263.31045797469358</v>
      </c>
      <c r="P635" s="1">
        <f t="shared" si="486"/>
        <v>-270.16831689613343</v>
      </c>
      <c r="Q635" s="1">
        <f t="shared" si="511"/>
        <v>-9.7831892113855119</v>
      </c>
      <c r="R635">
        <f t="shared" si="500"/>
        <v>0</v>
      </c>
      <c r="S635" s="23">
        <f t="shared" si="510"/>
        <v>6.6895420253064275</v>
      </c>
      <c r="T635">
        <f>$S635+測地線補正!$Q$26*(lattice!$N635/1000)^3+測地線補正!$P$26*(lattice!$N635/1000)^2+測地線補正!$O$26*(lattice!$N635/1000)+測地線補正!$N$26</f>
        <v>-0.16831689613340495</v>
      </c>
      <c r="U635">
        <f t="shared" si="512"/>
        <v>-1.0418343550124301E-6</v>
      </c>
      <c r="V635">
        <v>0</v>
      </c>
      <c r="W635">
        <f t="shared" si="513"/>
        <v>1.3697587442650609E-4</v>
      </c>
      <c r="X635" t="s">
        <v>3860</v>
      </c>
      <c r="Y635">
        <f>_xlfn.XLOOKUP($F635,設計座標!$E$13:$E$2301,設計座標!$L$13:$L$2301," ",0,1)</f>
        <v>1000</v>
      </c>
      <c r="Z635">
        <f>SQRT(($M$634-$M$632)^2+($N$634-$N$632)^2)</f>
        <v>767.50100720008049</v>
      </c>
      <c r="AA635">
        <f>_xlfn.XLOOKUP($G635,magnet_list!$A$2:$A$592,magnet_list!$AJ$2:$AJ$592,"n/a",0,1)</f>
        <v>0.95010000000000006</v>
      </c>
      <c r="AB635">
        <f>_xlfn.XLOOKUP($G635,magnet_list!$A$2:$A$592,magnet_list!$L$2:$L$592,"n/a",0,1)</f>
        <v>120</v>
      </c>
    </row>
    <row r="636" spans="1:28">
      <c r="A636" t="s">
        <v>797</v>
      </c>
      <c r="B636" t="s">
        <v>3813</v>
      </c>
      <c r="C636" t="s">
        <v>804</v>
      </c>
      <c r="D636" t="s">
        <v>1152</v>
      </c>
      <c r="E636" t="s">
        <v>804</v>
      </c>
      <c r="F636" t="s">
        <v>1179</v>
      </c>
      <c r="G636" t="s">
        <v>2474</v>
      </c>
      <c r="I636">
        <f>_xlfn.XLOOKUP($F636,設計座標!$E$13:$E$2301,設計座標!$G$13:$G$2301,"n/a",0,1)</f>
        <v>176.89166176136897</v>
      </c>
      <c r="J636">
        <f>_xlfn.XLOOKUP($F636,設計座標!$E$13:$E$2301,設計座標!$H$13:$H$2301,"n/a",0,1)</f>
        <v>-15000</v>
      </c>
      <c r="K636">
        <f>_xlfn.XLOOKUP($F636,設計座標!$E$13:$E$2301,設計座標!$I$13:$I$2301,"n/a",0,1)</f>
        <v>87570.395704539973</v>
      </c>
      <c r="L636">
        <f>_xlfn.XLOOKUP($F636,設計座標!$E$13:$E$2301,設計座標!$J$13:$J$2301,"n/a",0,1)</f>
        <v>-270</v>
      </c>
      <c r="M636" s="2">
        <f t="shared" si="471"/>
        <v>-15009.740558963089</v>
      </c>
      <c r="N636" s="2">
        <f t="shared" si="472"/>
        <v>87570.395704539973</v>
      </c>
      <c r="O636" s="23">
        <f t="shared" si="473"/>
        <v>-263.33433536587302</v>
      </c>
      <c r="P636" s="1">
        <f t="shared" si="486"/>
        <v>-270.16797386196623</v>
      </c>
      <c r="Q636" s="1">
        <f t="shared" si="511"/>
        <v>-9.7405589630884375</v>
      </c>
      <c r="R636">
        <f t="shared" si="500"/>
        <v>0</v>
      </c>
      <c r="S636" s="23">
        <f t="shared" si="510"/>
        <v>6.6656646341269736</v>
      </c>
      <c r="T636">
        <f>$S636+測地線補正!$Q$26*(lattice!$N636/1000)^3+測地線補正!$P$26*(lattice!$N636/1000)^2+測地線補正!$O$26*(lattice!$N636/1000)+測地線補正!$N$26</f>
        <v>-0.16797386196624076</v>
      </c>
      <c r="U636">
        <f t="shared" ref="U636:U637" si="514">-ATAN(($P$637-$P$633)/ABS($N$637-$N$633))</f>
        <v>-1.0418343550124301E-6</v>
      </c>
      <c r="V636">
        <v>0</v>
      </c>
      <c r="W636">
        <f t="shared" ref="W636:W637" si="515">ATAN(($M$637-$M$633)/ABS($N$637-$N$633))</f>
        <v>1.3697587442650609E-4</v>
      </c>
      <c r="X636" t="s">
        <v>3860</v>
      </c>
      <c r="Y636">
        <f>_xlfn.XLOOKUP($F636,設計座標!$E$13:$E$2301,設計座標!$L$13:$L$2301," ",0,1)</f>
        <v>1889.4492</v>
      </c>
      <c r="Z636">
        <f>SQRT(($M$636-$M$634)^2+($N$636-$N$634)^2)</f>
        <v>311.22450291965441</v>
      </c>
    </row>
    <row r="637" spans="1:28">
      <c r="A637" t="s">
        <v>797</v>
      </c>
      <c r="B637" t="s">
        <v>3813</v>
      </c>
      <c r="C637" t="s">
        <v>804</v>
      </c>
      <c r="D637" t="s">
        <v>1152</v>
      </c>
      <c r="E637" t="s">
        <v>804</v>
      </c>
      <c r="F637" t="s">
        <v>1507</v>
      </c>
      <c r="G637" t="s">
        <v>2474</v>
      </c>
      <c r="I637">
        <f>_xlfn.XLOOKUP($F637,設計座標!$E$13:$E$2301,設計座標!$G$13:$G$2301,"n/a",0,1)</f>
        <v>177.83638636136897</v>
      </c>
      <c r="J637">
        <f>_xlfn.XLOOKUP($F637,設計座標!$E$13:$E$2301,設計座標!$H$13:$H$2301,"n/a",0,1)</f>
        <v>-15000</v>
      </c>
      <c r="K637">
        <f>_xlfn.XLOOKUP($F637,設計座標!$E$13:$E$2301,設計座標!$I$13:$I$2301,"n/a",0,1)</f>
        <v>86625.671104539972</v>
      </c>
      <c r="L637">
        <f>_xlfn.XLOOKUP($F637,設計座標!$E$13:$E$2301,設計座標!$J$13:$J$2301,"n/a",0,1)</f>
        <v>-270</v>
      </c>
      <c r="M637" s="2">
        <f t="shared" si="471"/>
        <v>-15009.611154484102</v>
      </c>
      <c r="N637" s="2">
        <f t="shared" si="472"/>
        <v>86625.671104539972</v>
      </c>
      <c r="O637" s="23">
        <f t="shared" si="473"/>
        <v>-263.40681538859315</v>
      </c>
      <c r="P637" s="1">
        <f t="shared" si="486"/>
        <v>-270.16716305998858</v>
      </c>
      <c r="Q637" s="1">
        <f t="shared" si="511"/>
        <v>-9.6111544841018688</v>
      </c>
      <c r="R637">
        <f t="shared" si="500"/>
        <v>0</v>
      </c>
      <c r="S637" s="23">
        <f t="shared" si="510"/>
        <v>6.5931846114068682</v>
      </c>
      <c r="T637">
        <f>$S637+測地線補正!$Q$26*(lattice!$N637/1000)^3+測地線補正!$P$26*(lattice!$N637/1000)^2+測地線補正!$O$26*(lattice!$N637/1000)+測地線補正!$N$26</f>
        <v>-0.16716305998858894</v>
      </c>
      <c r="U637">
        <f t="shared" si="514"/>
        <v>-1.0418343550124301E-6</v>
      </c>
      <c r="V637">
        <v>0</v>
      </c>
      <c r="W637">
        <f t="shared" si="515"/>
        <v>1.3697587442650609E-4</v>
      </c>
      <c r="X637" t="s">
        <v>3860</v>
      </c>
      <c r="Y637">
        <f>_xlfn.XLOOKUP($F637,設計座標!$E$13:$E$2301,設計座標!$L$13:$L$2301," ",0,1)</f>
        <v>1889.4492</v>
      </c>
      <c r="Z637">
        <f>SQRT(($M$636-$M$634)^2+($N$636-$N$634)^2)</f>
        <v>311.22450291965441</v>
      </c>
    </row>
    <row r="638" spans="1:28">
      <c r="A638" t="s">
        <v>797</v>
      </c>
      <c r="B638" t="s">
        <v>3813</v>
      </c>
      <c r="C638" t="s">
        <v>804</v>
      </c>
      <c r="D638" t="s">
        <v>1152</v>
      </c>
      <c r="E638" t="s">
        <v>804</v>
      </c>
      <c r="F638" t="s">
        <v>1508</v>
      </c>
      <c r="G638" t="s">
        <v>2475</v>
      </c>
      <c r="I638">
        <f>_xlfn.XLOOKUP($F638,設計座標!$E$13:$E$2301,設計座標!$G$13:$G$2301,"n/a",0,1)</f>
        <v>178.04632516136897</v>
      </c>
      <c r="J638">
        <f>_xlfn.XLOOKUP($F638,設計座標!$E$13:$E$2301,設計座標!$H$13:$H$2301,"n/a",0,1)</f>
        <v>-15000</v>
      </c>
      <c r="K638">
        <f>_xlfn.XLOOKUP($F638,設計座標!$E$13:$E$2301,設計座標!$I$13:$I$2301,"n/a",0,1)</f>
        <v>86415.732304539968</v>
      </c>
      <c r="L638">
        <f>_xlfn.XLOOKUP($F638,設計座標!$E$13:$E$2301,設計座標!$J$13:$J$2301,"n/a",0,1)</f>
        <v>-270</v>
      </c>
      <c r="M638" s="2">
        <f t="shared" si="471"/>
        <v>-15009.582397933216</v>
      </c>
      <c r="N638" s="2">
        <f t="shared" si="472"/>
        <v>86415.732304539968</v>
      </c>
      <c r="O638" s="23">
        <f t="shared" si="473"/>
        <v>-263.42292206030874</v>
      </c>
      <c r="P638" s="1">
        <f t="shared" si="486"/>
        <v>-270.16702992112329</v>
      </c>
      <c r="Q638" s="1">
        <f t="shared" si="511"/>
        <v>-9.5823979332159634</v>
      </c>
      <c r="R638">
        <f t="shared" si="500"/>
        <v>0</v>
      </c>
      <c r="S638" s="23">
        <f t="shared" si="510"/>
        <v>6.5770779396912884</v>
      </c>
      <c r="T638">
        <f>$S638+測地線補正!$Q$26*(lattice!$N638/1000)^3+測地線補正!$P$26*(lattice!$N638/1000)^2+測地線補正!$O$26*(lattice!$N638/1000)+測地線補正!$N$26</f>
        <v>-0.16702992112327153</v>
      </c>
      <c r="U638">
        <f>-ATAN(($P$640-$P$638)/ABS($N$640-$N$638))</f>
        <v>-2.276606747058428E-7</v>
      </c>
      <c r="V638">
        <v>0</v>
      </c>
      <c r="W638">
        <f>ATAN(($M$640-$M$638)/ABS($N$640-$N$638))</f>
        <v>1.3697587442650609E-4</v>
      </c>
      <c r="X638">
        <f>SQRT(($M$638-$M$637)^2+($N$638-$N$637)^2)</f>
        <v>209.93880196948041</v>
      </c>
      <c r="Y638">
        <f>_xlfn.XLOOKUP($F638,設計座標!$E$13:$E$2301,設計座標!$L$13:$L$2301," ",0,1)</f>
        <v>1889.4492</v>
      </c>
      <c r="Z638">
        <f>SQRT(($M$639-$M$636)^2+($N$639-$N$636)^2)</f>
        <v>2099.3880196947748</v>
      </c>
    </row>
    <row r="639" spans="1:28">
      <c r="A639" t="s">
        <v>797</v>
      </c>
      <c r="B639" t="s">
        <v>3813</v>
      </c>
      <c r="C639" t="s">
        <v>804</v>
      </c>
      <c r="D639" t="s">
        <v>1152</v>
      </c>
      <c r="E639" t="s">
        <v>804</v>
      </c>
      <c r="F639" t="s">
        <v>1235</v>
      </c>
      <c r="G639" t="s">
        <v>2475</v>
      </c>
      <c r="I639">
        <f>_xlfn.XLOOKUP($F639,設計座標!$E$13:$E$2301,設計座標!$G$13:$G$2301,"n/a",0,1)</f>
        <v>178.99104976136897</v>
      </c>
      <c r="J639">
        <f>_xlfn.XLOOKUP($F639,設計座標!$E$13:$E$2301,設計座標!$H$13:$H$2301,"n/a",0,1)</f>
        <v>-15000</v>
      </c>
      <c r="K639">
        <f>_xlfn.XLOOKUP($F639,設計座標!$E$13:$E$2301,設計座標!$I$13:$I$2301,"n/a",0,1)</f>
        <v>85471.007704539967</v>
      </c>
      <c r="L639">
        <f>_xlfn.XLOOKUP($F639,設計座標!$E$13:$E$2301,設計座標!$J$13:$J$2301,"n/a",0,1)</f>
        <v>-270</v>
      </c>
      <c r="M639" s="2">
        <f t="shared" si="471"/>
        <v>-15009.45299345423</v>
      </c>
      <c r="N639" s="2">
        <f t="shared" si="472"/>
        <v>85471.007704539967</v>
      </c>
      <c r="O639" s="23">
        <f t="shared" si="473"/>
        <v>-263.49540208302881</v>
      </c>
      <c r="P639" s="1">
        <f t="shared" si="486"/>
        <v>-270.16664216259306</v>
      </c>
      <c r="Q639" s="1">
        <f t="shared" si="511"/>
        <v>-9.452993454229393</v>
      </c>
      <c r="R639">
        <f t="shared" si="500"/>
        <v>0</v>
      </c>
      <c r="S639" s="23">
        <f t="shared" si="510"/>
        <v>6.5045979169711829</v>
      </c>
      <c r="T639">
        <f>$S639+測地線補正!$Q$26*(lattice!$N639/1000)^3+測地線補正!$P$26*(lattice!$N639/1000)^2+測地線補正!$O$26*(lattice!$N639/1000)+測地線補正!$N$26</f>
        <v>-0.16664216259308362</v>
      </c>
      <c r="U639">
        <f t="shared" ref="U639:U640" si="516">-ATAN(($P$640-$P$638)/ABS($N$640-$N$638))</f>
        <v>-2.276606747058428E-7</v>
      </c>
      <c r="V639">
        <v>0</v>
      </c>
      <c r="W639">
        <f t="shared" ref="W639:W640" si="517">ATAN(($M$640-$M$638)/ABS($N$640-$N$638))</f>
        <v>1.3697587442650609E-4</v>
      </c>
      <c r="X639" t="s">
        <v>3860</v>
      </c>
      <c r="Y639">
        <f>_xlfn.XLOOKUP($F639,設計座標!$E$13:$E$2301,設計座標!$L$13:$L$2301," ",0,1)</f>
        <v>1889.4492</v>
      </c>
      <c r="Z639">
        <f>SQRT(($M$639-$M$636)^2+($N$639-$N$636)^2)</f>
        <v>2099.3880196947748</v>
      </c>
    </row>
    <row r="640" spans="1:28">
      <c r="A640" t="s">
        <v>797</v>
      </c>
      <c r="B640" t="s">
        <v>3813</v>
      </c>
      <c r="C640" t="s">
        <v>804</v>
      </c>
      <c r="D640" t="s">
        <v>1152</v>
      </c>
      <c r="E640" t="s">
        <v>804</v>
      </c>
      <c r="F640" t="s">
        <v>1509</v>
      </c>
      <c r="G640" t="s">
        <v>2475</v>
      </c>
      <c r="I640">
        <f>_xlfn.XLOOKUP($F640,設計座標!$E$13:$E$2301,設計座標!$G$13:$G$2301,"n/a",0,1)</f>
        <v>179.93577436136897</v>
      </c>
      <c r="J640">
        <f>_xlfn.XLOOKUP($F640,設計座標!$E$13:$E$2301,設計座標!$H$13:$H$2301,"n/a",0,1)</f>
        <v>-15000</v>
      </c>
      <c r="K640">
        <f>_xlfn.XLOOKUP($F640,設計座標!$E$13:$E$2301,設計座標!$I$13:$I$2301,"n/a",0,1)</f>
        <v>84526.283104539965</v>
      </c>
      <c r="L640">
        <f>_xlfn.XLOOKUP($F640,設計座標!$E$13:$E$2301,設計座標!$J$13:$J$2301,"n/a",0,1)</f>
        <v>-270</v>
      </c>
      <c r="M640" s="2">
        <f t="shared" si="471"/>
        <v>-15009.323588975243</v>
      </c>
      <c r="N640" s="2">
        <f t="shared" si="472"/>
        <v>84526.283104539965</v>
      </c>
      <c r="O640" s="23">
        <f t="shared" si="473"/>
        <v>-263.56788210574894</v>
      </c>
      <c r="P640" s="1">
        <f t="shared" si="486"/>
        <v>-270.16659976784359</v>
      </c>
      <c r="Q640" s="1">
        <f t="shared" si="511"/>
        <v>-9.3235889752428243</v>
      </c>
      <c r="R640">
        <f t="shared" si="500"/>
        <v>0</v>
      </c>
      <c r="S640" s="23">
        <f t="shared" si="510"/>
        <v>6.4321178942510775</v>
      </c>
      <c r="T640">
        <f>$S640+測地線補正!$Q$26*(lattice!$N640/1000)^3+測地線補正!$P$26*(lattice!$N640/1000)^2+測地線補正!$O$26*(lattice!$N640/1000)+測地線補正!$N$26</f>
        <v>-0.16659976784361619</v>
      </c>
      <c r="U640">
        <f t="shared" si="516"/>
        <v>-2.276606747058428E-7</v>
      </c>
      <c r="V640">
        <v>0</v>
      </c>
      <c r="W640">
        <f t="shared" si="517"/>
        <v>1.3697587442650609E-4</v>
      </c>
      <c r="X640" t="s">
        <v>3860</v>
      </c>
      <c r="Y640">
        <f>_xlfn.XLOOKUP($F640,設計座標!$E$13:$E$2301,設計座標!$L$13:$L$2301," ",0,1)</f>
        <v>1889.4492</v>
      </c>
      <c r="Z640">
        <f>SQRT(($M$639-$M$636)^2+($N$639-$N$636)^2)</f>
        <v>2099.3880196947748</v>
      </c>
    </row>
    <row r="641" spans="1:28">
      <c r="A641" t="s">
        <v>797</v>
      </c>
      <c r="B641" t="s">
        <v>3813</v>
      </c>
      <c r="C641" t="s">
        <v>1152</v>
      </c>
      <c r="D641" t="s">
        <v>1152</v>
      </c>
      <c r="E641" t="s">
        <v>804</v>
      </c>
      <c r="F641" t="s">
        <v>2016</v>
      </c>
      <c r="G641" t="s">
        <v>2016</v>
      </c>
      <c r="I641">
        <f>_xlfn.XLOOKUP($F641,設計座標!$E$13:$E$2301,設計座標!$G$13:$G$2301,"n/a",0,1)</f>
        <v>180.20477426136895</v>
      </c>
      <c r="J641">
        <f>_xlfn.XLOOKUP($F641,設計座標!$E$13:$E$2301,設計座標!$H$13:$H$2301,"n/a",0,1)</f>
        <v>-15000</v>
      </c>
      <c r="K641">
        <f>_xlfn.XLOOKUP($F641,設計座標!$E$13:$E$2301,設計座標!$I$13:$I$2301,"n/a",0,1)</f>
        <v>84257.28320453997</v>
      </c>
      <c r="L641">
        <f>_xlfn.XLOOKUP($F641,設計座標!$E$13:$E$2301,設計座標!$J$13:$J$2301,"n/a",0,1)</f>
        <v>-270</v>
      </c>
      <c r="M641" s="2">
        <f t="shared" si="471"/>
        <v>-15009.286742478489</v>
      </c>
      <c r="N641" s="2">
        <f t="shared" si="472"/>
        <v>84257.28320453997</v>
      </c>
      <c r="O641" s="23">
        <f t="shared" si="473"/>
        <v>-263.5885199920321</v>
      </c>
      <c r="P641" s="1">
        <f t="shared" si="486"/>
        <v>-270.16665077045724</v>
      </c>
      <c r="Q641" s="1">
        <f t="shared" si="511"/>
        <v>-9.2867424784892325</v>
      </c>
      <c r="R641">
        <f t="shared" si="500"/>
        <v>0</v>
      </c>
      <c r="S641" s="23">
        <f t="shared" si="510"/>
        <v>6.4114800079679153</v>
      </c>
      <c r="T641">
        <f>$S641+測地線補正!$Q$26*(lattice!$N641/1000)^3+測地線補正!$P$26*(lattice!$N641/1000)^2+測地線補正!$O$26*(lattice!$N641/1000)+測地線補正!$N$26</f>
        <v>-0.16665077045723442</v>
      </c>
      <c r="U641">
        <v>0</v>
      </c>
      <c r="V641">
        <v>0</v>
      </c>
      <c r="W641">
        <v>0</v>
      </c>
      <c r="X641">
        <f>SQRT(($M$641-$M$640)^2+($N$641-$N$640)^2)</f>
        <v>268.99990252353581</v>
      </c>
      <c r="Y641">
        <f>_xlfn.XLOOKUP($F641,設計座標!$E$13:$E$2301,設計座標!$L$13:$L$2301," ",0,1)</f>
        <v>0</v>
      </c>
      <c r="Z641">
        <f>SQRT(($M$641-$M$639)^2+($N$641-$N$639)^2)</f>
        <v>1213.7245113861832</v>
      </c>
    </row>
    <row r="642" spans="1:28">
      <c r="A642" t="s">
        <v>797</v>
      </c>
      <c r="B642" t="s">
        <v>3813</v>
      </c>
      <c r="C642" t="s">
        <v>804</v>
      </c>
      <c r="D642" t="s">
        <v>1152</v>
      </c>
      <c r="E642" t="s">
        <v>804</v>
      </c>
      <c r="F642" t="s">
        <v>1510</v>
      </c>
      <c r="G642" t="s">
        <v>2476</v>
      </c>
      <c r="I642">
        <f>_xlfn.XLOOKUP($F642,設計座標!$E$13:$E$2301,設計座標!$G$13:$G$2301,"n/a",0,1)</f>
        <v>180.46062116136895</v>
      </c>
      <c r="J642">
        <f>_xlfn.XLOOKUP($F642,設計座標!$E$13:$E$2301,設計座標!$H$13:$H$2301,"n/a",0,1)</f>
        <v>-15000</v>
      </c>
      <c r="K642">
        <f>_xlfn.XLOOKUP($F642,設計座標!$E$13:$E$2301,設計座標!$I$13:$I$2301,"n/a",0,1)</f>
        <v>84001.436304539966</v>
      </c>
      <c r="L642">
        <f>_xlfn.XLOOKUP($F642,設計座標!$E$13:$E$2301,設計座標!$J$13:$J$2301,"n/a",0,1)</f>
        <v>-270</v>
      </c>
      <c r="M642" s="2">
        <f t="shared" si="471"/>
        <v>-15009.251697625423</v>
      </c>
      <c r="N642" s="2">
        <f t="shared" si="472"/>
        <v>84001.436304539966</v>
      </c>
      <c r="O642" s="23">
        <f t="shared" si="473"/>
        <v>-263.60814876969368</v>
      </c>
      <c r="P642" s="1">
        <f t="shared" si="486"/>
        <v>-270.16672519374413</v>
      </c>
      <c r="Q642" s="1">
        <f t="shared" si="511"/>
        <v>-9.2516976254232386</v>
      </c>
      <c r="R642">
        <f t="shared" si="500"/>
        <v>0</v>
      </c>
      <c r="S642" s="23">
        <f t="shared" si="510"/>
        <v>6.3918512303062887</v>
      </c>
      <c r="T642">
        <f>$S642+測地線補正!$Q$26*(lattice!$N642/1000)^3+測地線補正!$P$26*(lattice!$N642/1000)^2+測地線補正!$O$26*(lattice!$N642/1000)+測地線補正!$N$26</f>
        <v>-0.16672519374410988</v>
      </c>
      <c r="U642">
        <f>-ATAN(($P$646-$P$642)/ABS($N$646-$N$642))</f>
        <v>7.0420331495916679E-7</v>
      </c>
      <c r="V642">
        <v>0</v>
      </c>
      <c r="W642">
        <f>ATAN(($M$646-$M$642)/ABS($N$646-$N$642))</f>
        <v>1.3697587442650609E-4</v>
      </c>
      <c r="X642">
        <f>SQRT(($M$642-$M$641)^2+($N$642-$N$641)^2)</f>
        <v>255.84690240015379</v>
      </c>
      <c r="Y642">
        <f>_xlfn.XLOOKUP($F642,設計座標!$E$13:$E$2301,設計座標!$L$13:$L$2301," ",0,1)</f>
        <v>1889.4492</v>
      </c>
      <c r="Z642">
        <f>SQRT(($M$645-$M$643)^2+($N$645-$N$643)^2)</f>
        <v>311.22450291966896</v>
      </c>
    </row>
    <row r="643" spans="1:28">
      <c r="A643" t="s">
        <v>797</v>
      </c>
      <c r="B643" t="s">
        <v>3813</v>
      </c>
      <c r="C643" t="s">
        <v>3855</v>
      </c>
      <c r="D643" t="s">
        <v>1152</v>
      </c>
      <c r="E643" t="s">
        <v>804</v>
      </c>
      <c r="F643" t="s">
        <v>2262</v>
      </c>
      <c r="G643" t="s">
        <v>2262</v>
      </c>
      <c r="I643">
        <f>_xlfn.XLOOKUP($F643,設計座標!$E$13:$E$2301,設計座標!$G$13:$G$2301,"n/a",0,1)</f>
        <v>181.09412126136894</v>
      </c>
      <c r="J643">
        <f>_xlfn.XLOOKUP($F643,設計座標!$E$13:$E$2301,設計座標!$H$13:$H$2301,"n/a",0,1)</f>
        <v>-15000</v>
      </c>
      <c r="K643">
        <f>_xlfn.XLOOKUP($F643,設計座標!$E$13:$E$2301,設計座標!$I$13:$I$2301,"n/a",0,1)</f>
        <v>83367.936204539976</v>
      </c>
      <c r="L643">
        <f>_xlfn.XLOOKUP($F643,設計座標!$E$13:$E$2301,設計座標!$J$13:$J$2301,"n/a",0,1)</f>
        <v>-270</v>
      </c>
      <c r="M643" s="2">
        <f t="shared" ref="M643:M706" si="518">$J643+$Q643</f>
        <v>-15009.164923394734</v>
      </c>
      <c r="N643" s="2">
        <f t="shared" ref="N643:N706" si="519">$K643</f>
        <v>83367.936204539976</v>
      </c>
      <c r="O643" s="23">
        <f t="shared" ref="O643:O706" si="520">$L643+$S643</f>
        <v>-263.65675140123437</v>
      </c>
      <c r="P643" s="1">
        <f t="shared" si="486"/>
        <v>-270.16701811363549</v>
      </c>
      <c r="Q643" s="1">
        <f t="shared" si="511"/>
        <v>-9.1649233947337461</v>
      </c>
      <c r="R643">
        <f t="shared" si="500"/>
        <v>0</v>
      </c>
      <c r="S643" s="23">
        <f t="shared" si="510"/>
        <v>6.3432485987656388</v>
      </c>
      <c r="T643">
        <f>$S643+測地線補正!$Q$26*(lattice!$N643/1000)^3+測地線補正!$P$26*(lattice!$N643/1000)^2+測地線補正!$O$26*(lattice!$N643/1000)+測地線補正!$N$26</f>
        <v>-0.16701811363551156</v>
      </c>
      <c r="U643">
        <f t="shared" ref="U643:U644" si="521">-ATAN(($P$646-$P$642)/ABS($N$646-$N$642))</f>
        <v>7.0420331495916679E-7</v>
      </c>
      <c r="V643">
        <v>0</v>
      </c>
      <c r="W643">
        <f t="shared" ref="W643:W644" si="522">ATAN(($M$646-$M$642)/ABS($N$646-$N$642))</f>
        <v>1.3697587442650609E-4</v>
      </c>
      <c r="X643" t="s">
        <v>3860</v>
      </c>
      <c r="Y643">
        <f>_xlfn.XLOOKUP($F643,設計座標!$E$13:$E$2301,設計座標!$L$13:$L$2301," ",0,1)</f>
        <v>1000</v>
      </c>
      <c r="Z643">
        <f>SQRT(($M$643-$M$641)^2+($N$643-$N$641)^2)</f>
        <v>889.34700834313207</v>
      </c>
      <c r="AA643">
        <f>_xlfn.XLOOKUP($G643,magnet_list!$A$2:$A$592,magnet_list!$AJ$2:$AJ$592,"n/a",0,1)</f>
        <v>0.95010000000000006</v>
      </c>
      <c r="AB643">
        <f>_xlfn.XLOOKUP($G643,magnet_list!$A$2:$A$592,magnet_list!$L$2:$L$592,"n/a",0,1)</f>
        <v>120</v>
      </c>
    </row>
    <row r="644" spans="1:28">
      <c r="A644" t="s">
        <v>797</v>
      </c>
      <c r="B644" t="s">
        <v>3813</v>
      </c>
      <c r="C644" t="s">
        <v>3855</v>
      </c>
      <c r="D644" t="s">
        <v>1152</v>
      </c>
      <c r="E644" t="s">
        <v>804</v>
      </c>
      <c r="F644" t="s">
        <v>2263</v>
      </c>
      <c r="G644" t="s">
        <v>2263</v>
      </c>
      <c r="I644">
        <f>_xlfn.XLOOKUP($F644,設計座標!$E$13:$E$2301,設計座標!$G$13:$G$2301,"n/a",0,1)</f>
        <v>181.09412126136894</v>
      </c>
      <c r="J644">
        <f>_xlfn.XLOOKUP($F644,設計座標!$E$13:$E$2301,設計座標!$H$13:$H$2301,"n/a",0,1)</f>
        <v>-15000</v>
      </c>
      <c r="K644">
        <f>_xlfn.XLOOKUP($F644,設計座標!$E$13:$E$2301,設計座標!$I$13:$I$2301,"n/a",0,1)</f>
        <v>83367.936204539976</v>
      </c>
      <c r="L644">
        <f>_xlfn.XLOOKUP($F644,設計座標!$E$13:$E$2301,設計座標!$J$13:$J$2301,"n/a",0,1)</f>
        <v>-270</v>
      </c>
      <c r="M644" s="2">
        <f t="shared" si="518"/>
        <v>-15009.164923394734</v>
      </c>
      <c r="N644" s="2">
        <f t="shared" si="519"/>
        <v>83367.936204539976</v>
      </c>
      <c r="O644" s="23">
        <f t="shared" si="520"/>
        <v>-263.65675140123437</v>
      </c>
      <c r="P644" s="1">
        <f t="shared" si="486"/>
        <v>-270.16701811363549</v>
      </c>
      <c r="Q644" s="1">
        <f t="shared" si="511"/>
        <v>-9.1649233947337461</v>
      </c>
      <c r="R644">
        <f t="shared" si="500"/>
        <v>0</v>
      </c>
      <c r="S644" s="23">
        <f t="shared" si="510"/>
        <v>6.3432485987656388</v>
      </c>
      <c r="T644">
        <f>$S644+測地線補正!$Q$26*(lattice!$N644/1000)^3+測地線補正!$P$26*(lattice!$N644/1000)^2+測地線補正!$O$26*(lattice!$N644/1000)+測地線補正!$N$26</f>
        <v>-0.16701811363551156</v>
      </c>
      <c r="U644">
        <f t="shared" si="521"/>
        <v>7.0420331495916679E-7</v>
      </c>
      <c r="V644">
        <v>0</v>
      </c>
      <c r="W644">
        <f t="shared" si="522"/>
        <v>1.3697587442650609E-4</v>
      </c>
      <c r="X644" t="s">
        <v>3860</v>
      </c>
      <c r="Y644">
        <f>_xlfn.XLOOKUP($F644,設計座標!$E$13:$E$2301,設計座標!$L$13:$L$2301," ",0,1)</f>
        <v>1000</v>
      </c>
      <c r="Z644">
        <f>SQRT(($M$643-$M$641)^2+($N$643-$N$641)^2)</f>
        <v>889.34700834313207</v>
      </c>
      <c r="AA644">
        <f>_xlfn.XLOOKUP($G644,magnet_list!$A$2:$A$592,magnet_list!$AJ$2:$AJ$592,"n/a",0,1)</f>
        <v>0.95010000000000006</v>
      </c>
      <c r="AB644">
        <f>_xlfn.XLOOKUP($G644,magnet_list!$A$2:$A$592,magnet_list!$L$2:$L$592,"n/a",0,1)</f>
        <v>120</v>
      </c>
    </row>
    <row r="645" spans="1:28">
      <c r="A645" t="s">
        <v>797</v>
      </c>
      <c r="B645" t="s">
        <v>3813</v>
      </c>
      <c r="C645" t="s">
        <v>804</v>
      </c>
      <c r="D645" t="s">
        <v>1152</v>
      </c>
      <c r="E645" t="s">
        <v>804</v>
      </c>
      <c r="F645" t="s">
        <v>1290</v>
      </c>
      <c r="G645" t="s">
        <v>2476</v>
      </c>
      <c r="I645">
        <f>_xlfn.XLOOKUP($F645,設計座標!$E$13:$E$2301,設計座標!$G$13:$G$2301,"n/a",0,1)</f>
        <v>181.40534576136895</v>
      </c>
      <c r="J645">
        <f>_xlfn.XLOOKUP($F645,設計座標!$E$13:$E$2301,設計座標!$H$13:$H$2301,"n/a",0,1)</f>
        <v>-15000</v>
      </c>
      <c r="K645">
        <f>_xlfn.XLOOKUP($F645,設計座標!$E$13:$E$2301,設計座標!$I$13:$I$2301,"n/a",0,1)</f>
        <v>83056.711704539965</v>
      </c>
      <c r="L645">
        <f>_xlfn.XLOOKUP($F645,設計座標!$E$13:$E$2301,設計座標!$J$13:$J$2301,"n/a",0,1)</f>
        <v>-270</v>
      </c>
      <c r="M645" s="2">
        <f t="shared" si="518"/>
        <v>-15009.122293146436</v>
      </c>
      <c r="N645" s="2">
        <f t="shared" si="519"/>
        <v>83056.711704539965</v>
      </c>
      <c r="O645" s="23">
        <f t="shared" si="520"/>
        <v>-263.68062879241381</v>
      </c>
      <c r="P645" s="1">
        <f t="shared" si="486"/>
        <v>-270.16721866712646</v>
      </c>
      <c r="Q645" s="1">
        <f t="shared" si="511"/>
        <v>-9.1222931464366699</v>
      </c>
      <c r="R645">
        <f t="shared" si="500"/>
        <v>0</v>
      </c>
      <c r="S645" s="23">
        <f t="shared" si="510"/>
        <v>6.3193712075861832</v>
      </c>
      <c r="T645">
        <f>$S645+測地線補正!$Q$26*(lattice!$N645/1000)^3+測地線補正!$P$26*(lattice!$N645/1000)^2+測地線補正!$O$26*(lattice!$N645/1000)+測地線補正!$N$26</f>
        <v>-0.16721866712646416</v>
      </c>
      <c r="U645">
        <f t="shared" ref="U645:U646" si="523">-ATAN(($P$646-$P$642)/ABS($N$646-$N$642))</f>
        <v>7.0420331495916679E-7</v>
      </c>
      <c r="V645">
        <v>0</v>
      </c>
      <c r="W645">
        <f t="shared" ref="W645:W646" si="524">ATAN(($M$646-$M$642)/ABS($N$646-$N$642))</f>
        <v>1.3697587442650609E-4</v>
      </c>
      <c r="X645" t="s">
        <v>3860</v>
      </c>
      <c r="Y645">
        <f>_xlfn.XLOOKUP($F645,設計座標!$E$13:$E$2301,設計座標!$L$13:$L$2301," ",0,1)</f>
        <v>1889.4492</v>
      </c>
      <c r="Z645">
        <f>SQRT(($M$645-$M$643)^2+($N$645-$N$643)^2)</f>
        <v>311.22450291966896</v>
      </c>
    </row>
    <row r="646" spans="1:28">
      <c r="A646" t="s">
        <v>797</v>
      </c>
      <c r="B646" t="s">
        <v>3813</v>
      </c>
      <c r="C646" t="s">
        <v>804</v>
      </c>
      <c r="D646" t="s">
        <v>1152</v>
      </c>
      <c r="E646" t="s">
        <v>804</v>
      </c>
      <c r="F646" t="s">
        <v>1511</v>
      </c>
      <c r="G646" t="s">
        <v>2476</v>
      </c>
      <c r="I646">
        <f>_xlfn.XLOOKUP($F646,設計座標!$E$13:$E$2301,設計座標!$G$13:$G$2301,"n/a",0,1)</f>
        <v>182.35007036136895</v>
      </c>
      <c r="J646">
        <f>_xlfn.XLOOKUP($F646,設計座標!$E$13:$E$2301,設計座標!$H$13:$H$2301,"n/a",0,1)</f>
        <v>-15000</v>
      </c>
      <c r="K646">
        <f>_xlfn.XLOOKUP($F646,設計座標!$E$13:$E$2301,設計座標!$I$13:$I$2301,"n/a",0,1)</f>
        <v>82111.987104539963</v>
      </c>
      <c r="L646">
        <f>_xlfn.XLOOKUP($F646,設計座標!$E$13:$E$2301,設計座標!$J$13:$J$2301,"n/a",0,1)</f>
        <v>-270</v>
      </c>
      <c r="M646" s="2">
        <f t="shared" si="518"/>
        <v>-15008.99288866745</v>
      </c>
      <c r="N646" s="2">
        <f t="shared" si="519"/>
        <v>82111.987104539963</v>
      </c>
      <c r="O646" s="23">
        <f t="shared" si="520"/>
        <v>-263.75310881513394</v>
      </c>
      <c r="P646" s="1">
        <f t="shared" si="486"/>
        <v>-270.16805575013422</v>
      </c>
      <c r="Q646" s="1">
        <f t="shared" si="511"/>
        <v>-8.9928886674500994</v>
      </c>
      <c r="R646">
        <f t="shared" si="500"/>
        <v>0</v>
      </c>
      <c r="S646" s="23">
        <f t="shared" si="510"/>
        <v>6.2468911848660778</v>
      </c>
      <c r="T646">
        <f>$S646+測地線補正!$Q$26*(lattice!$N646/1000)^3+測地線補正!$P$26*(lattice!$N646/1000)^2+測地線補正!$O$26*(lattice!$N646/1000)+測地線補正!$N$26</f>
        <v>-0.16805575013420326</v>
      </c>
      <c r="U646">
        <f t="shared" si="523"/>
        <v>7.0420331495916679E-7</v>
      </c>
      <c r="V646">
        <v>0</v>
      </c>
      <c r="W646">
        <f t="shared" si="524"/>
        <v>1.3697587442650609E-4</v>
      </c>
      <c r="X646" t="s">
        <v>3860</v>
      </c>
      <c r="Y646">
        <f>_xlfn.XLOOKUP($F646,設計座標!$E$13:$E$2301,設計座標!$L$13:$L$2301," ",0,1)</f>
        <v>1889.4492</v>
      </c>
      <c r="Z646">
        <f>SQRT(($M$645-$M$643)^2+($N$645-$N$643)^2)</f>
        <v>311.22450291966896</v>
      </c>
    </row>
    <row r="647" spans="1:28">
      <c r="A647" t="s">
        <v>797</v>
      </c>
      <c r="B647" t="s">
        <v>3813</v>
      </c>
      <c r="C647" t="s">
        <v>804</v>
      </c>
      <c r="D647" t="s">
        <v>1152</v>
      </c>
      <c r="E647" t="s">
        <v>804</v>
      </c>
      <c r="F647" t="s">
        <v>1512</v>
      </c>
      <c r="G647" t="s">
        <v>2477</v>
      </c>
      <c r="I647">
        <f>_xlfn.XLOOKUP($F647,設計座標!$E$13:$E$2301,設計座標!$G$13:$G$2301,"n/a",0,1)</f>
        <v>182.56000916136895</v>
      </c>
      <c r="J647">
        <f>_xlfn.XLOOKUP($F647,設計座標!$E$13:$E$2301,設計座標!$H$13:$H$2301,"n/a",0,1)</f>
        <v>-15000</v>
      </c>
      <c r="K647">
        <f>_xlfn.XLOOKUP($F647,設計座標!$E$13:$E$2301,設計座標!$I$13:$I$2301,"n/a",0,1)</f>
        <v>81902.04830453996</v>
      </c>
      <c r="L647">
        <f>_xlfn.XLOOKUP($F647,設計座標!$E$13:$E$2301,設計座標!$J$13:$J$2301,"n/a",0,1)</f>
        <v>-270</v>
      </c>
      <c r="M647" s="2">
        <f t="shared" si="518"/>
        <v>-15008.964132116564</v>
      </c>
      <c r="N647" s="2">
        <f t="shared" si="519"/>
        <v>81902.04830453996</v>
      </c>
      <c r="O647" s="23">
        <f t="shared" si="520"/>
        <v>-263.76921548684948</v>
      </c>
      <c r="P647" s="1">
        <f t="shared" si="486"/>
        <v>-270.16828836256701</v>
      </c>
      <c r="Q647" s="1">
        <f t="shared" si="511"/>
        <v>-8.9641321165641958</v>
      </c>
      <c r="R647">
        <f t="shared" si="500"/>
        <v>0</v>
      </c>
      <c r="S647" s="23">
        <f t="shared" si="510"/>
        <v>6.230784513150498</v>
      </c>
      <c r="T647">
        <f>$S647+測地線補正!$Q$26*(lattice!$N647/1000)^3+測地線補正!$P$26*(lattice!$N647/1000)^2+測地線補正!$O$26*(lattice!$N647/1000)+測地線補正!$N$26</f>
        <v>-0.16828836256703217</v>
      </c>
      <c r="U647">
        <f>-ATAN(($P$649-$P$647)/ABS($N$649-$N$647))</f>
        <v>1.5106627943542172E-6</v>
      </c>
      <c r="V647">
        <v>0</v>
      </c>
      <c r="W647">
        <f>ATAN(($M$649-$M$647)/ABS($N$649-$N$647))</f>
        <v>1.3697587442650609E-4</v>
      </c>
      <c r="X647">
        <f>SQRT(($M$647-$M$646)^2+($N$647-$N$646)^2)</f>
        <v>209.93880196948041</v>
      </c>
      <c r="Y647">
        <f>_xlfn.XLOOKUP($F647,設計座標!$E$13:$E$2301,設計座標!$L$13:$L$2301," ",0,1)</f>
        <v>1889.4492</v>
      </c>
      <c r="Z647">
        <f>SQRT(($M$648-$M$645)^2+($N$648-$N$645)^2)</f>
        <v>2099.3880196947748</v>
      </c>
    </row>
    <row r="648" spans="1:28">
      <c r="A648" t="s">
        <v>797</v>
      </c>
      <c r="B648" t="s">
        <v>3813</v>
      </c>
      <c r="C648" t="s">
        <v>804</v>
      </c>
      <c r="D648" t="s">
        <v>1152</v>
      </c>
      <c r="E648" t="s">
        <v>804</v>
      </c>
      <c r="F648" t="s">
        <v>1344</v>
      </c>
      <c r="G648" t="s">
        <v>2477</v>
      </c>
      <c r="I648">
        <f>_xlfn.XLOOKUP($F648,設計座標!$E$13:$E$2301,設計座標!$G$13:$G$2301,"n/a",0,1)</f>
        <v>183.50473376136895</v>
      </c>
      <c r="J648">
        <f>_xlfn.XLOOKUP($F648,設計座標!$E$13:$E$2301,設計座標!$H$13:$H$2301,"n/a",0,1)</f>
        <v>-15000</v>
      </c>
      <c r="K648">
        <f>_xlfn.XLOOKUP($F648,設計座標!$E$13:$E$2301,設計座標!$I$13:$I$2301,"n/a",0,1)</f>
        <v>80957.323704539958</v>
      </c>
      <c r="L648">
        <f>_xlfn.XLOOKUP($F648,設計座標!$E$13:$E$2301,設計座標!$J$13:$J$2301,"n/a",0,1)</f>
        <v>-270</v>
      </c>
      <c r="M648" s="2">
        <f t="shared" si="518"/>
        <v>-15008.834727637577</v>
      </c>
      <c r="N648" s="2">
        <f t="shared" si="519"/>
        <v>80957.323704539958</v>
      </c>
      <c r="O648" s="23">
        <f t="shared" si="520"/>
        <v>-263.8416955095696</v>
      </c>
      <c r="P648" s="1">
        <f t="shared" si="486"/>
        <v>-270.16954448073477</v>
      </c>
      <c r="Q648" s="1">
        <f t="shared" si="511"/>
        <v>-8.8347276375776254</v>
      </c>
      <c r="R648">
        <f t="shared" si="500"/>
        <v>0</v>
      </c>
      <c r="S648" s="23">
        <f t="shared" si="510"/>
        <v>6.1583044904303925</v>
      </c>
      <c r="T648">
        <f>$S648+測地線補正!$Q$26*(lattice!$N648/1000)^3+測地線補正!$P$26*(lattice!$N648/1000)^2+測地線補正!$O$26*(lattice!$N648/1000)+測地線補正!$N$26</f>
        <v>-0.16954448073476969</v>
      </c>
      <c r="U648">
        <f t="shared" ref="U648:U649" si="525">-ATAN(($P$649-$P$647)/ABS($N$649-$N$647))</f>
        <v>1.5106627943542172E-6</v>
      </c>
      <c r="V648">
        <v>0</v>
      </c>
      <c r="W648">
        <f t="shared" ref="W648:W649" si="526">ATAN(($M$649-$M$647)/ABS($N$649-$N$647))</f>
        <v>1.3697587442650609E-4</v>
      </c>
      <c r="X648" t="s">
        <v>3860</v>
      </c>
      <c r="Y648">
        <f>_xlfn.XLOOKUP($F648,設計座標!$E$13:$E$2301,設計座標!$L$13:$L$2301," ",0,1)</f>
        <v>1889.4492</v>
      </c>
      <c r="Z648">
        <f>SQRT(($M$648-$M$645)^2+($N$648-$N$645)^2)</f>
        <v>2099.3880196947748</v>
      </c>
    </row>
    <row r="649" spans="1:28">
      <c r="A649" t="s">
        <v>797</v>
      </c>
      <c r="B649" t="s">
        <v>3813</v>
      </c>
      <c r="C649" t="s">
        <v>804</v>
      </c>
      <c r="D649" t="s">
        <v>1152</v>
      </c>
      <c r="E649" t="s">
        <v>804</v>
      </c>
      <c r="F649" t="s">
        <v>1513</v>
      </c>
      <c r="G649" t="s">
        <v>2477</v>
      </c>
      <c r="I649">
        <f>_xlfn.XLOOKUP($F649,設計座標!$E$13:$E$2301,設計座標!$G$13:$G$2301,"n/a",0,1)</f>
        <v>184.44945836136895</v>
      </c>
      <c r="J649">
        <f>_xlfn.XLOOKUP($F649,設計座標!$E$13:$E$2301,設計座標!$H$13:$H$2301,"n/a",0,1)</f>
        <v>-15000</v>
      </c>
      <c r="K649">
        <f>_xlfn.XLOOKUP($F649,設計座標!$E$13:$E$2301,設計座標!$I$13:$I$2301,"n/a",0,1)</f>
        <v>80012.599104539957</v>
      </c>
      <c r="L649">
        <f>_xlfn.XLOOKUP($F649,設計座標!$E$13:$E$2301,設計座標!$J$13:$J$2301,"n/a",0,1)</f>
        <v>-270</v>
      </c>
      <c r="M649" s="2">
        <f t="shared" si="518"/>
        <v>-15008.705323158591</v>
      </c>
      <c r="N649" s="2">
        <f t="shared" si="519"/>
        <v>80012.599104539957</v>
      </c>
      <c r="O649" s="23">
        <f t="shared" si="520"/>
        <v>-263.91417553228973</v>
      </c>
      <c r="P649" s="1">
        <f t="shared" si="486"/>
        <v>-270.17114268317528</v>
      </c>
      <c r="Q649" s="1">
        <f t="shared" si="511"/>
        <v>-8.7053231585910567</v>
      </c>
      <c r="R649">
        <f t="shared" si="500"/>
        <v>0</v>
      </c>
      <c r="S649" s="23">
        <f t="shared" si="510"/>
        <v>6.0858244677102871</v>
      </c>
      <c r="T649">
        <f>$S649+測地線補正!$Q$26*(lattice!$N649/1000)^3+測地線補正!$P$26*(lattice!$N649/1000)^2+測地線補正!$O$26*(lattice!$N649/1000)+測地線補正!$N$26</f>
        <v>-0.17114268317530201</v>
      </c>
      <c r="U649">
        <f t="shared" si="525"/>
        <v>1.5106627943542172E-6</v>
      </c>
      <c r="V649">
        <v>0</v>
      </c>
      <c r="W649">
        <f t="shared" si="526"/>
        <v>1.3697587442650609E-4</v>
      </c>
      <c r="X649" t="s">
        <v>3860</v>
      </c>
      <c r="Y649">
        <f>_xlfn.XLOOKUP($F649,設計座標!$E$13:$E$2301,設計座標!$L$13:$L$2301," ",0,1)</f>
        <v>1889.4492</v>
      </c>
      <c r="Z649">
        <f>SQRT(($M$648-$M$645)^2+($N$648-$N$645)^2)</f>
        <v>2099.3880196947748</v>
      </c>
    </row>
    <row r="650" spans="1:28">
      <c r="A650" t="s">
        <v>797</v>
      </c>
      <c r="B650" t="s">
        <v>3813</v>
      </c>
      <c r="C650" t="s">
        <v>1152</v>
      </c>
      <c r="D650" t="s">
        <v>1152</v>
      </c>
      <c r="E650" t="s">
        <v>804</v>
      </c>
      <c r="F650" t="s">
        <v>2017</v>
      </c>
      <c r="G650" t="s">
        <v>2017</v>
      </c>
      <c r="I650">
        <f>_xlfn.XLOOKUP($F650,設計座標!$E$13:$E$2301,設計座標!$G$13:$G$2301,"n/a",0,1)</f>
        <v>184.58345826136895</v>
      </c>
      <c r="J650">
        <f>_xlfn.XLOOKUP($F650,設計座標!$E$13:$E$2301,設計座標!$H$13:$H$2301,"n/a",0,1)</f>
        <v>-15000</v>
      </c>
      <c r="K650">
        <f>_xlfn.XLOOKUP($F650,設計座標!$E$13:$E$2301,設計座標!$I$13:$I$2301,"n/a",0,1)</f>
        <v>79878.599204539962</v>
      </c>
      <c r="L650">
        <f>_xlfn.XLOOKUP($F650,設計座標!$E$13:$E$2301,設計座標!$J$13:$J$2301,"n/a",0,1)</f>
        <v>-270</v>
      </c>
      <c r="M650" s="2">
        <f t="shared" si="518"/>
        <v>-15008.686968405</v>
      </c>
      <c r="N650" s="2">
        <f t="shared" si="519"/>
        <v>79878.599204539962</v>
      </c>
      <c r="O650" s="23">
        <f t="shared" si="520"/>
        <v>-263.92445611119757</v>
      </c>
      <c r="P650" s="1">
        <f t="shared" si="486"/>
        <v>-270.17139703458037</v>
      </c>
      <c r="Q650" s="1">
        <f t="shared" si="511"/>
        <v>-8.6869684050006963</v>
      </c>
      <c r="R650">
        <f t="shared" si="500"/>
        <v>0</v>
      </c>
      <c r="S650" s="23">
        <f t="shared" si="510"/>
        <v>6.0755438888024322</v>
      </c>
      <c r="T650">
        <f>$S650+測地線補正!$Q$26*(lattice!$N650/1000)^3+測地線補正!$P$26*(lattice!$N650/1000)^2+測地線補正!$O$26*(lattice!$N650/1000)+測地線補正!$N$26</f>
        <v>-0.17139703458037769</v>
      </c>
      <c r="U650">
        <v>0</v>
      </c>
      <c r="V650">
        <v>0</v>
      </c>
      <c r="W650">
        <v>0</v>
      </c>
      <c r="X650">
        <f>SQRT(($M$650-$M$649)^2+($N$650-$N$649)^2)</f>
        <v>133.99990125707447</v>
      </c>
      <c r="Y650">
        <f>_xlfn.XLOOKUP($F650,設計座標!$E$13:$E$2301,設計座標!$L$13:$L$2301," ",0,1)</f>
        <v>0</v>
      </c>
      <c r="Z650">
        <f>SQRT(($M$650-$M$648)^2+($N$650-$N$648)^2)</f>
        <v>1078.7245101197218</v>
      </c>
    </row>
    <row r="651" spans="1:28">
      <c r="A651" t="s">
        <v>797</v>
      </c>
      <c r="B651" t="s">
        <v>3813</v>
      </c>
      <c r="C651" t="s">
        <v>805</v>
      </c>
      <c r="D651" t="s">
        <v>806</v>
      </c>
      <c r="F651" t="s">
        <v>120</v>
      </c>
      <c r="G651" t="s">
        <v>120</v>
      </c>
      <c r="I651">
        <f>_xlfn.XLOOKUP($F651,設計座標!$E$13:$E$2301,設計座標!$G$13:$G$2301,"n/a",0,1)</f>
        <v>184.7506142291889</v>
      </c>
      <c r="J651">
        <f>_xlfn.XLOOKUP($F651,設計座標!$E$13:$E$2301,設計座標!$H$13:$H$2301,"n/a",0,1)</f>
        <v>-15000</v>
      </c>
      <c r="K651">
        <f>_xlfn.XLOOKUP($F651,設計座標!$E$13:$E$2301,設計座標!$I$13:$I$2301,"n/a",0,1)</f>
        <v>79711.443236720006</v>
      </c>
      <c r="L651">
        <f>_xlfn.XLOOKUP($F651,設計座標!$E$13:$E$2301,設計座標!$J$13:$J$2301,"n/a",0,1)</f>
        <v>-20</v>
      </c>
      <c r="M651" s="2">
        <f>_xlfn.XLOOKUP($F651,survey_data!$A$2:$A$833,survey_data!$B$2:$B$833,"n/a",0,1)</f>
        <v>-15008.66407207</v>
      </c>
      <c r="N651" s="2">
        <f>_xlfn.XLOOKUP($F651,survey_data!$A$2:$A$833,survey_data!$C$2:$C$833,"n/a",0,1)</f>
        <v>79711.443236720006</v>
      </c>
      <c r="O651" s="23">
        <f>_xlfn.XLOOKUP($F651,survey_data!$A$2:$A$833,survey_data!$D$2:$D$833,"n/a",0,1)</f>
        <v>-13.937280449999999</v>
      </c>
      <c r="P651" s="1">
        <f t="shared" si="486"/>
        <v>-20.171723946022784</v>
      </c>
      <c r="Q651" s="1">
        <f t="shared" si="507"/>
        <v>-8.6640720699997473</v>
      </c>
      <c r="R651">
        <f t="shared" si="500"/>
        <v>0</v>
      </c>
      <c r="S651" s="23">
        <f t="shared" si="508"/>
        <v>6.0627195500000006</v>
      </c>
      <c r="T651">
        <f>$S651+測地線補正!$Q$26*(lattice!$N651/1000)^3+測地線補正!$P$26*(lattice!$N651/1000)^2+測地線補正!$O$26*(lattice!$N651/1000)+測地線補正!$N$26</f>
        <v>-0.17172394602278529</v>
      </c>
      <c r="U651">
        <f>-ATAN(($P$652-$P$651)/ABS($N$652-$N$651))</f>
        <v>4.091503248543679E-4</v>
      </c>
      <c r="V651">
        <v>0</v>
      </c>
      <c r="W651">
        <f>ATAN(($M$652-$M$651)/ABS($N$652-$N$651))</f>
        <v>5.0880543908568196E-4</v>
      </c>
      <c r="X651">
        <f>$Z$652-($Y$652+$Y$650)/2</f>
        <v>147.15597551732151</v>
      </c>
      <c r="Y651">
        <f>_xlfn.XLOOKUP($F651,設計座標!$E$13:$E$2301,設計座標!$L$13:$L$2301," ",0,1)</f>
        <v>190</v>
      </c>
      <c r="Z651">
        <f>SQRT(($M$652-$M$650)^2+($N$652-$N$650)^2)</f>
        <v>242.15597551732151</v>
      </c>
      <c r="AA651">
        <f>_xlfn.XLOOKUP($G651,magnet_list!$A$2:$A$592,magnet_list!$AJ$2:$AJ$592,"n/a",0,1)</f>
        <v>0.2039</v>
      </c>
      <c r="AB651">
        <f>_xlfn.XLOOKUP($G651,magnet_list!$A$2:$A$592,magnet_list!$L$2:$L$592,"n/a",0,1)</f>
        <v>23</v>
      </c>
    </row>
    <row r="652" spans="1:28">
      <c r="A652" t="s">
        <v>797</v>
      </c>
      <c r="B652" t="s">
        <v>3813</v>
      </c>
      <c r="C652" t="s">
        <v>805</v>
      </c>
      <c r="D652" t="s">
        <v>1152</v>
      </c>
      <c r="E652" t="s">
        <v>804</v>
      </c>
      <c r="F652" t="s">
        <v>604</v>
      </c>
      <c r="G652" t="s">
        <v>120</v>
      </c>
      <c r="I652">
        <f>_xlfn.XLOOKUP($F652,設計座標!$E$13:$E$2301,設計座標!$G$13:$G$2301,"n/a",0,1)</f>
        <v>184.82561422918889</v>
      </c>
      <c r="J652">
        <f>_xlfn.XLOOKUP($F652,設計座標!$E$13:$E$2301,設計座標!$H$13:$H$2301,"n/a",0,1)</f>
        <v>-15000</v>
      </c>
      <c r="K652">
        <f>_xlfn.XLOOKUP($F652,設計座標!$E$13:$E$2301,設計座標!$I$13:$I$2301,"n/a",0,1)</f>
        <v>79636.443236720006</v>
      </c>
      <c r="L652">
        <f>_xlfn.XLOOKUP($F652,設計座標!$E$13:$E$2301,設計座標!$J$13:$J$2301,"n/a",0,1)</f>
        <v>-20</v>
      </c>
      <c r="M652" s="2">
        <f t="shared" si="518"/>
        <v>-15008.625911658775</v>
      </c>
      <c r="N652" s="2">
        <f t="shared" si="519"/>
        <v>79636.443236720006</v>
      </c>
      <c r="O652" s="23">
        <f t="shared" si="520"/>
        <v>-13.973570634626338</v>
      </c>
      <c r="P652" s="1">
        <f t="shared" si="486"/>
        <v>-20.202410222099196</v>
      </c>
      <c r="Q652" s="1">
        <f>(Q$654-Q$651)/($N$654-$N$651)*($N652-$N$651)+Q$651</f>
        <v>-8.6259116587745481</v>
      </c>
      <c r="R652">
        <f t="shared" si="500"/>
        <v>0</v>
      </c>
      <c r="S652" s="23">
        <f t="shared" ref="S652:S653" si="527">(S$654-S$651)/($N$654-$N$651)*($N652-$N$651)+S$651</f>
        <v>6.0264293653736623</v>
      </c>
      <c r="T652">
        <f>$S652+測地線補正!$Q$26*(lattice!$N652/1000)^3+測地線補正!$P$26*(lattice!$N652/1000)^2+測地線補正!$O$26*(lattice!$N652/1000)+測地線補正!$N$26</f>
        <v>-0.20241022209919568</v>
      </c>
      <c r="U652">
        <f>-ATAN(($P$652-$P$651)/ABS($N$652-$N$651))</f>
        <v>4.091503248543679E-4</v>
      </c>
      <c r="V652">
        <v>0</v>
      </c>
      <c r="W652">
        <f>ATAN(($M$652-$M$651)/ABS($N$652-$N$651))</f>
        <v>5.0880543908568196E-4</v>
      </c>
      <c r="X652">
        <f>$Z$652-($Y$652+$Y$650)/2</f>
        <v>147.15597551732151</v>
      </c>
      <c r="Y652">
        <f>_xlfn.XLOOKUP($F652,設計座標!$E$13:$E$2301,設計座標!$L$13:$L$2301," ",0,1)</f>
        <v>190</v>
      </c>
      <c r="Z652">
        <f>SQRT(($M$652-$M$650)^2+($N$652-$N$650)^2)</f>
        <v>242.15597551732151</v>
      </c>
      <c r="AA652">
        <f>_xlfn.XLOOKUP($G652,magnet_list!$A$2:$A$592,magnet_list!$AJ$2:$AJ$592,"n/a",0,1)</f>
        <v>0.2039</v>
      </c>
      <c r="AB652">
        <f>_xlfn.XLOOKUP($G652,magnet_list!$A$2:$A$592,magnet_list!$L$2:$L$592,"n/a",0,1)</f>
        <v>23</v>
      </c>
    </row>
    <row r="653" spans="1:28">
      <c r="A653" t="s">
        <v>797</v>
      </c>
      <c r="B653" t="s">
        <v>3813</v>
      </c>
      <c r="C653" t="s">
        <v>805</v>
      </c>
      <c r="D653" t="s">
        <v>1152</v>
      </c>
      <c r="E653" t="s">
        <v>804</v>
      </c>
      <c r="F653" t="s">
        <v>605</v>
      </c>
      <c r="G653" t="s">
        <v>121</v>
      </c>
      <c r="I653">
        <f>_xlfn.XLOOKUP($F653,設計座標!$E$13:$E$2301,設計座標!$G$13:$G$2301,"n/a",0,1)</f>
        <v>185.1207835474589</v>
      </c>
      <c r="J653">
        <f>_xlfn.XLOOKUP($F653,設計座標!$E$13:$E$2301,設計座標!$H$13:$H$2301,"n/a",0,1)</f>
        <v>-15000</v>
      </c>
      <c r="K653">
        <f>_xlfn.XLOOKUP($F653,設計座標!$E$13:$E$2301,設計座標!$I$13:$I$2301,"n/a",0,1)</f>
        <v>79341.273918449995</v>
      </c>
      <c r="L653">
        <f>_xlfn.XLOOKUP($F653,設計座標!$E$13:$E$2301,設計座標!$J$13:$J$2301,"n/a",0,1)</f>
        <v>-20</v>
      </c>
      <c r="M653" s="2">
        <f t="shared" si="518"/>
        <v>-15008.475727891224</v>
      </c>
      <c r="N653" s="2">
        <f t="shared" si="519"/>
        <v>79341.273918449995</v>
      </c>
      <c r="O653" s="23">
        <f t="shared" si="520"/>
        <v>-14.116393955373661</v>
      </c>
      <c r="P653" s="1">
        <f t="shared" si="486"/>
        <v>-20.323199728689307</v>
      </c>
      <c r="Q653" s="1">
        <f>(Q$654-Q$651)/($N$654-$N$651)*($N653-$N$651)+Q$651</f>
        <v>-8.475727891224615</v>
      </c>
      <c r="R653">
        <f t="shared" si="500"/>
        <v>0</v>
      </c>
      <c r="S653" s="23">
        <f t="shared" si="527"/>
        <v>5.8836060446263385</v>
      </c>
      <c r="T653">
        <f>$S653+測地線補正!$Q$26*(lattice!$N653/1000)^3+測地線補正!$P$26*(lattice!$N653/1000)^2+測地線補正!$O$26*(lattice!$N653/1000)+測地線補正!$N$26</f>
        <v>-0.32319972868930802</v>
      </c>
      <c r="U653">
        <f>-ATAN(($P$654-$P$653)/ABS($N$654-$N$653))</f>
        <v>4.0929176293277788E-4</v>
      </c>
      <c r="V653">
        <v>0</v>
      </c>
      <c r="W653">
        <f>ATAN(($M$654-$M$653)/ABS($N$654-$N$653))</f>
        <v>5.0880543908568196E-4</v>
      </c>
      <c r="X653">
        <f>$Z$653-($Y$653+$Y$652)/2</f>
        <v>105.16935647717071</v>
      </c>
      <c r="Y653">
        <f>_xlfn.XLOOKUP($F653,設計座標!$E$13:$E$2301,設計座標!$L$13:$L$2301," ",0,1)</f>
        <v>190</v>
      </c>
      <c r="Z653">
        <f>SQRT(($M$653-$M$652)^2+($N$653-$N$652)^2)</f>
        <v>295.16935647717071</v>
      </c>
      <c r="AA653">
        <f>_xlfn.XLOOKUP($G653,magnet_list!$A$2:$A$592,magnet_list!$AJ$2:$AJ$592,"n/a",0,1)</f>
        <v>0.2039</v>
      </c>
      <c r="AB653">
        <f>_xlfn.XLOOKUP($G653,magnet_list!$A$2:$A$592,magnet_list!$L$2:$L$592,"n/a",0,1)</f>
        <v>23</v>
      </c>
    </row>
    <row r="654" spans="1:28">
      <c r="A654" t="s">
        <v>797</v>
      </c>
      <c r="B654" t="s">
        <v>3813</v>
      </c>
      <c r="C654" t="s">
        <v>805</v>
      </c>
      <c r="D654" t="s">
        <v>806</v>
      </c>
      <c r="F654" t="s">
        <v>121</v>
      </c>
      <c r="G654" t="s">
        <v>121</v>
      </c>
      <c r="I654">
        <f>_xlfn.XLOOKUP($F654,設計座標!$E$13:$E$2301,設計座標!$G$13:$G$2301,"n/a",0,1)</f>
        <v>185.19578354745889</v>
      </c>
      <c r="J654">
        <f>_xlfn.XLOOKUP($F654,設計座標!$E$13:$E$2301,設計座標!$H$13:$H$2301,"n/a",0,1)</f>
        <v>-15000</v>
      </c>
      <c r="K654">
        <f>_xlfn.XLOOKUP($F654,設計座標!$E$13:$E$2301,設計座標!$I$13:$I$2301,"n/a",0,1)</f>
        <v>79266.273918449995</v>
      </c>
      <c r="L654">
        <f>_xlfn.XLOOKUP($F654,設計座標!$E$13:$E$2301,設計座標!$J$13:$J$2301,"n/a",0,1)</f>
        <v>-20</v>
      </c>
      <c r="M654" s="2">
        <f>_xlfn.XLOOKUP($F654,survey_data!$A$2:$A$833,survey_data!$B$2:$B$833,"n/a",0,1)</f>
        <v>-15008.437567479999</v>
      </c>
      <c r="N654" s="2">
        <f>_xlfn.XLOOKUP($F654,survey_data!$A$2:$A$833,survey_data!$C$2:$C$833,"n/a",0,1)</f>
        <v>79266.273918449995</v>
      </c>
      <c r="O654" s="23">
        <f>_xlfn.XLOOKUP($F654,survey_data!$A$2:$A$833,survey_data!$D$2:$D$833,"n/a",0,1)</f>
        <v>-14.15268414</v>
      </c>
      <c r="P654" s="1">
        <f t="shared" si="486"/>
        <v>-20.353896612623377</v>
      </c>
      <c r="Q654" s="1">
        <f t="shared" si="507"/>
        <v>-8.4375674799994158</v>
      </c>
      <c r="R654">
        <f t="shared" si="500"/>
        <v>0</v>
      </c>
      <c r="S654" s="23">
        <f t="shared" si="508"/>
        <v>5.8473158600000001</v>
      </c>
      <c r="T654">
        <f>$S654+測地線補正!$Q$26*(lattice!$N654/1000)^3+測地線補正!$P$26*(lattice!$N654/1000)^2+測地線補正!$O$26*(lattice!$N654/1000)+測地線補正!$N$26</f>
        <v>-0.35389661262337824</v>
      </c>
      <c r="U654">
        <f>-ATAN(($P$654-$P$653)/ABS($N$654-$N$653))</f>
        <v>4.0929176293277788E-4</v>
      </c>
      <c r="V654">
        <v>0</v>
      </c>
      <c r="W654">
        <f>ATAN(($M$654-$M$653)/ABS($N$654-$N$653))</f>
        <v>5.0880543908568196E-4</v>
      </c>
      <c r="X654">
        <f>$Z$653-($Y$653+$Y$652)/2</f>
        <v>105.16935647717071</v>
      </c>
      <c r="Y654">
        <f>_xlfn.XLOOKUP($F654,設計座標!$E$13:$E$2301,設計座標!$L$13:$L$2301," ",0,1)</f>
        <v>190</v>
      </c>
      <c r="Z654">
        <f>SQRT(($M$653-$M$652)^2+($N$653-$N$652)^2)</f>
        <v>295.16935647717071</v>
      </c>
      <c r="AA654">
        <f>_xlfn.XLOOKUP($G654,magnet_list!$A$2:$A$592,magnet_list!$AJ$2:$AJ$592,"n/a",0,1)</f>
        <v>0.2039</v>
      </c>
      <c r="AB654">
        <f>_xlfn.XLOOKUP($G654,magnet_list!$A$2:$A$592,magnet_list!$L$2:$L$592,"n/a",0,1)</f>
        <v>23</v>
      </c>
    </row>
    <row r="655" spans="1:28">
      <c r="A655" t="s">
        <v>797</v>
      </c>
      <c r="B655" t="s">
        <v>3813</v>
      </c>
      <c r="C655" t="s">
        <v>2288</v>
      </c>
      <c r="D655" t="s">
        <v>1152</v>
      </c>
      <c r="E655" t="s">
        <v>804</v>
      </c>
      <c r="F655" t="s">
        <v>2315</v>
      </c>
      <c r="G655" t="s">
        <v>2315</v>
      </c>
      <c r="I655">
        <f>_xlfn.XLOOKUP($F655,設計座標!$E$13:$E$2301,設計座標!$G$13:$G$2301,"n/a",0,1)</f>
        <v>185.41293626136894</v>
      </c>
      <c r="J655">
        <f>_xlfn.XLOOKUP($F655,設計座標!$E$13:$E$2301,設計座標!$H$13:$H$2301,"n/a",0,1)</f>
        <v>-15000</v>
      </c>
      <c r="K655">
        <f>_xlfn.XLOOKUP($F655,設計座標!$E$13:$E$2301,設計座標!$I$13:$I$2301,"n/a",0,1)</f>
        <v>79049.121204539959</v>
      </c>
      <c r="L655">
        <f>_xlfn.XLOOKUP($F655,設計座標!$E$13:$E$2301,設計座標!$J$13:$J$2301,"n/a",0,1)</f>
        <v>-270</v>
      </c>
      <c r="M655" s="2">
        <f t="shared" si="518"/>
        <v>-15008.407602177227</v>
      </c>
      <c r="N655" s="2">
        <f t="shared" si="519"/>
        <v>79049.121204539959</v>
      </c>
      <c r="O655" s="23">
        <f t="shared" si="520"/>
        <v>-264.17303513114859</v>
      </c>
      <c r="P655" s="1">
        <f t="shared" si="486"/>
        <v>-270.35806504470582</v>
      </c>
      <c r="Q655" s="1">
        <f>(Q$674-Q$654)/($N$674-$N$654)*($N655-$N$654)+Q$654</f>
        <v>-8.4076021772264493</v>
      </c>
      <c r="R655">
        <f t="shared" si="500"/>
        <v>0</v>
      </c>
      <c r="S655" s="23">
        <f t="shared" ref="S655:S673" si="528">(S$674-S$654)/($N$674-$N$654)*($N655-$N$654)+S$654</f>
        <v>5.8269648688513929</v>
      </c>
      <c r="T655">
        <f>$S655+測地線補正!$Q$26*(lattice!$N655/1000)^3+測地線補正!$P$26*(lattice!$N655/1000)^2+測地線補正!$O$26*(lattice!$N655/1000)+測地線補正!$N$26</f>
        <v>-0.35806504470583866</v>
      </c>
      <c r="U655">
        <v>0</v>
      </c>
      <c r="V655">
        <v>0</v>
      </c>
      <c r="W655">
        <v>0</v>
      </c>
      <c r="X655">
        <f>$Z$655-($Y$655+$Y$654)/2</f>
        <v>197.15272185299318</v>
      </c>
      <c r="Y655">
        <f>_xlfn.XLOOKUP($F655,設計座標!$E$13:$E$2301,設計座標!$L$13:$L$2301," ",0,1)</f>
        <v>0</v>
      </c>
      <c r="Z655">
        <f>SQRT(($M$655-$M$653)^2+($N$655-$N$653)^2)</f>
        <v>292.15272185299318</v>
      </c>
    </row>
    <row r="656" spans="1:28">
      <c r="A656" t="s">
        <v>797</v>
      </c>
      <c r="B656" t="s">
        <v>3813</v>
      </c>
      <c r="C656" t="s">
        <v>804</v>
      </c>
      <c r="D656" t="s">
        <v>1152</v>
      </c>
      <c r="E656" t="s">
        <v>804</v>
      </c>
      <c r="F656" t="s">
        <v>1514</v>
      </c>
      <c r="G656" t="s">
        <v>2478</v>
      </c>
      <c r="I656">
        <f>_xlfn.XLOOKUP($F656,設計座標!$E$13:$E$2301,設計座標!$G$13:$G$2301,"n/a",0,1)</f>
        <v>185.54693716136893</v>
      </c>
      <c r="J656">
        <f>_xlfn.XLOOKUP($F656,設計座標!$E$13:$E$2301,設計座標!$H$13:$H$2301,"n/a",0,1)</f>
        <v>-15000</v>
      </c>
      <c r="K656">
        <f>_xlfn.XLOOKUP($F656,設計座標!$E$13:$E$2301,設計座標!$I$13:$I$2301,"n/a",0,1)</f>
        <v>78915.12030453996</v>
      </c>
      <c r="L656">
        <f>_xlfn.XLOOKUP($F656,設計座標!$E$13:$E$2301,設計座標!$J$13:$J$2301,"n/a",0,1)</f>
        <v>-270</v>
      </c>
      <c r="M656" s="2">
        <f t="shared" si="518"/>
        <v>-15008.389111146338</v>
      </c>
      <c r="N656" s="2">
        <f t="shared" si="519"/>
        <v>78915.12030453996</v>
      </c>
      <c r="O656" s="23">
        <f t="shared" si="520"/>
        <v>-264.18559334919109</v>
      </c>
      <c r="P656" s="1">
        <f t="shared" si="486"/>
        <v>-270.3606462883161</v>
      </c>
      <c r="Q656" s="1">
        <f t="shared" ref="Q656:Q673" si="529">(Q$674-Q$654)/($N$674-$N$654)*($N656-$N$654)+Q$654</f>
        <v>-8.3891111463383261</v>
      </c>
      <c r="R656">
        <f t="shared" si="500"/>
        <v>0</v>
      </c>
      <c r="S656" s="23">
        <f t="shared" si="528"/>
        <v>5.8144066508088814</v>
      </c>
      <c r="T656">
        <f>$S656+測地線補正!$Q$26*(lattice!$N656/1000)^3+測地線補正!$P$26*(lattice!$N656/1000)^2+測地線補正!$O$26*(lattice!$N656/1000)+測地線補正!$N$26</f>
        <v>-0.36064628831612855</v>
      </c>
      <c r="U656">
        <f>-ATAN(($P$660-$P$656)/ABS($N$660-$N$656))</f>
        <v>1.9648498465713508E-5</v>
      </c>
      <c r="V656">
        <v>0</v>
      </c>
      <c r="W656">
        <f>ATAN(($M$660-$M$656)/ABS($N$660-$N$656))</f>
        <v>1.3799184013518626E-4</v>
      </c>
      <c r="X656">
        <f>SQRT(($M$656-$M$655)^2+($N$656-$N$655)^2)</f>
        <v>134.00090127580478</v>
      </c>
      <c r="Y656">
        <f>_xlfn.XLOOKUP($F656,設計座標!$E$13:$E$2301,設計座標!$L$13:$L$2301," ",0,1)</f>
        <v>1889.4492</v>
      </c>
      <c r="Z656">
        <f>SQRT(($M$659-$M$657)^2+($N$659-$N$657)^2)</f>
        <v>311.22450296312587</v>
      </c>
    </row>
    <row r="657" spans="1:28">
      <c r="A657" t="s">
        <v>797</v>
      </c>
      <c r="B657" t="s">
        <v>3813</v>
      </c>
      <c r="C657" t="s">
        <v>3855</v>
      </c>
      <c r="D657" t="s">
        <v>1152</v>
      </c>
      <c r="E657" t="s">
        <v>804</v>
      </c>
      <c r="F657" t="s">
        <v>2264</v>
      </c>
      <c r="G657" t="s">
        <v>2264</v>
      </c>
      <c r="I657">
        <f>_xlfn.XLOOKUP($F657,設計座標!$E$13:$E$2301,設計座標!$G$13:$G$2301,"n/a",0,1)</f>
        <v>186.18043726136895</v>
      </c>
      <c r="J657">
        <f>_xlfn.XLOOKUP($F657,設計座標!$E$13:$E$2301,設計座標!$H$13:$H$2301,"n/a",0,1)</f>
        <v>-15000</v>
      </c>
      <c r="K657">
        <f>_xlfn.XLOOKUP($F657,設計座標!$E$13:$E$2301,設計座標!$I$13:$I$2301,"n/a",0,1)</f>
        <v>78281.620204539955</v>
      </c>
      <c r="L657">
        <f>_xlfn.XLOOKUP($F657,設計座標!$E$13:$E$2301,設計座標!$J$13:$J$2301,"n/a",0,1)</f>
        <v>-270</v>
      </c>
      <c r="M657" s="2">
        <f t="shared" si="518"/>
        <v>-15008.301693301259</v>
      </c>
      <c r="N657" s="2">
        <f t="shared" si="519"/>
        <v>78281.620204539955</v>
      </c>
      <c r="O657" s="23">
        <f t="shared" si="520"/>
        <v>-264.24496334137592</v>
      </c>
      <c r="P657" s="1">
        <f t="shared" si="486"/>
        <v>-270.37294206833019</v>
      </c>
      <c r="Q657" s="1">
        <f t="shared" si="529"/>
        <v>-8.3016933012587124</v>
      </c>
      <c r="R657">
        <f t="shared" si="500"/>
        <v>0</v>
      </c>
      <c r="S657" s="23">
        <f t="shared" si="528"/>
        <v>5.7550366586241051</v>
      </c>
      <c r="T657">
        <f>$S657+測地線補正!$Q$26*(lattice!$N657/1000)^3+測地線補正!$P$26*(lattice!$N657/1000)^2+測地線補正!$O$26*(lattice!$N657/1000)+測地線補正!$N$26</f>
        <v>-0.37294206833018939</v>
      </c>
      <c r="U657">
        <f t="shared" ref="U657:U658" si="530">-ATAN(($P$660-$P$656)/ABS($N$660-$N$656))</f>
        <v>1.9648498465713508E-5</v>
      </c>
      <c r="V657">
        <v>0</v>
      </c>
      <c r="W657">
        <f t="shared" ref="W657:W658" si="531">ATAN(($M$660-$M$656)/ABS($N$660-$N$656))</f>
        <v>1.3799184013518626E-4</v>
      </c>
      <c r="X657" t="s">
        <v>3860</v>
      </c>
      <c r="Y657">
        <f>_xlfn.XLOOKUP($F657,設計座標!$E$13:$E$2301,設計座標!$L$13:$L$2301," ",0,1)</f>
        <v>1000</v>
      </c>
      <c r="Z657">
        <f>SQRT(($M$657-$M$655)^2+($N$657-$N$655)^2)</f>
        <v>767.50100730728423</v>
      </c>
      <c r="AA657">
        <f>_xlfn.XLOOKUP($G657,magnet_list!$A$2:$A$592,magnet_list!$AJ$2:$AJ$592,"n/a",0,1)</f>
        <v>0.95010000000000006</v>
      </c>
      <c r="AB657">
        <f>_xlfn.XLOOKUP($G657,magnet_list!$A$2:$A$592,magnet_list!$L$2:$L$592,"n/a",0,1)</f>
        <v>120</v>
      </c>
    </row>
    <row r="658" spans="1:28">
      <c r="A658" t="s">
        <v>797</v>
      </c>
      <c r="B658" t="s">
        <v>3813</v>
      </c>
      <c r="C658" t="s">
        <v>3855</v>
      </c>
      <c r="D658" t="s">
        <v>1152</v>
      </c>
      <c r="E658" t="s">
        <v>804</v>
      </c>
      <c r="F658" t="s">
        <v>2265</v>
      </c>
      <c r="G658" t="s">
        <v>2265</v>
      </c>
      <c r="I658">
        <f>_xlfn.XLOOKUP($F658,設計座標!$E$13:$E$2301,設計座標!$G$13:$G$2301,"n/a",0,1)</f>
        <v>186.18043726136895</v>
      </c>
      <c r="J658">
        <f>_xlfn.XLOOKUP($F658,設計座標!$E$13:$E$2301,設計座標!$H$13:$H$2301,"n/a",0,1)</f>
        <v>-15000</v>
      </c>
      <c r="K658">
        <f>_xlfn.XLOOKUP($F658,設計座標!$E$13:$E$2301,設計座標!$I$13:$I$2301,"n/a",0,1)</f>
        <v>78281.620204539955</v>
      </c>
      <c r="L658">
        <f>_xlfn.XLOOKUP($F658,設計座標!$E$13:$E$2301,設計座標!$J$13:$J$2301,"n/a",0,1)</f>
        <v>-270</v>
      </c>
      <c r="M658" s="2">
        <f t="shared" si="518"/>
        <v>-15008.301693301259</v>
      </c>
      <c r="N658" s="2">
        <f t="shared" si="519"/>
        <v>78281.620204539955</v>
      </c>
      <c r="O658" s="23">
        <f t="shared" si="520"/>
        <v>-264.24496334137592</v>
      </c>
      <c r="P658" s="1">
        <f t="shared" si="486"/>
        <v>-270.37294206833019</v>
      </c>
      <c r="Q658" s="1">
        <f t="shared" si="529"/>
        <v>-8.3016933012587124</v>
      </c>
      <c r="R658">
        <f t="shared" si="500"/>
        <v>0</v>
      </c>
      <c r="S658" s="23">
        <f t="shared" si="528"/>
        <v>5.7550366586241051</v>
      </c>
      <c r="T658">
        <f>$S658+測地線補正!$Q$26*(lattice!$N658/1000)^3+測地線補正!$P$26*(lattice!$N658/1000)^2+測地線補正!$O$26*(lattice!$N658/1000)+測地線補正!$N$26</f>
        <v>-0.37294206833018939</v>
      </c>
      <c r="U658">
        <f t="shared" si="530"/>
        <v>1.9648498465713508E-5</v>
      </c>
      <c r="V658">
        <v>0</v>
      </c>
      <c r="W658">
        <f t="shared" si="531"/>
        <v>1.3799184013518626E-4</v>
      </c>
      <c r="X658" t="s">
        <v>3860</v>
      </c>
      <c r="Y658">
        <f>_xlfn.XLOOKUP($F658,設計座標!$E$13:$E$2301,設計座標!$L$13:$L$2301," ",0,1)</f>
        <v>1000</v>
      </c>
      <c r="Z658">
        <f>SQRT(($M$657-$M$655)^2+($N$657-$N$655)^2)</f>
        <v>767.50100730728423</v>
      </c>
      <c r="AA658">
        <f>_xlfn.XLOOKUP($G658,magnet_list!$A$2:$A$592,magnet_list!$AJ$2:$AJ$592,"n/a",0,1)</f>
        <v>0.95010000000000006</v>
      </c>
      <c r="AB658">
        <f>_xlfn.XLOOKUP($G658,magnet_list!$A$2:$A$592,magnet_list!$L$2:$L$592,"n/a",0,1)</f>
        <v>120</v>
      </c>
    </row>
    <row r="659" spans="1:28">
      <c r="A659" t="s">
        <v>797</v>
      </c>
      <c r="B659" t="s">
        <v>3813</v>
      </c>
      <c r="C659" t="s">
        <v>804</v>
      </c>
      <c r="D659" t="s">
        <v>1152</v>
      </c>
      <c r="E659" t="s">
        <v>804</v>
      </c>
      <c r="F659" t="s">
        <v>1180</v>
      </c>
      <c r="G659" t="s">
        <v>2478</v>
      </c>
      <c r="I659">
        <f>_xlfn.XLOOKUP($F659,設計座標!$E$13:$E$2301,設計座標!$G$13:$G$2301,"n/a",0,1)</f>
        <v>186.49166176136893</v>
      </c>
      <c r="J659">
        <f>_xlfn.XLOOKUP($F659,設計座標!$E$13:$E$2301,設計座標!$H$13:$H$2301,"n/a",0,1)</f>
        <v>-15000</v>
      </c>
      <c r="K659">
        <f>_xlfn.XLOOKUP($F659,設計座標!$E$13:$E$2301,設計座標!$I$13:$I$2301,"n/a",0,1)</f>
        <v>77970.395704539958</v>
      </c>
      <c r="L659">
        <f>_xlfn.XLOOKUP($F659,設計座標!$E$13:$E$2301,設計座標!$J$13:$J$2301,"n/a",0,1)</f>
        <v>-270</v>
      </c>
      <c r="M659" s="2">
        <f t="shared" si="518"/>
        <v>-15008.258746859536</v>
      </c>
      <c r="N659" s="2">
        <f t="shared" si="519"/>
        <v>77970.395704539958</v>
      </c>
      <c r="O659" s="23">
        <f t="shared" si="520"/>
        <v>-264.27413049720224</v>
      </c>
      <c r="P659" s="1">
        <f t="shared" si="486"/>
        <v>-270.37903875114205</v>
      </c>
      <c r="Q659" s="1">
        <f t="shared" si="529"/>
        <v>-8.2587468595360036</v>
      </c>
      <c r="R659">
        <f t="shared" si="500"/>
        <v>0</v>
      </c>
      <c r="S659" s="23">
        <f t="shared" si="528"/>
        <v>5.7258695027977513</v>
      </c>
      <c r="T659">
        <f>$S659+測地線補正!$Q$26*(lattice!$N659/1000)^3+測地線補正!$P$26*(lattice!$N659/1000)^2+測地線補正!$O$26*(lattice!$N659/1000)+測地線補正!$N$26</f>
        <v>-0.37903875114205587</v>
      </c>
      <c r="U659">
        <f t="shared" ref="U659:U660" si="532">-ATAN(($P$660-$P$656)/ABS($N$660-$N$656))</f>
        <v>1.9648498465713508E-5</v>
      </c>
      <c r="V659">
        <v>0</v>
      </c>
      <c r="W659">
        <f t="shared" ref="W659:W660" si="533">ATAN(($M$660-$M$656)/ABS($N$660-$N$656))</f>
        <v>1.3799184013518626E-4</v>
      </c>
      <c r="X659" t="s">
        <v>3860</v>
      </c>
      <c r="Y659">
        <f>_xlfn.XLOOKUP($F659,設計座標!$E$13:$E$2301,設計座標!$L$13:$L$2301," ",0,1)</f>
        <v>1889.4492</v>
      </c>
      <c r="Z659">
        <f>SQRT(($M$659-$M$657)^2+($N$659-$N$657)^2)</f>
        <v>311.22450296312587</v>
      </c>
    </row>
    <row r="660" spans="1:28">
      <c r="A660" t="s">
        <v>797</v>
      </c>
      <c r="B660" t="s">
        <v>3813</v>
      </c>
      <c r="C660" t="s">
        <v>804</v>
      </c>
      <c r="D660" t="s">
        <v>1152</v>
      </c>
      <c r="E660" t="s">
        <v>804</v>
      </c>
      <c r="F660" t="s">
        <v>1515</v>
      </c>
      <c r="G660" t="s">
        <v>2478</v>
      </c>
      <c r="I660">
        <f>_xlfn.XLOOKUP($F660,設計座標!$E$13:$E$2301,設計座標!$G$13:$G$2301,"n/a",0,1)</f>
        <v>187.43638636136893</v>
      </c>
      <c r="J660">
        <f>_xlfn.XLOOKUP($F660,設計座標!$E$13:$E$2301,設計座標!$H$13:$H$2301,"n/a",0,1)</f>
        <v>-15000</v>
      </c>
      <c r="K660">
        <f>_xlfn.XLOOKUP($F660,設計座標!$E$13:$E$2301,設計座標!$I$13:$I$2301,"n/a",0,1)</f>
        <v>77025.671104539957</v>
      </c>
      <c r="L660">
        <f>_xlfn.XLOOKUP($F660,設計座標!$E$13:$E$2301,設計座標!$J$13:$J$2301,"n/a",0,1)</f>
        <v>-270</v>
      </c>
      <c r="M660" s="2">
        <f t="shared" si="518"/>
        <v>-15008.128382572733</v>
      </c>
      <c r="N660" s="2">
        <f t="shared" si="519"/>
        <v>77025.671104539957</v>
      </c>
      <c r="O660" s="23">
        <f t="shared" si="520"/>
        <v>-264.36266764521338</v>
      </c>
      <c r="P660" s="1">
        <f t="shared" ref="P660:P723" si="534">$L660+$T660</f>
        <v>-270.39777112802813</v>
      </c>
      <c r="Q660" s="1">
        <f t="shared" si="529"/>
        <v>-8.1283825727336829</v>
      </c>
      <c r="R660">
        <f t="shared" si="500"/>
        <v>0</v>
      </c>
      <c r="S660" s="23">
        <f t="shared" si="528"/>
        <v>5.6373323547866212</v>
      </c>
      <c r="T660">
        <f>$S660+測地線補正!$Q$26*(lattice!$N660/1000)^3+測地線補正!$P$26*(lattice!$N660/1000)^2+測地線補正!$O$26*(lattice!$N660/1000)+測地線補正!$N$26</f>
        <v>-0.39777112802814085</v>
      </c>
      <c r="U660">
        <f t="shared" si="532"/>
        <v>1.9648498465713508E-5</v>
      </c>
      <c r="V660">
        <v>0</v>
      </c>
      <c r="W660">
        <f t="shared" si="533"/>
        <v>1.3799184013518626E-4</v>
      </c>
      <c r="X660" t="s">
        <v>3860</v>
      </c>
      <c r="Y660">
        <f>_xlfn.XLOOKUP($F660,設計座標!$E$13:$E$2301,設計座標!$L$13:$L$2301," ",0,1)</f>
        <v>1889.4492</v>
      </c>
      <c r="Z660">
        <f>SQRT(($M$659-$M$657)^2+($N$659-$N$657)^2)</f>
        <v>311.22450296312587</v>
      </c>
    </row>
    <row r="661" spans="1:28">
      <c r="A661" t="s">
        <v>797</v>
      </c>
      <c r="B661" t="s">
        <v>3813</v>
      </c>
      <c r="C661" t="s">
        <v>804</v>
      </c>
      <c r="D661" t="s">
        <v>1152</v>
      </c>
      <c r="E661" t="s">
        <v>804</v>
      </c>
      <c r="F661" t="s">
        <v>1516</v>
      </c>
      <c r="G661" t="s">
        <v>2479</v>
      </c>
      <c r="I661">
        <f>_xlfn.XLOOKUP($F661,設計座標!$E$13:$E$2301,設計座標!$G$13:$G$2301,"n/a",0,1)</f>
        <v>187.64632516136894</v>
      </c>
      <c r="J661">
        <f>_xlfn.XLOOKUP($F661,設計座標!$E$13:$E$2301,設計座標!$H$13:$H$2301,"n/a",0,1)</f>
        <v>-15000</v>
      </c>
      <c r="K661">
        <f>_xlfn.XLOOKUP($F661,設計座標!$E$13:$E$2301,設計座標!$I$13:$I$2301,"n/a",0,1)</f>
        <v>76815.732304539953</v>
      </c>
      <c r="L661">
        <f>_xlfn.XLOOKUP($F661,設計座標!$E$13:$E$2301,設計座標!$J$13:$J$2301,"n/a",0,1)</f>
        <v>-270</v>
      </c>
      <c r="M661" s="2">
        <f t="shared" si="518"/>
        <v>-15008.099412731222</v>
      </c>
      <c r="N661" s="2">
        <f t="shared" si="519"/>
        <v>76815.732304539953</v>
      </c>
      <c r="O661" s="23">
        <f t="shared" si="520"/>
        <v>-264.38234256699366</v>
      </c>
      <c r="P661" s="1">
        <f t="shared" si="534"/>
        <v>-270.40197997056703</v>
      </c>
      <c r="Q661" s="1">
        <f t="shared" si="529"/>
        <v>-8.0994127312220563</v>
      </c>
      <c r="R661">
        <f t="shared" si="500"/>
        <v>0</v>
      </c>
      <c r="S661" s="23">
        <f t="shared" si="528"/>
        <v>5.6176574330063698</v>
      </c>
      <c r="T661">
        <f>$S661+測地線補正!$Q$26*(lattice!$N661/1000)^3+測地線補正!$P$26*(lattice!$N661/1000)^2+測地線補正!$O$26*(lattice!$N661/1000)+測地線補正!$N$26</f>
        <v>-0.40197997056705215</v>
      </c>
      <c r="U661">
        <f>-ATAN(($P$663-$P$661)/ABS($N$663-$N$661))</f>
        <v>2.0446265075816112E-5</v>
      </c>
      <c r="V661">
        <v>0</v>
      </c>
      <c r="W661">
        <f>ATAN(($M$663-$M$661)/ABS($N$663-$N$661))</f>
        <v>1.3799184013518626E-4</v>
      </c>
      <c r="X661">
        <f>SQRT(($M$661-$M$660)^2+($N$661-$N$660)^2)</f>
        <v>209.93880199880442</v>
      </c>
      <c r="Y661">
        <f>_xlfn.XLOOKUP($F661,設計座標!$E$13:$E$2301,設計座標!$L$13:$L$2301," ",0,1)</f>
        <v>1889.4492</v>
      </c>
      <c r="Z661">
        <f>SQRT(($M$662-$M$659)^2+($N$662-$N$659)^2)</f>
        <v>2099.388019988015</v>
      </c>
    </row>
    <row r="662" spans="1:28">
      <c r="A662" t="s">
        <v>797</v>
      </c>
      <c r="B662" t="s">
        <v>3813</v>
      </c>
      <c r="C662" t="s">
        <v>804</v>
      </c>
      <c r="D662" t="s">
        <v>1152</v>
      </c>
      <c r="E662" t="s">
        <v>804</v>
      </c>
      <c r="F662" t="s">
        <v>1236</v>
      </c>
      <c r="G662" t="s">
        <v>2479</v>
      </c>
      <c r="I662">
        <f>_xlfn.XLOOKUP($F662,設計座標!$E$13:$E$2301,設計座標!$G$13:$G$2301,"n/a",0,1)</f>
        <v>188.59104976136894</v>
      </c>
      <c r="J662">
        <f>_xlfn.XLOOKUP($F662,設計座標!$E$13:$E$2301,設計座標!$H$13:$H$2301,"n/a",0,1)</f>
        <v>-15000</v>
      </c>
      <c r="K662">
        <f>_xlfn.XLOOKUP($F662,設計座標!$E$13:$E$2301,設計座標!$I$13:$I$2301,"n/a",0,1)</f>
        <v>75871.007704539952</v>
      </c>
      <c r="L662">
        <f>_xlfn.XLOOKUP($F662,設計座標!$E$13:$E$2301,設計座標!$J$13:$J$2301,"n/a",0,1)</f>
        <v>-270</v>
      </c>
      <c r="M662" s="2">
        <f t="shared" si="518"/>
        <v>-15007.96904844442</v>
      </c>
      <c r="N662" s="2">
        <f t="shared" si="519"/>
        <v>75871.007704539952</v>
      </c>
      <c r="O662" s="23">
        <f t="shared" si="520"/>
        <v>-264.47087971500474</v>
      </c>
      <c r="P662" s="1">
        <f t="shared" si="534"/>
        <v>-270.42112686581117</v>
      </c>
      <c r="Q662" s="1">
        <f t="shared" si="529"/>
        <v>-7.9690484444197338</v>
      </c>
      <c r="R662">
        <f t="shared" si="500"/>
        <v>0</v>
      </c>
      <c r="S662" s="23">
        <f t="shared" si="528"/>
        <v>5.5291202849952397</v>
      </c>
      <c r="T662">
        <f>$S662+測地線補正!$Q$26*(lattice!$N662/1000)^3+測地線補正!$P$26*(lattice!$N662/1000)^2+測地線補正!$O$26*(lattice!$N662/1000)+測地線補正!$N$26</f>
        <v>-0.42112686581119063</v>
      </c>
      <c r="U662">
        <f t="shared" ref="U662:U663" si="535">-ATAN(($P$663-$P$661)/ABS($N$663-$N$661))</f>
        <v>2.0446265075816112E-5</v>
      </c>
      <c r="V662">
        <v>0</v>
      </c>
      <c r="W662">
        <f t="shared" ref="W662:W663" si="536">ATAN(($M$663-$M$661)/ABS($N$663-$N$661))</f>
        <v>1.3799184013518626E-4</v>
      </c>
      <c r="X662" t="s">
        <v>3860</v>
      </c>
      <c r="Y662">
        <f>_xlfn.XLOOKUP($F662,設計座標!$E$13:$E$2301,設計座標!$L$13:$L$2301," ",0,1)</f>
        <v>1889.4492</v>
      </c>
      <c r="Z662">
        <f>SQRT(($M$662-$M$659)^2+($N$662-$N$659)^2)</f>
        <v>2099.388019988015</v>
      </c>
    </row>
    <row r="663" spans="1:28">
      <c r="A663" t="s">
        <v>797</v>
      </c>
      <c r="B663" t="s">
        <v>3813</v>
      </c>
      <c r="C663" t="s">
        <v>804</v>
      </c>
      <c r="D663" t="s">
        <v>1152</v>
      </c>
      <c r="E663" t="s">
        <v>804</v>
      </c>
      <c r="F663" t="s">
        <v>1517</v>
      </c>
      <c r="G663" t="s">
        <v>2479</v>
      </c>
      <c r="I663">
        <f>_xlfn.XLOOKUP($F663,設計座標!$E$13:$E$2301,設計座標!$G$13:$G$2301,"n/a",0,1)</f>
        <v>189.53577436136894</v>
      </c>
      <c r="J663">
        <f>_xlfn.XLOOKUP($F663,設計座標!$E$13:$E$2301,設計座標!$H$13:$H$2301,"n/a",0,1)</f>
        <v>-15000</v>
      </c>
      <c r="K663">
        <f>_xlfn.XLOOKUP($F663,設計座標!$E$13:$E$2301,設計座標!$I$13:$I$2301,"n/a",0,1)</f>
        <v>74926.283104539951</v>
      </c>
      <c r="L663">
        <f>_xlfn.XLOOKUP($F663,設計座標!$E$13:$E$2301,設計座標!$J$13:$J$2301,"n/a",0,1)</f>
        <v>-270</v>
      </c>
      <c r="M663" s="2">
        <f t="shared" si="518"/>
        <v>-15007.838684157618</v>
      </c>
      <c r="N663" s="2">
        <f t="shared" si="519"/>
        <v>74926.283104539951</v>
      </c>
      <c r="O663" s="23">
        <f t="shared" si="520"/>
        <v>-264.55941686301588</v>
      </c>
      <c r="P663" s="1">
        <f t="shared" si="534"/>
        <v>-270.4406121497629</v>
      </c>
      <c r="Q663" s="1">
        <f t="shared" si="529"/>
        <v>-7.8386841576174122</v>
      </c>
      <c r="R663">
        <f t="shared" si="500"/>
        <v>0</v>
      </c>
      <c r="S663" s="23">
        <f t="shared" si="528"/>
        <v>5.4405831369841096</v>
      </c>
      <c r="T663">
        <f>$S663+測地線補正!$Q$26*(lattice!$N663/1000)^3+測地線補正!$P$26*(lattice!$N663/1000)^2+測地線補正!$O$26*(lattice!$N663/1000)+測地線補正!$N$26</f>
        <v>-0.44061214976289587</v>
      </c>
      <c r="U663">
        <f t="shared" si="535"/>
        <v>2.0446265075816112E-5</v>
      </c>
      <c r="V663">
        <v>0</v>
      </c>
      <c r="W663">
        <f t="shared" si="536"/>
        <v>1.3799184013518626E-4</v>
      </c>
      <c r="X663" t="s">
        <v>3860</v>
      </c>
      <c r="Y663">
        <f>_xlfn.XLOOKUP($F663,設計座標!$E$13:$E$2301,設計座標!$L$13:$L$2301," ",0,1)</f>
        <v>1889.4492</v>
      </c>
      <c r="Z663">
        <f>SQRT(($M$662-$M$659)^2+($N$662-$N$659)^2)</f>
        <v>2099.388019988015</v>
      </c>
    </row>
    <row r="664" spans="1:28">
      <c r="A664" t="s">
        <v>797</v>
      </c>
      <c r="B664" t="s">
        <v>3813</v>
      </c>
      <c r="C664" t="s">
        <v>1152</v>
      </c>
      <c r="D664" t="s">
        <v>1152</v>
      </c>
      <c r="E664" t="s">
        <v>804</v>
      </c>
      <c r="F664" t="s">
        <v>2018</v>
      </c>
      <c r="G664" t="s">
        <v>2018</v>
      </c>
      <c r="I664">
        <f>_xlfn.XLOOKUP($F664,設計座標!$E$13:$E$2301,設計座標!$G$13:$G$2301,"n/a",0,1)</f>
        <v>189.80477426136892</v>
      </c>
      <c r="J664">
        <f>_xlfn.XLOOKUP($F664,設計座標!$E$13:$E$2301,設計座標!$H$13:$H$2301,"n/a",0,1)</f>
        <v>-15000</v>
      </c>
      <c r="K664">
        <f>_xlfn.XLOOKUP($F664,設計座標!$E$13:$E$2301,設計座標!$I$13:$I$2301,"n/a",0,1)</f>
        <v>74657.283204539955</v>
      </c>
      <c r="L664">
        <f>_xlfn.XLOOKUP($F664,設計座標!$E$13:$E$2301,設計座標!$J$13:$J$2301,"n/a",0,1)</f>
        <v>-270</v>
      </c>
      <c r="M664" s="2">
        <f t="shared" si="518"/>
        <v>-15007.801564366184</v>
      </c>
      <c r="N664" s="2">
        <f t="shared" si="519"/>
        <v>74657.283204539955</v>
      </c>
      <c r="O664" s="23">
        <f t="shared" si="520"/>
        <v>-264.58462683845346</v>
      </c>
      <c r="P664" s="1">
        <f t="shared" si="534"/>
        <v>-270.4462221675052</v>
      </c>
      <c r="Q664" s="1">
        <f t="shared" si="529"/>
        <v>-7.801564366184655</v>
      </c>
      <c r="R664">
        <f t="shared" si="500"/>
        <v>0</v>
      </c>
      <c r="S664" s="23">
        <f t="shared" si="528"/>
        <v>5.4153731615465279</v>
      </c>
      <c r="T664">
        <f>$S664+測地線補正!$Q$26*(lattice!$N664/1000)^3+測地線補正!$P$26*(lattice!$N664/1000)^2+測地線補正!$O$26*(lattice!$N664/1000)+測地線補正!$N$26</f>
        <v>-0.44622216750521848</v>
      </c>
      <c r="U664">
        <v>0</v>
      </c>
      <c r="V664">
        <v>0</v>
      </c>
      <c r="W664">
        <v>0</v>
      </c>
      <c r="X664">
        <f>SQRT(($M$664-$M$663)^2+($N$664-$N$663)^2)</f>
        <v>268.99990256110942</v>
      </c>
      <c r="Y664">
        <f>_xlfn.XLOOKUP($F664,設計座標!$E$13:$E$2301,設計座標!$L$13:$L$2301," ",0,1)</f>
        <v>0</v>
      </c>
      <c r="Z664">
        <f>SQRT(($M$664-$M$662)^2+($N$664-$N$662)^2)</f>
        <v>1213.7245115557148</v>
      </c>
    </row>
    <row r="665" spans="1:28">
      <c r="A665" t="s">
        <v>797</v>
      </c>
      <c r="B665" t="s">
        <v>3813</v>
      </c>
      <c r="C665" t="s">
        <v>804</v>
      </c>
      <c r="D665" t="s">
        <v>1152</v>
      </c>
      <c r="E665" t="s">
        <v>804</v>
      </c>
      <c r="F665" t="s">
        <v>1518</v>
      </c>
      <c r="G665" t="s">
        <v>2480</v>
      </c>
      <c r="I665">
        <f>_xlfn.XLOOKUP($F665,設計座標!$E$13:$E$2301,設計座標!$G$13:$G$2301,"n/a",0,1)</f>
        <v>190.06062116136891</v>
      </c>
      <c r="J665">
        <f>_xlfn.XLOOKUP($F665,設計座標!$E$13:$E$2301,設計座標!$H$13:$H$2301,"n/a",0,1)</f>
        <v>-15000</v>
      </c>
      <c r="K665">
        <f>_xlfn.XLOOKUP($F665,設計座標!$E$13:$E$2301,設計座標!$I$13:$I$2301,"n/a",0,1)</f>
        <v>74401.436304539951</v>
      </c>
      <c r="L665">
        <f>_xlfn.XLOOKUP($F665,設計座標!$E$13:$E$2301,設計座標!$J$13:$J$2301,"n/a",0,1)</f>
        <v>-270</v>
      </c>
      <c r="M665" s="2">
        <f t="shared" si="518"/>
        <v>-15007.766259581436</v>
      </c>
      <c r="N665" s="2">
        <f t="shared" si="519"/>
        <v>74401.436304539951</v>
      </c>
      <c r="O665" s="23">
        <f t="shared" si="520"/>
        <v>-264.60860414872303</v>
      </c>
      <c r="P665" s="1">
        <f t="shared" si="534"/>
        <v>-270.45158326799992</v>
      </c>
      <c r="Q665" s="1">
        <f t="shared" si="529"/>
        <v>-7.7662595814367128</v>
      </c>
      <c r="R665">
        <f t="shared" si="500"/>
        <v>0</v>
      </c>
      <c r="S665" s="23">
        <f t="shared" si="528"/>
        <v>5.3913958512769646</v>
      </c>
      <c r="T665">
        <f>$S665+測地線補正!$Q$26*(lattice!$N665/1000)^3+測地線補正!$P$26*(lattice!$N665/1000)^2+測地線補正!$O$26*(lattice!$N665/1000)+測地線補正!$N$26</f>
        <v>-0.45158326799994364</v>
      </c>
      <c r="U665">
        <f>-ATAN(($P$669-$P$665)/ABS($N$669-$N$665))</f>
        <v>2.1359260936217244E-5</v>
      </c>
      <c r="V665">
        <v>0</v>
      </c>
      <c r="W665">
        <f>ATAN(($M$669-$M$665)/ABS($N$669-$N$665))</f>
        <v>1.3799184013518626E-4</v>
      </c>
      <c r="X665">
        <f>SQRT(($M$665-$M$664)^2+($N$665-$N$664)^2)</f>
        <v>255.8469024358902</v>
      </c>
      <c r="Y665">
        <f>_xlfn.XLOOKUP($F665,設計座標!$E$13:$E$2301,設計座標!$L$13:$L$2301," ",0,1)</f>
        <v>1889.4492</v>
      </c>
      <c r="Z665">
        <f>SQRT(($M$668-$M$666)^2+($N$668-$N$666)^2)</f>
        <v>311.22450296314042</v>
      </c>
    </row>
    <row r="666" spans="1:28">
      <c r="A666" t="s">
        <v>797</v>
      </c>
      <c r="B666" t="s">
        <v>3813</v>
      </c>
      <c r="C666" t="s">
        <v>3855</v>
      </c>
      <c r="D666" t="s">
        <v>1152</v>
      </c>
      <c r="E666" t="s">
        <v>804</v>
      </c>
      <c r="F666" t="s">
        <v>2266</v>
      </c>
      <c r="G666" t="s">
        <v>2266</v>
      </c>
      <c r="I666">
        <f>_xlfn.XLOOKUP($F666,設計座標!$E$13:$E$2301,設計座標!$G$13:$G$2301,"n/a",0,1)</f>
        <v>190.69412126136891</v>
      </c>
      <c r="J666">
        <f>_xlfn.XLOOKUP($F666,設計座標!$E$13:$E$2301,設計座標!$H$13:$H$2301,"n/a",0,1)</f>
        <v>-15000</v>
      </c>
      <c r="K666">
        <f>_xlfn.XLOOKUP($F666,設計座標!$E$13:$E$2301,設計座標!$I$13:$I$2301,"n/a",0,1)</f>
        <v>73767.936204539961</v>
      </c>
      <c r="L666">
        <f>_xlfn.XLOOKUP($F666,設計座標!$E$13:$E$2301,設計座標!$J$13:$J$2301,"n/a",0,1)</f>
        <v>-270</v>
      </c>
      <c r="M666" s="2">
        <f t="shared" si="518"/>
        <v>-15007.678841736357</v>
      </c>
      <c r="N666" s="2">
        <f t="shared" si="519"/>
        <v>73767.936204539961</v>
      </c>
      <c r="O666" s="23">
        <f t="shared" si="520"/>
        <v>-264.6679741409078</v>
      </c>
      <c r="P666" s="1">
        <f t="shared" si="534"/>
        <v>-270.46496427800724</v>
      </c>
      <c r="Q666" s="1">
        <f t="shared" si="529"/>
        <v>-7.6788417363571018</v>
      </c>
      <c r="R666">
        <f t="shared" si="500"/>
        <v>0</v>
      </c>
      <c r="S666" s="23">
        <f t="shared" si="528"/>
        <v>5.3320258590921901</v>
      </c>
      <c r="T666">
        <f>$S666+測地線補正!$Q$26*(lattice!$N666/1000)^3+測地線補正!$P$26*(lattice!$N666/1000)^2+測地線補正!$O$26*(lattice!$N666/1000)+測地線補正!$N$26</f>
        <v>-0.46496427800726514</v>
      </c>
      <c r="U666">
        <f t="shared" ref="U666:U667" si="537">-ATAN(($P$669-$P$665)/ABS($N$669-$N$665))</f>
        <v>2.1359260936217244E-5</v>
      </c>
      <c r="V666">
        <v>0</v>
      </c>
      <c r="W666">
        <f t="shared" ref="W666:W667" si="538">ATAN(($M$669-$M$665)/ABS($N$669-$N$665))</f>
        <v>1.3799184013518626E-4</v>
      </c>
      <c r="X666" t="s">
        <v>3860</v>
      </c>
      <c r="Y666">
        <f>_xlfn.XLOOKUP($F666,設計座標!$E$13:$E$2301,設計座標!$L$13:$L$2301," ",0,1)</f>
        <v>1000</v>
      </c>
      <c r="Z666">
        <f>SQRT(($M$666-$M$664)^2+($N$666-$N$664)^2)</f>
        <v>889.34700846735507</v>
      </c>
      <c r="AA666">
        <f>_xlfn.XLOOKUP($G666,magnet_list!$A$2:$A$592,magnet_list!$AJ$2:$AJ$592,"n/a",0,1)</f>
        <v>0.95010000000000006</v>
      </c>
      <c r="AB666">
        <f>_xlfn.XLOOKUP($G666,magnet_list!$A$2:$A$592,magnet_list!$L$2:$L$592,"n/a",0,1)</f>
        <v>120</v>
      </c>
    </row>
    <row r="667" spans="1:28">
      <c r="A667" t="s">
        <v>797</v>
      </c>
      <c r="B667" t="s">
        <v>3813</v>
      </c>
      <c r="C667" t="s">
        <v>3855</v>
      </c>
      <c r="D667" t="s">
        <v>1152</v>
      </c>
      <c r="E667" t="s">
        <v>804</v>
      </c>
      <c r="F667" t="s">
        <v>2267</v>
      </c>
      <c r="G667" t="s">
        <v>2267</v>
      </c>
      <c r="I667">
        <f>_xlfn.XLOOKUP($F667,設計座標!$E$13:$E$2301,設計座標!$G$13:$G$2301,"n/a",0,1)</f>
        <v>190.69412126136891</v>
      </c>
      <c r="J667">
        <f>_xlfn.XLOOKUP($F667,設計座標!$E$13:$E$2301,設計座標!$H$13:$H$2301,"n/a",0,1)</f>
        <v>-15000</v>
      </c>
      <c r="K667">
        <f>_xlfn.XLOOKUP($F667,設計座標!$E$13:$E$2301,設計座標!$I$13:$I$2301,"n/a",0,1)</f>
        <v>73767.936204539961</v>
      </c>
      <c r="L667">
        <f>_xlfn.XLOOKUP($F667,設計座標!$E$13:$E$2301,設計座標!$J$13:$J$2301,"n/a",0,1)</f>
        <v>-270</v>
      </c>
      <c r="M667" s="2">
        <f t="shared" si="518"/>
        <v>-15007.678841736357</v>
      </c>
      <c r="N667" s="2">
        <f t="shared" si="519"/>
        <v>73767.936204539961</v>
      </c>
      <c r="O667" s="23">
        <f t="shared" si="520"/>
        <v>-264.6679741409078</v>
      </c>
      <c r="P667" s="1">
        <f t="shared" si="534"/>
        <v>-270.46496427800724</v>
      </c>
      <c r="Q667" s="1">
        <f t="shared" si="529"/>
        <v>-7.6788417363571018</v>
      </c>
      <c r="R667">
        <f t="shared" si="500"/>
        <v>0</v>
      </c>
      <c r="S667" s="23">
        <f t="shared" si="528"/>
        <v>5.3320258590921901</v>
      </c>
      <c r="T667">
        <f>$S667+測地線補正!$Q$26*(lattice!$N667/1000)^3+測地線補正!$P$26*(lattice!$N667/1000)^2+測地線補正!$O$26*(lattice!$N667/1000)+測地線補正!$N$26</f>
        <v>-0.46496427800726514</v>
      </c>
      <c r="U667">
        <f t="shared" si="537"/>
        <v>2.1359260936217244E-5</v>
      </c>
      <c r="V667">
        <v>0</v>
      </c>
      <c r="W667">
        <f t="shared" si="538"/>
        <v>1.3799184013518626E-4</v>
      </c>
      <c r="X667" t="s">
        <v>3860</v>
      </c>
      <c r="Y667">
        <f>_xlfn.XLOOKUP($F667,設計座標!$E$13:$E$2301,設計座標!$L$13:$L$2301," ",0,1)</f>
        <v>1000</v>
      </c>
      <c r="Z667">
        <f>SQRT(($M$666-$M$664)^2+($N$666-$N$664)^2)</f>
        <v>889.34700846735507</v>
      </c>
      <c r="AA667">
        <f>_xlfn.XLOOKUP($G667,magnet_list!$A$2:$A$592,magnet_list!$AJ$2:$AJ$592,"n/a",0,1)</f>
        <v>0.95010000000000006</v>
      </c>
      <c r="AB667">
        <f>_xlfn.XLOOKUP($G667,magnet_list!$A$2:$A$592,magnet_list!$L$2:$L$592,"n/a",0,1)</f>
        <v>120</v>
      </c>
    </row>
    <row r="668" spans="1:28">
      <c r="A668" t="s">
        <v>797</v>
      </c>
      <c r="B668" t="s">
        <v>3813</v>
      </c>
      <c r="C668" t="s">
        <v>804</v>
      </c>
      <c r="D668" t="s">
        <v>1152</v>
      </c>
      <c r="E668" t="s">
        <v>804</v>
      </c>
      <c r="F668" t="s">
        <v>1291</v>
      </c>
      <c r="G668" t="s">
        <v>2480</v>
      </c>
      <c r="I668">
        <f>_xlfn.XLOOKUP($F668,設計座標!$E$13:$E$2301,設計座標!$G$13:$G$2301,"n/a",0,1)</f>
        <v>191.00534576136891</v>
      </c>
      <c r="J668">
        <f>_xlfn.XLOOKUP($F668,設計座標!$E$13:$E$2301,設計座標!$H$13:$H$2301,"n/a",0,1)</f>
        <v>-15000</v>
      </c>
      <c r="K668">
        <f>_xlfn.XLOOKUP($F668,設計座標!$E$13:$E$2301,設計座標!$I$13:$I$2301,"n/a",0,1)</f>
        <v>73456.71170453995</v>
      </c>
      <c r="L668">
        <f>_xlfn.XLOOKUP($F668,設計座標!$E$13:$E$2301,設計座標!$J$13:$J$2301,"n/a",0,1)</f>
        <v>-270</v>
      </c>
      <c r="M668" s="2">
        <f t="shared" si="518"/>
        <v>-15007.635895294634</v>
      </c>
      <c r="N668" s="2">
        <f t="shared" si="519"/>
        <v>73456.71170453995</v>
      </c>
      <c r="O668" s="23">
        <f t="shared" si="520"/>
        <v>-264.69714129673417</v>
      </c>
      <c r="P668" s="1">
        <f t="shared" si="534"/>
        <v>-270.47159356997116</v>
      </c>
      <c r="Q668" s="1">
        <f t="shared" si="529"/>
        <v>-7.6358952946343912</v>
      </c>
      <c r="R668">
        <f t="shared" si="500"/>
        <v>0</v>
      </c>
      <c r="S668" s="23">
        <f t="shared" si="528"/>
        <v>5.3028587032658345</v>
      </c>
      <c r="T668">
        <f>$S668+測地線補正!$Q$26*(lattice!$N668/1000)^3+測地線補正!$P$26*(lattice!$N668/1000)^2+測地線補正!$O$26*(lattice!$N668/1000)+測地線補正!$N$26</f>
        <v>-0.47159356997115176</v>
      </c>
      <c r="U668">
        <f t="shared" ref="U668:U669" si="539">-ATAN(($P$669-$P$665)/ABS($N$669-$N$665))</f>
        <v>2.1359260936217244E-5</v>
      </c>
      <c r="V668">
        <v>0</v>
      </c>
      <c r="W668">
        <f t="shared" ref="W668:W669" si="540">ATAN(($M$669-$M$665)/ABS($N$669-$N$665))</f>
        <v>1.3799184013518626E-4</v>
      </c>
      <c r="X668" t="s">
        <v>3860</v>
      </c>
      <c r="Y668">
        <f>_xlfn.XLOOKUP($F668,設計座標!$E$13:$E$2301,設計座標!$L$13:$L$2301," ",0,1)</f>
        <v>1889.4492</v>
      </c>
      <c r="Z668">
        <f>SQRT(($M$668-$M$666)^2+($N$668-$N$666)^2)</f>
        <v>311.22450296314042</v>
      </c>
    </row>
    <row r="669" spans="1:28">
      <c r="A669" t="s">
        <v>797</v>
      </c>
      <c r="B669" t="s">
        <v>3813</v>
      </c>
      <c r="C669" t="s">
        <v>804</v>
      </c>
      <c r="D669" t="s">
        <v>1152</v>
      </c>
      <c r="E669" t="s">
        <v>804</v>
      </c>
      <c r="F669" t="s">
        <v>1519</v>
      </c>
      <c r="G669" t="s">
        <v>2480</v>
      </c>
      <c r="I669">
        <f>_xlfn.XLOOKUP($F669,設計座標!$E$13:$E$2301,設計座標!$G$13:$G$2301,"n/a",0,1)</f>
        <v>191.95007036136892</v>
      </c>
      <c r="J669">
        <f>_xlfn.XLOOKUP($F669,設計座標!$E$13:$E$2301,設計座標!$H$13:$H$2301,"n/a",0,1)</f>
        <v>-15000</v>
      </c>
      <c r="K669">
        <f>_xlfn.XLOOKUP($F669,設計座標!$E$13:$E$2301,設計座標!$I$13:$I$2301,"n/a",0,1)</f>
        <v>72511.987104539949</v>
      </c>
      <c r="L669">
        <f>_xlfn.XLOOKUP($F669,設計座標!$E$13:$E$2301,設計座標!$J$13:$J$2301,"n/a",0,1)</f>
        <v>-270</v>
      </c>
      <c r="M669" s="2">
        <f t="shared" si="518"/>
        <v>-15007.505531007831</v>
      </c>
      <c r="N669" s="2">
        <f t="shared" si="519"/>
        <v>72511.987104539949</v>
      </c>
      <c r="O669" s="23">
        <f t="shared" si="520"/>
        <v>-264.78567844474532</v>
      </c>
      <c r="P669" s="1">
        <f t="shared" si="534"/>
        <v>-270.49194050649459</v>
      </c>
      <c r="Q669" s="1">
        <f t="shared" si="529"/>
        <v>-7.5055310078320696</v>
      </c>
      <c r="R669">
        <f t="shared" si="500"/>
        <v>0</v>
      </c>
      <c r="S669" s="23">
        <f t="shared" si="528"/>
        <v>5.2143215552547044</v>
      </c>
      <c r="T669">
        <f>$S669+測地線補正!$Q$26*(lattice!$N669/1000)^3+測地線補正!$P$26*(lattice!$N669/1000)^2+測地線補正!$O$26*(lattice!$N669/1000)+測地線補正!$N$26</f>
        <v>-0.49194050649459098</v>
      </c>
      <c r="U669">
        <f t="shared" si="539"/>
        <v>2.1359260936217244E-5</v>
      </c>
      <c r="V669">
        <v>0</v>
      </c>
      <c r="W669">
        <f t="shared" si="540"/>
        <v>1.3799184013518626E-4</v>
      </c>
      <c r="X669" t="s">
        <v>3860</v>
      </c>
      <c r="Y669">
        <f>_xlfn.XLOOKUP($F669,設計座標!$E$13:$E$2301,設計座標!$L$13:$L$2301," ",0,1)</f>
        <v>1889.4492</v>
      </c>
      <c r="Z669">
        <f>SQRT(($M$668-$M$666)^2+($N$668-$N$666)^2)</f>
        <v>311.22450296314042</v>
      </c>
    </row>
    <row r="670" spans="1:28">
      <c r="A670" t="s">
        <v>797</v>
      </c>
      <c r="B670" t="s">
        <v>3813</v>
      </c>
      <c r="C670" t="s">
        <v>804</v>
      </c>
      <c r="D670" t="s">
        <v>1152</v>
      </c>
      <c r="E670" t="s">
        <v>804</v>
      </c>
      <c r="F670" t="s">
        <v>1520</v>
      </c>
      <c r="G670" t="s">
        <v>2481</v>
      </c>
      <c r="I670">
        <f>_xlfn.XLOOKUP($F670,設計座標!$E$13:$E$2301,設計座標!$G$13:$G$2301,"n/a",0,1)</f>
        <v>192.16000916136892</v>
      </c>
      <c r="J670">
        <f>_xlfn.XLOOKUP($F670,設計座標!$E$13:$E$2301,設計座標!$H$13:$H$2301,"n/a",0,1)</f>
        <v>-15000</v>
      </c>
      <c r="K670">
        <f>_xlfn.XLOOKUP($F670,設計座標!$E$13:$E$2301,設計座標!$I$13:$I$2301,"n/a",0,1)</f>
        <v>72302.048304539945</v>
      </c>
      <c r="L670">
        <f>_xlfn.XLOOKUP($F670,設計座標!$E$13:$E$2301,設計座標!$J$13:$J$2301,"n/a",0,1)</f>
        <v>-270</v>
      </c>
      <c r="M670" s="2">
        <f t="shared" si="518"/>
        <v>-15007.476561166321</v>
      </c>
      <c r="N670" s="2">
        <f t="shared" si="519"/>
        <v>72302.048304539945</v>
      </c>
      <c r="O670" s="23">
        <f t="shared" si="520"/>
        <v>-264.80535336652554</v>
      </c>
      <c r="P670" s="1">
        <f t="shared" si="534"/>
        <v>-270.49650769469878</v>
      </c>
      <c r="Q670" s="1">
        <f t="shared" si="529"/>
        <v>-7.4765611663204421</v>
      </c>
      <c r="R670">
        <f t="shared" si="500"/>
        <v>0</v>
      </c>
      <c r="S670" s="23">
        <f t="shared" si="528"/>
        <v>5.194646633474453</v>
      </c>
      <c r="T670">
        <f>$S670+測地線補正!$Q$26*(lattice!$N670/1000)^3+測地線補正!$P$26*(lattice!$N670/1000)^2+測地線補正!$O$26*(lattice!$N670/1000)+測地線補正!$N$26</f>
        <v>-0.496507694698751</v>
      </c>
      <c r="U670">
        <f>-ATAN(($P$672-$P$670)/ABS($N$672-$N$670))</f>
        <v>2.2149313345295533E-5</v>
      </c>
      <c r="V670">
        <v>0</v>
      </c>
      <c r="W670">
        <f>ATAN(($M$672-$M$670)/ABS($N$672-$N$670))</f>
        <v>1.3799184013518626E-4</v>
      </c>
      <c r="X670">
        <f>SQRT(($M$670-$M$669)^2+($N$670-$N$669)^2)</f>
        <v>209.93880199880442</v>
      </c>
      <c r="Y670">
        <f>_xlfn.XLOOKUP($F670,設計座標!$E$13:$E$2301,設計座標!$L$13:$L$2301," ",0,1)</f>
        <v>1889.4492</v>
      </c>
      <c r="Z670">
        <f>SQRT(($M$671-$M$668)^2+($N$671-$N$668)^2)</f>
        <v>2099.388019988015</v>
      </c>
    </row>
    <row r="671" spans="1:28">
      <c r="A671" t="s">
        <v>797</v>
      </c>
      <c r="B671" t="s">
        <v>3813</v>
      </c>
      <c r="C671" t="s">
        <v>804</v>
      </c>
      <c r="D671" t="s">
        <v>1152</v>
      </c>
      <c r="E671" t="s">
        <v>804</v>
      </c>
      <c r="F671" t="s">
        <v>1345</v>
      </c>
      <c r="G671" t="s">
        <v>2481</v>
      </c>
      <c r="I671">
        <f>_xlfn.XLOOKUP($F671,設計座標!$E$13:$E$2301,設計座標!$G$13:$G$2301,"n/a",0,1)</f>
        <v>193.10473376136892</v>
      </c>
      <c r="J671">
        <f>_xlfn.XLOOKUP($F671,設計座標!$E$13:$E$2301,設計座標!$H$13:$H$2301,"n/a",0,1)</f>
        <v>-15000</v>
      </c>
      <c r="K671">
        <f>_xlfn.XLOOKUP($F671,設計座標!$E$13:$E$2301,設計座標!$I$13:$I$2301,"n/a",0,1)</f>
        <v>71357.323704539944</v>
      </c>
      <c r="L671">
        <f>_xlfn.XLOOKUP($F671,設計座標!$E$13:$E$2301,設計座標!$J$13:$J$2301,"n/a",0,1)</f>
        <v>-270</v>
      </c>
      <c r="M671" s="2">
        <f t="shared" si="518"/>
        <v>-15007.346196879518</v>
      </c>
      <c r="N671" s="2">
        <f t="shared" si="519"/>
        <v>71357.323704539944</v>
      </c>
      <c r="O671" s="23">
        <f t="shared" si="520"/>
        <v>-264.89389051453668</v>
      </c>
      <c r="P671" s="1">
        <f t="shared" si="534"/>
        <v>-270.5172651412928</v>
      </c>
      <c r="Q671" s="1">
        <f t="shared" si="529"/>
        <v>-7.3461968795181205</v>
      </c>
      <c r="R671">
        <f t="shared" si="500"/>
        <v>0</v>
      </c>
      <c r="S671" s="23">
        <f t="shared" si="528"/>
        <v>5.1061094854633229</v>
      </c>
      <c r="T671">
        <f>$S671+測地線補正!$Q$26*(lattice!$N671/1000)^3+測地線補正!$P$26*(lattice!$N671/1000)^2+測地線補正!$O$26*(lattice!$N671/1000)+測地線補正!$N$26</f>
        <v>-0.51726514129277734</v>
      </c>
      <c r="U671">
        <f t="shared" ref="U671:U672" si="541">-ATAN(($P$672-$P$670)/ABS($N$672-$N$670))</f>
        <v>2.2149313345295533E-5</v>
      </c>
      <c r="V671">
        <v>0</v>
      </c>
      <c r="W671">
        <f t="shared" ref="W671:W672" si="542">ATAN(($M$672-$M$670)/ABS($N$672-$N$670))</f>
        <v>1.3799184013518626E-4</v>
      </c>
      <c r="X671" t="s">
        <v>3860</v>
      </c>
      <c r="Y671">
        <f>_xlfn.XLOOKUP($F671,設計座標!$E$13:$E$2301,設計座標!$L$13:$L$2301," ",0,1)</f>
        <v>1889.4492</v>
      </c>
      <c r="Z671">
        <f>SQRT(($M$671-$M$668)^2+($N$671-$N$668)^2)</f>
        <v>2099.388019988015</v>
      </c>
    </row>
    <row r="672" spans="1:28">
      <c r="A672" t="s">
        <v>797</v>
      </c>
      <c r="B672" t="s">
        <v>3813</v>
      </c>
      <c r="C672" t="s">
        <v>804</v>
      </c>
      <c r="D672" t="s">
        <v>1152</v>
      </c>
      <c r="E672" t="s">
        <v>804</v>
      </c>
      <c r="F672" t="s">
        <v>1521</v>
      </c>
      <c r="G672" t="s">
        <v>2481</v>
      </c>
      <c r="I672">
        <f>_xlfn.XLOOKUP($F672,設計座標!$E$13:$E$2301,設計座標!$G$13:$G$2301,"n/a",0,1)</f>
        <v>194.04945836136892</v>
      </c>
      <c r="J672">
        <f>_xlfn.XLOOKUP($F672,設計座標!$E$13:$E$2301,設計座標!$H$13:$H$2301,"n/a",0,1)</f>
        <v>-15000</v>
      </c>
      <c r="K672">
        <f>_xlfn.XLOOKUP($F672,設計座標!$E$13:$E$2301,設計座標!$I$13:$I$2301,"n/a",0,1)</f>
        <v>70412.599104539942</v>
      </c>
      <c r="L672">
        <f>_xlfn.XLOOKUP($F672,設計座標!$E$13:$E$2301,設計座標!$J$13:$J$2301,"n/a",0,1)</f>
        <v>-270</v>
      </c>
      <c r="M672" s="2">
        <f t="shared" si="518"/>
        <v>-15007.215832592716</v>
      </c>
      <c r="N672" s="2">
        <f t="shared" si="519"/>
        <v>70412.599104539942</v>
      </c>
      <c r="O672" s="23">
        <f t="shared" si="520"/>
        <v>-264.98242766254782</v>
      </c>
      <c r="P672" s="1">
        <f t="shared" si="534"/>
        <v>-270.53835769708644</v>
      </c>
      <c r="Q672" s="1">
        <f t="shared" si="529"/>
        <v>-7.2158325927157989</v>
      </c>
      <c r="R672">
        <f t="shared" si="500"/>
        <v>0</v>
      </c>
      <c r="S672" s="23">
        <f t="shared" si="528"/>
        <v>5.0175723374521928</v>
      </c>
      <c r="T672">
        <f>$S672+測地線補正!$Q$26*(lattice!$N672/1000)^3+測地線補正!$P$26*(lattice!$N672/1000)^2+測地線補正!$O$26*(lattice!$N672/1000)+測地線補正!$N$26</f>
        <v>-0.53835769708644476</v>
      </c>
      <c r="U672">
        <f t="shared" si="541"/>
        <v>2.2149313345295533E-5</v>
      </c>
      <c r="V672">
        <v>0</v>
      </c>
      <c r="W672">
        <f t="shared" si="542"/>
        <v>1.3799184013518626E-4</v>
      </c>
      <c r="X672" t="s">
        <v>3860</v>
      </c>
      <c r="Y672">
        <f>_xlfn.XLOOKUP($F672,設計座標!$E$13:$E$2301,設計座標!$L$13:$L$2301," ",0,1)</f>
        <v>1889.4492</v>
      </c>
      <c r="Z672">
        <f>SQRT(($M$671-$M$668)^2+($N$671-$N$668)^2)</f>
        <v>2099.388019988015</v>
      </c>
    </row>
    <row r="673" spans="1:28">
      <c r="A673" t="s">
        <v>797</v>
      </c>
      <c r="B673" t="s">
        <v>3813</v>
      </c>
      <c r="C673" t="s">
        <v>1152</v>
      </c>
      <c r="D673" t="s">
        <v>1152</v>
      </c>
      <c r="E673" t="s">
        <v>804</v>
      </c>
      <c r="F673" t="s">
        <v>2019</v>
      </c>
      <c r="G673" t="s">
        <v>2019</v>
      </c>
      <c r="I673">
        <f>_xlfn.XLOOKUP($F673,設計座標!$E$13:$E$2301,設計座標!$G$13:$G$2301,"n/a",0,1)</f>
        <v>194.18345826136891</v>
      </c>
      <c r="J673">
        <f>_xlfn.XLOOKUP($F673,設計座標!$E$13:$E$2301,設計座標!$H$13:$H$2301,"n/a",0,1)</f>
        <v>-15000</v>
      </c>
      <c r="K673">
        <f>_xlfn.XLOOKUP($F673,設計座標!$E$13:$E$2301,設計座標!$I$13:$I$2301,"n/a",0,1)</f>
        <v>70278.599204539947</v>
      </c>
      <c r="L673">
        <f>_xlfn.XLOOKUP($F673,設計座標!$E$13:$E$2301,設計座標!$J$13:$J$2301,"n/a",0,1)</f>
        <v>-270</v>
      </c>
      <c r="M673" s="2">
        <f t="shared" si="518"/>
        <v>-15007.197341699819</v>
      </c>
      <c r="N673" s="2">
        <f t="shared" si="519"/>
        <v>70278.599204539947</v>
      </c>
      <c r="O673" s="23">
        <f t="shared" si="520"/>
        <v>-264.99498578687292</v>
      </c>
      <c r="P673" s="1">
        <f t="shared" si="534"/>
        <v>-270.54137656609191</v>
      </c>
      <c r="Q673" s="1">
        <f t="shared" si="529"/>
        <v>-7.1973416998195185</v>
      </c>
      <c r="R673">
        <f t="shared" si="500"/>
        <v>0</v>
      </c>
      <c r="S673" s="23">
        <f t="shared" si="528"/>
        <v>5.0050142131270974</v>
      </c>
      <c r="T673">
        <f>$S673+測地線補正!$Q$26*(lattice!$N673/1000)^3+測地線補正!$P$26*(lattice!$N673/1000)^2+測地線補正!$O$26*(lattice!$N673/1000)+測地線補正!$N$26</f>
        <v>-0.54137656609191676</v>
      </c>
      <c r="U673">
        <v>0</v>
      </c>
      <c r="V673">
        <v>0</v>
      </c>
      <c r="W673">
        <v>0</v>
      </c>
      <c r="X673">
        <f>SQRT(($M$673-$M$672)^2+($N$673-$N$672)^2)</f>
        <v>133.99990127579142</v>
      </c>
      <c r="Y673">
        <f>_xlfn.XLOOKUP($F673,設計座標!$E$13:$E$2301,設計座標!$L$13:$L$2301," ",0,1)</f>
        <v>0</v>
      </c>
      <c r="Z673">
        <f>SQRT(($M$673-$M$671)^2+($N$673-$N$671)^2)</f>
        <v>1078.7245102703966</v>
      </c>
    </row>
    <row r="674" spans="1:28">
      <c r="A674" t="s">
        <v>797</v>
      </c>
      <c r="B674" t="s">
        <v>3813</v>
      </c>
      <c r="C674" t="s">
        <v>805</v>
      </c>
      <c r="D674" t="s">
        <v>806</v>
      </c>
      <c r="F674" t="s">
        <v>122</v>
      </c>
      <c r="G674" t="s">
        <v>122</v>
      </c>
      <c r="I674">
        <f>_xlfn.XLOOKUP($F674,設計座標!$E$13:$E$2301,設計座標!$G$13:$G$2301,"n/a",0,1)</f>
        <v>194.35097859916885</v>
      </c>
      <c r="J674">
        <f>_xlfn.XLOOKUP($F674,設計座標!$E$13:$E$2301,設計座標!$H$13:$H$2301,"n/a",0,1)</f>
        <v>-15000</v>
      </c>
      <c r="K674">
        <f>_xlfn.XLOOKUP($F674,設計座標!$E$13:$E$2301,設計座標!$I$13:$I$2301,"n/a",0,1)</f>
        <v>70111.078866740005</v>
      </c>
      <c r="L674">
        <f>_xlfn.XLOOKUP($F674,設計座標!$E$13:$E$2301,設計座標!$J$13:$J$2301,"n/a",0,1)</f>
        <v>-20</v>
      </c>
      <c r="M674" s="2">
        <f>_xlfn.XLOOKUP($F674,survey_data!$A$2:$A$833,survey_data!$B$2:$B$833,"n/a",0,1)</f>
        <v>-15007.17422526</v>
      </c>
      <c r="N674" s="2">
        <f>_xlfn.XLOOKUP($F674,survey_data!$A$2:$A$833,survey_data!$C$2:$C$833,"n/a",0,1)</f>
        <v>70111.078866740005</v>
      </c>
      <c r="O674" s="23">
        <f>_xlfn.XLOOKUP($F674,survey_data!$A$2:$A$833,survey_data!$D$2:$D$833,"n/a",0,1)</f>
        <v>-15.01068536</v>
      </c>
      <c r="P674" s="1">
        <f t="shared" si="534"/>
        <v>-20.545160073598922</v>
      </c>
      <c r="Q674" s="1">
        <f t="shared" si="507"/>
        <v>-7.17422525999973</v>
      </c>
      <c r="R674">
        <f t="shared" si="500"/>
        <v>0</v>
      </c>
      <c r="S674" s="23">
        <f t="shared" si="508"/>
        <v>4.9893146399999999</v>
      </c>
      <c r="T674">
        <f>$S674+測地線補正!$Q$26*(lattice!$N674/1000)^3+測地線補正!$P$26*(lattice!$N674/1000)^2+測地線補正!$O$26*(lattice!$N674/1000)+測地線補正!$N$26</f>
        <v>-0.54516007359892282</v>
      </c>
      <c r="U674">
        <f>-ATAN(($P$675-$P$674)/ABS($N$675-$N$674))</f>
        <v>-4.0904469568772287E-5</v>
      </c>
      <c r="V674">
        <v>0</v>
      </c>
      <c r="W674">
        <f>ATAN(($M$675-$M$674)/ABS($N$675-$N$674))</f>
        <v>3.8495680370509211E-4</v>
      </c>
      <c r="X674">
        <f>$Z$675-($Y$675+$Y$673)/2</f>
        <v>147.520343372203</v>
      </c>
      <c r="Y674">
        <f>_xlfn.XLOOKUP($F674,設計座標!$E$13:$E$2301,設計座標!$L$13:$L$2301," ",0,1)</f>
        <v>190</v>
      </c>
      <c r="Z674">
        <f>SQRT(($M$675-$M$673)^2+($N$675-$N$673)^2)</f>
        <v>242.520343372203</v>
      </c>
      <c r="AA674">
        <f>_xlfn.XLOOKUP($G674,magnet_list!$A$2:$A$592,magnet_list!$AJ$2:$AJ$592,"n/a",0,1)</f>
        <v>0.2039</v>
      </c>
      <c r="AB674">
        <f>_xlfn.XLOOKUP($G674,magnet_list!$A$2:$A$592,magnet_list!$L$2:$L$592,"n/a",0,1)</f>
        <v>23</v>
      </c>
    </row>
    <row r="675" spans="1:28">
      <c r="A675" t="s">
        <v>797</v>
      </c>
      <c r="B675" t="s">
        <v>3813</v>
      </c>
      <c r="C675" t="s">
        <v>805</v>
      </c>
      <c r="D675" t="s">
        <v>1152</v>
      </c>
      <c r="E675" t="s">
        <v>804</v>
      </c>
      <c r="F675" t="s">
        <v>606</v>
      </c>
      <c r="G675" t="s">
        <v>122</v>
      </c>
      <c r="I675">
        <f>_xlfn.XLOOKUP($F675,設計座標!$E$13:$E$2301,設計座標!$G$13:$G$2301,"n/a",0,1)</f>
        <v>194.42597859916884</v>
      </c>
      <c r="J675">
        <f>_xlfn.XLOOKUP($F675,設計座標!$E$13:$E$2301,設計座標!$H$13:$H$2301,"n/a",0,1)</f>
        <v>-15000</v>
      </c>
      <c r="K675">
        <f>_xlfn.XLOOKUP($F675,設計座標!$E$13:$E$2301,設計座標!$I$13:$I$2301,"n/a",0,1)</f>
        <v>70036.078866740005</v>
      </c>
      <c r="L675">
        <f>_xlfn.XLOOKUP($F675,設計座標!$E$13:$E$2301,設計座標!$J$13:$J$2301,"n/a",0,1)</f>
        <v>-20</v>
      </c>
      <c r="M675" s="2">
        <f t="shared" si="518"/>
        <v>-15007.145353498296</v>
      </c>
      <c r="N675" s="2">
        <f t="shared" si="519"/>
        <v>70036.078866740005</v>
      </c>
      <c r="O675" s="23">
        <f t="shared" si="520"/>
        <v>-15.01294902306496</v>
      </c>
      <c r="P675" s="1">
        <f t="shared" si="534"/>
        <v>-20.542092238379553</v>
      </c>
      <c r="Q675" s="1">
        <f>(Q$677-Q$674)/($N$677-$N$674)*($N675-$N$674)+Q$674</f>
        <v>-7.1453534982956581</v>
      </c>
      <c r="R675">
        <f t="shared" si="500"/>
        <v>0</v>
      </c>
      <c r="S675" s="23">
        <f t="shared" ref="S675:S676" si="543">(S$677-S$674)/($N$677-$N$674)*($N675-$N$674)+S$674</f>
        <v>4.9870509769350395</v>
      </c>
      <c r="T675">
        <f>$S675+測地線補正!$Q$26*(lattice!$N675/1000)^3+測地線補正!$P$26*(lattice!$N675/1000)^2+測地線補正!$O$26*(lattice!$N675/1000)+測地線補正!$N$26</f>
        <v>-0.54209223837955389</v>
      </c>
      <c r="U675">
        <f>-ATAN(($P$675-$P$674)/ABS($N$675-$N$674))</f>
        <v>-4.0904469568772287E-5</v>
      </c>
      <c r="V675">
        <v>0</v>
      </c>
      <c r="W675">
        <f>ATAN(($M$675-$M$674)/ABS($N$675-$N$674))</f>
        <v>3.8495680370509211E-4</v>
      </c>
      <c r="X675">
        <f>$Z$675-($Y$675+$Y$673)/2</f>
        <v>147.520343372203</v>
      </c>
      <c r="Y675">
        <f>_xlfn.XLOOKUP($F675,設計座標!$E$13:$E$2301,設計座標!$L$13:$L$2301," ",0,1)</f>
        <v>190</v>
      </c>
      <c r="Z675">
        <f>SQRT(($M$675-$M$673)^2+($N$675-$N$673)^2)</f>
        <v>242.520343372203</v>
      </c>
      <c r="AA675">
        <f>_xlfn.XLOOKUP($G675,magnet_list!$A$2:$A$592,magnet_list!$AJ$2:$AJ$592,"n/a",0,1)</f>
        <v>0.2039</v>
      </c>
      <c r="AB675">
        <f>_xlfn.XLOOKUP($G675,magnet_list!$A$2:$A$592,magnet_list!$L$2:$L$592,"n/a",0,1)</f>
        <v>23</v>
      </c>
    </row>
    <row r="676" spans="1:28">
      <c r="A676" t="s">
        <v>797</v>
      </c>
      <c r="B676" t="s">
        <v>3813</v>
      </c>
      <c r="C676" t="s">
        <v>805</v>
      </c>
      <c r="D676" t="s">
        <v>1152</v>
      </c>
      <c r="E676" t="s">
        <v>804</v>
      </c>
      <c r="F676" t="s">
        <v>607</v>
      </c>
      <c r="G676" t="s">
        <v>123</v>
      </c>
      <c r="I676">
        <f>_xlfn.XLOOKUP($F676,設計座標!$E$13:$E$2301,設計座標!$G$13:$G$2301,"n/a",0,1)</f>
        <v>194.72075305150884</v>
      </c>
      <c r="J676">
        <f>_xlfn.XLOOKUP($F676,設計座標!$E$13:$E$2301,設計座標!$H$13:$H$2301,"n/a",0,1)</f>
        <v>-15000</v>
      </c>
      <c r="K676">
        <f>_xlfn.XLOOKUP($F676,設計座標!$E$13:$E$2301,設計座標!$I$13:$I$2301,"n/a",0,1)</f>
        <v>69741.304414400001</v>
      </c>
      <c r="L676">
        <f>_xlfn.XLOOKUP($F676,設計座標!$E$13:$E$2301,設計座標!$J$13:$J$2301,"n/a",0,1)</f>
        <v>-20</v>
      </c>
      <c r="M676" s="2">
        <f t="shared" si="518"/>
        <v>-15007.031878061704</v>
      </c>
      <c r="N676" s="2">
        <f t="shared" si="519"/>
        <v>69741.304414400001</v>
      </c>
      <c r="O676" s="23">
        <f t="shared" si="520"/>
        <v>-15.02184595693504</v>
      </c>
      <c r="P676" s="1">
        <f t="shared" si="534"/>
        <v>-20.530055047044637</v>
      </c>
      <c r="Q676" s="1">
        <f>(Q$677-Q$674)/($N$677-$N$674)*($N676-$N$674)+Q$674</f>
        <v>-7.0318780617035417</v>
      </c>
      <c r="R676">
        <f t="shared" si="500"/>
        <v>0</v>
      </c>
      <c r="S676" s="23">
        <f t="shared" si="543"/>
        <v>4.9781540430649596</v>
      </c>
      <c r="T676">
        <f>$S676+測地線補正!$Q$26*(lattice!$N676/1000)^3+測地線補正!$P$26*(lattice!$N676/1000)^2+測地線補正!$O$26*(lattice!$N676/1000)+測地線補正!$N$26</f>
        <v>-0.53005504704463724</v>
      </c>
      <c r="U676">
        <f>-ATAN(($P$677-$P$676)/ABS($N$677-$N$676))</f>
        <v>-4.07660722409875E-5</v>
      </c>
      <c r="V676">
        <v>0</v>
      </c>
      <c r="W676">
        <f>ATAN(($M$677-$M$676)/ABS($N$677-$N$676))</f>
        <v>3.8495680370509211E-4</v>
      </c>
      <c r="X676">
        <f>$Z$676-($Y$676+$Y$675)/2</f>
        <v>104.77447418157431</v>
      </c>
      <c r="Y676">
        <f>_xlfn.XLOOKUP($F676,設計座標!$E$13:$E$2301,設計座標!$L$13:$L$2301," ",0,1)</f>
        <v>190</v>
      </c>
      <c r="Z676">
        <f>SQRT(($M$676-$M$675)^2+($N$676-$N$675)^2)</f>
        <v>294.77447418157431</v>
      </c>
      <c r="AA676">
        <f>_xlfn.XLOOKUP($G676,magnet_list!$A$2:$A$592,magnet_list!$AJ$2:$AJ$592,"n/a",0,1)</f>
        <v>0.2039</v>
      </c>
      <c r="AB676">
        <f>_xlfn.XLOOKUP($G676,magnet_list!$A$2:$A$592,magnet_list!$L$2:$L$592,"n/a",0,1)</f>
        <v>23</v>
      </c>
    </row>
    <row r="677" spans="1:28">
      <c r="A677" t="s">
        <v>797</v>
      </c>
      <c r="B677" t="s">
        <v>3813</v>
      </c>
      <c r="C677" t="s">
        <v>805</v>
      </c>
      <c r="D677" t="s">
        <v>806</v>
      </c>
      <c r="F677" t="s">
        <v>123</v>
      </c>
      <c r="G677" t="s">
        <v>123</v>
      </c>
      <c r="I677">
        <f>_xlfn.XLOOKUP($F677,設計座標!$E$13:$E$2301,設計座標!$G$13:$G$2301,"n/a",0,1)</f>
        <v>194.79575305150883</v>
      </c>
      <c r="J677">
        <f>_xlfn.XLOOKUP($F677,設計座標!$E$13:$E$2301,設計座標!$H$13:$H$2301,"n/a",0,1)</f>
        <v>-15000</v>
      </c>
      <c r="K677">
        <f>_xlfn.XLOOKUP($F677,設計座標!$E$13:$E$2301,設計座標!$I$13:$I$2301,"n/a",0,1)</f>
        <v>69666.304414400001</v>
      </c>
      <c r="L677">
        <f>_xlfn.XLOOKUP($F677,設計座標!$E$13:$E$2301,設計座標!$J$13:$J$2301,"n/a",0,1)</f>
        <v>-20</v>
      </c>
      <c r="M677" s="2">
        <f>_xlfn.XLOOKUP($F677,survey_data!$A$2:$A$833,survey_data!$B$2:$B$833,"n/a",0,1)</f>
        <v>-15007.003006299999</v>
      </c>
      <c r="N677" s="2">
        <f>_xlfn.XLOOKUP($F677,survey_data!$A$2:$A$833,survey_data!$C$2:$C$833,"n/a",0,1)</f>
        <v>69666.304414400001</v>
      </c>
      <c r="O677" s="23">
        <f>_xlfn.XLOOKUP($F677,survey_data!$A$2:$A$833,survey_data!$D$2:$D$833,"n/a",0,1)</f>
        <v>-15.024109620000001</v>
      </c>
      <c r="P677" s="1">
        <f t="shared" si="534"/>
        <v>-20.52699759162487</v>
      </c>
      <c r="Q677" s="1">
        <f t="shared" si="507"/>
        <v>-7.0030062999994698</v>
      </c>
      <c r="R677">
        <f t="shared" si="500"/>
        <v>0</v>
      </c>
      <c r="S677" s="23">
        <f t="shared" si="508"/>
        <v>4.9758903799999992</v>
      </c>
      <c r="T677">
        <f>$S677+測地線補正!$Q$26*(lattice!$N677/1000)^3+測地線補正!$P$26*(lattice!$N677/1000)^2+測地線補正!$O$26*(lattice!$N677/1000)+測地線補正!$N$26</f>
        <v>-0.52699759162486903</v>
      </c>
      <c r="U677">
        <f>-ATAN(($P$677-$P$676)/ABS($N$677-$N$676))</f>
        <v>-4.07660722409875E-5</v>
      </c>
      <c r="V677">
        <v>0</v>
      </c>
      <c r="W677">
        <f>ATAN(($M$677-$M$676)/ABS($N$677-$N$676))</f>
        <v>3.8495680370509211E-4</v>
      </c>
      <c r="X677">
        <f>$Z$676-($Y$676+$Y$675)/2</f>
        <v>104.77447418157431</v>
      </c>
      <c r="Y677">
        <f>_xlfn.XLOOKUP($F677,設計座標!$E$13:$E$2301,設計座標!$L$13:$L$2301," ",0,1)</f>
        <v>190</v>
      </c>
      <c r="Z677">
        <f>SQRT(($M$676-$M$675)^2+($N$676-$N$675)^2)</f>
        <v>294.77447418157431</v>
      </c>
      <c r="AA677">
        <f>_xlfn.XLOOKUP($G677,magnet_list!$A$2:$A$592,magnet_list!$AJ$2:$AJ$592,"n/a",0,1)</f>
        <v>0.2039</v>
      </c>
      <c r="AB677">
        <f>_xlfn.XLOOKUP($G677,magnet_list!$A$2:$A$592,magnet_list!$L$2:$L$592,"n/a",0,1)</f>
        <v>23</v>
      </c>
    </row>
    <row r="678" spans="1:28">
      <c r="A678" t="s">
        <v>797</v>
      </c>
      <c r="B678" t="s">
        <v>3813</v>
      </c>
      <c r="C678" t="s">
        <v>2288</v>
      </c>
      <c r="D678" t="s">
        <v>1152</v>
      </c>
      <c r="E678" t="s">
        <v>804</v>
      </c>
      <c r="F678" t="s">
        <v>2316</v>
      </c>
      <c r="G678" t="s">
        <v>2316</v>
      </c>
      <c r="I678">
        <f>_xlfn.XLOOKUP($F678,設計座標!$E$13:$E$2301,設計座標!$G$13:$G$2301,"n/a",0,1)</f>
        <v>195.01293626136891</v>
      </c>
      <c r="J678">
        <f>_xlfn.XLOOKUP($F678,設計座標!$E$13:$E$2301,設計座標!$H$13:$H$2301,"n/a",0,1)</f>
        <v>-15000</v>
      </c>
      <c r="K678">
        <f>_xlfn.XLOOKUP($F678,設計座標!$E$13:$E$2301,設計座標!$I$13:$I$2301,"n/a",0,1)</f>
        <v>69449.121204539944</v>
      </c>
      <c r="L678">
        <f>_xlfn.XLOOKUP($F678,設計座標!$E$13:$E$2301,設計座標!$J$13:$J$2301,"n/a",0,1)</f>
        <v>-270</v>
      </c>
      <c r="M678" s="2">
        <f t="shared" si="518"/>
        <v>-15006.967888046711</v>
      </c>
      <c r="N678" s="2">
        <f t="shared" si="519"/>
        <v>69449.121204539944</v>
      </c>
      <c r="O678" s="23">
        <f t="shared" si="520"/>
        <v>-265.03592276640819</v>
      </c>
      <c r="P678" s="1">
        <f t="shared" si="534"/>
        <v>-270.52341383840161</v>
      </c>
      <c r="Q678" s="1">
        <f>(Q$697-Q$677)/($N$697-$N$677)*($N678-$N$677)+Q$677</f>
        <v>-6.9678880467114706</v>
      </c>
      <c r="R678">
        <f t="shared" si="500"/>
        <v>0</v>
      </c>
      <c r="S678" s="23">
        <f t="shared" ref="S678:S696" si="544">(S$697-S$677)/($N$697-$N$677)*($N678-$N$677)+S$677</f>
        <v>4.9640772335917873</v>
      </c>
      <c r="T678">
        <f>$S678+測地線補正!$Q$26*(lattice!$N678/1000)^3+測地線補正!$P$26*(lattice!$N678/1000)^2+測地線補正!$O$26*(lattice!$N678/1000)+測地線補正!$N$26</f>
        <v>-0.52341383840160538</v>
      </c>
      <c r="U678">
        <v>0</v>
      </c>
      <c r="V678">
        <v>0</v>
      </c>
      <c r="W678">
        <v>0</v>
      </c>
      <c r="X678">
        <f>$Z$678-($Y$678+$Y$676)/2</f>
        <v>197.18321686717087</v>
      </c>
      <c r="Y678">
        <f>_xlfn.XLOOKUP($F678,設計座標!$E$13:$E$2301,設計座標!$L$13:$L$2301," ",0,1)</f>
        <v>0</v>
      </c>
      <c r="Z678">
        <f>SQRT(($M$678-$M$676)^2+($N$678-$N$676)^2)</f>
        <v>292.18321686717087</v>
      </c>
    </row>
    <row r="679" spans="1:28">
      <c r="A679" t="s">
        <v>797</v>
      </c>
      <c r="B679" t="s">
        <v>3813</v>
      </c>
      <c r="C679" t="s">
        <v>804</v>
      </c>
      <c r="D679" t="s">
        <v>1152</v>
      </c>
      <c r="E679" t="s">
        <v>804</v>
      </c>
      <c r="F679" t="s">
        <v>1522</v>
      </c>
      <c r="G679" t="s">
        <v>2482</v>
      </c>
      <c r="I679">
        <f>_xlfn.XLOOKUP($F679,設計座標!$E$13:$E$2301,設計座標!$G$13:$G$2301,"n/a",0,1)</f>
        <v>197.0363863613689</v>
      </c>
      <c r="J679">
        <f>_xlfn.XLOOKUP($F679,設計座標!$E$13:$E$2301,設計座標!$H$13:$H$2301,"n/a",0,1)</f>
        <v>-15000</v>
      </c>
      <c r="K679">
        <f>_xlfn.XLOOKUP($F679,設計座標!$E$13:$E$2301,設計座標!$I$13:$I$2301,"n/a",0,1)</f>
        <v>69315.120304539945</v>
      </c>
      <c r="L679">
        <f>_xlfn.XLOOKUP($F679,設計座標!$E$13:$E$2301,設計座標!$J$13:$J$2301,"n/a",0,1)</f>
        <v>-270</v>
      </c>
      <c r="M679" s="2">
        <f t="shared" si="518"/>
        <v>-15006.946220268848</v>
      </c>
      <c r="N679" s="2">
        <f t="shared" si="519"/>
        <v>69315.120304539945</v>
      </c>
      <c r="O679" s="23">
        <f t="shared" si="520"/>
        <v>-265.0432114157083</v>
      </c>
      <c r="P679" s="1">
        <f t="shared" si="534"/>
        <v>-270.52121148009405</v>
      </c>
      <c r="Q679" s="1">
        <f t="shared" ref="Q679:Q696" si="545">(Q$697-Q$677)/($N$697-$N$677)*($N679-$N$677)+Q$677</f>
        <v>-6.9462202688475543</v>
      </c>
      <c r="R679">
        <f t="shared" si="500"/>
        <v>0</v>
      </c>
      <c r="S679" s="23">
        <f t="shared" si="544"/>
        <v>4.956788584291723</v>
      </c>
      <c r="T679">
        <f>$S679+測地線補正!$Q$26*(lattice!$N679/1000)^3+測地線補正!$P$26*(lattice!$N679/1000)^2+測地線補正!$O$26*(lattice!$N679/1000)+測地線補正!$N$26</f>
        <v>-0.52121148009404794</v>
      </c>
      <c r="U679">
        <f>-ATAN(($P$683-$P$679)/ABS($N$683-$N$679))</f>
        <v>-1.6057690342030952E-5</v>
      </c>
      <c r="V679">
        <v>0</v>
      </c>
      <c r="W679">
        <f>ATAN(($M$683-$M$679)/ABS($N$683-$N$679))</f>
        <v>1.6169874735995959E-4</v>
      </c>
      <c r="X679">
        <f>SQRT(($M$679-$M$678)^2+($N$679-$N$678)^2)</f>
        <v>134.00090175182538</v>
      </c>
      <c r="Y679">
        <f>_xlfn.XLOOKUP($F679,設計座標!$E$13:$E$2301,設計座標!$L$13:$L$2301," ",0,1)</f>
        <v>1889.4492</v>
      </c>
      <c r="Z679">
        <f>SQRT(($M$682-$M$680)^2+($N$682-$N$680)^2)</f>
        <v>706.2245092326408</v>
      </c>
    </row>
    <row r="680" spans="1:28">
      <c r="A680" t="s">
        <v>797</v>
      </c>
      <c r="B680" t="s">
        <v>3813</v>
      </c>
      <c r="C680" t="s">
        <v>3855</v>
      </c>
      <c r="D680" t="s">
        <v>1152</v>
      </c>
      <c r="E680" t="s">
        <v>804</v>
      </c>
      <c r="F680" t="s">
        <v>3696</v>
      </c>
      <c r="G680" t="s">
        <v>3696</v>
      </c>
      <c r="I680">
        <f>_xlfn.XLOOKUP($F680,設計座標!$E$13:$E$2301,設計座標!$G$13:$G$2301,"n/a",0,1)</f>
        <v>195.38543726136891</v>
      </c>
      <c r="J680">
        <f>_xlfn.XLOOKUP($F680,設計座標!$E$13:$E$2301,設計座標!$H$13:$H$2301,"n/a",0,1)</f>
        <v>-15000</v>
      </c>
      <c r="K680">
        <f>_xlfn.XLOOKUP($F680,設計座標!$E$13:$E$2301,設計座標!$I$13:$I$2301,"n/a",0,1)</f>
        <v>69076.62020453994</v>
      </c>
      <c r="L680">
        <f>_xlfn.XLOOKUP($F680,設計座標!$E$13:$E$2301,設計座標!$J$13:$J$2301,"n/a",0,1)</f>
        <v>-270</v>
      </c>
      <c r="M680" s="2">
        <f t="shared" si="518"/>
        <v>-15006.907655101097</v>
      </c>
      <c r="N680" s="2">
        <f t="shared" si="519"/>
        <v>69076.62020453994</v>
      </c>
      <c r="O680" s="23">
        <f t="shared" si="520"/>
        <v>-265.05618404191398</v>
      </c>
      <c r="P680" s="1">
        <f t="shared" si="534"/>
        <v>-270.51730823927983</v>
      </c>
      <c r="Q680" s="1">
        <f t="shared" si="545"/>
        <v>-6.9076551010962799</v>
      </c>
      <c r="R680">
        <f t="shared" si="500"/>
        <v>0</v>
      </c>
      <c r="S680" s="23">
        <f t="shared" si="544"/>
        <v>4.9438159580860006</v>
      </c>
      <c r="T680">
        <f>$S680+測地線補正!$Q$26*(lattice!$N680/1000)^3+測地線補正!$P$26*(lattice!$N680/1000)^2+測地線補正!$O$26*(lattice!$N680/1000)+測地線補正!$N$26</f>
        <v>-0.51730823927980452</v>
      </c>
      <c r="U680">
        <f t="shared" ref="U680:U681" si="546">-ATAN(($P$683-$P$679)/ABS($N$683-$N$679))</f>
        <v>-1.6057690342030952E-5</v>
      </c>
      <c r="V680">
        <v>0</v>
      </c>
      <c r="W680">
        <f t="shared" ref="W680:W681" si="547">ATAN(($M$683-$M$679)/ABS($N$683-$N$679))</f>
        <v>1.6169874735995959E-4</v>
      </c>
      <c r="X680" t="s">
        <v>3860</v>
      </c>
      <c r="Y680">
        <f>_xlfn.XLOOKUP($F680,設計座標!$E$13:$E$2301,設計座標!$L$13:$L$2301," ",0,1)</f>
        <v>200</v>
      </c>
      <c r="Z680">
        <f>SQRT(($M$680-$M$678)^2+($N$680-$N$678)^2)</f>
        <v>372.50100486979977</v>
      </c>
      <c r="AA680">
        <f>_xlfn.XLOOKUP($G680,magnet_list!$A$2:$A$592,magnet_list!$AJ$2:$AJ$592,"n/a",0,1)</f>
        <v>0.36836999999999998</v>
      </c>
      <c r="AB680">
        <f>_xlfn.XLOOKUP($G680,magnet_list!$A$2:$A$592,magnet_list!$L$2:$L$592,"n/a",0,1)</f>
        <v>128</v>
      </c>
    </row>
    <row r="681" spans="1:28">
      <c r="A681" t="s">
        <v>797</v>
      </c>
      <c r="B681" t="s">
        <v>3813</v>
      </c>
      <c r="C681" t="s">
        <v>3855</v>
      </c>
      <c r="D681" t="s">
        <v>1152</v>
      </c>
      <c r="E681" t="s">
        <v>804</v>
      </c>
      <c r="F681" t="s">
        <v>3697</v>
      </c>
      <c r="G681" t="s">
        <v>3697</v>
      </c>
      <c r="I681">
        <f>_xlfn.XLOOKUP($F681,設計座標!$E$13:$E$2301,設計座標!$G$13:$G$2301,"n/a",0,1)</f>
        <v>195.38543726136891</v>
      </c>
      <c r="J681">
        <f>_xlfn.XLOOKUP($F681,設計座標!$E$13:$E$2301,設計座標!$H$13:$H$2301,"n/a",0,1)</f>
        <v>-15000</v>
      </c>
      <c r="K681">
        <f>_xlfn.XLOOKUP($F681,設計座標!$E$13:$E$2301,設計座標!$I$13:$I$2301,"n/a",0,1)</f>
        <v>69076.62020453994</v>
      </c>
      <c r="L681">
        <f>_xlfn.XLOOKUP($F681,設計座標!$E$13:$E$2301,設計座標!$J$13:$J$2301,"n/a",0,1)</f>
        <v>-270</v>
      </c>
      <c r="M681" s="2">
        <f t="shared" si="518"/>
        <v>-15006.907655101097</v>
      </c>
      <c r="N681" s="2">
        <f t="shared" si="519"/>
        <v>69076.62020453994</v>
      </c>
      <c r="O681" s="23">
        <f t="shared" si="520"/>
        <v>-265.05618404191398</v>
      </c>
      <c r="P681" s="1">
        <f t="shared" si="534"/>
        <v>-270.51730823927983</v>
      </c>
      <c r="Q681" s="1">
        <f t="shared" si="545"/>
        <v>-6.9076551010962799</v>
      </c>
      <c r="R681">
        <f t="shared" si="500"/>
        <v>0</v>
      </c>
      <c r="S681" s="23">
        <f t="shared" si="544"/>
        <v>4.9438159580860006</v>
      </c>
      <c r="T681">
        <f>$S681+測地線補正!$Q$26*(lattice!$N681/1000)^3+測地線補正!$P$26*(lattice!$N681/1000)^2+測地線補正!$O$26*(lattice!$N681/1000)+測地線補正!$N$26</f>
        <v>-0.51730823927980452</v>
      </c>
      <c r="U681">
        <f t="shared" si="546"/>
        <v>-1.6057690342030952E-5</v>
      </c>
      <c r="V681">
        <v>0</v>
      </c>
      <c r="W681">
        <f t="shared" si="547"/>
        <v>1.6169874735995959E-4</v>
      </c>
      <c r="X681" t="s">
        <v>3860</v>
      </c>
      <c r="Y681">
        <f>_xlfn.XLOOKUP($F681,設計座標!$E$13:$E$2301,設計座標!$L$13:$L$2301," ",0,1)</f>
        <v>200</v>
      </c>
      <c r="Z681">
        <f>SQRT(($M$680-$M$678)^2+($N$680-$N$678)^2)</f>
        <v>372.50100486979977</v>
      </c>
      <c r="AA681">
        <f>_xlfn.XLOOKUP($G681,magnet_list!$A$2:$A$592,magnet_list!$AJ$2:$AJ$592,"n/a",0,1)</f>
        <v>0.36836999999999998</v>
      </c>
      <c r="AB681">
        <f>_xlfn.XLOOKUP($G681,magnet_list!$A$2:$A$592,magnet_list!$L$2:$L$592,"n/a",0,1)</f>
        <v>128</v>
      </c>
    </row>
    <row r="682" spans="1:28">
      <c r="A682" t="s">
        <v>797</v>
      </c>
      <c r="B682" t="s">
        <v>3813</v>
      </c>
      <c r="C682" t="s">
        <v>804</v>
      </c>
      <c r="D682" t="s">
        <v>1152</v>
      </c>
      <c r="E682" t="s">
        <v>804</v>
      </c>
      <c r="F682" t="s">
        <v>1181</v>
      </c>
      <c r="G682" t="s">
        <v>2482</v>
      </c>
      <c r="I682">
        <f>_xlfn.XLOOKUP($F682,設計座標!$E$13:$E$2301,設計座標!$G$13:$G$2301,"n/a",0,1)</f>
        <v>196.0916617613689</v>
      </c>
      <c r="J682">
        <f>_xlfn.XLOOKUP($F682,設計座標!$E$13:$E$2301,設計座標!$H$13:$H$2301,"n/a",0,1)</f>
        <v>-15000</v>
      </c>
      <c r="K682">
        <f>_xlfn.XLOOKUP($F682,設計座標!$E$13:$E$2301,設計座標!$I$13:$I$2301,"n/a",0,1)</f>
        <v>68370.395704539944</v>
      </c>
      <c r="L682">
        <f>_xlfn.XLOOKUP($F682,設計座標!$E$13:$E$2301,設計座標!$J$13:$J$2301,"n/a",0,1)</f>
        <v>-270</v>
      </c>
      <c r="M682" s="2">
        <f t="shared" si="518"/>
        <v>-15006.793459483097</v>
      </c>
      <c r="N682" s="2">
        <f t="shared" si="519"/>
        <v>68370.395704539944</v>
      </c>
      <c r="O682" s="23">
        <f t="shared" si="520"/>
        <v>-265.09459738620956</v>
      </c>
      <c r="P682" s="1">
        <f t="shared" si="534"/>
        <v>-270.50587491551391</v>
      </c>
      <c r="Q682" s="1">
        <f t="shared" si="545"/>
        <v>-6.7934594830962904</v>
      </c>
      <c r="R682">
        <f t="shared" si="500"/>
        <v>0</v>
      </c>
      <c r="S682" s="23">
        <f t="shared" si="544"/>
        <v>4.9054026137904536</v>
      </c>
      <c r="T682">
        <f>$S682+測地線補正!$Q$26*(lattice!$N682/1000)^3+測地線補正!$P$26*(lattice!$N682/1000)^2+測地線補正!$O$26*(lattice!$N682/1000)+測地線補正!$N$26</f>
        <v>-0.50587491551393859</v>
      </c>
      <c r="U682">
        <f t="shared" ref="U682:U683" si="548">-ATAN(($P$683-$P$679)/ABS($N$683-$N$679))</f>
        <v>-1.6057690342030952E-5</v>
      </c>
      <c r="V682">
        <v>0</v>
      </c>
      <c r="W682">
        <f t="shared" ref="W682:W683" si="549">ATAN(($M$683-$M$679)/ABS($N$683-$N$679))</f>
        <v>1.6169874735995959E-4</v>
      </c>
      <c r="X682" t="s">
        <v>3860</v>
      </c>
      <c r="Y682">
        <f>_xlfn.XLOOKUP($F682,設計座標!$E$13:$E$2301,設計座標!$L$13:$L$2301," ",0,1)</f>
        <v>1889.4492</v>
      </c>
      <c r="Z682">
        <f>SQRT(($M$682-$M$680)^2+($N$682-$N$680)^2)</f>
        <v>706.2245092326408</v>
      </c>
    </row>
    <row r="683" spans="1:28">
      <c r="A683" t="s">
        <v>797</v>
      </c>
      <c r="B683" t="s">
        <v>3813</v>
      </c>
      <c r="C683" t="s">
        <v>804</v>
      </c>
      <c r="D683" t="s">
        <v>1152</v>
      </c>
      <c r="E683" t="s">
        <v>804</v>
      </c>
      <c r="F683" t="s">
        <v>1523</v>
      </c>
      <c r="G683" t="s">
        <v>2482</v>
      </c>
      <c r="I683">
        <f>_xlfn.XLOOKUP($F683,設計座標!$E$13:$E$2301,設計座標!$G$13:$G$2301,"n/a",0,1)</f>
        <v>197.0363863613689</v>
      </c>
      <c r="J683">
        <f>_xlfn.XLOOKUP($F683,設計座標!$E$13:$E$2301,設計座標!$H$13:$H$2301,"n/a",0,1)</f>
        <v>-15000</v>
      </c>
      <c r="K683">
        <f>_xlfn.XLOOKUP($F683,設計座標!$E$13:$E$2301,設計座標!$I$13:$I$2301,"n/a",0,1)</f>
        <v>67425.671104539942</v>
      </c>
      <c r="L683">
        <f>_xlfn.XLOOKUP($F683,設計座標!$E$13:$E$2301,設計座標!$J$13:$J$2301,"n/a",0,1)</f>
        <v>-270</v>
      </c>
      <c r="M683" s="2">
        <f t="shared" si="518"/>
        <v>-15006.640698697345</v>
      </c>
      <c r="N683" s="2">
        <f t="shared" si="519"/>
        <v>67425.671104539942</v>
      </c>
      <c r="O683" s="23">
        <f t="shared" si="520"/>
        <v>-265.14598335671081</v>
      </c>
      <c r="P683" s="1">
        <f t="shared" si="534"/>
        <v>-270.49087128992085</v>
      </c>
      <c r="Q683" s="1">
        <f t="shared" si="545"/>
        <v>-6.6406986973450257</v>
      </c>
      <c r="R683">
        <f t="shared" ref="R683:R746" si="550">$N683-$K683</f>
        <v>0</v>
      </c>
      <c r="S683" s="23">
        <f t="shared" si="544"/>
        <v>4.8540166432891843</v>
      </c>
      <c r="T683">
        <f>$S683+測地線補正!$Q$26*(lattice!$N683/1000)^3+測地線補正!$P$26*(lattice!$N683/1000)^2+測地線補正!$O$26*(lattice!$N683/1000)+測地線補正!$N$26</f>
        <v>-0.49087128992083229</v>
      </c>
      <c r="U683">
        <f t="shared" si="548"/>
        <v>-1.6057690342030952E-5</v>
      </c>
      <c r="V683">
        <v>0</v>
      </c>
      <c r="W683">
        <f t="shared" si="549"/>
        <v>1.6169874735995959E-4</v>
      </c>
      <c r="X683" t="s">
        <v>3860</v>
      </c>
      <c r="Y683">
        <f>_xlfn.XLOOKUP($F683,設計座標!$E$13:$E$2301,設計座標!$L$13:$L$2301," ",0,1)</f>
        <v>1889.4492</v>
      </c>
      <c r="Z683">
        <f>SQRT(($M$682-$M$680)^2+($N$682-$N$680)^2)</f>
        <v>706.2245092326408</v>
      </c>
    </row>
    <row r="684" spans="1:28">
      <c r="A684" t="s">
        <v>797</v>
      </c>
      <c r="B684" t="s">
        <v>3813</v>
      </c>
      <c r="C684" t="s">
        <v>804</v>
      </c>
      <c r="D684" t="s">
        <v>1152</v>
      </c>
      <c r="E684" t="s">
        <v>804</v>
      </c>
      <c r="F684" t="s">
        <v>1524</v>
      </c>
      <c r="G684" t="s">
        <v>2483</v>
      </c>
      <c r="I684">
        <f>_xlfn.XLOOKUP($F684,設計座標!$E$13:$E$2301,設計座標!$G$13:$G$2301,"n/a",0,1)</f>
        <v>197.2463251613689</v>
      </c>
      <c r="J684">
        <f>_xlfn.XLOOKUP($F684,設計座標!$E$13:$E$2301,設計座標!$H$13:$H$2301,"n/a",0,1)</f>
        <v>-15000</v>
      </c>
      <c r="K684">
        <f>_xlfn.XLOOKUP($F684,設計座標!$E$13:$E$2301,設計座標!$I$13:$I$2301,"n/a",0,1)</f>
        <v>67215.732304539939</v>
      </c>
      <c r="L684">
        <f>_xlfn.XLOOKUP($F684,設計座標!$E$13:$E$2301,設計座標!$J$13:$J$2301,"n/a",0,1)</f>
        <v>-270</v>
      </c>
      <c r="M684" s="2">
        <f t="shared" si="518"/>
        <v>-15006.606751856067</v>
      </c>
      <c r="N684" s="2">
        <f t="shared" si="519"/>
        <v>67215.732304539939</v>
      </c>
      <c r="O684" s="23">
        <f t="shared" si="520"/>
        <v>-265.15740246126666</v>
      </c>
      <c r="P684" s="1">
        <f t="shared" si="534"/>
        <v>-270.48758229578777</v>
      </c>
      <c r="Q684" s="1">
        <f t="shared" si="545"/>
        <v>-6.6067518560669658</v>
      </c>
      <c r="R684">
        <f t="shared" si="550"/>
        <v>0</v>
      </c>
      <c r="S684" s="23">
        <f t="shared" si="544"/>
        <v>4.8425975387333473</v>
      </c>
      <c r="T684">
        <f>$S684+測地線補正!$Q$26*(lattice!$N684/1000)^3+測地線補正!$P$26*(lattice!$N684/1000)^2+測地線補正!$O$26*(lattice!$N684/1000)+測地線補正!$N$26</f>
        <v>-0.48758229578776535</v>
      </c>
      <c r="U684">
        <f>-ATAN(($P$686-$P$684)/ABS($N$686-$N$684))</f>
        <v>-1.5276330801743376E-5</v>
      </c>
      <c r="V684">
        <v>0</v>
      </c>
      <c r="W684">
        <f>ATAN(($M$686-$M$684)/ABS($N$686-$N$684))</f>
        <v>1.6169874735995959E-4</v>
      </c>
      <c r="X684">
        <f>SQRT(($M$684-$M$683)^2+($N$684-$N$683)^2)</f>
        <v>209.93880274458439</v>
      </c>
      <c r="Y684">
        <f>_xlfn.XLOOKUP($F684,設計座標!$E$13:$E$2301,設計座標!$L$13:$L$2301," ",0,1)</f>
        <v>1889.4492</v>
      </c>
      <c r="Z684">
        <f>SQRT(($M$685-$M$682)^2+($N$685-$N$682)^2)</f>
        <v>2099.3880274458147</v>
      </c>
    </row>
    <row r="685" spans="1:28">
      <c r="A685" t="s">
        <v>797</v>
      </c>
      <c r="B685" t="s">
        <v>3813</v>
      </c>
      <c r="C685" t="s">
        <v>804</v>
      </c>
      <c r="D685" t="s">
        <v>1152</v>
      </c>
      <c r="E685" t="s">
        <v>804</v>
      </c>
      <c r="F685" t="s">
        <v>1237</v>
      </c>
      <c r="G685" t="s">
        <v>2483</v>
      </c>
      <c r="I685">
        <f>_xlfn.XLOOKUP($F685,設計座標!$E$13:$E$2301,設計座標!$G$13:$G$2301,"n/a",0,1)</f>
        <v>198.1910497613689</v>
      </c>
      <c r="J685">
        <f>_xlfn.XLOOKUP($F685,設計座標!$E$13:$E$2301,設計座標!$H$13:$H$2301,"n/a",0,1)</f>
        <v>-15000</v>
      </c>
      <c r="K685">
        <f>_xlfn.XLOOKUP($F685,設計座標!$E$13:$E$2301,設計座標!$I$13:$I$2301,"n/a",0,1)</f>
        <v>66271.007704539938</v>
      </c>
      <c r="L685">
        <f>_xlfn.XLOOKUP($F685,設計座標!$E$13:$E$2301,設計座標!$J$13:$J$2301,"n/a",0,1)</f>
        <v>-270</v>
      </c>
      <c r="M685" s="2">
        <f t="shared" si="518"/>
        <v>-15006.453991070315</v>
      </c>
      <c r="N685" s="2">
        <f t="shared" si="519"/>
        <v>66271.007704539938</v>
      </c>
      <c r="O685" s="23">
        <f t="shared" si="520"/>
        <v>-265.20878843176791</v>
      </c>
      <c r="P685" s="1">
        <f t="shared" si="534"/>
        <v>-270.47298466346331</v>
      </c>
      <c r="Q685" s="1">
        <f t="shared" si="545"/>
        <v>-6.453991070315702</v>
      </c>
      <c r="R685">
        <f t="shared" si="550"/>
        <v>0</v>
      </c>
      <c r="S685" s="23">
        <f t="shared" si="544"/>
        <v>4.7912115682320779</v>
      </c>
      <c r="T685">
        <f>$S685+測地線補正!$Q$26*(lattice!$N685/1000)^3+測地線補正!$P$26*(lattice!$N685/1000)^2+測地線補正!$O$26*(lattice!$N685/1000)+測地線補正!$N$26</f>
        <v>-0.47298466346330348</v>
      </c>
      <c r="U685">
        <f t="shared" ref="U685:U686" si="551">-ATAN(($P$686-$P$684)/ABS($N$686-$N$684))</f>
        <v>-1.5276330801743376E-5</v>
      </c>
      <c r="V685">
        <v>0</v>
      </c>
      <c r="W685">
        <f t="shared" ref="W685:W686" si="552">ATAN(($M$686-$M$684)/ABS($N$686-$N$684))</f>
        <v>1.6169874735995959E-4</v>
      </c>
      <c r="X685" t="s">
        <v>3860</v>
      </c>
      <c r="Y685">
        <f>_xlfn.XLOOKUP($F685,設計座標!$E$13:$E$2301,設計座標!$L$13:$L$2301," ",0,1)</f>
        <v>1889.4492</v>
      </c>
      <c r="Z685">
        <f>SQRT(($M$685-$M$682)^2+($N$685-$N$682)^2)</f>
        <v>2099.3880274458147</v>
      </c>
    </row>
    <row r="686" spans="1:28">
      <c r="A686" t="s">
        <v>797</v>
      </c>
      <c r="B686" t="s">
        <v>3813</v>
      </c>
      <c r="C686" t="s">
        <v>804</v>
      </c>
      <c r="D686" t="s">
        <v>1152</v>
      </c>
      <c r="E686" t="s">
        <v>804</v>
      </c>
      <c r="F686" t="s">
        <v>1525</v>
      </c>
      <c r="G686" t="s">
        <v>2483</v>
      </c>
      <c r="I686">
        <f>_xlfn.XLOOKUP($F686,設計座標!$E$13:$E$2301,設計座標!$G$13:$G$2301,"n/a",0,1)</f>
        <v>199.1357743613689</v>
      </c>
      <c r="J686">
        <f>_xlfn.XLOOKUP($F686,設計座標!$E$13:$E$2301,設計座標!$H$13:$H$2301,"n/a",0,1)</f>
        <v>-15000</v>
      </c>
      <c r="K686">
        <f>_xlfn.XLOOKUP($F686,設計座標!$E$13:$E$2301,設計座標!$I$13:$I$2301,"n/a",0,1)</f>
        <v>65326.283104539936</v>
      </c>
      <c r="L686">
        <f>_xlfn.XLOOKUP($F686,設計座標!$E$13:$E$2301,設計座標!$J$13:$J$2301,"n/a",0,1)</f>
        <v>-270</v>
      </c>
      <c r="M686" s="2">
        <f t="shared" si="518"/>
        <v>-15006.301230284564</v>
      </c>
      <c r="N686" s="2">
        <f t="shared" si="519"/>
        <v>65326.283104539936</v>
      </c>
      <c r="O686" s="23">
        <f t="shared" si="520"/>
        <v>-265.26017440226917</v>
      </c>
      <c r="P686" s="1">
        <f t="shared" si="534"/>
        <v>-270.45871844477324</v>
      </c>
      <c r="Q686" s="1">
        <f t="shared" si="545"/>
        <v>-6.3012302845644372</v>
      </c>
      <c r="R686">
        <f t="shared" si="550"/>
        <v>0</v>
      </c>
      <c r="S686" s="23">
        <f t="shared" si="544"/>
        <v>4.7398255977308086</v>
      </c>
      <c r="T686">
        <f>$S686+測地線補正!$Q$26*(lattice!$N686/1000)^3+測地線補正!$P$26*(lattice!$N686/1000)^2+測地線補正!$O$26*(lattice!$N686/1000)+測地線補正!$N$26</f>
        <v>-0.45871844477325419</v>
      </c>
      <c r="U686">
        <f t="shared" si="551"/>
        <v>-1.5276330801743376E-5</v>
      </c>
      <c r="V686">
        <v>0</v>
      </c>
      <c r="W686">
        <f t="shared" si="552"/>
        <v>1.6169874735995959E-4</v>
      </c>
      <c r="X686" t="s">
        <v>3860</v>
      </c>
      <c r="Y686">
        <f>_xlfn.XLOOKUP($F686,設計座標!$E$13:$E$2301,設計座標!$L$13:$L$2301," ",0,1)</f>
        <v>1889.4492</v>
      </c>
      <c r="Z686">
        <f>SQRT(($M$685-$M$682)^2+($N$685-$N$682)^2)</f>
        <v>2099.3880274458147</v>
      </c>
    </row>
    <row r="687" spans="1:28">
      <c r="A687" t="s">
        <v>797</v>
      </c>
      <c r="B687" t="s">
        <v>3813</v>
      </c>
      <c r="C687" t="s">
        <v>1152</v>
      </c>
      <c r="D687" t="s">
        <v>1152</v>
      </c>
      <c r="E687" t="s">
        <v>804</v>
      </c>
      <c r="F687" t="s">
        <v>2020</v>
      </c>
      <c r="G687" t="s">
        <v>2020</v>
      </c>
      <c r="I687">
        <f>_xlfn.XLOOKUP($F687,設計座標!$E$13:$E$2301,設計座標!$G$13:$G$2301,"n/a",0,1)</f>
        <v>199.40477426136889</v>
      </c>
      <c r="J687">
        <f>_xlfn.XLOOKUP($F687,設計座標!$E$13:$E$2301,設計座標!$H$13:$H$2301,"n/a",0,1)</f>
        <v>-15000</v>
      </c>
      <c r="K687">
        <f>_xlfn.XLOOKUP($F687,設計座標!$E$13:$E$2301,設計座標!$I$13:$I$2301,"n/a",0,1)</f>
        <v>65057.283204539941</v>
      </c>
      <c r="L687">
        <f>_xlfn.XLOOKUP($F687,設計座標!$E$13:$E$2301,設計座標!$J$13:$J$2301,"n/a",0,1)</f>
        <v>-270</v>
      </c>
      <c r="M687" s="2">
        <f t="shared" si="518"/>
        <v>-15006.257733337316</v>
      </c>
      <c r="N687" s="2">
        <f t="shared" si="519"/>
        <v>65057.283204539941</v>
      </c>
      <c r="O687" s="23">
        <f t="shared" si="520"/>
        <v>-265.27480599006338</v>
      </c>
      <c r="P687" s="1">
        <f t="shared" si="534"/>
        <v>-270.45471681896413</v>
      </c>
      <c r="Q687" s="1">
        <f t="shared" si="545"/>
        <v>-6.25773333731546</v>
      </c>
      <c r="R687">
        <f t="shared" si="550"/>
        <v>0</v>
      </c>
      <c r="S687" s="23">
        <f t="shared" si="544"/>
        <v>4.7251940099366054</v>
      </c>
      <c r="T687">
        <f>$S687+測地線補正!$Q$26*(lattice!$N687/1000)^3+測地線補正!$P$26*(lattice!$N687/1000)^2+測地線補正!$O$26*(lattice!$N687/1000)+測地線補正!$N$26</f>
        <v>-0.45471681896414196</v>
      </c>
      <c r="U687">
        <v>0</v>
      </c>
      <c r="V687">
        <v>0</v>
      </c>
      <c r="W687">
        <v>0</v>
      </c>
      <c r="X687">
        <f>SQRT(($M$687-$M$686)^2+($N$687-$N$686)^2)</f>
        <v>268.99990351669618</v>
      </c>
      <c r="Y687">
        <f>_xlfn.XLOOKUP($F687,設計座標!$E$13:$E$2301,設計座標!$L$13:$L$2301," ",0,1)</f>
        <v>0</v>
      </c>
      <c r="Z687">
        <f>SQRT(($M$687-$M$685)^2+($N$687-$N$685)^2)</f>
        <v>1213.7245158673115</v>
      </c>
    </row>
    <row r="688" spans="1:28">
      <c r="A688" t="s">
        <v>797</v>
      </c>
      <c r="B688" t="s">
        <v>3813</v>
      </c>
      <c r="C688" t="s">
        <v>804</v>
      </c>
      <c r="D688" t="s">
        <v>1152</v>
      </c>
      <c r="E688" t="s">
        <v>804</v>
      </c>
      <c r="F688" t="s">
        <v>1526</v>
      </c>
      <c r="G688" t="s">
        <v>2484</v>
      </c>
      <c r="I688">
        <f>_xlfn.XLOOKUP($F688,設計座標!$E$13:$E$2301,設計座標!$G$13:$G$2301,"n/a",0,1)</f>
        <v>199.66062116136888</v>
      </c>
      <c r="J688">
        <f>_xlfn.XLOOKUP($F688,設計座標!$E$13:$E$2301,設計座標!$H$13:$H$2301,"n/a",0,1)</f>
        <v>-15000</v>
      </c>
      <c r="K688">
        <f>_xlfn.XLOOKUP($F688,設計座標!$E$13:$E$2301,設計座標!$I$13:$I$2301,"n/a",0,1)</f>
        <v>64801.436304539944</v>
      </c>
      <c r="L688">
        <f>_xlfn.XLOOKUP($F688,設計座標!$E$13:$E$2301,設計座標!$J$13:$J$2301,"n/a",0,1)</f>
        <v>-270</v>
      </c>
      <c r="M688" s="2">
        <f t="shared" si="518"/>
        <v>-15006.216363213709</v>
      </c>
      <c r="N688" s="2">
        <f t="shared" si="519"/>
        <v>64801.436304539944</v>
      </c>
      <c r="O688" s="23">
        <f t="shared" si="520"/>
        <v>-265.28872215278028</v>
      </c>
      <c r="P688" s="1">
        <f t="shared" si="534"/>
        <v>-270.45093572143566</v>
      </c>
      <c r="Q688" s="1">
        <f t="shared" si="545"/>
        <v>-6.216363213709041</v>
      </c>
      <c r="R688">
        <f t="shared" si="550"/>
        <v>0</v>
      </c>
      <c r="S688" s="23">
        <f t="shared" si="544"/>
        <v>4.7112778472197236</v>
      </c>
      <c r="T688">
        <f>$S688+測地線補正!$Q$26*(lattice!$N688/1000)^3+測地線補正!$P$26*(lattice!$N688/1000)^2+測地線補正!$O$26*(lattice!$N688/1000)+測地線補正!$N$26</f>
        <v>-0.45093572143564242</v>
      </c>
      <c r="U688">
        <f>-ATAN(($P$692-$P$688)/ABS($N$692-$N$688))</f>
        <v>-1.4382203069974892E-5</v>
      </c>
      <c r="V688">
        <v>0</v>
      </c>
      <c r="W688">
        <f>ATAN(($M$692-$M$688)/ABS($N$692-$N$688))</f>
        <v>1.6169874735995959E-4</v>
      </c>
      <c r="X688">
        <f>SQRT(($M$688-$M$687)^2+($N$688-$N$687)^2)</f>
        <v>255.84690334474541</v>
      </c>
      <c r="Y688">
        <f>_xlfn.XLOOKUP($F688,設計座標!$E$13:$E$2301,設計座標!$L$13:$L$2301," ",0,1)</f>
        <v>1889.4492</v>
      </c>
      <c r="Z688">
        <f>SQRT(($M$691-$M$689)^2+($N$691-$N$689)^2)</f>
        <v>311.22450406871002</v>
      </c>
    </row>
    <row r="689" spans="1:28">
      <c r="A689" t="s">
        <v>797</v>
      </c>
      <c r="B689" t="s">
        <v>3813</v>
      </c>
      <c r="C689" t="s">
        <v>3855</v>
      </c>
      <c r="D689" t="s">
        <v>1152</v>
      </c>
      <c r="E689" t="s">
        <v>804</v>
      </c>
      <c r="F689" t="s">
        <v>2268</v>
      </c>
      <c r="G689" t="s">
        <v>2268</v>
      </c>
      <c r="I689">
        <f>_xlfn.XLOOKUP($F689,設計座標!$E$13:$E$2301,設計座標!$G$13:$G$2301,"n/a",0,1)</f>
        <v>200.2941212613689</v>
      </c>
      <c r="J689">
        <f>_xlfn.XLOOKUP($F689,設計座標!$E$13:$E$2301,設計座標!$H$13:$H$2301,"n/a",0,1)</f>
        <v>-15000</v>
      </c>
      <c r="K689">
        <f>_xlfn.XLOOKUP($F689,設計座標!$E$13:$E$2301,設計座標!$I$13:$I$2301,"n/a",0,1)</f>
        <v>64167.936204539939</v>
      </c>
      <c r="L689">
        <f>_xlfn.XLOOKUP($F689,設計座標!$E$13:$E$2301,設計座標!$J$13:$J$2301,"n/a",0,1)</f>
        <v>-270</v>
      </c>
      <c r="M689" s="2">
        <f t="shared" si="518"/>
        <v>-15006.113927040195</v>
      </c>
      <c r="N689" s="2">
        <f t="shared" si="519"/>
        <v>64167.936204539939</v>
      </c>
      <c r="O689" s="23">
        <f t="shared" si="520"/>
        <v>-265.32317983224704</v>
      </c>
      <c r="P689" s="1">
        <f t="shared" si="534"/>
        <v>-270.44167761946352</v>
      </c>
      <c r="Q689" s="1">
        <f t="shared" si="545"/>
        <v>-6.1139270401940236</v>
      </c>
      <c r="R689">
        <f t="shared" si="550"/>
        <v>0</v>
      </c>
      <c r="S689" s="23">
        <f t="shared" si="544"/>
        <v>4.6768201677529762</v>
      </c>
      <c r="T689">
        <f>$S689+測地線補正!$Q$26*(lattice!$N689/1000)^3+測地線補正!$P$26*(lattice!$N689/1000)^2+測地線補正!$O$26*(lattice!$N689/1000)+測地線補正!$N$26</f>
        <v>-0.44167761946351924</v>
      </c>
      <c r="U689">
        <f t="shared" ref="U689:U690" si="553">-ATAN(($P$692-$P$688)/ABS($N$692-$N$688))</f>
        <v>-1.4382203069974892E-5</v>
      </c>
      <c r="V689">
        <v>0</v>
      </c>
      <c r="W689">
        <f t="shared" ref="W689:W690" si="554">ATAN(($M$692-$M$688)/ABS($N$692-$N$688))</f>
        <v>1.6169874735995959E-4</v>
      </c>
      <c r="X689" t="s">
        <v>3860</v>
      </c>
      <c r="Y689">
        <f>_xlfn.XLOOKUP($F689,設計座標!$E$13:$E$2301,設計座標!$L$13:$L$2301," ",0,1)</f>
        <v>1000</v>
      </c>
      <c r="Z689">
        <f>SQRT(($M$689-$M$687)^2+($N$689-$N$687)^2)</f>
        <v>889.34701162665067</v>
      </c>
      <c r="AA689">
        <f>_xlfn.XLOOKUP($G689,magnet_list!$A$2:$A$592,magnet_list!$AJ$2:$AJ$592,"n/a",0,1)</f>
        <v>0.95010000000000006</v>
      </c>
      <c r="AB689">
        <f>_xlfn.XLOOKUP($G689,magnet_list!$A$2:$A$592,magnet_list!$L$2:$L$592,"n/a",0,1)</f>
        <v>120</v>
      </c>
    </row>
    <row r="690" spans="1:28">
      <c r="A690" t="s">
        <v>797</v>
      </c>
      <c r="B690" t="s">
        <v>3813</v>
      </c>
      <c r="C690" t="s">
        <v>3855</v>
      </c>
      <c r="D690" t="s">
        <v>1152</v>
      </c>
      <c r="E690" t="s">
        <v>804</v>
      </c>
      <c r="F690" t="s">
        <v>2269</v>
      </c>
      <c r="G690" t="s">
        <v>2269</v>
      </c>
      <c r="I690">
        <f>_xlfn.XLOOKUP($F690,設計座標!$E$13:$E$2301,設計座標!$G$13:$G$2301,"n/a",0,1)</f>
        <v>200.2941212613689</v>
      </c>
      <c r="J690">
        <f>_xlfn.XLOOKUP($F690,設計座標!$E$13:$E$2301,設計座標!$H$13:$H$2301,"n/a",0,1)</f>
        <v>-15000</v>
      </c>
      <c r="K690">
        <f>_xlfn.XLOOKUP($F690,設計座標!$E$13:$E$2301,設計座標!$I$13:$I$2301,"n/a",0,1)</f>
        <v>64167.936204539939</v>
      </c>
      <c r="L690">
        <f>_xlfn.XLOOKUP($F690,設計座標!$E$13:$E$2301,設計座標!$J$13:$J$2301,"n/a",0,1)</f>
        <v>-270</v>
      </c>
      <c r="M690" s="2">
        <f t="shared" si="518"/>
        <v>-15006.113927040195</v>
      </c>
      <c r="N690" s="2">
        <f t="shared" si="519"/>
        <v>64167.936204539939</v>
      </c>
      <c r="O690" s="23">
        <f t="shared" si="520"/>
        <v>-265.32317983224704</v>
      </c>
      <c r="P690" s="1">
        <f t="shared" si="534"/>
        <v>-270.44167761946352</v>
      </c>
      <c r="Q690" s="1">
        <f t="shared" si="545"/>
        <v>-6.1139270401940236</v>
      </c>
      <c r="R690">
        <f t="shared" si="550"/>
        <v>0</v>
      </c>
      <c r="S690" s="23">
        <f t="shared" si="544"/>
        <v>4.6768201677529762</v>
      </c>
      <c r="T690">
        <f>$S690+測地線補正!$Q$26*(lattice!$N690/1000)^3+測地線補正!$P$26*(lattice!$N690/1000)^2+測地線補正!$O$26*(lattice!$N690/1000)+測地線補正!$N$26</f>
        <v>-0.44167761946351924</v>
      </c>
      <c r="U690">
        <f t="shared" si="553"/>
        <v>-1.4382203069974892E-5</v>
      </c>
      <c r="V690">
        <v>0</v>
      </c>
      <c r="W690">
        <f t="shared" si="554"/>
        <v>1.6169874735995959E-4</v>
      </c>
      <c r="X690" t="s">
        <v>3860</v>
      </c>
      <c r="Y690">
        <f>_xlfn.XLOOKUP($F690,設計座標!$E$13:$E$2301,設計座標!$L$13:$L$2301," ",0,1)</f>
        <v>1000</v>
      </c>
      <c r="Z690">
        <f>SQRT(($M$689-$M$687)^2+($N$689-$N$687)^2)</f>
        <v>889.34701162665067</v>
      </c>
      <c r="AA690">
        <f>_xlfn.XLOOKUP($G690,magnet_list!$A$2:$A$592,magnet_list!$AJ$2:$AJ$592,"n/a",0,1)</f>
        <v>0.95010000000000006</v>
      </c>
      <c r="AB690">
        <f>_xlfn.XLOOKUP($G690,magnet_list!$A$2:$A$592,magnet_list!$L$2:$L$592,"n/a",0,1)</f>
        <v>120</v>
      </c>
    </row>
    <row r="691" spans="1:28">
      <c r="A691" t="s">
        <v>797</v>
      </c>
      <c r="B691" t="s">
        <v>3813</v>
      </c>
      <c r="C691" t="s">
        <v>804</v>
      </c>
      <c r="D691" t="s">
        <v>1152</v>
      </c>
      <c r="E691" t="s">
        <v>804</v>
      </c>
      <c r="F691" t="s">
        <v>1292</v>
      </c>
      <c r="G691" t="s">
        <v>2484</v>
      </c>
      <c r="I691">
        <f>_xlfn.XLOOKUP($F691,設計座標!$E$13:$E$2301,設計座標!$G$13:$G$2301,"n/a",0,1)</f>
        <v>200.60534576136888</v>
      </c>
      <c r="J691">
        <f>_xlfn.XLOOKUP($F691,設計座標!$E$13:$E$2301,設計座標!$H$13:$H$2301,"n/a",0,1)</f>
        <v>-15000</v>
      </c>
      <c r="K691">
        <f>_xlfn.XLOOKUP($F691,設計座標!$E$13:$E$2301,設計座標!$I$13:$I$2301,"n/a",0,1)</f>
        <v>63856.711704539943</v>
      </c>
      <c r="L691">
        <f>_xlfn.XLOOKUP($F691,設計座標!$E$13:$E$2301,設計座標!$J$13:$J$2301,"n/a",0,1)</f>
        <v>-270</v>
      </c>
      <c r="M691" s="2">
        <f t="shared" si="518"/>
        <v>-15006.063602427957</v>
      </c>
      <c r="N691" s="2">
        <f t="shared" si="519"/>
        <v>63856.711704539943</v>
      </c>
      <c r="O691" s="23">
        <f t="shared" si="520"/>
        <v>-265.34010812328154</v>
      </c>
      <c r="P691" s="1">
        <f t="shared" si="534"/>
        <v>-270.43718367065276</v>
      </c>
      <c r="Q691" s="1">
        <f t="shared" si="545"/>
        <v>-6.0636024279577763</v>
      </c>
      <c r="R691">
        <f t="shared" si="550"/>
        <v>0</v>
      </c>
      <c r="S691" s="23">
        <f t="shared" si="544"/>
        <v>4.6598918767184543</v>
      </c>
      <c r="T691">
        <f>$S691+測地線補正!$Q$26*(lattice!$N691/1000)^3+測地線補正!$P$26*(lattice!$N691/1000)^2+測地線補正!$O$26*(lattice!$N691/1000)+測地線補正!$N$26</f>
        <v>-0.43718367065277675</v>
      </c>
      <c r="U691">
        <f t="shared" ref="U691:U692" si="555">-ATAN(($P$692-$P$688)/ABS($N$692-$N$688))</f>
        <v>-1.4382203069974892E-5</v>
      </c>
      <c r="V691">
        <v>0</v>
      </c>
      <c r="W691">
        <f t="shared" ref="W691:W692" si="556">ATAN(($M$692-$M$688)/ABS($N$692-$N$688))</f>
        <v>1.6169874735995959E-4</v>
      </c>
      <c r="X691" t="s">
        <v>3860</v>
      </c>
      <c r="Y691">
        <f>_xlfn.XLOOKUP($F691,設計座標!$E$13:$E$2301,設計座標!$L$13:$L$2301," ",0,1)</f>
        <v>1889.4492</v>
      </c>
      <c r="Z691">
        <f>SQRT(($M$691-$M$689)^2+($N$691-$N$689)^2)</f>
        <v>311.22450406871002</v>
      </c>
    </row>
    <row r="692" spans="1:28">
      <c r="A692" t="s">
        <v>797</v>
      </c>
      <c r="B692" t="s">
        <v>3813</v>
      </c>
      <c r="C692" t="s">
        <v>804</v>
      </c>
      <c r="D692" t="s">
        <v>1152</v>
      </c>
      <c r="E692" t="s">
        <v>804</v>
      </c>
      <c r="F692" t="s">
        <v>1527</v>
      </c>
      <c r="G692" t="s">
        <v>2484</v>
      </c>
      <c r="I692">
        <f>_xlfn.XLOOKUP($F692,設計座標!$E$13:$E$2301,設計座標!$G$13:$G$2301,"n/a",0,1)</f>
        <v>201.55007036136888</v>
      </c>
      <c r="J692">
        <f>_xlfn.XLOOKUP($F692,設計座標!$E$13:$E$2301,設計座標!$H$13:$H$2301,"n/a",0,1)</f>
        <v>-15000</v>
      </c>
      <c r="K692">
        <f>_xlfn.XLOOKUP($F692,設計座標!$E$13:$E$2301,設計座標!$I$13:$I$2301,"n/a",0,1)</f>
        <v>62911.987104539941</v>
      </c>
      <c r="L692">
        <f>_xlfn.XLOOKUP($F692,設計座標!$E$13:$E$2301,設計座標!$J$13:$J$2301,"n/a",0,1)</f>
        <v>-270</v>
      </c>
      <c r="M692" s="2">
        <f t="shared" si="518"/>
        <v>-15005.910841642206</v>
      </c>
      <c r="N692" s="2">
        <f t="shared" si="519"/>
        <v>62911.987104539941</v>
      </c>
      <c r="O692" s="23">
        <f t="shared" si="520"/>
        <v>-265.3914940937828</v>
      </c>
      <c r="P692" s="1">
        <f t="shared" si="534"/>
        <v>-270.42376127934898</v>
      </c>
      <c r="Q692" s="1">
        <f t="shared" si="545"/>
        <v>-5.9108416422065115</v>
      </c>
      <c r="R692">
        <f t="shared" si="550"/>
        <v>0</v>
      </c>
      <c r="S692" s="23">
        <f t="shared" si="544"/>
        <v>4.6085059062171858</v>
      </c>
      <c r="T692">
        <f>$S692+測地線補正!$Q$26*(lattice!$N692/1000)^3+測地線補正!$P$26*(lattice!$N692/1000)^2+測地線補正!$O$26*(lattice!$N692/1000)+測地線補正!$N$26</f>
        <v>-0.42376127934898755</v>
      </c>
      <c r="U692">
        <f t="shared" si="555"/>
        <v>-1.4382203069974892E-5</v>
      </c>
      <c r="V692">
        <v>0</v>
      </c>
      <c r="W692">
        <f t="shared" si="556"/>
        <v>1.6169874735995959E-4</v>
      </c>
      <c r="X692" t="s">
        <v>3860</v>
      </c>
      <c r="Y692">
        <f>_xlfn.XLOOKUP($F692,設計座標!$E$13:$E$2301,設計座標!$L$13:$L$2301," ",0,1)</f>
        <v>1889.4492</v>
      </c>
      <c r="Z692">
        <f>SQRT(($M$691-$M$689)^2+($N$691-$N$689)^2)</f>
        <v>311.22450406871002</v>
      </c>
    </row>
    <row r="693" spans="1:28">
      <c r="A693" t="s">
        <v>797</v>
      </c>
      <c r="B693" t="s">
        <v>3813</v>
      </c>
      <c r="C693" t="s">
        <v>804</v>
      </c>
      <c r="D693" t="s">
        <v>1152</v>
      </c>
      <c r="E693" t="s">
        <v>804</v>
      </c>
      <c r="F693" t="s">
        <v>1528</v>
      </c>
      <c r="G693" t="s">
        <v>2485</v>
      </c>
      <c r="I693">
        <f>_xlfn.XLOOKUP($F693,設計座標!$E$13:$E$2301,設計座標!$G$13:$G$2301,"n/a",0,1)</f>
        <v>201.76000916136888</v>
      </c>
      <c r="J693">
        <f>_xlfn.XLOOKUP($F693,設計座標!$E$13:$E$2301,設計座標!$H$13:$H$2301,"n/a",0,1)</f>
        <v>-15000</v>
      </c>
      <c r="K693">
        <f>_xlfn.XLOOKUP($F693,設計座標!$E$13:$E$2301,設計座標!$I$13:$I$2301,"n/a",0,1)</f>
        <v>62702.048304539945</v>
      </c>
      <c r="L693">
        <f>_xlfn.XLOOKUP($F693,設計座標!$E$13:$E$2301,設計座標!$J$13:$J$2301,"n/a",0,1)</f>
        <v>-270</v>
      </c>
      <c r="M693" s="2">
        <f t="shared" si="518"/>
        <v>-15005.876894800929</v>
      </c>
      <c r="N693" s="2">
        <f t="shared" si="519"/>
        <v>62702.048304539945</v>
      </c>
      <c r="O693" s="23">
        <f t="shared" si="520"/>
        <v>-265.40291319833864</v>
      </c>
      <c r="P693" s="1">
        <f t="shared" si="534"/>
        <v>-270.42082322524828</v>
      </c>
      <c r="Q693" s="1">
        <f t="shared" si="545"/>
        <v>-5.8768948009284543</v>
      </c>
      <c r="R693">
        <f t="shared" si="550"/>
        <v>0</v>
      </c>
      <c r="S693" s="23">
        <f t="shared" si="544"/>
        <v>4.597086801661348</v>
      </c>
      <c r="T693">
        <f>$S693+測地線補正!$Q$26*(lattice!$N693/1000)^3+測地線補正!$P$26*(lattice!$N693/1000)^2+測地線補正!$O$26*(lattice!$N693/1000)+測地線補正!$N$26</f>
        <v>-0.42082322524827354</v>
      </c>
      <c r="U693">
        <f>-ATAN(($P$695-$P$693)/ABS($N$695-$N$693))</f>
        <v>-1.3608557730557937E-5</v>
      </c>
      <c r="V693">
        <v>0</v>
      </c>
      <c r="W693">
        <f>ATAN(($M$695-$M$693)/ABS($N$695-$N$693))</f>
        <v>1.6169874735995959E-4</v>
      </c>
      <c r="X693">
        <f>SQRT(($M$693-$M$692)^2+($N$693-$N$692)^2)</f>
        <v>209.93880274457712</v>
      </c>
      <c r="Y693">
        <f>_xlfn.XLOOKUP($F693,設計座標!$E$13:$E$2301,設計座標!$L$13:$L$2301," ",0,1)</f>
        <v>1889.4492</v>
      </c>
      <c r="Z693">
        <f>SQRT(($M$694-$M$691)^2+($N$694-$N$691)^2)</f>
        <v>2099.3880274458079</v>
      </c>
    </row>
    <row r="694" spans="1:28">
      <c r="A694" t="s">
        <v>797</v>
      </c>
      <c r="B694" t="s">
        <v>3813</v>
      </c>
      <c r="C694" t="s">
        <v>804</v>
      </c>
      <c r="D694" t="s">
        <v>1152</v>
      </c>
      <c r="E694" t="s">
        <v>804</v>
      </c>
      <c r="F694" t="s">
        <v>1346</v>
      </c>
      <c r="G694" t="s">
        <v>2485</v>
      </c>
      <c r="I694">
        <f>_xlfn.XLOOKUP($F694,設計座標!$E$13:$E$2301,設計座標!$G$13:$G$2301,"n/a",0,1)</f>
        <v>202.70473376136889</v>
      </c>
      <c r="J694">
        <f>_xlfn.XLOOKUP($F694,設計座標!$E$13:$E$2301,設計座標!$H$13:$H$2301,"n/a",0,1)</f>
        <v>-15000</v>
      </c>
      <c r="K694">
        <f>_xlfn.XLOOKUP($F694,設計座標!$E$13:$E$2301,設計座標!$I$13:$I$2301,"n/a",0,1)</f>
        <v>61757.323704539944</v>
      </c>
      <c r="L694">
        <f>_xlfn.XLOOKUP($F694,設計座標!$E$13:$E$2301,設計座標!$J$13:$J$2301,"n/a",0,1)</f>
        <v>-270</v>
      </c>
      <c r="M694" s="2">
        <f t="shared" si="518"/>
        <v>-15005.724134015178</v>
      </c>
      <c r="N694" s="2">
        <f t="shared" si="519"/>
        <v>61757.323704539944</v>
      </c>
      <c r="O694" s="23">
        <f t="shared" si="520"/>
        <v>-265.4542991688399</v>
      </c>
      <c r="P694" s="1">
        <f t="shared" si="534"/>
        <v>-270.40780281892569</v>
      </c>
      <c r="Q694" s="1">
        <f t="shared" si="545"/>
        <v>-5.7241340151771896</v>
      </c>
      <c r="R694">
        <f t="shared" si="550"/>
        <v>0</v>
      </c>
      <c r="S694" s="23">
        <f t="shared" si="544"/>
        <v>4.5457008311600795</v>
      </c>
      <c r="T694">
        <f>$S694+測地線補正!$Q$26*(lattice!$N694/1000)^3+測地線補正!$P$26*(lattice!$N694/1000)^2+測地線補正!$O$26*(lattice!$N694/1000)+測地線補正!$N$26</f>
        <v>-0.4078028189256615</v>
      </c>
      <c r="U694">
        <f t="shared" ref="U694:U695" si="557">-ATAN(($P$695-$P$693)/ABS($N$695-$N$693))</f>
        <v>-1.3608557730557937E-5</v>
      </c>
      <c r="V694">
        <v>0</v>
      </c>
      <c r="W694">
        <f t="shared" ref="W694:W695" si="558">ATAN(($M$695-$M$693)/ABS($N$695-$N$693))</f>
        <v>1.6169874735995959E-4</v>
      </c>
      <c r="X694" t="s">
        <v>3860</v>
      </c>
      <c r="Y694">
        <f>_xlfn.XLOOKUP($F694,設計座標!$E$13:$E$2301,設計座標!$L$13:$L$2301," ",0,1)</f>
        <v>1889.4492</v>
      </c>
      <c r="Z694">
        <f>SQRT(($M$694-$M$691)^2+($N$694-$N$691)^2)</f>
        <v>2099.3880274458079</v>
      </c>
    </row>
    <row r="695" spans="1:28">
      <c r="A695" t="s">
        <v>797</v>
      </c>
      <c r="B695" t="s">
        <v>3813</v>
      </c>
      <c r="C695" t="s">
        <v>804</v>
      </c>
      <c r="D695" t="s">
        <v>1152</v>
      </c>
      <c r="E695" t="s">
        <v>804</v>
      </c>
      <c r="F695" t="s">
        <v>1529</v>
      </c>
      <c r="G695" t="s">
        <v>2485</v>
      </c>
      <c r="I695">
        <f>_xlfn.XLOOKUP($F695,設計座標!$E$13:$E$2301,設計座標!$G$13:$G$2301,"n/a",0,1)</f>
        <v>203.64945836136889</v>
      </c>
      <c r="J695">
        <f>_xlfn.XLOOKUP($F695,設計座標!$E$13:$E$2301,設計座標!$H$13:$H$2301,"n/a",0,1)</f>
        <v>-15000</v>
      </c>
      <c r="K695">
        <f>_xlfn.XLOOKUP($F695,設計座標!$E$13:$E$2301,設計座標!$I$13:$I$2301,"n/a",0,1)</f>
        <v>60812.599104539942</v>
      </c>
      <c r="L695">
        <f>_xlfn.XLOOKUP($F695,設計座標!$E$13:$E$2301,設計座標!$J$13:$J$2301,"n/a",0,1)</f>
        <v>-270</v>
      </c>
      <c r="M695" s="2">
        <f t="shared" si="518"/>
        <v>-15005.571373229426</v>
      </c>
      <c r="N695" s="2">
        <f t="shared" si="519"/>
        <v>60812.599104539942</v>
      </c>
      <c r="O695" s="23">
        <f t="shared" si="520"/>
        <v>-265.50568513934121</v>
      </c>
      <c r="P695" s="1">
        <f t="shared" si="534"/>
        <v>-270.39511054672954</v>
      </c>
      <c r="Q695" s="1">
        <f t="shared" si="545"/>
        <v>-5.5713732294259248</v>
      </c>
      <c r="R695">
        <f t="shared" si="550"/>
        <v>0</v>
      </c>
      <c r="S695" s="23">
        <f t="shared" si="544"/>
        <v>4.4943148606588101</v>
      </c>
      <c r="T695">
        <f>$S695+測地線補正!$Q$26*(lattice!$N695/1000)^3+測地線補正!$P$26*(lattice!$N695/1000)^2+測地線補正!$O$26*(lattice!$N695/1000)+測地線補正!$N$26</f>
        <v>-0.39511054672953638</v>
      </c>
      <c r="U695">
        <f t="shared" si="557"/>
        <v>-1.3608557730557937E-5</v>
      </c>
      <c r="V695">
        <v>0</v>
      </c>
      <c r="W695">
        <f t="shared" si="558"/>
        <v>1.6169874735995959E-4</v>
      </c>
      <c r="X695" t="s">
        <v>3860</v>
      </c>
      <c r="Y695">
        <f>_xlfn.XLOOKUP($F695,設計座標!$E$13:$E$2301,設計座標!$L$13:$L$2301," ",0,1)</f>
        <v>1889.4492</v>
      </c>
      <c r="Z695">
        <f>SQRT(($M$694-$M$691)^2+($N$694-$N$691)^2)</f>
        <v>2099.3880274458079</v>
      </c>
    </row>
    <row r="696" spans="1:28">
      <c r="A696" t="s">
        <v>797</v>
      </c>
      <c r="B696" t="s">
        <v>3813</v>
      </c>
      <c r="C696" t="s">
        <v>1152</v>
      </c>
      <c r="D696" t="s">
        <v>1152</v>
      </c>
      <c r="E696" t="s">
        <v>804</v>
      </c>
      <c r="F696" t="s">
        <v>2021</v>
      </c>
      <c r="G696" t="s">
        <v>2021</v>
      </c>
      <c r="I696">
        <f>_xlfn.XLOOKUP($F696,設計座標!$E$13:$E$2301,設計座標!$G$13:$G$2301,"n/a",0,1)</f>
        <v>203.78345826136888</v>
      </c>
      <c r="J696">
        <f>_xlfn.XLOOKUP($F696,設計座標!$E$13:$E$2301,設計座標!$H$13:$H$2301,"n/a",0,1)</f>
        <v>-15000</v>
      </c>
      <c r="K696">
        <f>_xlfn.XLOOKUP($F696,設計座標!$E$13:$E$2301,設計座標!$I$13:$I$2301,"n/a",0,1)</f>
        <v>60678.599204539947</v>
      </c>
      <c r="L696">
        <f>_xlfn.XLOOKUP($F696,設計座標!$E$13:$E$2301,設計座標!$J$13:$J$2301,"n/a",0,1)</f>
        <v>-270</v>
      </c>
      <c r="M696" s="2">
        <f t="shared" si="518"/>
        <v>-15005.549705613261</v>
      </c>
      <c r="N696" s="2">
        <f t="shared" si="519"/>
        <v>60678.599204539947</v>
      </c>
      <c r="O696" s="23">
        <f t="shared" si="520"/>
        <v>-265.5129737342487</v>
      </c>
      <c r="P696" s="1">
        <f t="shared" si="534"/>
        <v>-270.39333680507599</v>
      </c>
      <c r="Q696" s="1">
        <f t="shared" si="545"/>
        <v>-5.549705613260759</v>
      </c>
      <c r="R696">
        <f t="shared" si="550"/>
        <v>0</v>
      </c>
      <c r="S696" s="23">
        <f t="shared" si="544"/>
        <v>4.487026265751286</v>
      </c>
      <c r="T696">
        <f>$S696+測地線補正!$Q$26*(lattice!$N696/1000)^3+測地線補正!$P$26*(lattice!$N696/1000)^2+測地線補正!$O$26*(lattice!$N696/1000)+測地線補正!$N$26</f>
        <v>-0.3933368050759809</v>
      </c>
      <c r="U696">
        <v>0</v>
      </c>
      <c r="V696">
        <v>0</v>
      </c>
      <c r="W696">
        <v>0</v>
      </c>
      <c r="X696">
        <f>SQRT(($M$696-$M$695)^2+($N$696-$N$695)^2)</f>
        <v>133.99990175180844</v>
      </c>
      <c r="Y696">
        <f>_xlfn.XLOOKUP($F696,設計座標!$E$13:$E$2301,設計座標!$L$13:$L$2301," ",0,1)</f>
        <v>0</v>
      </c>
      <c r="Z696">
        <f>SQRT(($M$696-$M$694)^2+($N$696-$N$694)^2)</f>
        <v>1078.7245141024237</v>
      </c>
    </row>
    <row r="697" spans="1:28">
      <c r="A697" t="s">
        <v>797</v>
      </c>
      <c r="B697" t="s">
        <v>3813</v>
      </c>
      <c r="C697" t="s">
        <v>805</v>
      </c>
      <c r="D697" t="s">
        <v>806</v>
      </c>
      <c r="F697" t="s">
        <v>124</v>
      </c>
      <c r="G697" t="s">
        <v>124</v>
      </c>
      <c r="I697">
        <f>_xlfn.XLOOKUP($F697,設計座標!$E$13:$E$2301,設計座標!$G$13:$G$2301,"n/a",0,1)</f>
        <v>203.95728275583883</v>
      </c>
      <c r="J697">
        <f>_xlfn.XLOOKUP($F697,設計座標!$E$13:$E$2301,設計座標!$H$13:$H$2301,"n/a",0,1)</f>
        <v>-15000</v>
      </c>
      <c r="K697">
        <f>_xlfn.XLOOKUP($F697,設計座標!$E$13:$E$2301,設計座標!$I$13:$I$2301,"n/a",0,1)</f>
        <v>60504.77471007</v>
      </c>
      <c r="L697">
        <f>_xlfn.XLOOKUP($F697,設計座標!$E$13:$E$2301,設計座標!$J$13:$J$2301,"n/a",0,1)</f>
        <v>-20</v>
      </c>
      <c r="M697" s="2">
        <f>_xlfn.XLOOKUP($F697,survey_data!$A$2:$A$833,survey_data!$B$2:$B$833,"n/a",0,1)</f>
        <v>-15005.52159841</v>
      </c>
      <c r="N697" s="2">
        <f>_xlfn.XLOOKUP($F697,survey_data!$A$2:$A$833,survey_data!$C$2:$C$833,"n/a",0,1)</f>
        <v>60504.77471007</v>
      </c>
      <c r="O697" s="23">
        <f>_xlfn.XLOOKUP($F697,survey_data!$A$2:$A$833,survey_data!$D$2:$D$833,"n/a",0,1)</f>
        <v>-15.522428489999999</v>
      </c>
      <c r="P697" s="1">
        <f t="shared" si="534"/>
        <v>-20.391045722092752</v>
      </c>
      <c r="Q697" s="1">
        <f t="shared" ref="Q697:Q746" si="559">$M697-$J697</f>
        <v>-5.5215984099995694</v>
      </c>
      <c r="R697">
        <f t="shared" si="550"/>
        <v>0</v>
      </c>
      <c r="S697" s="23">
        <f t="shared" ref="S697:S746" si="560">$O697-$L697</f>
        <v>4.4775715100000006</v>
      </c>
      <c r="T697">
        <f>$S697+測地線補正!$Q$26*(lattice!$N697/1000)^3+測地線補正!$P$26*(lattice!$N697/1000)^2+測地線補正!$O$26*(lattice!$N697/1000)+測地線補正!$N$26</f>
        <v>-0.39104572209275212</v>
      </c>
      <c r="U697">
        <f>-ATAN(($P$698-$P$697)/ABS($N$698-$N$697))</f>
        <v>2.3210701867668971E-5</v>
      </c>
      <c r="V697">
        <v>0</v>
      </c>
      <c r="W697">
        <f>ATAN(($M$698-$M$697)/ABS($N$698-$N$697))</f>
        <v>-3.8197787610358199E-5</v>
      </c>
      <c r="X697">
        <f>$Z$698-($Y$698+$Y$696)/2</f>
        <v>153.824495750322</v>
      </c>
      <c r="Y697">
        <f>_xlfn.XLOOKUP($F697,設計座標!$E$13:$E$2301,設計座標!$L$13:$L$2301," ",0,1)</f>
        <v>190</v>
      </c>
      <c r="Z697">
        <f>SQRT(($M$698-$M$696)^2+($N$698-$N$696)^2)</f>
        <v>248.824495750322</v>
      </c>
      <c r="AA697">
        <f>_xlfn.XLOOKUP($G697,magnet_list!$A$2:$A$592,magnet_list!$AJ$2:$AJ$592,"n/a",0,1)</f>
        <v>0.2039</v>
      </c>
      <c r="AB697">
        <f>_xlfn.XLOOKUP($G697,magnet_list!$A$2:$A$592,magnet_list!$L$2:$L$592,"n/a",0,1)</f>
        <v>23</v>
      </c>
    </row>
    <row r="698" spans="1:28">
      <c r="A698" t="s">
        <v>797</v>
      </c>
      <c r="B698" t="s">
        <v>3813</v>
      </c>
      <c r="C698" t="s">
        <v>805</v>
      </c>
      <c r="D698" t="s">
        <v>1152</v>
      </c>
      <c r="E698" t="s">
        <v>804</v>
      </c>
      <c r="F698" t="s">
        <v>608</v>
      </c>
      <c r="G698" t="s">
        <v>124</v>
      </c>
      <c r="I698">
        <f>_xlfn.XLOOKUP($F698,設計座標!$E$13:$E$2301,設計座標!$G$13:$G$2301,"n/a",0,1)</f>
        <v>204.03228275583882</v>
      </c>
      <c r="J698">
        <f>_xlfn.XLOOKUP($F698,設計座標!$E$13:$E$2301,設計座標!$H$13:$H$2301,"n/a",0,1)</f>
        <v>-15000</v>
      </c>
      <c r="K698">
        <f>_xlfn.XLOOKUP($F698,設計座標!$E$13:$E$2301,設計座標!$I$13:$I$2301,"n/a",0,1)</f>
        <v>60429.77471007</v>
      </c>
      <c r="L698">
        <f>_xlfn.XLOOKUP($F698,設計座標!$E$13:$E$2301,設計座標!$J$13:$J$2301,"n/a",0,1)</f>
        <v>-20</v>
      </c>
      <c r="M698" s="2">
        <f t="shared" si="518"/>
        <v>-15005.524463244072</v>
      </c>
      <c r="N698" s="2">
        <f t="shared" si="519"/>
        <v>60429.77471007</v>
      </c>
      <c r="O698" s="23">
        <f t="shared" si="520"/>
        <v>-15.529233844689395</v>
      </c>
      <c r="P698" s="1">
        <f t="shared" si="534"/>
        <v>-20.39278652473314</v>
      </c>
      <c r="Q698" s="1">
        <f>(Q$700-Q$697)/($N$700-$N$697)*($N698-$N$697)+Q$697</f>
        <v>-5.5244632440723853</v>
      </c>
      <c r="R698">
        <f t="shared" si="550"/>
        <v>0</v>
      </c>
      <c r="S698" s="23">
        <f t="shared" ref="S698:S699" si="561">(S$700-S$697)/($N$700-$N$697)*($N698-$N$697)+S$697</f>
        <v>4.4707661553106046</v>
      </c>
      <c r="T698">
        <f>$S698+測地線補正!$Q$26*(lattice!$N698/1000)^3+測地線補正!$P$26*(lattice!$N698/1000)^2+測地線補正!$O$26*(lattice!$N698/1000)+測地線補正!$N$26</f>
        <v>-0.39278652473313902</v>
      </c>
      <c r="U698">
        <f>-ATAN(($P$698-$P$697)/ABS($N$698-$N$697))</f>
        <v>2.3210701867668971E-5</v>
      </c>
      <c r="V698">
        <v>0</v>
      </c>
      <c r="W698">
        <f>ATAN(($M$698-$M$697)/ABS($N$698-$N$697))</f>
        <v>-3.8197787610358199E-5</v>
      </c>
      <c r="X698">
        <f>$Z$698-($Y$698+$Y$696)/2</f>
        <v>153.824495750322</v>
      </c>
      <c r="Y698">
        <f>_xlfn.XLOOKUP($F698,設計座標!$E$13:$E$2301,設計座標!$L$13:$L$2301," ",0,1)</f>
        <v>190</v>
      </c>
      <c r="Z698">
        <f>SQRT(($M$698-$M$696)^2+($N$698-$N$696)^2)</f>
        <v>248.824495750322</v>
      </c>
      <c r="AA698">
        <f>_xlfn.XLOOKUP($G698,magnet_list!$A$2:$A$592,magnet_list!$AJ$2:$AJ$592,"n/a",0,1)</f>
        <v>0.2039</v>
      </c>
      <c r="AB698">
        <f>_xlfn.XLOOKUP($G698,magnet_list!$A$2:$A$592,magnet_list!$L$2:$L$592,"n/a",0,1)</f>
        <v>23</v>
      </c>
    </row>
    <row r="699" spans="1:28">
      <c r="A699" t="s">
        <v>797</v>
      </c>
      <c r="B699" t="s">
        <v>3813</v>
      </c>
      <c r="C699" t="s">
        <v>805</v>
      </c>
      <c r="D699" t="s">
        <v>1152</v>
      </c>
      <c r="E699" t="s">
        <v>804</v>
      </c>
      <c r="F699" t="s">
        <v>609</v>
      </c>
      <c r="G699" t="s">
        <v>125</v>
      </c>
      <c r="I699">
        <f>_xlfn.XLOOKUP($F699,設計座標!$E$13:$E$2301,設計座標!$G$13:$G$2301,"n/a",0,1)</f>
        <v>204.32674959673884</v>
      </c>
      <c r="J699">
        <f>_xlfn.XLOOKUP($F699,設計座標!$E$13:$E$2301,設計座標!$H$13:$H$2301,"n/a",0,1)</f>
        <v>-15000</v>
      </c>
      <c r="K699">
        <f>_xlfn.XLOOKUP($F699,設計座標!$E$13:$E$2301,設計座標!$I$13:$I$2301,"n/a",0,1)</f>
        <v>60135.307869169999</v>
      </c>
      <c r="L699">
        <f>_xlfn.XLOOKUP($F699,設計座標!$E$13:$E$2301,設計座標!$J$13:$J$2301,"n/a",0,1)</f>
        <v>-20</v>
      </c>
      <c r="M699" s="2">
        <f t="shared" si="518"/>
        <v>-15005.535711225928</v>
      </c>
      <c r="N699" s="2">
        <f t="shared" si="519"/>
        <v>60135.307869169999</v>
      </c>
      <c r="O699" s="23">
        <f t="shared" si="520"/>
        <v>-15.555953195310604</v>
      </c>
      <c r="P699" s="1">
        <f t="shared" si="534"/>
        <v>-20.399641244428871</v>
      </c>
      <c r="Q699" s="1">
        <f>(Q$700-Q$697)/($N$700-$N$697)*($N699-$N$697)+Q$697</f>
        <v>-5.53571122592738</v>
      </c>
      <c r="R699">
        <f t="shared" si="550"/>
        <v>0</v>
      </c>
      <c r="S699" s="23">
        <f t="shared" si="561"/>
        <v>4.4440468046893962</v>
      </c>
      <c r="T699">
        <f>$S699+測地線補正!$Q$26*(lattice!$N699/1000)^3+測地線補正!$P$26*(lattice!$N699/1000)^2+測地線補正!$O$26*(lattice!$N699/1000)+測地線補正!$N$26</f>
        <v>-0.39964124442886928</v>
      </c>
      <c r="U699">
        <f>-ATAN(($P$700-$P$699)/ABS($N$700-$N$699))</f>
        <v>2.3346094768965926E-5</v>
      </c>
      <c r="V699">
        <v>0</v>
      </c>
      <c r="W699">
        <f>ATAN(($M$700-$M$699)/ABS($N$700-$N$699))</f>
        <v>-3.8197787610358199E-5</v>
      </c>
      <c r="X699">
        <f>$Z$699-($Y$699+$Y$698)/2</f>
        <v>104.46684111482455</v>
      </c>
      <c r="Y699">
        <f>_xlfn.XLOOKUP($F699,設計座標!$E$13:$E$2301,設計座標!$L$13:$L$2301," ",0,1)</f>
        <v>190</v>
      </c>
      <c r="Z699">
        <f>SQRT(($M$699-$M$698)^2+($N$699-$N$698)^2)</f>
        <v>294.46684111482455</v>
      </c>
      <c r="AA699">
        <f>_xlfn.XLOOKUP($G699,magnet_list!$A$2:$A$592,magnet_list!$AJ$2:$AJ$592,"n/a",0,1)</f>
        <v>0.2039</v>
      </c>
      <c r="AB699">
        <f>_xlfn.XLOOKUP($G699,magnet_list!$A$2:$A$592,magnet_list!$L$2:$L$592,"n/a",0,1)</f>
        <v>23</v>
      </c>
    </row>
    <row r="700" spans="1:28">
      <c r="A700" t="s">
        <v>797</v>
      </c>
      <c r="B700" t="s">
        <v>3813</v>
      </c>
      <c r="C700" t="s">
        <v>805</v>
      </c>
      <c r="D700" t="s">
        <v>806</v>
      </c>
      <c r="F700" t="s">
        <v>125</v>
      </c>
      <c r="G700" t="s">
        <v>125</v>
      </c>
      <c r="I700">
        <f>_xlfn.XLOOKUP($F700,設計座標!$E$13:$E$2301,設計座標!$G$13:$G$2301,"n/a",0,1)</f>
        <v>204.40174959673882</v>
      </c>
      <c r="J700">
        <f>_xlfn.XLOOKUP($F700,設計座標!$E$13:$E$2301,設計座標!$H$13:$H$2301,"n/a",0,1)</f>
        <v>-15000</v>
      </c>
      <c r="K700">
        <f>_xlfn.XLOOKUP($F700,設計座標!$E$13:$E$2301,設計座標!$I$13:$I$2301,"n/a",0,1)</f>
        <v>60060.307869169999</v>
      </c>
      <c r="L700">
        <f>_xlfn.XLOOKUP($F700,設計座標!$E$13:$E$2301,設計座標!$J$13:$J$2301,"n/a",0,1)</f>
        <v>-20</v>
      </c>
      <c r="M700" s="2">
        <f>_xlfn.XLOOKUP($F700,survey_data!$A$2:$A$833,survey_data!$B$2:$B$833,"n/a",0,1)</f>
        <v>-15005.53857606</v>
      </c>
      <c r="N700" s="2">
        <f>_xlfn.XLOOKUP($F700,survey_data!$A$2:$A$833,survey_data!$C$2:$C$833,"n/a",0,1)</f>
        <v>60060.307869169999</v>
      </c>
      <c r="O700" s="23">
        <f>_xlfn.XLOOKUP($F700,survey_data!$A$2:$A$833,survey_data!$D$2:$D$833,"n/a",0,1)</f>
        <v>-15.56275855</v>
      </c>
      <c r="P700" s="1">
        <f t="shared" si="534"/>
        <v>-20.401392201536861</v>
      </c>
      <c r="Q700" s="1">
        <f t="shared" si="559"/>
        <v>-5.5385760600001959</v>
      </c>
      <c r="R700">
        <f t="shared" si="550"/>
        <v>0</v>
      </c>
      <c r="S700" s="23">
        <f t="shared" si="560"/>
        <v>4.4372414500000001</v>
      </c>
      <c r="T700">
        <f>$S700+測地線補正!$Q$26*(lattice!$N700/1000)^3+測地線補正!$P$26*(lattice!$N700/1000)^2+測地線補正!$O$26*(lattice!$N700/1000)+測地線補正!$N$26</f>
        <v>-0.40139220153686295</v>
      </c>
      <c r="U700">
        <f>-ATAN(($P$700-$P$699)/ABS($N$700-$N$699))</f>
        <v>2.3346094768965926E-5</v>
      </c>
      <c r="V700">
        <v>0</v>
      </c>
      <c r="W700">
        <f>ATAN(($M$700-$M$699)/ABS($N$700-$N$699))</f>
        <v>-3.8197787610358199E-5</v>
      </c>
      <c r="X700">
        <f>$Z$699-($Y$699+$Y$698)/2</f>
        <v>104.46684111482455</v>
      </c>
      <c r="Y700">
        <f>_xlfn.XLOOKUP($F700,設計座標!$E$13:$E$2301,設計座標!$L$13:$L$2301," ",0,1)</f>
        <v>190</v>
      </c>
      <c r="Z700">
        <f>SQRT(($M$699-$M$698)^2+($N$699-$N$698)^2)</f>
        <v>294.46684111482455</v>
      </c>
      <c r="AA700">
        <f>_xlfn.XLOOKUP($G700,magnet_list!$A$2:$A$592,magnet_list!$AJ$2:$AJ$592,"n/a",0,1)</f>
        <v>0.2039</v>
      </c>
      <c r="AB700">
        <f>_xlfn.XLOOKUP($G700,magnet_list!$A$2:$A$592,magnet_list!$L$2:$L$592,"n/a",0,1)</f>
        <v>23</v>
      </c>
    </row>
    <row r="701" spans="1:28">
      <c r="A701" t="s">
        <v>797</v>
      </c>
      <c r="B701" t="s">
        <v>3813</v>
      </c>
      <c r="C701" t="s">
        <v>2288</v>
      </c>
      <c r="D701" t="s">
        <v>1152</v>
      </c>
      <c r="E701" t="s">
        <v>804</v>
      </c>
      <c r="F701" t="s">
        <v>2317</v>
      </c>
      <c r="G701" t="s">
        <v>2317</v>
      </c>
      <c r="I701">
        <f>_xlfn.XLOOKUP($F701,設計座標!$E$13:$E$2301,設計座標!$G$13:$G$2301,"n/a",0,1)</f>
        <v>204.56246726136888</v>
      </c>
      <c r="J701">
        <f>_xlfn.XLOOKUP($F701,設計座標!$E$13:$E$2301,設計座標!$H$13:$H$2301,"n/a",0,1)</f>
        <v>-15000</v>
      </c>
      <c r="K701">
        <f>_xlfn.XLOOKUP($F701,設計座標!$E$13:$E$2301,設計座標!$I$13:$I$2301,"n/a",0,1)</f>
        <v>59899.590204539949</v>
      </c>
      <c r="L701">
        <f>_xlfn.XLOOKUP($F701,設計座標!$E$13:$E$2301,設計座標!$J$13:$J$2301,"n/a",0,1)</f>
        <v>-270</v>
      </c>
      <c r="M701" s="2">
        <f t="shared" si="518"/>
        <v>-15005.517735411195</v>
      </c>
      <c r="N701" s="2">
        <f t="shared" si="519"/>
        <v>59899.590204539949</v>
      </c>
      <c r="O701" s="23">
        <f t="shared" si="520"/>
        <v>-265.58322275122271</v>
      </c>
      <c r="P701" s="1">
        <f t="shared" si="534"/>
        <v>-270.41103226060579</v>
      </c>
      <c r="Q701" s="1">
        <f>(Q$720-Q$700)/($N$720-$N$700)*($N701-$N$700)+Q$700</f>
        <v>-5.5177354111939154</v>
      </c>
      <c r="R701">
        <f t="shared" si="550"/>
        <v>0</v>
      </c>
      <c r="S701" s="23">
        <f t="shared" ref="S701:S719" si="562">(S$720-S$700)/($N$720-$N$700)*($N701-$N$700)+S$700</f>
        <v>4.4167772487772989</v>
      </c>
      <c r="T701">
        <f>$S701+測地線補正!$Q$26*(lattice!$N701/1000)^3+測地線補正!$P$26*(lattice!$N701/1000)^2+測地線補正!$O$26*(lattice!$N701/1000)+測地線補正!$N$26</f>
        <v>-0.41103226060580433</v>
      </c>
      <c r="U701">
        <v>0</v>
      </c>
      <c r="V701">
        <v>0</v>
      </c>
      <c r="W701">
        <v>0</v>
      </c>
      <c r="X701">
        <f>$Z$701-($Y$701+$Y$699)/2</f>
        <v>140.71766531546768</v>
      </c>
      <c r="Y701">
        <f>_xlfn.XLOOKUP($F701,設計座標!$E$13:$E$2301,設計座標!$L$13:$L$2301," ",0,1)</f>
        <v>0</v>
      </c>
      <c r="Z701">
        <f>SQRT(($M$701-$M$699)^2+($N$701-$N$699)^2)</f>
        <v>235.71766531546768</v>
      </c>
    </row>
    <row r="702" spans="1:28">
      <c r="A702" t="s">
        <v>797</v>
      </c>
      <c r="B702" t="s">
        <v>3813</v>
      </c>
      <c r="C702" t="s">
        <v>804</v>
      </c>
      <c r="D702" t="s">
        <v>1152</v>
      </c>
      <c r="E702" t="s">
        <v>804</v>
      </c>
      <c r="F702" t="s">
        <v>1530</v>
      </c>
      <c r="G702" t="s">
        <v>2486</v>
      </c>
      <c r="I702">
        <f>_xlfn.XLOOKUP($F702,設計座標!$E$13:$E$2301,設計座標!$G$13:$G$2301,"n/a",0,1)</f>
        <v>204.74293646136888</v>
      </c>
      <c r="J702">
        <f>_xlfn.XLOOKUP($F702,設計座標!$E$13:$E$2301,設計座標!$H$13:$H$2301,"n/a",0,1)</f>
        <v>-15000</v>
      </c>
      <c r="K702">
        <f>_xlfn.XLOOKUP($F702,設計座標!$E$13:$E$2301,設計座標!$I$13:$I$2301,"n/a",0,1)</f>
        <v>59719.121004539949</v>
      </c>
      <c r="L702">
        <f>_xlfn.XLOOKUP($F702,設計座標!$E$13:$E$2301,設計座標!$J$13:$J$2301,"n/a",0,1)</f>
        <v>-270</v>
      </c>
      <c r="M702" s="2">
        <f t="shared" si="518"/>
        <v>-15005.494333532961</v>
      </c>
      <c r="N702" s="2">
        <f t="shared" si="519"/>
        <v>59719.121004539949</v>
      </c>
      <c r="O702" s="23">
        <f t="shared" si="520"/>
        <v>-265.60620191802309</v>
      </c>
      <c r="P702" s="1">
        <f t="shared" si="534"/>
        <v>-270.42186831524015</v>
      </c>
      <c r="Q702" s="1">
        <f t="shared" ref="Q702:Q719" si="563">(Q$720-Q$700)/($N$720-$N$700)*($N702-$N$700)+Q$700</f>
        <v>-5.4943335329610044</v>
      </c>
      <c r="R702">
        <f t="shared" si="550"/>
        <v>0</v>
      </c>
      <c r="S702" s="23">
        <f t="shared" si="562"/>
        <v>4.3937980819769296</v>
      </c>
      <c r="T702">
        <f>$S702+測地線補正!$Q$26*(lattice!$N702/1000)^3+測地線補正!$P$26*(lattice!$N702/1000)^2+測地線補正!$O$26*(lattice!$N702/1000)+測地線補正!$N$26</f>
        <v>-0.42186831524012258</v>
      </c>
      <c r="U702">
        <f>-ATAN(($P$706-$P$702)/ABS($N$706-$N$702))</f>
        <v>6.042210041939563E-5</v>
      </c>
      <c r="V702">
        <v>0</v>
      </c>
      <c r="W702">
        <f>ATAN(($M$706-$M$702)/ABS($N$706-$N$702))</f>
        <v>1.2967242112059795E-4</v>
      </c>
      <c r="X702">
        <f>SQRT(($M$702-$M$701)^2+($N$702-$N$701)^2)</f>
        <v>180.46920151728867</v>
      </c>
      <c r="Y702">
        <f>_xlfn.XLOOKUP($F702,設計座標!$E$13:$E$2301,設計座標!$L$13:$L$2301," ",0,1)</f>
        <v>1889.4492</v>
      </c>
      <c r="Z702">
        <f>SQRT(($M$705-$M$703)^2+($N$705-$N$703)^2)</f>
        <v>307.22380258297414</v>
      </c>
    </row>
    <row r="703" spans="1:28">
      <c r="A703" t="s">
        <v>797</v>
      </c>
      <c r="B703" t="s">
        <v>3813</v>
      </c>
      <c r="C703" t="s">
        <v>3855</v>
      </c>
      <c r="D703" t="s">
        <v>1152</v>
      </c>
      <c r="E703" t="s">
        <v>804</v>
      </c>
      <c r="F703" t="s">
        <v>2270</v>
      </c>
      <c r="G703" t="s">
        <v>2270</v>
      </c>
      <c r="I703">
        <f>_xlfn.XLOOKUP($F703,設計座標!$E$13:$E$2301,設計座標!$G$13:$G$2301,"n/a",0,1)</f>
        <v>205.38043726136888</v>
      </c>
      <c r="J703">
        <f>_xlfn.XLOOKUP($F703,設計座標!$E$13:$E$2301,設計座標!$H$13:$H$2301,"n/a",0,1)</f>
        <v>-15000</v>
      </c>
      <c r="K703">
        <f>_xlfn.XLOOKUP($F703,設計座標!$E$13:$E$2301,設計座標!$I$13:$I$2301,"n/a",0,1)</f>
        <v>59081.620204539948</v>
      </c>
      <c r="L703">
        <f>_xlfn.XLOOKUP($F703,設計座標!$E$13:$E$2301,設計座標!$J$13:$J$2301,"n/a",0,1)</f>
        <v>-270</v>
      </c>
      <c r="M703" s="2">
        <f t="shared" si="518"/>
        <v>-15005.411667260296</v>
      </c>
      <c r="N703" s="2">
        <f t="shared" si="519"/>
        <v>59081.620204539948</v>
      </c>
      <c r="O703" s="23">
        <f t="shared" si="520"/>
        <v>-265.68737497812737</v>
      </c>
      <c r="P703" s="1">
        <f t="shared" si="534"/>
        <v>-270.46024167220816</v>
      </c>
      <c r="Q703" s="1">
        <f t="shared" si="563"/>
        <v>-5.411667260295177</v>
      </c>
      <c r="R703">
        <f t="shared" si="550"/>
        <v>0</v>
      </c>
      <c r="S703" s="23">
        <f t="shared" si="562"/>
        <v>4.3126250218726607</v>
      </c>
      <c r="T703">
        <f>$S703+測地線補正!$Q$26*(lattice!$N703/1000)^3+測地線補正!$P$26*(lattice!$N703/1000)^2+測地線補正!$O$26*(lattice!$N703/1000)+測地線補正!$N$26</f>
        <v>-0.46024167220814616</v>
      </c>
      <c r="U703">
        <f t="shared" ref="U703:U704" si="564">-ATAN(($P$706-$P$702)/ABS($N$706-$N$702))</f>
        <v>6.042210041939563E-5</v>
      </c>
      <c r="V703">
        <v>0</v>
      </c>
      <c r="W703">
        <f t="shared" ref="W703:W704" si="565">ATAN(($M$706-$M$702)/ABS($N$706-$N$702))</f>
        <v>1.2967242112059795E-4</v>
      </c>
      <c r="X703" t="s">
        <v>3860</v>
      </c>
      <c r="Y703">
        <f>_xlfn.XLOOKUP($F703,設計座標!$E$13:$E$2301,設計座標!$L$13:$L$2301," ",0,1)</f>
        <v>1000</v>
      </c>
      <c r="Z703">
        <f>SQRT(($M$703-$M$701)^2+($N$703-$N$701)^2)</f>
        <v>817.97000687705815</v>
      </c>
      <c r="AA703">
        <f>_xlfn.XLOOKUP($G703,magnet_list!$A$2:$A$592,magnet_list!$AJ$2:$AJ$592,"n/a",0,1)</f>
        <v>0.95010000000000006</v>
      </c>
      <c r="AB703">
        <f>_xlfn.XLOOKUP($G703,magnet_list!$A$2:$A$592,magnet_list!$L$2:$L$592,"n/a",0,1)</f>
        <v>120</v>
      </c>
    </row>
    <row r="704" spans="1:28">
      <c r="A704" t="s">
        <v>797</v>
      </c>
      <c r="B704" t="s">
        <v>3813</v>
      </c>
      <c r="C704" t="s">
        <v>3855</v>
      </c>
      <c r="D704" t="s">
        <v>1152</v>
      </c>
      <c r="E704" t="s">
        <v>804</v>
      </c>
      <c r="F704" t="s">
        <v>2271</v>
      </c>
      <c r="G704" t="s">
        <v>2271</v>
      </c>
      <c r="I704">
        <f>_xlfn.XLOOKUP($F704,設計座標!$E$13:$E$2301,設計座標!$G$13:$G$2301,"n/a",0,1)</f>
        <v>205.38043726136888</v>
      </c>
      <c r="J704">
        <f>_xlfn.XLOOKUP($F704,設計座標!$E$13:$E$2301,設計座標!$H$13:$H$2301,"n/a",0,1)</f>
        <v>-15000</v>
      </c>
      <c r="K704">
        <f>_xlfn.XLOOKUP($F704,設計座標!$E$13:$E$2301,設計座標!$I$13:$I$2301,"n/a",0,1)</f>
        <v>59081.620204539948</v>
      </c>
      <c r="L704">
        <f>_xlfn.XLOOKUP($F704,設計座標!$E$13:$E$2301,設計座標!$J$13:$J$2301,"n/a",0,1)</f>
        <v>-270</v>
      </c>
      <c r="M704" s="2">
        <f t="shared" si="518"/>
        <v>-15005.411667260296</v>
      </c>
      <c r="N704" s="2">
        <f t="shared" si="519"/>
        <v>59081.620204539948</v>
      </c>
      <c r="O704" s="23">
        <f t="shared" si="520"/>
        <v>-265.68737497812737</v>
      </c>
      <c r="P704" s="1">
        <f t="shared" si="534"/>
        <v>-270.46024167220816</v>
      </c>
      <c r="Q704" s="1">
        <f t="shared" si="563"/>
        <v>-5.411667260295177</v>
      </c>
      <c r="R704">
        <f t="shared" si="550"/>
        <v>0</v>
      </c>
      <c r="S704" s="23">
        <f t="shared" si="562"/>
        <v>4.3126250218726607</v>
      </c>
      <c r="T704">
        <f>$S704+測地線補正!$Q$26*(lattice!$N704/1000)^3+測地線補正!$P$26*(lattice!$N704/1000)^2+測地線補正!$O$26*(lattice!$N704/1000)+測地線補正!$N$26</f>
        <v>-0.46024167220814616</v>
      </c>
      <c r="U704">
        <f t="shared" si="564"/>
        <v>6.042210041939563E-5</v>
      </c>
      <c r="V704">
        <v>0</v>
      </c>
      <c r="W704">
        <f t="shared" si="565"/>
        <v>1.2967242112059795E-4</v>
      </c>
      <c r="X704" t="s">
        <v>3860</v>
      </c>
      <c r="Y704">
        <f>_xlfn.XLOOKUP($F704,設計座標!$E$13:$E$2301,設計座標!$L$13:$L$2301," ",0,1)</f>
        <v>1000</v>
      </c>
      <c r="Z704">
        <f>SQRT(($M$703-$M$701)^2+($N$703-$N$701)^2)</f>
        <v>817.97000687705815</v>
      </c>
      <c r="AA704">
        <f>_xlfn.XLOOKUP($G704,magnet_list!$A$2:$A$592,magnet_list!$AJ$2:$AJ$592,"n/a",0,1)</f>
        <v>0.95010000000000006</v>
      </c>
      <c r="AB704">
        <f>_xlfn.XLOOKUP($G704,magnet_list!$A$2:$A$592,magnet_list!$L$2:$L$592,"n/a",0,1)</f>
        <v>120</v>
      </c>
    </row>
    <row r="705" spans="1:28">
      <c r="A705" t="s">
        <v>797</v>
      </c>
      <c r="B705" t="s">
        <v>3813</v>
      </c>
      <c r="C705" t="s">
        <v>804</v>
      </c>
      <c r="D705" t="s">
        <v>1152</v>
      </c>
      <c r="E705" t="s">
        <v>804</v>
      </c>
      <c r="F705" t="s">
        <v>1182</v>
      </c>
      <c r="G705" t="s">
        <v>2486</v>
      </c>
      <c r="I705">
        <f>_xlfn.XLOOKUP($F705,設計座標!$E$13:$E$2301,設計座標!$G$13:$G$2301,"n/a",0,1)</f>
        <v>205.68766106136889</v>
      </c>
      <c r="J705">
        <f>_xlfn.XLOOKUP($F705,設計座標!$E$13:$E$2301,設計座標!$H$13:$H$2301,"n/a",0,1)</f>
        <v>-15000</v>
      </c>
      <c r="K705">
        <f>_xlfn.XLOOKUP($F705,設計座標!$E$13:$E$2301,設計座標!$I$13:$I$2301,"n/a",0,1)</f>
        <v>58774.396404539948</v>
      </c>
      <c r="L705">
        <f>_xlfn.XLOOKUP($F705,設計座標!$E$13:$E$2301,設計座標!$J$13:$J$2301,"n/a",0,1)</f>
        <v>-270</v>
      </c>
      <c r="M705" s="2">
        <f t="shared" si="518"/>
        <v>-15005.371828806099</v>
      </c>
      <c r="N705" s="2">
        <f t="shared" si="519"/>
        <v>58774.396404539948</v>
      </c>
      <c r="O705" s="23">
        <f t="shared" si="520"/>
        <v>-265.72649382469643</v>
      </c>
      <c r="P705" s="1">
        <f t="shared" si="534"/>
        <v>-270.47878757654917</v>
      </c>
      <c r="Q705" s="1">
        <f t="shared" si="563"/>
        <v>-5.3718288060999324</v>
      </c>
      <c r="R705">
        <f t="shared" si="550"/>
        <v>0</v>
      </c>
      <c r="S705" s="23">
        <f t="shared" si="562"/>
        <v>4.273506175303587</v>
      </c>
      <c r="T705">
        <f>$S705+測地線補正!$Q$26*(lattice!$N705/1000)^3+測地線補正!$P$26*(lattice!$N705/1000)^2+測地線補正!$O$26*(lattice!$N705/1000)+測地線補正!$N$26</f>
        <v>-0.47878757654914694</v>
      </c>
      <c r="U705">
        <f t="shared" ref="U705:U706" si="566">-ATAN(($P$706-$P$702)/ABS($N$706-$N$702))</f>
        <v>6.042210041939563E-5</v>
      </c>
      <c r="V705">
        <v>0</v>
      </c>
      <c r="W705">
        <f t="shared" ref="W705:W706" si="567">ATAN(($M$706-$M$702)/ABS($N$706-$N$702))</f>
        <v>1.2967242112059795E-4</v>
      </c>
      <c r="X705" t="s">
        <v>3860</v>
      </c>
      <c r="Y705">
        <f>_xlfn.XLOOKUP($F705,設計座標!$E$13:$E$2301,設計座標!$L$13:$L$2301," ",0,1)</f>
        <v>1889.4492</v>
      </c>
      <c r="Z705">
        <f>SQRT(($M$705-$M$703)^2+($N$705-$N$703)^2)</f>
        <v>307.22380258297414</v>
      </c>
    </row>
    <row r="706" spans="1:28">
      <c r="A706" t="s">
        <v>797</v>
      </c>
      <c r="B706" t="s">
        <v>3813</v>
      </c>
      <c r="C706" t="s">
        <v>804</v>
      </c>
      <c r="D706" t="s">
        <v>1152</v>
      </c>
      <c r="E706" t="s">
        <v>804</v>
      </c>
      <c r="F706" t="s">
        <v>1531</v>
      </c>
      <c r="G706" t="s">
        <v>2486</v>
      </c>
      <c r="I706">
        <f>_xlfn.XLOOKUP($F706,設計座標!$E$13:$E$2301,設計座標!$G$13:$G$2301,"n/a",0,1)</f>
        <v>206.63238566136889</v>
      </c>
      <c r="J706">
        <f>_xlfn.XLOOKUP($F706,設計座標!$E$13:$E$2301,設計座標!$H$13:$H$2301,"n/a",0,1)</f>
        <v>-15000</v>
      </c>
      <c r="K706">
        <f>_xlfn.XLOOKUP($F706,設計座標!$E$13:$E$2301,設計座標!$I$13:$I$2301,"n/a",0,1)</f>
        <v>57829.671804539947</v>
      </c>
      <c r="L706">
        <f>_xlfn.XLOOKUP($F706,設計座標!$E$13:$E$2301,設計座標!$J$13:$J$2301,"n/a",0,1)</f>
        <v>-270</v>
      </c>
      <c r="M706" s="2">
        <f t="shared" si="518"/>
        <v>-15005.249324079239</v>
      </c>
      <c r="N706" s="2">
        <f t="shared" si="519"/>
        <v>57829.671804539947</v>
      </c>
      <c r="O706" s="23">
        <f t="shared" si="520"/>
        <v>-265.84678573136978</v>
      </c>
      <c r="P706" s="1">
        <f t="shared" si="534"/>
        <v>-270.53603280467883</v>
      </c>
      <c r="Q706" s="1">
        <f t="shared" si="563"/>
        <v>-5.2493240792388614</v>
      </c>
      <c r="R706">
        <f t="shared" si="550"/>
        <v>0</v>
      </c>
      <c r="S706" s="23">
        <f t="shared" si="562"/>
        <v>4.1532142686302445</v>
      </c>
      <c r="T706">
        <f>$S706+測地線補正!$Q$26*(lattice!$N706/1000)^3+測地線補正!$P$26*(lattice!$N706/1000)^2+測地線補正!$O$26*(lattice!$N706/1000)+測地線補正!$N$26</f>
        <v>-0.53603280467880965</v>
      </c>
      <c r="U706">
        <f t="shared" si="566"/>
        <v>6.042210041939563E-5</v>
      </c>
      <c r="V706">
        <v>0</v>
      </c>
      <c r="W706">
        <f t="shared" si="567"/>
        <v>1.2967242112059795E-4</v>
      </c>
      <c r="X706" t="s">
        <v>3860</v>
      </c>
      <c r="Y706">
        <f>_xlfn.XLOOKUP($F706,設計座標!$E$13:$E$2301,設計座標!$L$13:$L$2301," ",0,1)</f>
        <v>1889.4492</v>
      </c>
      <c r="Z706">
        <f>SQRT(($M$705-$M$703)^2+($N$705-$N$703)^2)</f>
        <v>307.22380258297414</v>
      </c>
    </row>
    <row r="707" spans="1:28">
      <c r="A707" t="s">
        <v>797</v>
      </c>
      <c r="B707" t="s">
        <v>3813</v>
      </c>
      <c r="C707" t="s">
        <v>804</v>
      </c>
      <c r="D707" t="s">
        <v>1152</v>
      </c>
      <c r="E707" t="s">
        <v>804</v>
      </c>
      <c r="F707" t="s">
        <v>1532</v>
      </c>
      <c r="G707" t="s">
        <v>2487</v>
      </c>
      <c r="I707">
        <f>_xlfn.XLOOKUP($F707,設計座標!$E$13:$E$2301,設計座標!$G$13:$G$2301,"n/a",0,1)</f>
        <v>206.84232746136888</v>
      </c>
      <c r="J707">
        <f>_xlfn.XLOOKUP($F707,設計座標!$E$13:$E$2301,設計座標!$H$13:$H$2301,"n/a",0,1)</f>
        <v>-15000</v>
      </c>
      <c r="K707">
        <f>_xlfn.XLOOKUP($F707,設計座標!$E$13:$E$2301,設計座標!$I$13:$I$2301,"n/a",0,1)</f>
        <v>57619.730004539946</v>
      </c>
      <c r="L707">
        <f>_xlfn.XLOOKUP($F707,設計座標!$E$13:$E$2301,設計座標!$J$13:$J$2301,"n/a",0,1)</f>
        <v>-270</v>
      </c>
      <c r="M707" s="2">
        <f t="shared" ref="M707:M749" si="568">$J707+$Q707</f>
        <v>-15005.222100417586</v>
      </c>
      <c r="N707" s="2">
        <f t="shared" ref="N707:N749" si="569">$K707</f>
        <v>57619.730004539946</v>
      </c>
      <c r="O707" s="23">
        <f t="shared" ref="O707:O749" si="570">$L707+$S707</f>
        <v>-265.87351764817646</v>
      </c>
      <c r="P707" s="1">
        <f t="shared" si="534"/>
        <v>-270.54879834706583</v>
      </c>
      <c r="Q707" s="1">
        <f t="shared" si="563"/>
        <v>-5.2221004175858017</v>
      </c>
      <c r="R707">
        <f t="shared" si="550"/>
        <v>0</v>
      </c>
      <c r="S707" s="23">
        <f t="shared" si="562"/>
        <v>4.1264823518235545</v>
      </c>
      <c r="T707">
        <f>$S707+測地線補正!$Q$26*(lattice!$N707/1000)^3+測地線補正!$P$26*(lattice!$N707/1000)^2+測地線補正!$O$26*(lattice!$N707/1000)+測地線補正!$N$26</f>
        <v>-0.54879834706579955</v>
      </c>
      <c r="U707">
        <f>-ATAN(($P$709-$P$707)/ABS($N$709-$N$707))</f>
        <v>6.1187060815160452E-5</v>
      </c>
      <c r="V707">
        <v>0</v>
      </c>
      <c r="W707">
        <f>ATAN(($M$709-$M$707)/ABS($N$709-$N$707))</f>
        <v>1.2967242112156064E-4</v>
      </c>
      <c r="X707">
        <f>SQRT(($M$707-$M$706)^2+($N$707-$N$706)^2)</f>
        <v>209.94180176507959</v>
      </c>
      <c r="Y707">
        <f>_xlfn.XLOOKUP($F707,設計座標!$E$13:$E$2301,設計座標!$L$13:$L$2301," ",0,1)</f>
        <v>1889.4492</v>
      </c>
      <c r="Z707">
        <f>SQRT(($M$708-$M$705)^2+($N$708-$N$705)^2)</f>
        <v>2099.3910176505669</v>
      </c>
    </row>
    <row r="708" spans="1:28">
      <c r="A708" t="s">
        <v>797</v>
      </c>
      <c r="B708" t="s">
        <v>3813</v>
      </c>
      <c r="C708" t="s">
        <v>804</v>
      </c>
      <c r="D708" t="s">
        <v>1152</v>
      </c>
      <c r="E708" t="s">
        <v>804</v>
      </c>
      <c r="F708" t="s">
        <v>1238</v>
      </c>
      <c r="G708" t="s">
        <v>2487</v>
      </c>
      <c r="I708">
        <f>_xlfn.XLOOKUP($F708,設計座標!$E$13:$E$2301,設計座標!$G$13:$G$2301,"n/a",0,1)</f>
        <v>207.78705206136888</v>
      </c>
      <c r="J708">
        <f>_xlfn.XLOOKUP($F708,設計座標!$E$13:$E$2301,設計座標!$H$13:$H$2301,"n/a",0,1)</f>
        <v>-15000</v>
      </c>
      <c r="K708">
        <f>_xlfn.XLOOKUP($F708,設計座標!$E$13:$E$2301,設計座標!$I$13:$I$2301,"n/a",0,1)</f>
        <v>56675.005404539945</v>
      </c>
      <c r="L708">
        <f>_xlfn.XLOOKUP($F708,設計座標!$E$13:$E$2301,設計座標!$J$13:$J$2301,"n/a",0,1)</f>
        <v>-270</v>
      </c>
      <c r="M708" s="2">
        <f t="shared" si="568"/>
        <v>-15005.099595690725</v>
      </c>
      <c r="N708" s="2">
        <f t="shared" si="569"/>
        <v>56675.005404539945</v>
      </c>
      <c r="O708" s="23">
        <f t="shared" si="570"/>
        <v>-265.9938095548498</v>
      </c>
      <c r="P708" s="1">
        <f t="shared" si="534"/>
        <v>-270.60644104795881</v>
      </c>
      <c r="Q708" s="1">
        <f t="shared" si="563"/>
        <v>-5.0995956907247306</v>
      </c>
      <c r="R708">
        <f t="shared" si="550"/>
        <v>0</v>
      </c>
      <c r="S708" s="23">
        <f t="shared" si="562"/>
        <v>4.0061904451502119</v>
      </c>
      <c r="T708">
        <f>$S708+測地線補正!$Q$26*(lattice!$N708/1000)^3+測地線補正!$P$26*(lattice!$N708/1000)^2+測地線補正!$O$26*(lattice!$N708/1000)+測地線補正!$N$26</f>
        <v>-0.60644104795880049</v>
      </c>
      <c r="U708">
        <f t="shared" ref="U708:U709" si="571">-ATAN(($P$709-$P$707)/ABS($N$709-$N$707))</f>
        <v>6.1187060815160452E-5</v>
      </c>
      <c r="V708">
        <v>0</v>
      </c>
      <c r="W708">
        <f t="shared" ref="W708:W709" si="572">ATAN(($M$709-$M$707)/ABS($N$709-$N$707))</f>
        <v>1.2967242112156064E-4</v>
      </c>
      <c r="X708" t="s">
        <v>3860</v>
      </c>
      <c r="Y708">
        <f>_xlfn.XLOOKUP($F708,設計座標!$E$13:$E$2301,設計座標!$L$13:$L$2301," ",0,1)</f>
        <v>1889.4492</v>
      </c>
      <c r="Z708">
        <f>SQRT(($M$708-$M$705)^2+($N$708-$N$705)^2)</f>
        <v>2099.3910176505669</v>
      </c>
    </row>
    <row r="709" spans="1:28">
      <c r="A709" t="s">
        <v>797</v>
      </c>
      <c r="B709" t="s">
        <v>3813</v>
      </c>
      <c r="C709" t="s">
        <v>804</v>
      </c>
      <c r="D709" t="s">
        <v>1152</v>
      </c>
      <c r="E709" t="s">
        <v>804</v>
      </c>
      <c r="F709" t="s">
        <v>1533</v>
      </c>
      <c r="G709" t="s">
        <v>2487</v>
      </c>
      <c r="I709">
        <f>_xlfn.XLOOKUP($F709,設計座標!$E$13:$E$2301,設計座標!$G$13:$G$2301,"n/a",0,1)</f>
        <v>208.73177666136888</v>
      </c>
      <c r="J709">
        <f>_xlfn.XLOOKUP($F709,設計座標!$E$13:$E$2301,設計座標!$H$13:$H$2301,"n/a",0,1)</f>
        <v>-15000</v>
      </c>
      <c r="K709">
        <f>_xlfn.XLOOKUP($F709,設計座標!$E$13:$E$2301,設計座標!$I$13:$I$2301,"n/a",0,1)</f>
        <v>55730.280804539943</v>
      </c>
      <c r="L709">
        <f>_xlfn.XLOOKUP($F709,設計座標!$E$13:$E$2301,設計座標!$J$13:$J$2301,"n/a",0,1)</f>
        <v>-270</v>
      </c>
      <c r="M709" s="2">
        <f t="shared" si="568"/>
        <v>-15004.977090963863</v>
      </c>
      <c r="N709" s="2">
        <f t="shared" si="569"/>
        <v>55730.280804539943</v>
      </c>
      <c r="O709" s="23">
        <f t="shared" si="570"/>
        <v>-266.11410146152315</v>
      </c>
      <c r="P709" s="1">
        <f t="shared" si="534"/>
        <v>-270.66440819031766</v>
      </c>
      <c r="Q709" s="1">
        <f t="shared" si="563"/>
        <v>-4.9770909638636596</v>
      </c>
      <c r="R709">
        <f t="shared" si="550"/>
        <v>0</v>
      </c>
      <c r="S709" s="23">
        <f t="shared" si="562"/>
        <v>3.8858985384768698</v>
      </c>
      <c r="T709">
        <f>$S709+測地線補正!$Q$26*(lattice!$N709/1000)^3+測地線補正!$P$26*(lattice!$N709/1000)^2+測地線補正!$O$26*(lattice!$N709/1000)+測地線補正!$N$26</f>
        <v>-0.6644081903176684</v>
      </c>
      <c r="U709">
        <f t="shared" si="571"/>
        <v>6.1187060815160452E-5</v>
      </c>
      <c r="V709">
        <v>0</v>
      </c>
      <c r="W709">
        <f t="shared" si="572"/>
        <v>1.2967242112156064E-4</v>
      </c>
      <c r="X709" t="s">
        <v>3860</v>
      </c>
      <c r="Y709">
        <f>_xlfn.XLOOKUP($F709,設計座標!$E$13:$E$2301,設計座標!$L$13:$L$2301," ",0,1)</f>
        <v>1889.4492</v>
      </c>
      <c r="Z709">
        <f>SQRT(($M$708-$M$705)^2+($N$708-$N$705)^2)</f>
        <v>2099.3910176505669</v>
      </c>
    </row>
    <row r="710" spans="1:28">
      <c r="A710" t="s">
        <v>797</v>
      </c>
      <c r="B710" t="s">
        <v>3813</v>
      </c>
      <c r="C710" t="s">
        <v>1152</v>
      </c>
      <c r="D710" t="s">
        <v>1152</v>
      </c>
      <c r="E710" t="s">
        <v>804</v>
      </c>
      <c r="F710" t="s">
        <v>2022</v>
      </c>
      <c r="G710" t="s">
        <v>2022</v>
      </c>
      <c r="I710">
        <f>_xlfn.XLOOKUP($F710,設計座標!$E$13:$E$2301,設計座標!$G$13:$G$2301,"n/a",0,1)</f>
        <v>209.02662126136889</v>
      </c>
      <c r="J710">
        <f>_xlfn.XLOOKUP($F710,設計座標!$E$13:$E$2301,設計座標!$H$13:$H$2301,"n/a",0,1)</f>
        <v>-15000</v>
      </c>
      <c r="K710">
        <f>_xlfn.XLOOKUP($F710,設計座標!$E$13:$E$2301,設計座標!$I$13:$I$2301,"n/a",0,1)</f>
        <v>55435.436204539947</v>
      </c>
      <c r="L710">
        <f>_xlfn.XLOOKUP($F710,設計座標!$E$13:$E$2301,設計座標!$J$13:$J$2301,"n/a",0,1)</f>
        <v>-270</v>
      </c>
      <c r="M710" s="2">
        <f t="shared" si="568"/>
        <v>-15004.938857750512</v>
      </c>
      <c r="N710" s="2">
        <f t="shared" si="569"/>
        <v>55435.436204539947</v>
      </c>
      <c r="O710" s="23">
        <f t="shared" si="570"/>
        <v>-266.15164406293979</v>
      </c>
      <c r="P710" s="1">
        <f t="shared" si="534"/>
        <v>-270.68256581423771</v>
      </c>
      <c r="Q710" s="1">
        <f t="shared" si="563"/>
        <v>-4.9388577505129518</v>
      </c>
      <c r="R710">
        <f t="shared" si="550"/>
        <v>0</v>
      </c>
      <c r="S710" s="23">
        <f t="shared" si="562"/>
        <v>3.8483559370601834</v>
      </c>
      <c r="T710">
        <f>$S710+測地線補正!$Q$26*(lattice!$N710/1000)^3+測地線補正!$P$26*(lattice!$N710/1000)^2+測地線補正!$O$26*(lattice!$N710/1000)+測地線補正!$N$26</f>
        <v>-0.68256581423773066</v>
      </c>
      <c r="U710">
        <v>0</v>
      </c>
      <c r="V710">
        <v>0</v>
      </c>
      <c r="W710">
        <v>0</v>
      </c>
      <c r="X710">
        <f>SQRT(($M$710-$M$709)^2+($N$710-$N$709)^2)</f>
        <v>294.84460247889342</v>
      </c>
      <c r="Y710">
        <f>_xlfn.XLOOKUP($F710,設計座標!$E$13:$E$2301,設計座標!$L$13:$L$2301," ",0,1)</f>
        <v>0</v>
      </c>
      <c r="Z710">
        <f>SQRT(($M$710-$M$708)^2+($N$710-$N$708)^2)</f>
        <v>1239.5692104216371</v>
      </c>
    </row>
    <row r="711" spans="1:28">
      <c r="A711" t="s">
        <v>797</v>
      </c>
      <c r="B711" t="s">
        <v>3813</v>
      </c>
      <c r="C711" t="s">
        <v>804</v>
      </c>
      <c r="D711" t="s">
        <v>1152</v>
      </c>
      <c r="E711" t="s">
        <v>804</v>
      </c>
      <c r="F711" t="s">
        <v>1534</v>
      </c>
      <c r="G711" t="s">
        <v>2488</v>
      </c>
      <c r="I711">
        <f>_xlfn.XLOOKUP($F711,設計座標!$E$13:$E$2301,設計座標!$G$13:$G$2301,"n/a",0,1)</f>
        <v>209.25662086136887</v>
      </c>
      <c r="J711">
        <f>_xlfn.XLOOKUP($F711,設計座標!$E$13:$E$2301,設計座標!$H$13:$H$2301,"n/a",0,1)</f>
        <v>-15000</v>
      </c>
      <c r="K711">
        <f>_xlfn.XLOOKUP($F711,設計座標!$E$13:$E$2301,設計座標!$I$13:$I$2301,"n/a",0,1)</f>
        <v>55205.436604539951</v>
      </c>
      <c r="L711">
        <f>_xlfn.XLOOKUP($F711,設計座標!$E$13:$E$2301,設計座標!$J$13:$J$2301,"n/a",0,1)</f>
        <v>-270</v>
      </c>
      <c r="M711" s="2">
        <f t="shared" si="568"/>
        <v>-15004.909033145357</v>
      </c>
      <c r="N711" s="2">
        <f t="shared" si="569"/>
        <v>55205.436604539951</v>
      </c>
      <c r="O711" s="23">
        <f t="shared" si="570"/>
        <v>-266.18092994203948</v>
      </c>
      <c r="P711" s="1">
        <f t="shared" si="534"/>
        <v>-270.69675192357806</v>
      </c>
      <c r="Q711" s="1">
        <f t="shared" si="563"/>
        <v>-4.9090331453569576</v>
      </c>
      <c r="R711">
        <f t="shared" si="550"/>
        <v>0</v>
      </c>
      <c r="S711" s="23">
        <f t="shared" si="562"/>
        <v>3.8190700579604906</v>
      </c>
      <c r="T711">
        <f>$S711+測地線補正!$Q$26*(lattice!$N711/1000)^3+測地線補正!$P$26*(lattice!$N711/1000)^2+測地線補正!$O$26*(lattice!$N711/1000)+測地線補正!$N$26</f>
        <v>-0.69675192357808391</v>
      </c>
      <c r="U711">
        <f>-ATAN(($P$715-$P$711)/ABS($N$715-$N$711))</f>
        <v>6.20623273321499E-5</v>
      </c>
      <c r="V711">
        <v>0</v>
      </c>
      <c r="W711">
        <f>ATAN(($M$715-$M$711)/ABS($N$715-$N$711))</f>
        <v>1.2967242112059795E-4</v>
      </c>
      <c r="X711">
        <f>SQRT(($M$711-$M$710)^2+($N$711-$N$710)^2)</f>
        <v>229.99960193370993</v>
      </c>
      <c r="Y711">
        <f>_xlfn.XLOOKUP($F711,設計座標!$E$13:$E$2301,設計座標!$L$13:$L$2301," ",0,1)</f>
        <v>1889.4492</v>
      </c>
      <c r="Z711">
        <f>SQRT(($M$714-$M$712)^2+($N$714-$N$712)^2)</f>
        <v>307.22420258297473</v>
      </c>
    </row>
    <row r="712" spans="1:28">
      <c r="A712" t="s">
        <v>797</v>
      </c>
      <c r="B712" t="s">
        <v>3813</v>
      </c>
      <c r="C712" t="s">
        <v>3855</v>
      </c>
      <c r="D712" t="s">
        <v>1152</v>
      </c>
      <c r="E712" t="s">
        <v>804</v>
      </c>
      <c r="F712" t="s">
        <v>2272</v>
      </c>
      <c r="G712" t="s">
        <v>2272</v>
      </c>
      <c r="I712">
        <f>_xlfn.XLOOKUP($F712,設計座標!$E$13:$E$2301,設計座標!$G$13:$G$2301,"n/a",0,1)</f>
        <v>209.89412126136889</v>
      </c>
      <c r="J712">
        <f>_xlfn.XLOOKUP($F712,設計座標!$E$13:$E$2301,設計座標!$H$13:$H$2301,"n/a",0,1)</f>
        <v>-15000</v>
      </c>
      <c r="K712">
        <f>_xlfn.XLOOKUP($F712,設計座標!$E$13:$E$2301,設計座標!$I$13:$I$2301,"n/a",0,1)</f>
        <v>54567.936204539947</v>
      </c>
      <c r="L712">
        <f>_xlfn.XLOOKUP($F712,設計座標!$E$13:$E$2301,設計座標!$J$13:$J$2301,"n/a",0,1)</f>
        <v>-270</v>
      </c>
      <c r="M712" s="2">
        <f t="shared" si="568"/>
        <v>-15004.826366924561</v>
      </c>
      <c r="N712" s="2">
        <f t="shared" si="569"/>
        <v>54567.936204539947</v>
      </c>
      <c r="O712" s="23">
        <f t="shared" si="570"/>
        <v>-266.26210295121172</v>
      </c>
      <c r="P712" s="1">
        <f t="shared" si="534"/>
        <v>-270.7361723680811</v>
      </c>
      <c r="Q712" s="1">
        <f t="shared" si="563"/>
        <v>-4.826366924560098</v>
      </c>
      <c r="R712">
        <f t="shared" si="550"/>
        <v>0</v>
      </c>
      <c r="S712" s="23">
        <f t="shared" si="562"/>
        <v>3.7378970487882741</v>
      </c>
      <c r="T712">
        <f>$S712+測地線補正!$Q$26*(lattice!$N712/1000)^3+測地線補正!$P$26*(lattice!$N712/1000)^2+測地線補正!$O$26*(lattice!$N712/1000)+測地線補正!$N$26</f>
        <v>-0.7361723680811203</v>
      </c>
      <c r="U712">
        <f t="shared" ref="U712:U713" si="573">-ATAN(($P$715-$P$711)/ABS($N$715-$N$711))</f>
        <v>6.20623273321499E-5</v>
      </c>
      <c r="V712">
        <v>0</v>
      </c>
      <c r="W712">
        <f t="shared" ref="W712:W713" si="574">ATAN(($M$715-$M$711)/ABS($N$715-$N$711))</f>
        <v>1.2967242112059795E-4</v>
      </c>
      <c r="X712" t="s">
        <v>3860</v>
      </c>
      <c r="Y712">
        <f>_xlfn.XLOOKUP($F712,設計座標!$E$13:$E$2301,設計座標!$L$13:$L$2301," ",0,1)</f>
        <v>1000</v>
      </c>
      <c r="Z712">
        <f>SQRT(($M$712-$M$710)^2+($N$712-$N$710)^2)</f>
        <v>867.50000729347892</v>
      </c>
      <c r="AA712">
        <f>_xlfn.XLOOKUP($G712,magnet_list!$A$2:$A$592,magnet_list!$AJ$2:$AJ$592,"n/a",0,1)</f>
        <v>0.95010000000000006</v>
      </c>
      <c r="AB712">
        <f>_xlfn.XLOOKUP($G712,magnet_list!$A$2:$A$592,magnet_list!$L$2:$L$592,"n/a",0,1)</f>
        <v>120</v>
      </c>
    </row>
    <row r="713" spans="1:28">
      <c r="A713" t="s">
        <v>797</v>
      </c>
      <c r="B713" t="s">
        <v>3813</v>
      </c>
      <c r="C713" t="s">
        <v>3855</v>
      </c>
      <c r="D713" t="s">
        <v>1152</v>
      </c>
      <c r="E713" t="s">
        <v>804</v>
      </c>
      <c r="F713" t="s">
        <v>2273</v>
      </c>
      <c r="G713" t="s">
        <v>2273</v>
      </c>
      <c r="I713">
        <f>_xlfn.XLOOKUP($F713,設計座標!$E$13:$E$2301,設計座標!$G$13:$G$2301,"n/a",0,1)</f>
        <v>209.89412126136889</v>
      </c>
      <c r="J713">
        <f>_xlfn.XLOOKUP($F713,設計座標!$E$13:$E$2301,設計座標!$H$13:$H$2301,"n/a",0,1)</f>
        <v>-15000</v>
      </c>
      <c r="K713">
        <f>_xlfn.XLOOKUP($F713,設計座標!$E$13:$E$2301,設計座標!$I$13:$I$2301,"n/a",0,1)</f>
        <v>54567.936204539947</v>
      </c>
      <c r="L713">
        <f>_xlfn.XLOOKUP($F713,設計座標!$E$13:$E$2301,設計座標!$J$13:$J$2301,"n/a",0,1)</f>
        <v>-270</v>
      </c>
      <c r="M713" s="2">
        <f t="shared" si="568"/>
        <v>-15004.826366924561</v>
      </c>
      <c r="N713" s="2">
        <f t="shared" si="569"/>
        <v>54567.936204539947</v>
      </c>
      <c r="O713" s="23">
        <f t="shared" si="570"/>
        <v>-266.26210295121172</v>
      </c>
      <c r="P713" s="1">
        <f t="shared" si="534"/>
        <v>-270.7361723680811</v>
      </c>
      <c r="Q713" s="1">
        <f t="shared" si="563"/>
        <v>-4.826366924560098</v>
      </c>
      <c r="R713">
        <f t="shared" si="550"/>
        <v>0</v>
      </c>
      <c r="S713" s="23">
        <f t="shared" si="562"/>
        <v>3.7378970487882741</v>
      </c>
      <c r="T713">
        <f>$S713+測地線補正!$Q$26*(lattice!$N713/1000)^3+測地線補正!$P$26*(lattice!$N713/1000)^2+測地線補正!$O$26*(lattice!$N713/1000)+測地線補正!$N$26</f>
        <v>-0.7361723680811203</v>
      </c>
      <c r="U713">
        <f t="shared" si="573"/>
        <v>6.20623273321499E-5</v>
      </c>
      <c r="V713">
        <v>0</v>
      </c>
      <c r="W713">
        <f t="shared" si="574"/>
        <v>1.2967242112059795E-4</v>
      </c>
      <c r="X713" t="s">
        <v>3860</v>
      </c>
      <c r="Y713">
        <f>_xlfn.XLOOKUP($F713,設計座標!$E$13:$E$2301,設計座標!$L$13:$L$2301," ",0,1)</f>
        <v>1000</v>
      </c>
      <c r="Z713">
        <f>SQRT(($M$712-$M$710)^2+($N$712-$N$710)^2)</f>
        <v>867.50000729347892</v>
      </c>
      <c r="AA713">
        <f>_xlfn.XLOOKUP($G713,magnet_list!$A$2:$A$592,magnet_list!$AJ$2:$AJ$592,"n/a",0,1)</f>
        <v>0.95010000000000006</v>
      </c>
      <c r="AB713">
        <f>_xlfn.XLOOKUP($G713,magnet_list!$A$2:$A$592,magnet_list!$L$2:$L$592,"n/a",0,1)</f>
        <v>120</v>
      </c>
    </row>
    <row r="714" spans="1:28">
      <c r="A714" t="s">
        <v>797</v>
      </c>
      <c r="B714" t="s">
        <v>3813</v>
      </c>
      <c r="C714" t="s">
        <v>804</v>
      </c>
      <c r="D714" t="s">
        <v>1152</v>
      </c>
      <c r="E714" t="s">
        <v>804</v>
      </c>
      <c r="F714" t="s">
        <v>1293</v>
      </c>
      <c r="G714" t="s">
        <v>2488</v>
      </c>
      <c r="I714">
        <f>_xlfn.XLOOKUP($F714,設計座標!$E$13:$E$2301,設計座標!$G$13:$G$2301,"n/a",0,1)</f>
        <v>210.20134546136887</v>
      </c>
      <c r="J714">
        <f>_xlfn.XLOOKUP($F714,設計座標!$E$13:$E$2301,設計座標!$H$13:$H$2301,"n/a",0,1)</f>
        <v>-15000</v>
      </c>
      <c r="K714">
        <f>_xlfn.XLOOKUP($F714,設計座標!$E$13:$E$2301,設計座標!$I$13:$I$2301,"n/a",0,1)</f>
        <v>54260.71200453995</v>
      </c>
      <c r="L714">
        <f>_xlfn.XLOOKUP($F714,設計座標!$E$13:$E$2301,設計座標!$J$13:$J$2301,"n/a",0,1)</f>
        <v>-270</v>
      </c>
      <c r="M714" s="2">
        <f t="shared" si="568"/>
        <v>-15004.786528418495</v>
      </c>
      <c r="N714" s="2">
        <f t="shared" si="569"/>
        <v>54260.71200453995</v>
      </c>
      <c r="O714" s="23">
        <f t="shared" si="570"/>
        <v>-266.30122184871283</v>
      </c>
      <c r="P714" s="1">
        <f t="shared" si="534"/>
        <v>-270.75522238736107</v>
      </c>
      <c r="Q714" s="1">
        <f t="shared" si="563"/>
        <v>-4.7865284184958856</v>
      </c>
      <c r="R714">
        <f t="shared" si="550"/>
        <v>0</v>
      </c>
      <c r="S714" s="23">
        <f t="shared" si="562"/>
        <v>3.6987781512871485</v>
      </c>
      <c r="T714">
        <f>$S714+測地線補正!$Q$26*(lattice!$N714/1000)^3+測地線補正!$P$26*(lattice!$N714/1000)^2+測地線補正!$O$26*(lattice!$N714/1000)+測地線補正!$N$26</f>
        <v>-0.7552223873610775</v>
      </c>
      <c r="U714">
        <f t="shared" ref="U714:U715" si="575">-ATAN(($P$715-$P$711)/ABS($N$715-$N$711))</f>
        <v>6.20623273321499E-5</v>
      </c>
      <c r="V714">
        <v>0</v>
      </c>
      <c r="W714">
        <f t="shared" ref="W714:W715" si="576">ATAN(($M$715-$M$711)/ABS($N$715-$N$711))</f>
        <v>1.2967242112059795E-4</v>
      </c>
      <c r="X714" t="s">
        <v>3860</v>
      </c>
      <c r="Y714">
        <f>_xlfn.XLOOKUP($F714,設計座標!$E$13:$E$2301,設計座標!$L$13:$L$2301," ",0,1)</f>
        <v>1889.4492</v>
      </c>
      <c r="Z714">
        <f>SQRT(($M$714-$M$712)^2+($N$714-$N$712)^2)</f>
        <v>307.22420258297473</v>
      </c>
    </row>
    <row r="715" spans="1:28">
      <c r="A715" t="s">
        <v>797</v>
      </c>
      <c r="B715" t="s">
        <v>3813</v>
      </c>
      <c r="C715" t="s">
        <v>804</v>
      </c>
      <c r="D715" t="s">
        <v>1152</v>
      </c>
      <c r="E715" t="s">
        <v>804</v>
      </c>
      <c r="F715" t="s">
        <v>1535</v>
      </c>
      <c r="G715" t="s">
        <v>2488</v>
      </c>
      <c r="I715">
        <f>_xlfn.XLOOKUP($F715,設計座標!$E$13:$E$2301,設計座標!$G$13:$G$2301,"n/a",0,1)</f>
        <v>211.14607006136887</v>
      </c>
      <c r="J715">
        <f>_xlfn.XLOOKUP($F715,設計座標!$E$13:$E$2301,設計座標!$H$13:$H$2301,"n/a",0,1)</f>
        <v>-15000</v>
      </c>
      <c r="K715">
        <f>_xlfn.XLOOKUP($F715,設計座標!$E$13:$E$2301,設計座標!$I$13:$I$2301,"n/a",0,1)</f>
        <v>53315.987404539948</v>
      </c>
      <c r="L715">
        <f>_xlfn.XLOOKUP($F715,設計座標!$E$13:$E$2301,設計座標!$J$13:$J$2301,"n/a",0,1)</f>
        <v>-270</v>
      </c>
      <c r="M715" s="2">
        <f t="shared" si="568"/>
        <v>-15004.664023691636</v>
      </c>
      <c r="N715" s="2">
        <f t="shared" si="569"/>
        <v>53315.987404539948</v>
      </c>
      <c r="O715" s="23">
        <f t="shared" si="570"/>
        <v>-266.42151375538617</v>
      </c>
      <c r="P715" s="1">
        <f t="shared" si="534"/>
        <v>-270.81401553845649</v>
      </c>
      <c r="Q715" s="1">
        <f t="shared" si="563"/>
        <v>-4.6640236916348146</v>
      </c>
      <c r="R715">
        <f t="shared" si="550"/>
        <v>0</v>
      </c>
      <c r="S715" s="23">
        <f t="shared" si="562"/>
        <v>3.5784862446138059</v>
      </c>
      <c r="T715">
        <f>$S715+測地線補正!$Q$26*(lattice!$N715/1000)^3+測地線補正!$P$26*(lattice!$N715/1000)^2+測地線補正!$O$26*(lattice!$N715/1000)+測地線補正!$N$26</f>
        <v>-0.81401553845649333</v>
      </c>
      <c r="U715">
        <f t="shared" si="575"/>
        <v>6.20623273321499E-5</v>
      </c>
      <c r="V715">
        <v>0</v>
      </c>
      <c r="W715">
        <f t="shared" si="576"/>
        <v>1.2967242112059795E-4</v>
      </c>
      <c r="X715" t="s">
        <v>3860</v>
      </c>
      <c r="Y715">
        <f>_xlfn.XLOOKUP($F715,設計座標!$E$13:$E$2301,設計座標!$L$13:$L$2301," ",0,1)</f>
        <v>1889.4492</v>
      </c>
      <c r="Z715">
        <f>SQRT(($M$714-$M$712)^2+($N$714-$N$712)^2)</f>
        <v>307.22420258297473</v>
      </c>
    </row>
    <row r="716" spans="1:28">
      <c r="A716" t="s">
        <v>797</v>
      </c>
      <c r="B716" t="s">
        <v>3813</v>
      </c>
      <c r="C716" t="s">
        <v>804</v>
      </c>
      <c r="D716" t="s">
        <v>1152</v>
      </c>
      <c r="E716" t="s">
        <v>804</v>
      </c>
      <c r="F716" t="s">
        <v>1536</v>
      </c>
      <c r="G716" t="s">
        <v>2489</v>
      </c>
      <c r="I716">
        <f>_xlfn.XLOOKUP($F716,設計座標!$E$13:$E$2301,設計座標!$G$13:$G$2301,"n/a",0,1)</f>
        <v>211.35600886136888</v>
      </c>
      <c r="J716">
        <f>_xlfn.XLOOKUP($F716,設計座標!$E$13:$E$2301,設計座標!$H$13:$H$2301,"n/a",0,1)</f>
        <v>-15000</v>
      </c>
      <c r="K716">
        <f>_xlfn.XLOOKUP($F716,設計座標!$E$13:$E$2301,設計座標!$I$13:$I$2301,"n/a",0,1)</f>
        <v>53106.048604539952</v>
      </c>
      <c r="L716">
        <f>_xlfn.XLOOKUP($F716,設計座標!$E$13:$E$2301,設計座標!$J$13:$J$2301,"n/a",0,1)</f>
        <v>-270</v>
      </c>
      <c r="M716" s="2">
        <f t="shared" si="568"/>
        <v>-15004.636800418999</v>
      </c>
      <c r="N716" s="2">
        <f t="shared" si="569"/>
        <v>53106.048604539952</v>
      </c>
      <c r="O716" s="23">
        <f t="shared" si="570"/>
        <v>-266.44824529020246</v>
      </c>
      <c r="P716" s="1">
        <f t="shared" si="534"/>
        <v>-270.82712443582926</v>
      </c>
      <c r="Q716" s="1">
        <f t="shared" si="563"/>
        <v>-4.6368004189990213</v>
      </c>
      <c r="R716">
        <f t="shared" si="550"/>
        <v>0</v>
      </c>
      <c r="S716" s="23">
        <f t="shared" si="562"/>
        <v>3.5517547097975082</v>
      </c>
      <c r="T716">
        <f>$S716+測地線補正!$Q$26*(lattice!$N716/1000)^3+測地線補正!$P$26*(lattice!$N716/1000)^2+測地線補正!$O$26*(lattice!$N716/1000)+測地線補正!$N$26</f>
        <v>-0.8271244358292662</v>
      </c>
      <c r="U716">
        <f>-ATAN(($P$718-$P$716)/ABS($N$718-$N$716))</f>
        <v>6.2819572435619125E-5</v>
      </c>
      <c r="V716">
        <v>0</v>
      </c>
      <c r="W716">
        <f>ATAN(($M$718-$M$716)/ABS($N$718-$N$716))</f>
        <v>1.2967242112059795E-4</v>
      </c>
      <c r="X716">
        <f>SQRT(($M$716-$M$715)^2+($N$716-$N$715)^2)</f>
        <v>209.9388017650501</v>
      </c>
      <c r="Y716">
        <f>_xlfn.XLOOKUP($F716,設計座標!$E$13:$E$2301,設計座標!$L$13:$L$2301," ",0,1)</f>
        <v>1889.4492</v>
      </c>
      <c r="Z716">
        <f>SQRT(($M$717-$M$714)^2+($N$717-$N$714)^2)</f>
        <v>2099.3880176505372</v>
      </c>
    </row>
    <row r="717" spans="1:28">
      <c r="A717" t="s">
        <v>797</v>
      </c>
      <c r="B717" t="s">
        <v>3813</v>
      </c>
      <c r="C717" t="s">
        <v>804</v>
      </c>
      <c r="D717" t="s">
        <v>1152</v>
      </c>
      <c r="E717" t="s">
        <v>804</v>
      </c>
      <c r="F717" t="s">
        <v>1347</v>
      </c>
      <c r="G717" t="s">
        <v>2489</v>
      </c>
      <c r="I717">
        <f>_xlfn.XLOOKUP($F717,設計座標!$E$13:$E$2301,設計座標!$G$13:$G$2301,"n/a",0,1)</f>
        <v>212.30073346136888</v>
      </c>
      <c r="J717">
        <f>_xlfn.XLOOKUP($F717,設計座標!$E$13:$E$2301,設計座標!$H$13:$H$2301,"n/a",0,1)</f>
        <v>-15000</v>
      </c>
      <c r="K717">
        <f>_xlfn.XLOOKUP($F717,設計座標!$E$13:$E$2301,設計座標!$I$13:$I$2301,"n/a",0,1)</f>
        <v>52161.324004539951</v>
      </c>
      <c r="L717">
        <f>_xlfn.XLOOKUP($F717,設計座標!$E$13:$E$2301,設計座標!$J$13:$J$2301,"n/a",0,1)</f>
        <v>-270</v>
      </c>
      <c r="M717" s="2">
        <f t="shared" si="568"/>
        <v>-15004.514295692137</v>
      </c>
      <c r="N717" s="2">
        <f t="shared" si="569"/>
        <v>52161.324004539951</v>
      </c>
      <c r="O717" s="23">
        <f t="shared" si="570"/>
        <v>-266.56853719687581</v>
      </c>
      <c r="P717" s="1">
        <f t="shared" si="534"/>
        <v>-270.88631105036882</v>
      </c>
      <c r="Q717" s="1">
        <f t="shared" si="563"/>
        <v>-4.5142956921379493</v>
      </c>
      <c r="R717">
        <f t="shared" si="550"/>
        <v>0</v>
      </c>
      <c r="S717" s="23">
        <f t="shared" si="562"/>
        <v>3.4314628031241656</v>
      </c>
      <c r="T717">
        <f>$S717+測地線補正!$Q$26*(lattice!$N717/1000)^3+測地線補正!$P$26*(lattice!$N717/1000)^2+測地線補正!$O$26*(lattice!$N717/1000)+測地線補正!$N$26</f>
        <v>-0.88631105036883562</v>
      </c>
      <c r="U717">
        <f t="shared" ref="U717:U718" si="577">-ATAN(($P$718-$P$716)/ABS($N$718-$N$716))</f>
        <v>6.2819572435619125E-5</v>
      </c>
      <c r="V717">
        <v>0</v>
      </c>
      <c r="W717">
        <f t="shared" ref="W717:W718" si="578">ATAN(($M$718-$M$716)/ABS($N$718-$N$716))</f>
        <v>1.2967242112059795E-4</v>
      </c>
      <c r="X717" t="s">
        <v>3860</v>
      </c>
      <c r="Y717">
        <f>_xlfn.XLOOKUP($F717,設計座標!$E$13:$E$2301,設計座標!$L$13:$L$2301," ",0,1)</f>
        <v>1889.4492</v>
      </c>
      <c r="Z717">
        <f>SQRT(($M$717-$M$714)^2+($N$717-$N$714)^2)</f>
        <v>2099.3880176505372</v>
      </c>
    </row>
    <row r="718" spans="1:28">
      <c r="A718" t="s">
        <v>797</v>
      </c>
      <c r="B718" t="s">
        <v>3813</v>
      </c>
      <c r="C718" t="s">
        <v>804</v>
      </c>
      <c r="D718" t="s">
        <v>1152</v>
      </c>
      <c r="E718" t="s">
        <v>804</v>
      </c>
      <c r="F718" t="s">
        <v>1537</v>
      </c>
      <c r="G718" t="s">
        <v>2489</v>
      </c>
      <c r="I718">
        <f>_xlfn.XLOOKUP($F718,設計座標!$E$13:$E$2301,設計座標!$G$13:$G$2301,"n/a",0,1)</f>
        <v>213.24545806136888</v>
      </c>
      <c r="J718">
        <f>_xlfn.XLOOKUP($F718,設計座標!$E$13:$E$2301,設計座標!$H$13:$H$2301,"n/a",0,1)</f>
        <v>-15000</v>
      </c>
      <c r="K718">
        <f>_xlfn.XLOOKUP($F718,設計座標!$E$13:$E$2301,設計座標!$I$13:$I$2301,"n/a",0,1)</f>
        <v>51216.599404539949</v>
      </c>
      <c r="L718">
        <f>_xlfn.XLOOKUP($F718,設計座標!$E$13:$E$2301,設計座標!$J$13:$J$2301,"n/a",0,1)</f>
        <v>-270</v>
      </c>
      <c r="M718" s="2">
        <f t="shared" si="568"/>
        <v>-15004.391790965277</v>
      </c>
      <c r="N718" s="2">
        <f t="shared" si="569"/>
        <v>51216.599404539949</v>
      </c>
      <c r="O718" s="23">
        <f t="shared" si="570"/>
        <v>-266.68882910354915</v>
      </c>
      <c r="P718" s="1">
        <f t="shared" si="534"/>
        <v>-270.94581882686822</v>
      </c>
      <c r="Q718" s="1">
        <f t="shared" si="563"/>
        <v>-4.3917909652768783</v>
      </c>
      <c r="R718">
        <f t="shared" si="550"/>
        <v>0</v>
      </c>
      <c r="S718" s="23">
        <f t="shared" si="562"/>
        <v>3.3111708964508235</v>
      </c>
      <c r="T718">
        <f>$S718+測地線補正!$Q$26*(lattice!$N718/1000)^3+測地線補正!$P$26*(lattice!$N718/1000)^2+測地線補正!$O$26*(lattice!$N718/1000)+測地線補正!$N$26</f>
        <v>-0.94581882686823548</v>
      </c>
      <c r="U718">
        <f t="shared" si="577"/>
        <v>6.2819572435619125E-5</v>
      </c>
      <c r="V718">
        <v>0</v>
      </c>
      <c r="W718">
        <f t="shared" si="578"/>
        <v>1.2967242112059795E-4</v>
      </c>
      <c r="X718" t="s">
        <v>3860</v>
      </c>
      <c r="Y718">
        <f>_xlfn.XLOOKUP($F718,設計座標!$E$13:$E$2301,設計座標!$L$13:$L$2301," ",0,1)</f>
        <v>1889.4492</v>
      </c>
      <c r="Z718">
        <f>SQRT(($M$717-$M$714)^2+($N$717-$N$714)^2)</f>
        <v>2099.3880176505372</v>
      </c>
    </row>
    <row r="719" spans="1:28">
      <c r="A719" t="s">
        <v>797</v>
      </c>
      <c r="B719" t="s">
        <v>3813</v>
      </c>
      <c r="C719" t="s">
        <v>1152</v>
      </c>
      <c r="D719" t="s">
        <v>1152</v>
      </c>
      <c r="E719" t="s">
        <v>804</v>
      </c>
      <c r="F719" t="s">
        <v>2023</v>
      </c>
      <c r="G719" t="s">
        <v>2023</v>
      </c>
      <c r="I719">
        <f>_xlfn.XLOOKUP($F719,設計座標!$E$13:$E$2301,設計座標!$G$13:$G$2301,"n/a",0,1)</f>
        <v>213.47595786136887</v>
      </c>
      <c r="J719">
        <f>_xlfn.XLOOKUP($F719,設計座標!$E$13:$E$2301,設計座標!$H$13:$H$2301,"n/a",0,1)</f>
        <v>-15000</v>
      </c>
      <c r="K719">
        <f>_xlfn.XLOOKUP($F719,設計座標!$E$13:$E$2301,設計座標!$I$13:$I$2301,"n/a",0,1)</f>
        <v>50986.099604539952</v>
      </c>
      <c r="L719">
        <f>_xlfn.XLOOKUP($F719,設計座標!$E$13:$E$2301,設計座標!$J$13:$J$2301,"n/a",0,1)</f>
        <v>-270</v>
      </c>
      <c r="M719" s="2">
        <f t="shared" si="568"/>
        <v>-15004.361901497976</v>
      </c>
      <c r="N719" s="2">
        <f t="shared" si="569"/>
        <v>50986.099604539952</v>
      </c>
      <c r="O719" s="23">
        <f t="shared" si="570"/>
        <v>-266.7181786731802</v>
      </c>
      <c r="P719" s="1">
        <f t="shared" si="534"/>
        <v>-270.96038656622142</v>
      </c>
      <c r="Q719" s="1">
        <f t="shared" si="563"/>
        <v>-4.3619014979754756</v>
      </c>
      <c r="R719">
        <f t="shared" si="550"/>
        <v>0</v>
      </c>
      <c r="S719" s="23">
        <f t="shared" si="562"/>
        <v>3.2818213268198178</v>
      </c>
      <c r="T719">
        <f>$S719+測地線補正!$Q$26*(lattice!$N719/1000)^3+測地線補正!$P$26*(lattice!$N719/1000)^2+測地線補正!$O$26*(lattice!$N719/1000)+測地線補正!$N$26</f>
        <v>-0.9603865662214266</v>
      </c>
      <c r="U719">
        <v>0</v>
      </c>
      <c r="V719">
        <v>0</v>
      </c>
      <c r="W719">
        <v>0</v>
      </c>
      <c r="X719">
        <f>SQRT(($M$719-$M$718)^2+($N$719-$N$718)^2)</f>
        <v>230.49980193791757</v>
      </c>
      <c r="Y719">
        <f>_xlfn.XLOOKUP($F719,設計座標!$E$13:$E$2301,設計座標!$L$13:$L$2301," ",0,1)</f>
        <v>0</v>
      </c>
      <c r="Z719">
        <f>SQRT(($M$719-$M$717)^2+($N$719-$N$717)^2)</f>
        <v>1175.2244098806611</v>
      </c>
    </row>
    <row r="720" spans="1:28">
      <c r="A720" t="s">
        <v>797</v>
      </c>
      <c r="B720" t="s">
        <v>3813</v>
      </c>
      <c r="C720" t="s">
        <v>805</v>
      </c>
      <c r="D720" t="s">
        <v>806</v>
      </c>
      <c r="F720" t="s">
        <v>126</v>
      </c>
      <c r="G720" t="s">
        <v>126</v>
      </c>
      <c r="I720">
        <f>_xlfn.XLOOKUP($F720,設計座標!$E$13:$E$2301,設計座標!$G$13:$G$2301,"n/a",0,1)</f>
        <v>213.63725767883884</v>
      </c>
      <c r="J720">
        <f>_xlfn.XLOOKUP($F720,設計座標!$E$13:$E$2301,設計座標!$H$13:$H$2301,"n/a",0,1)</f>
        <v>-15000</v>
      </c>
      <c r="K720">
        <f>_xlfn.XLOOKUP($F720,設計座標!$E$13:$E$2301,設計座標!$I$13:$I$2301,"n/a",0,1)</f>
        <v>50824.799787069998</v>
      </c>
      <c r="L720">
        <f>_xlfn.XLOOKUP($F720,設計座標!$E$13:$E$2301,設計座標!$J$13:$J$2301,"n/a",0,1)</f>
        <v>-20</v>
      </c>
      <c r="M720" s="2">
        <f>_xlfn.XLOOKUP($F720,survey_data!$A$2:$A$833,survey_data!$B$2:$B$833,"n/a",0,1)</f>
        <v>-15004.340985360001</v>
      </c>
      <c r="N720" s="2">
        <f>_xlfn.XLOOKUP($F720,survey_data!$A$2:$A$833,survey_data!$C$2:$C$833,"n/a",0,1)</f>
        <v>50824.799787069998</v>
      </c>
      <c r="O720" s="23">
        <f>_xlfn.XLOOKUP($F720,survey_data!$A$2:$A$833,survey_data!$D$2:$D$833,"n/a",0,1)</f>
        <v>-16.738717000000001</v>
      </c>
      <c r="P720" s="1">
        <f t="shared" si="534"/>
        <v>-20.970592161961644</v>
      </c>
      <c r="Q720" s="1">
        <f t="shared" si="559"/>
        <v>-4.340985360000559</v>
      </c>
      <c r="R720">
        <f t="shared" si="550"/>
        <v>0</v>
      </c>
      <c r="S720" s="23">
        <f t="shared" si="560"/>
        <v>3.2612829999999988</v>
      </c>
      <c r="T720">
        <f>$S720+測地線補正!$Q$26*(lattice!$N720/1000)^3+測地線補正!$P$26*(lattice!$N720/1000)^2+測地線補正!$O$26*(lattice!$N720/1000)+測地線補正!$N$26</f>
        <v>-0.97059216196164244</v>
      </c>
      <c r="U720">
        <f>-ATAN(($P$721-$P$720)/ABS($N$721-$N$720))</f>
        <v>-1.1335158372472708E-5</v>
      </c>
      <c r="V720">
        <v>0</v>
      </c>
      <c r="W720">
        <f>ATAN(($M$721-$M$720)/ABS($N$721-$N$720))</f>
        <v>2.7411711969553624E-4</v>
      </c>
      <c r="X720">
        <f>$Z$721-($Y$721+$Y$719)/2</f>
        <v>141.29982110975544</v>
      </c>
      <c r="Y720">
        <f>_xlfn.XLOOKUP($F720,設計座標!$E$13:$E$2301,設計座標!$L$13:$L$2301," ",0,1)</f>
        <v>190</v>
      </c>
      <c r="Z720">
        <f>SQRT(($M$721-$M$719)^2+($N$721-$N$719)^2)</f>
        <v>236.29982110975544</v>
      </c>
      <c r="AA720">
        <f>_xlfn.XLOOKUP($G720,magnet_list!$A$2:$A$592,magnet_list!$AJ$2:$AJ$592,"n/a",0,1)</f>
        <v>0.2039</v>
      </c>
      <c r="AB720">
        <f>_xlfn.XLOOKUP($G720,magnet_list!$A$2:$A$592,magnet_list!$L$2:$L$592,"n/a",0,1)</f>
        <v>23</v>
      </c>
    </row>
    <row r="721" spans="1:28">
      <c r="A721" t="s">
        <v>797</v>
      </c>
      <c r="B721" t="s">
        <v>3813</v>
      </c>
      <c r="C721" t="s">
        <v>805</v>
      </c>
      <c r="D721" t="s">
        <v>1152</v>
      </c>
      <c r="E721" t="s">
        <v>804</v>
      </c>
      <c r="F721" t="s">
        <v>610</v>
      </c>
      <c r="G721" t="s">
        <v>126</v>
      </c>
      <c r="I721">
        <f>_xlfn.XLOOKUP($F721,設計座標!$E$13:$E$2301,設計座標!$G$13:$G$2301,"n/a",0,1)</f>
        <v>213.71225767883882</v>
      </c>
      <c r="J721">
        <f>_xlfn.XLOOKUP($F721,設計座標!$E$13:$E$2301,設計座標!$H$13:$H$2301,"n/a",0,1)</f>
        <v>-15000</v>
      </c>
      <c r="K721">
        <f>_xlfn.XLOOKUP($F721,設計座標!$E$13:$E$2301,設計座標!$I$13:$I$2301,"n/a",0,1)</f>
        <v>50749.799787069998</v>
      </c>
      <c r="L721">
        <f>_xlfn.XLOOKUP($F721,設計座標!$E$13:$E$2301,設計座標!$J$13:$J$2301,"n/a",0,1)</f>
        <v>-20</v>
      </c>
      <c r="M721" s="2">
        <f t="shared" si="568"/>
        <v>-15004.320426575508</v>
      </c>
      <c r="N721" s="2">
        <f t="shared" si="569"/>
        <v>50749.799787069998</v>
      </c>
      <c r="O721" s="23">
        <f t="shared" si="570"/>
        <v>-16.742668121018117</v>
      </c>
      <c r="P721" s="1">
        <f t="shared" si="534"/>
        <v>-20.969742025083672</v>
      </c>
      <c r="Q721" s="1">
        <f>(Q$723-Q$720)/($N$723-$N$720)*($N721-$N$720)+Q$720</f>
        <v>-4.3204265755090452</v>
      </c>
      <c r="R721">
        <f t="shared" si="550"/>
        <v>0</v>
      </c>
      <c r="S721" s="23">
        <f t="shared" ref="S721:S722" si="579">(S$723-S$720)/($N$723-$N$720)*($N721-$N$720)+S$720</f>
        <v>3.2573318789818821</v>
      </c>
      <c r="T721">
        <f>$S721+測地線補正!$Q$26*(lattice!$N721/1000)^3+測地線補正!$P$26*(lattice!$N721/1000)^2+測地線補正!$O$26*(lattice!$N721/1000)+測地線補正!$N$26</f>
        <v>-0.96974202508367235</v>
      </c>
      <c r="U721">
        <f>-ATAN(($P$721-$P$720)/ABS($N$721-$N$720))</f>
        <v>-1.1335158372472708E-5</v>
      </c>
      <c r="V721">
        <v>0</v>
      </c>
      <c r="W721">
        <f>ATAN(($M$721-$M$720)/ABS($N$721-$N$720))</f>
        <v>2.7411711969553624E-4</v>
      </c>
      <c r="X721">
        <f>$Z$721-($Y$721+$Y$719)/2</f>
        <v>141.29982110975544</v>
      </c>
      <c r="Y721">
        <f>_xlfn.XLOOKUP($F721,設計座標!$E$13:$E$2301,設計座標!$L$13:$L$2301," ",0,1)</f>
        <v>190</v>
      </c>
      <c r="Z721">
        <f>SQRT(($M$721-$M$719)^2+($N$721-$N$719)^2)</f>
        <v>236.29982110975544</v>
      </c>
      <c r="AA721">
        <f>_xlfn.XLOOKUP($G721,magnet_list!$A$2:$A$592,magnet_list!$AJ$2:$AJ$592,"n/a",0,1)</f>
        <v>0.2039</v>
      </c>
      <c r="AB721">
        <f>_xlfn.XLOOKUP($G721,magnet_list!$A$2:$A$592,magnet_list!$L$2:$L$592,"n/a",0,1)</f>
        <v>23</v>
      </c>
    </row>
    <row r="722" spans="1:28">
      <c r="A722" t="s">
        <v>797</v>
      </c>
      <c r="B722" t="s">
        <v>3813</v>
      </c>
      <c r="C722" t="s">
        <v>805</v>
      </c>
      <c r="D722" t="s">
        <v>1152</v>
      </c>
      <c r="E722" t="s">
        <v>804</v>
      </c>
      <c r="F722" t="s">
        <v>611</v>
      </c>
      <c r="G722" t="s">
        <v>127</v>
      </c>
      <c r="I722">
        <f>_xlfn.XLOOKUP($F722,設計座標!$E$13:$E$2301,設計座標!$G$13:$G$2301,"n/a",0,1)</f>
        <v>214.00705214145881</v>
      </c>
      <c r="J722">
        <f>_xlfn.XLOOKUP($F722,設計座標!$E$13:$E$2301,設計座標!$H$13:$H$2301,"n/a",0,1)</f>
        <v>-15000</v>
      </c>
      <c r="K722">
        <f>_xlfn.XLOOKUP($F722,設計座標!$E$13:$E$2301,設計座標!$I$13:$I$2301,"n/a",0,1)</f>
        <v>50455.005324450001</v>
      </c>
      <c r="L722">
        <f>_xlfn.XLOOKUP($F722,設計座標!$E$13:$E$2301,設計座標!$J$13:$J$2301,"n/a",0,1)</f>
        <v>-20</v>
      </c>
      <c r="M722" s="2">
        <f t="shared" si="568"/>
        <v>-15004.239618364492</v>
      </c>
      <c r="N722" s="2">
        <f t="shared" si="569"/>
        <v>50455.005324450001</v>
      </c>
      <c r="O722" s="23">
        <f t="shared" si="570"/>
        <v>-16.758198368981883</v>
      </c>
      <c r="P722" s="1">
        <f t="shared" si="534"/>
        <v>-20.966420031152143</v>
      </c>
      <c r="Q722" s="1">
        <f>(Q$723-Q$720)/($N$723-$N$720)*($N722-$N$720)+Q$720</f>
        <v>-4.2396183644917622</v>
      </c>
      <c r="R722">
        <f t="shared" si="550"/>
        <v>0</v>
      </c>
      <c r="S722" s="23">
        <f t="shared" si="579"/>
        <v>3.2418016310181179</v>
      </c>
      <c r="T722">
        <f>$S722+測地線補正!$Q$26*(lattice!$N722/1000)^3+測地線補正!$P$26*(lattice!$N722/1000)^2+測地線補正!$O$26*(lattice!$N722/1000)+測地線補正!$N$26</f>
        <v>-0.96642003115214403</v>
      </c>
      <c r="U722">
        <f>-ATAN(($P$723-$P$722)/ABS($N$723-$N$722))</f>
        <v>-1.1202559543434958E-5</v>
      </c>
      <c r="V722">
        <v>0</v>
      </c>
      <c r="W722">
        <f>ATAN(($M$723-$M$722)/ABS($N$723-$N$722))</f>
        <v>2.7411711969553624E-4</v>
      </c>
      <c r="X722">
        <f>$Z$722-($Y$722+$Y$721)/2</f>
        <v>104.79447369545403</v>
      </c>
      <c r="Y722">
        <f>_xlfn.XLOOKUP($F722,設計座標!$E$13:$E$2301,設計座標!$L$13:$L$2301," ",0,1)</f>
        <v>190</v>
      </c>
      <c r="Z722">
        <f>SQRT(($M$722-$M$721)^2+($N$722-$N$721)^2)</f>
        <v>294.79447369545403</v>
      </c>
      <c r="AA722">
        <f>_xlfn.XLOOKUP($G722,magnet_list!$A$2:$A$592,magnet_list!$AJ$2:$AJ$592,"n/a",0,1)</f>
        <v>0.2039</v>
      </c>
      <c r="AB722">
        <f>_xlfn.XLOOKUP($G722,magnet_list!$A$2:$A$592,magnet_list!$L$2:$L$592,"n/a",0,1)</f>
        <v>23</v>
      </c>
    </row>
    <row r="723" spans="1:28">
      <c r="A723" t="s">
        <v>797</v>
      </c>
      <c r="B723" t="s">
        <v>3813</v>
      </c>
      <c r="C723" t="s">
        <v>805</v>
      </c>
      <c r="D723" t="s">
        <v>806</v>
      </c>
      <c r="E723" t="s">
        <v>804</v>
      </c>
      <c r="F723" t="s">
        <v>127</v>
      </c>
      <c r="G723" t="s">
        <v>127</v>
      </c>
      <c r="I723">
        <f>_xlfn.XLOOKUP($F723,設計座標!$E$13:$E$2301,設計座標!$G$13:$G$2301,"n/a",0,1)</f>
        <v>214.0820521414588</v>
      </c>
      <c r="J723">
        <f>_xlfn.XLOOKUP($F723,設計座標!$E$13:$E$2301,設計座標!$H$13:$H$2301,"n/a",0,1)</f>
        <v>-15000</v>
      </c>
      <c r="K723">
        <f>_xlfn.XLOOKUP($F723,設計座標!$E$13:$E$2301,設計座標!$I$13:$I$2301,"n/a",0,1)</f>
        <v>50380.005324450001</v>
      </c>
      <c r="L723">
        <f>_xlfn.XLOOKUP($F723,設計座標!$E$13:$E$2301,設計座標!$J$13:$J$2301,"n/a",0,1)</f>
        <v>-20</v>
      </c>
      <c r="M723" s="2">
        <f>_xlfn.XLOOKUP($F723,survey_data!$A$2:$A$833,survey_data!$B$2:$B$833,"n/a",0,1)</f>
        <v>-15004.21905958</v>
      </c>
      <c r="N723" s="2">
        <f>_xlfn.XLOOKUP($F723,survey_data!$A$2:$A$833,survey_data!$C$2:$C$833,"n/a",0,1)</f>
        <v>50380.005324450001</v>
      </c>
      <c r="O723" s="23">
        <f>_xlfn.XLOOKUP($F723,survey_data!$A$2:$A$833,survey_data!$D$2:$D$833,"n/a",0,1)</f>
        <v>-16.762149489999999</v>
      </c>
      <c r="P723" s="1">
        <f t="shared" si="534"/>
        <v>-20.965579839186351</v>
      </c>
      <c r="Q723" s="1">
        <f t="shared" si="559"/>
        <v>-4.2190595800002484</v>
      </c>
      <c r="R723">
        <f t="shared" si="550"/>
        <v>0</v>
      </c>
      <c r="S723" s="23">
        <f t="shared" si="560"/>
        <v>3.2378505100000012</v>
      </c>
      <c r="T723">
        <f>$S723+測地線補正!$Q$26*(lattice!$N723/1000)^3+測地線補正!$P$26*(lattice!$N723/1000)^2+測地線補正!$O$26*(lattice!$N723/1000)+測地線補正!$N$26</f>
        <v>-0.96557983918634904</v>
      </c>
      <c r="U723">
        <f>-ATAN(($P$723-$P$722)/ABS($N$723-$N$722))</f>
        <v>-1.1202559543434958E-5</v>
      </c>
      <c r="V723">
        <v>0</v>
      </c>
      <c r="W723">
        <f>ATAN(($M$723-$M$722)/ABS($N$723-$N$722))</f>
        <v>2.7411711969553624E-4</v>
      </c>
      <c r="X723">
        <f>$Z$722-($Y$722+$Y$721)/2</f>
        <v>104.79447369545403</v>
      </c>
      <c r="Y723">
        <f>_xlfn.XLOOKUP($F723,設計座標!$E$13:$E$2301,設計座標!$L$13:$L$2301," ",0,1)</f>
        <v>190</v>
      </c>
      <c r="Z723">
        <f>SQRT(($M$722-$M$721)^2+($N$722-$N$721)^2)</f>
        <v>294.79447369545403</v>
      </c>
      <c r="AA723">
        <f>_xlfn.XLOOKUP($G723,magnet_list!$A$2:$A$592,magnet_list!$AJ$2:$AJ$592,"n/a",0,1)</f>
        <v>0.2039</v>
      </c>
      <c r="AB723">
        <f>_xlfn.XLOOKUP($G723,magnet_list!$A$2:$A$592,magnet_list!$L$2:$L$592,"n/a",0,1)</f>
        <v>23</v>
      </c>
    </row>
    <row r="724" spans="1:28">
      <c r="A724" t="s">
        <v>797</v>
      </c>
      <c r="B724" t="s">
        <v>3813</v>
      </c>
      <c r="C724" t="s">
        <v>2288</v>
      </c>
      <c r="D724" t="s">
        <v>1152</v>
      </c>
      <c r="E724" t="s">
        <v>804</v>
      </c>
      <c r="F724" t="s">
        <v>2318</v>
      </c>
      <c r="G724" t="s">
        <v>2318</v>
      </c>
      <c r="I724">
        <f>_xlfn.XLOOKUP($F724,設計座標!$E$13:$E$2301,設計座標!$G$13:$G$2301,"n/a",0,1)</f>
        <v>214.23246686136886</v>
      </c>
      <c r="J724">
        <f>_xlfn.XLOOKUP($F724,設計座標!$E$13:$E$2301,設計座標!$H$13:$H$2301,"n/a",0,1)</f>
        <v>-15000</v>
      </c>
      <c r="K724">
        <f>_xlfn.XLOOKUP($F724,設計座標!$E$13:$E$2301,設計座標!$I$13:$I$2301,"n/a",0,1)</f>
        <v>50229.590604539953</v>
      </c>
      <c r="L724">
        <f>_xlfn.XLOOKUP($F724,設計座標!$E$13:$E$2301,設計座標!$J$13:$J$2301,"n/a",0,1)</f>
        <v>-270</v>
      </c>
      <c r="M724" s="2">
        <f t="shared" si="568"/>
        <v>-15004.198349966133</v>
      </c>
      <c r="N724" s="2">
        <f t="shared" si="569"/>
        <v>50229.590604539953</v>
      </c>
      <c r="O724" s="23">
        <f t="shared" si="570"/>
        <v>-266.77181702248896</v>
      </c>
      <c r="P724" s="1">
        <f t="shared" ref="P724:P787" si="580">$L724+$T724</f>
        <v>-270.96564432710937</v>
      </c>
      <c r="Q724" s="1">
        <f>(Q$743-Q$723)/($N$743-$N$723)*($N724-$N$723)+Q$723</f>
        <v>-4.1983499661331365</v>
      </c>
      <c r="R724">
        <f t="shared" si="550"/>
        <v>0</v>
      </c>
      <c r="S724" s="23">
        <f t="shared" ref="S724:S742" si="581">(S$743-S$723)/($N$743-$N$723)*($N724-$N$723)+S$723</f>
        <v>3.228182977511044</v>
      </c>
      <c r="T724">
        <f>$S724+測地線補正!$Q$26*(lattice!$N724/1000)^3+測地線補正!$P$26*(lattice!$N724/1000)^2+測地線補正!$O$26*(lattice!$N724/1000)+測地線補正!$N$26</f>
        <v>-0.96564432710936354</v>
      </c>
      <c r="U724">
        <v>0</v>
      </c>
      <c r="V724">
        <v>0</v>
      </c>
      <c r="W724">
        <v>0</v>
      </c>
      <c r="X724">
        <f>$Z$724-($Y$724+$Y$723)/2</f>
        <v>130.4147236877088</v>
      </c>
      <c r="Y724">
        <f>_xlfn.XLOOKUP($F724,設計座標!$E$13:$E$2301,設計座標!$L$13:$L$2301," ",0,1)</f>
        <v>0</v>
      </c>
      <c r="Z724">
        <f>SQRT(($M$724-$M$722)^2+($N$724-$N$722)^2)</f>
        <v>225.4147236877088</v>
      </c>
    </row>
    <row r="725" spans="1:28">
      <c r="A725" t="s">
        <v>797</v>
      </c>
      <c r="B725" t="s">
        <v>3813</v>
      </c>
      <c r="C725" t="s">
        <v>804</v>
      </c>
      <c r="D725" t="s">
        <v>1152</v>
      </c>
      <c r="E725" t="s">
        <v>804</v>
      </c>
      <c r="F725" t="s">
        <v>1538</v>
      </c>
      <c r="G725" t="s">
        <v>2490</v>
      </c>
      <c r="I725">
        <f>_xlfn.XLOOKUP($F725,設計座標!$E$13:$E$2301,設計座標!$G$13:$G$2301,"n/a",0,1)</f>
        <v>214.41293646136887</v>
      </c>
      <c r="J725">
        <f>_xlfn.XLOOKUP($F725,設計座標!$E$13:$E$2301,設計座標!$H$13:$H$2301,"n/a",0,1)</f>
        <v>-15000</v>
      </c>
      <c r="K725">
        <f>_xlfn.XLOOKUP($F725,設計座標!$E$13:$E$2301,設計座標!$I$13:$I$2301,"n/a",0,1)</f>
        <v>50049.121004539957</v>
      </c>
      <c r="L725">
        <f>_xlfn.XLOOKUP($F725,設計座標!$E$13:$E$2301,設計座標!$J$13:$J$2301,"n/a",0,1)</f>
        <v>-270</v>
      </c>
      <c r="M725" s="2">
        <f t="shared" si="568"/>
        <v>-15004.173502293426</v>
      </c>
      <c r="N725" s="2">
        <f t="shared" si="569"/>
        <v>50049.121004539957</v>
      </c>
      <c r="O725" s="23">
        <f t="shared" si="570"/>
        <v>-266.78341625773874</v>
      </c>
      <c r="P725" s="1">
        <f t="shared" si="580"/>
        <v>-270.96573239733641</v>
      </c>
      <c r="Q725" s="1">
        <f t="shared" ref="Q725:Q742" si="582">(Q$743-Q$723)/($N$743-$N$723)*($N725-$N$723)+Q$723</f>
        <v>-4.1735022934253916</v>
      </c>
      <c r="R725">
        <f t="shared" si="550"/>
        <v>0</v>
      </c>
      <c r="S725" s="23">
        <f t="shared" si="581"/>
        <v>3.2165837422612467</v>
      </c>
      <c r="T725">
        <f>$S725+測地線補正!$Q$26*(lattice!$N725/1000)^3+測地線補正!$P$26*(lattice!$N725/1000)^2+測地線補正!$O$26*(lattice!$N725/1000)+測地線補正!$N$26</f>
        <v>-0.96573239733640981</v>
      </c>
      <c r="U725">
        <f>-ATAN(($P$729-$P$725)/ABS($N$729-$N$725))</f>
        <v>8.5816971312492087E-7</v>
      </c>
      <c r="V725">
        <v>0</v>
      </c>
      <c r="W725">
        <f>ATAN(($M$729-$M$725)/ABS($N$729-$N$725))</f>
        <v>1.3768342452548425E-4</v>
      </c>
      <c r="X725">
        <f>SQRT(($M$725-$M$724)^2+($N$725-$N$724)^2)</f>
        <v>180.46960171055306</v>
      </c>
      <c r="Y725">
        <f>_xlfn.XLOOKUP($F725,設計座標!$E$13:$E$2301,設計座標!$L$13:$L$2301," ",0,1)</f>
        <v>1889.4492</v>
      </c>
      <c r="Z725">
        <f>SQRT(($M$728-$M$726)^2+($N$728-$N$726)^2)</f>
        <v>307.22370291197268</v>
      </c>
    </row>
    <row r="726" spans="1:28">
      <c r="A726" t="s">
        <v>797</v>
      </c>
      <c r="B726" t="s">
        <v>3813</v>
      </c>
      <c r="C726" t="s">
        <v>3855</v>
      </c>
      <c r="D726" t="s">
        <v>1152</v>
      </c>
      <c r="E726" t="s">
        <v>804</v>
      </c>
      <c r="F726" t="s">
        <v>2274</v>
      </c>
      <c r="G726" t="s">
        <v>2274</v>
      </c>
      <c r="I726">
        <f>_xlfn.XLOOKUP($F726,設計座標!$E$13:$E$2301,設計座標!$G$13:$G$2301,"n/a",0,1)</f>
        <v>215.05043736136886</v>
      </c>
      <c r="J726">
        <f>_xlfn.XLOOKUP($F726,設計座標!$E$13:$E$2301,設計座標!$H$13:$H$2301,"n/a",0,1)</f>
        <v>-15000</v>
      </c>
      <c r="K726">
        <f>_xlfn.XLOOKUP($F726,設計座標!$E$13:$E$2301,設計座標!$I$13:$I$2301,"n/a",0,1)</f>
        <v>49411.62010453995</v>
      </c>
      <c r="L726">
        <f>_xlfn.XLOOKUP($F726,設計座標!$E$13:$E$2301,設計座標!$J$13:$J$2301,"n/a",0,1)</f>
        <v>-270</v>
      </c>
      <c r="M726" s="2">
        <f t="shared" si="568"/>
        <v>-15004.085728985821</v>
      </c>
      <c r="N726" s="2">
        <f t="shared" si="569"/>
        <v>49411.62010453995</v>
      </c>
      <c r="O726" s="23">
        <f t="shared" si="570"/>
        <v>-266.8243900445209</v>
      </c>
      <c r="P726" s="1">
        <f t="shared" si="580"/>
        <v>-270.96613684231016</v>
      </c>
      <c r="Q726" s="1">
        <f t="shared" si="582"/>
        <v>-4.0857289858207118</v>
      </c>
      <c r="R726">
        <f t="shared" si="550"/>
        <v>0</v>
      </c>
      <c r="S726" s="23">
        <f t="shared" si="581"/>
        <v>3.1756099554791075</v>
      </c>
      <c r="T726">
        <f>$S726+測地線補正!$Q$26*(lattice!$N726/1000)^3+測地線補正!$P$26*(lattice!$N726/1000)^2+測地線補正!$O$26*(lattice!$N726/1000)+測地線補正!$N$26</f>
        <v>-0.96613684231017039</v>
      </c>
      <c r="U726">
        <f t="shared" ref="U726:U727" si="583">-ATAN(($P$729-$P$725)/ABS($N$729-$N$725))</f>
        <v>8.5816971312492087E-7</v>
      </c>
      <c r="V726">
        <v>0</v>
      </c>
      <c r="W726">
        <f t="shared" ref="W726:W727" si="584">ATAN(($M$729-$M$725)/ABS($N$729-$N$725))</f>
        <v>1.3768342452548425E-4</v>
      </c>
      <c r="X726" t="s">
        <v>3860</v>
      </c>
      <c r="Y726">
        <f>_xlfn.XLOOKUP($F726,設計座標!$E$13:$E$2301,設計座標!$L$13:$L$2301," ",0,1)</f>
        <v>1000</v>
      </c>
      <c r="Z726">
        <f>SQRT(($M$726-$M$724)^2+($N$726-$N$724)^2)</f>
        <v>817.97050775302421</v>
      </c>
      <c r="AA726">
        <f>_xlfn.XLOOKUP($G726,magnet_list!$A$2:$A$592,magnet_list!$AJ$2:$AJ$592,"n/a",0,1)</f>
        <v>0.95010000000000006</v>
      </c>
      <c r="AB726">
        <f>_xlfn.XLOOKUP($G726,magnet_list!$A$2:$A$592,magnet_list!$L$2:$L$592,"n/a",0,1)</f>
        <v>120</v>
      </c>
    </row>
    <row r="727" spans="1:28">
      <c r="A727" t="s">
        <v>797</v>
      </c>
      <c r="B727" t="s">
        <v>3813</v>
      </c>
      <c r="C727" t="s">
        <v>3855</v>
      </c>
      <c r="D727" t="s">
        <v>1152</v>
      </c>
      <c r="E727" t="s">
        <v>804</v>
      </c>
      <c r="F727" t="s">
        <v>2275</v>
      </c>
      <c r="G727" t="s">
        <v>2275</v>
      </c>
      <c r="I727">
        <f>_xlfn.XLOOKUP($F727,設計座標!$E$13:$E$2301,設計座標!$G$13:$G$2301,"n/a",0,1)</f>
        <v>215.05043736136886</v>
      </c>
      <c r="J727">
        <f>_xlfn.XLOOKUP($F727,設計座標!$E$13:$E$2301,設計座標!$H$13:$H$2301,"n/a",0,1)</f>
        <v>-15000</v>
      </c>
      <c r="K727">
        <f>_xlfn.XLOOKUP($F727,設計座標!$E$13:$E$2301,設計座標!$I$13:$I$2301,"n/a",0,1)</f>
        <v>49411.62010453995</v>
      </c>
      <c r="L727">
        <f>_xlfn.XLOOKUP($F727,設計座標!$E$13:$E$2301,設計座標!$J$13:$J$2301,"n/a",0,1)</f>
        <v>-270</v>
      </c>
      <c r="M727" s="2">
        <f t="shared" si="568"/>
        <v>-15004.085728985821</v>
      </c>
      <c r="N727" s="2">
        <f t="shared" si="569"/>
        <v>49411.62010453995</v>
      </c>
      <c r="O727" s="23">
        <f t="shared" si="570"/>
        <v>-266.8243900445209</v>
      </c>
      <c r="P727" s="1">
        <f t="shared" si="580"/>
        <v>-270.96613684231016</v>
      </c>
      <c r="Q727" s="1">
        <f t="shared" si="582"/>
        <v>-4.0857289858207118</v>
      </c>
      <c r="R727">
        <f t="shared" si="550"/>
        <v>0</v>
      </c>
      <c r="S727" s="23">
        <f t="shared" si="581"/>
        <v>3.1756099554791075</v>
      </c>
      <c r="T727">
        <f>$S727+測地線補正!$Q$26*(lattice!$N727/1000)^3+測地線補正!$P$26*(lattice!$N727/1000)^2+測地線補正!$O$26*(lattice!$N727/1000)+測地線補正!$N$26</f>
        <v>-0.96613684231017039</v>
      </c>
      <c r="U727">
        <f t="shared" si="583"/>
        <v>8.5816971312492087E-7</v>
      </c>
      <c r="V727">
        <v>0</v>
      </c>
      <c r="W727">
        <f t="shared" si="584"/>
        <v>1.3768342452548425E-4</v>
      </c>
      <c r="X727" t="s">
        <v>3860</v>
      </c>
      <c r="Y727">
        <f>_xlfn.XLOOKUP($F727,設計座標!$E$13:$E$2301,設計座標!$L$13:$L$2301," ",0,1)</f>
        <v>1000</v>
      </c>
      <c r="Z727">
        <f>SQRT(($M$726-$M$724)^2+($N$726-$N$724)^2)</f>
        <v>817.97050775302421</v>
      </c>
      <c r="AA727">
        <f>_xlfn.XLOOKUP($G727,magnet_list!$A$2:$A$592,magnet_list!$AJ$2:$AJ$592,"n/a",0,1)</f>
        <v>0.95010000000000006</v>
      </c>
      <c r="AB727">
        <f>_xlfn.XLOOKUP($G727,magnet_list!$A$2:$A$592,magnet_list!$L$2:$L$592,"n/a",0,1)</f>
        <v>120</v>
      </c>
    </row>
    <row r="728" spans="1:28">
      <c r="A728" t="s">
        <v>797</v>
      </c>
      <c r="B728" t="s">
        <v>3813</v>
      </c>
      <c r="C728" t="s">
        <v>804</v>
      </c>
      <c r="D728" t="s">
        <v>1152</v>
      </c>
      <c r="E728" t="s">
        <v>804</v>
      </c>
      <c r="F728" t="s">
        <v>1183</v>
      </c>
      <c r="G728" t="s">
        <v>2490</v>
      </c>
      <c r="I728">
        <f>_xlfn.XLOOKUP($F728,設計座標!$E$13:$E$2301,設計座標!$G$13:$G$2301,"n/a",0,1)</f>
        <v>215.35766106136887</v>
      </c>
      <c r="J728">
        <f>_xlfn.XLOOKUP($F728,設計座標!$E$13:$E$2301,設計座標!$H$13:$H$2301,"n/a",0,1)</f>
        <v>-15000</v>
      </c>
      <c r="K728">
        <f>_xlfn.XLOOKUP($F728,設計座標!$E$13:$E$2301,設計座標!$I$13:$I$2301,"n/a",0,1)</f>
        <v>49104.396404539955</v>
      </c>
      <c r="L728">
        <f>_xlfn.XLOOKUP($F728,設計座標!$E$13:$E$2301,設計座標!$J$13:$J$2301,"n/a",0,1)</f>
        <v>-270</v>
      </c>
      <c r="M728" s="2">
        <f t="shared" si="568"/>
        <v>-15004.043429374442</v>
      </c>
      <c r="N728" s="2">
        <f t="shared" si="569"/>
        <v>49104.396404539955</v>
      </c>
      <c r="O728" s="23">
        <f t="shared" si="570"/>
        <v>-266.84413608468839</v>
      </c>
      <c r="P728" s="1">
        <f t="shared" si="580"/>
        <v>-270.96638366093157</v>
      </c>
      <c r="Q728" s="1">
        <f t="shared" si="582"/>
        <v>-4.0434293744420504</v>
      </c>
      <c r="R728">
        <f t="shared" si="550"/>
        <v>0</v>
      </c>
      <c r="S728" s="23">
        <f t="shared" si="581"/>
        <v>3.1558639153116039</v>
      </c>
      <c r="T728">
        <f>$S728+測地線補正!$Q$26*(lattice!$N728/1000)^3+測地線補正!$P$26*(lattice!$N728/1000)^2+測地線補正!$O$26*(lattice!$N728/1000)+測地線補正!$N$26</f>
        <v>-0.9663836609315839</v>
      </c>
      <c r="U728">
        <f t="shared" ref="U728:U729" si="585">-ATAN(($P$729-$P$725)/ABS($N$729-$N$725))</f>
        <v>8.5816971312492087E-7</v>
      </c>
      <c r="V728">
        <v>0</v>
      </c>
      <c r="W728">
        <f t="shared" ref="W728:W729" si="586">ATAN(($M$729-$M$725)/ABS($N$729-$N$725))</f>
        <v>1.3768342452548425E-4</v>
      </c>
      <c r="X728" t="s">
        <v>3860</v>
      </c>
      <c r="Y728">
        <f>_xlfn.XLOOKUP($F728,設計座標!$E$13:$E$2301,設計座標!$L$13:$L$2301," ",0,1)</f>
        <v>1889.4492</v>
      </c>
      <c r="Z728">
        <f>SQRT(($M$728-$M$726)^2+($N$728-$N$726)^2)</f>
        <v>307.22370291197268</v>
      </c>
    </row>
    <row r="729" spans="1:28">
      <c r="A729" t="s">
        <v>797</v>
      </c>
      <c r="B729" t="s">
        <v>3813</v>
      </c>
      <c r="C729" t="s">
        <v>804</v>
      </c>
      <c r="D729" t="s">
        <v>1152</v>
      </c>
      <c r="E729" t="s">
        <v>804</v>
      </c>
      <c r="F729" t="s">
        <v>1539</v>
      </c>
      <c r="G729" t="s">
        <v>2490</v>
      </c>
      <c r="I729">
        <f>_xlfn.XLOOKUP($F729,設計座標!$E$13:$E$2301,設計座標!$G$13:$G$2301,"n/a",0,1)</f>
        <v>216.30238566136887</v>
      </c>
      <c r="J729">
        <f>_xlfn.XLOOKUP($F729,設計座標!$E$13:$E$2301,設計座標!$H$13:$H$2301,"n/a",0,1)</f>
        <v>-15000</v>
      </c>
      <c r="K729">
        <f>_xlfn.XLOOKUP($F729,設計座標!$E$13:$E$2301,設計座標!$I$13:$I$2301,"n/a",0,1)</f>
        <v>48159.671804539954</v>
      </c>
      <c r="L729">
        <f>_xlfn.XLOOKUP($F729,設計座標!$E$13:$E$2301,設計座標!$J$13:$J$2301,"n/a",0,1)</f>
        <v>-270</v>
      </c>
      <c r="M729" s="2">
        <f t="shared" si="568"/>
        <v>-15003.91335645546</v>
      </c>
      <c r="N729" s="2">
        <f t="shared" si="569"/>
        <v>48159.671804539954</v>
      </c>
      <c r="O729" s="23">
        <f t="shared" si="570"/>
        <v>-266.90485591163804</v>
      </c>
      <c r="P729" s="1">
        <f t="shared" si="580"/>
        <v>-270.96735386541434</v>
      </c>
      <c r="Q729" s="1">
        <f t="shared" si="582"/>
        <v>-3.9133564554587092</v>
      </c>
      <c r="R729">
        <f t="shared" si="550"/>
        <v>0</v>
      </c>
      <c r="S729" s="23">
        <f t="shared" si="581"/>
        <v>3.0951440883619616</v>
      </c>
      <c r="T729">
        <f>$S729+測地線補正!$Q$26*(lattice!$N729/1000)^3+測地線補正!$P$26*(lattice!$N729/1000)^2+測地線補正!$O$26*(lattice!$N729/1000)+測地線補正!$N$26</f>
        <v>-0.96735386541433388</v>
      </c>
      <c r="U729">
        <f t="shared" si="585"/>
        <v>8.5816971312492087E-7</v>
      </c>
      <c r="V729">
        <v>0</v>
      </c>
      <c r="W729">
        <f t="shared" si="586"/>
        <v>1.3768342452548425E-4</v>
      </c>
      <c r="X729" t="s">
        <v>3860</v>
      </c>
      <c r="Y729">
        <f>_xlfn.XLOOKUP($F729,設計座標!$E$13:$E$2301,設計座標!$L$13:$L$2301," ",0,1)</f>
        <v>1889.4492</v>
      </c>
      <c r="Z729">
        <f>SQRT(($M$728-$M$726)^2+($N$728-$N$726)^2)</f>
        <v>307.22370291197268</v>
      </c>
    </row>
    <row r="730" spans="1:28">
      <c r="A730" t="s">
        <v>797</v>
      </c>
      <c r="B730" t="s">
        <v>3813</v>
      </c>
      <c r="C730" t="s">
        <v>804</v>
      </c>
      <c r="D730" t="s">
        <v>1152</v>
      </c>
      <c r="E730" t="s">
        <v>804</v>
      </c>
      <c r="F730" t="s">
        <v>1540</v>
      </c>
      <c r="G730" t="s">
        <v>2491</v>
      </c>
      <c r="I730">
        <f>_xlfn.XLOOKUP($F730,設計座標!$E$13:$E$2301,設計座標!$G$13:$G$2301,"n/a",0,1)</f>
        <v>216.51232746136887</v>
      </c>
      <c r="J730">
        <f>_xlfn.XLOOKUP($F730,設計座標!$E$13:$E$2301,設計座標!$H$13:$H$2301,"n/a",0,1)</f>
        <v>-15000</v>
      </c>
      <c r="K730">
        <f>_xlfn.XLOOKUP($F730,設計座標!$E$13:$E$2301,設計座標!$I$13:$I$2301,"n/a",0,1)</f>
        <v>47949.730004539953</v>
      </c>
      <c r="L730">
        <f>_xlfn.XLOOKUP($F730,設計座標!$E$13:$E$2301,設計座標!$J$13:$J$2301,"n/a",0,1)</f>
        <v>-270</v>
      </c>
      <c r="M730" s="2">
        <f t="shared" si="568"/>
        <v>-15003.884450949301</v>
      </c>
      <c r="N730" s="2">
        <f t="shared" si="569"/>
        <v>47949.730004539953</v>
      </c>
      <c r="O730" s="23">
        <f t="shared" si="570"/>
        <v>-266.91834939933329</v>
      </c>
      <c r="P730" s="1">
        <f t="shared" si="580"/>
        <v>-270.96761271413277</v>
      </c>
      <c r="Q730" s="1">
        <f t="shared" si="582"/>
        <v>-3.8844509493010242</v>
      </c>
      <c r="R730">
        <f t="shared" si="550"/>
        <v>0</v>
      </c>
      <c r="S730" s="23">
        <f t="shared" si="581"/>
        <v>3.0816506006667153</v>
      </c>
      <c r="T730">
        <f>$S730+測地線補正!$Q$26*(lattice!$N730/1000)^3+測地線補正!$P$26*(lattice!$N730/1000)^2+測地線補正!$O$26*(lattice!$N730/1000)+測地線補正!$N$26</f>
        <v>-0.96761271413277838</v>
      </c>
      <c r="U730">
        <f>-ATAN(($P$732-$P$730)/ABS($N$732-$N$730))</f>
        <v>1.6066033833246488E-6</v>
      </c>
      <c r="V730">
        <v>0</v>
      </c>
      <c r="W730">
        <f>ATAN(($M$732-$M$730)/ABS($N$732-$N$730))</f>
        <v>1.3768342452548425E-4</v>
      </c>
      <c r="X730">
        <f>SQRT(($M$730-$M$729)^2+($N$730-$N$729)^2)</f>
        <v>209.94180198990506</v>
      </c>
      <c r="Y730">
        <f>_xlfn.XLOOKUP($F730,設計座標!$E$13:$E$2301,設計座標!$L$13:$L$2301," ",0,1)</f>
        <v>1889.4492</v>
      </c>
      <c r="Z730">
        <f>SQRT(($M$731-$M$728)^2+($N$731-$N$728)^2)</f>
        <v>2099.3910198987928</v>
      </c>
    </row>
    <row r="731" spans="1:28">
      <c r="A731" t="s">
        <v>797</v>
      </c>
      <c r="B731" t="s">
        <v>3813</v>
      </c>
      <c r="C731" t="s">
        <v>804</v>
      </c>
      <c r="D731" t="s">
        <v>1152</v>
      </c>
      <c r="E731" t="s">
        <v>804</v>
      </c>
      <c r="F731" t="s">
        <v>1239</v>
      </c>
      <c r="G731" t="s">
        <v>2491</v>
      </c>
      <c r="I731">
        <f>_xlfn.XLOOKUP($F731,設計座標!$E$13:$E$2301,設計座標!$G$13:$G$2301,"n/a",0,1)</f>
        <v>217.45705206136887</v>
      </c>
      <c r="J731">
        <f>_xlfn.XLOOKUP($F731,設計座標!$E$13:$E$2301,設計座標!$H$13:$H$2301,"n/a",0,1)</f>
        <v>-15000</v>
      </c>
      <c r="K731">
        <f>_xlfn.XLOOKUP($F731,設計座標!$E$13:$E$2301,設計座標!$I$13:$I$2301,"n/a",0,1)</f>
        <v>47005.005404539952</v>
      </c>
      <c r="L731">
        <f>_xlfn.XLOOKUP($F731,設計座標!$E$13:$E$2301,設計座標!$J$13:$J$2301,"n/a",0,1)</f>
        <v>-270</v>
      </c>
      <c r="M731" s="2">
        <f t="shared" si="568"/>
        <v>-15003.754378030319</v>
      </c>
      <c r="N731" s="2">
        <f t="shared" si="569"/>
        <v>47005.005404539952</v>
      </c>
      <c r="O731" s="23">
        <f t="shared" si="570"/>
        <v>-266.97906922628295</v>
      </c>
      <c r="P731" s="1">
        <f t="shared" si="580"/>
        <v>-270.96897180410502</v>
      </c>
      <c r="Q731" s="1">
        <f t="shared" si="582"/>
        <v>-3.754378030317683</v>
      </c>
      <c r="R731">
        <f t="shared" si="550"/>
        <v>0</v>
      </c>
      <c r="S731" s="23">
        <f t="shared" si="581"/>
        <v>3.020930773717073</v>
      </c>
      <c r="T731">
        <f>$S731+測地線補正!$Q$26*(lattice!$N731/1000)^3+測地線補正!$P$26*(lattice!$N731/1000)^2+測地線補正!$O$26*(lattice!$N731/1000)+測地線補正!$N$26</f>
        <v>-0.96897180410503414</v>
      </c>
      <c r="U731">
        <f t="shared" ref="U731:U732" si="587">-ATAN(($P$732-$P$730)/ABS($N$732-$N$730))</f>
        <v>1.6066033833246488E-6</v>
      </c>
      <c r="V731">
        <v>0</v>
      </c>
      <c r="W731">
        <f t="shared" ref="W731:W732" si="588">ATAN(($M$732-$M$730)/ABS($N$732-$N$730))</f>
        <v>1.3768342452548425E-4</v>
      </c>
      <c r="X731" t="s">
        <v>3860</v>
      </c>
      <c r="Y731">
        <f>_xlfn.XLOOKUP($F731,設計座標!$E$13:$E$2301,設計座標!$L$13:$L$2301," ",0,1)</f>
        <v>1889.4492</v>
      </c>
      <c r="Z731">
        <f>SQRT(($M$731-$M$728)^2+($N$731-$N$728)^2)</f>
        <v>2099.3910198987928</v>
      </c>
    </row>
    <row r="732" spans="1:28">
      <c r="A732" t="s">
        <v>797</v>
      </c>
      <c r="B732" t="s">
        <v>3813</v>
      </c>
      <c r="C732" t="s">
        <v>804</v>
      </c>
      <c r="D732" t="s">
        <v>1152</v>
      </c>
      <c r="E732" t="s">
        <v>804</v>
      </c>
      <c r="F732" t="s">
        <v>1541</v>
      </c>
      <c r="G732" t="s">
        <v>2491</v>
      </c>
      <c r="I732">
        <f>_xlfn.XLOOKUP($F732,設計座標!$E$13:$E$2301,設計座標!$G$13:$G$2301,"n/a",0,1)</f>
        <v>218.40177666136887</v>
      </c>
      <c r="J732">
        <f>_xlfn.XLOOKUP($F732,設計座標!$E$13:$E$2301,設計座標!$H$13:$H$2301,"n/a",0,1)</f>
        <v>-15000</v>
      </c>
      <c r="K732">
        <f>_xlfn.XLOOKUP($F732,設計座標!$E$13:$E$2301,設計座標!$I$13:$I$2301,"n/a",0,1)</f>
        <v>46060.280804539951</v>
      </c>
      <c r="L732">
        <f>_xlfn.XLOOKUP($F732,設計座標!$E$13:$E$2301,設計座標!$J$13:$J$2301,"n/a",0,1)</f>
        <v>-270</v>
      </c>
      <c r="M732" s="2">
        <f t="shared" si="568"/>
        <v>-15003.624305111334</v>
      </c>
      <c r="N732" s="2">
        <f t="shared" si="569"/>
        <v>46060.280804539951</v>
      </c>
      <c r="O732" s="23">
        <f t="shared" si="570"/>
        <v>-267.0397890532326</v>
      </c>
      <c r="P732" s="1">
        <f t="shared" si="580"/>
        <v>-270.97064830961011</v>
      </c>
      <c r="Q732" s="1">
        <f t="shared" si="582"/>
        <v>-3.6243051113343419</v>
      </c>
      <c r="R732">
        <f t="shared" si="550"/>
        <v>0</v>
      </c>
      <c r="S732" s="23">
        <f t="shared" si="581"/>
        <v>2.9602109467674307</v>
      </c>
      <c r="T732">
        <f>$S732+測地線補正!$Q$26*(lattice!$N732/1000)^3+測地線補正!$P$26*(lattice!$N732/1000)^2+測地線補正!$O$26*(lattice!$N732/1000)+測地線補正!$N$26</f>
        <v>-0.97064830961009574</v>
      </c>
      <c r="U732">
        <f t="shared" si="587"/>
        <v>1.6066033833246488E-6</v>
      </c>
      <c r="V732">
        <v>0</v>
      </c>
      <c r="W732">
        <f t="shared" si="588"/>
        <v>1.3768342452548425E-4</v>
      </c>
      <c r="X732" t="s">
        <v>3860</v>
      </c>
      <c r="Y732">
        <f>_xlfn.XLOOKUP($F732,設計座標!$E$13:$E$2301,設計座標!$L$13:$L$2301," ",0,1)</f>
        <v>1889.4492</v>
      </c>
      <c r="Z732">
        <f>SQRT(($M$731-$M$728)^2+($N$731-$N$728)^2)</f>
        <v>2099.3910198987928</v>
      </c>
    </row>
    <row r="733" spans="1:28">
      <c r="A733" t="s">
        <v>797</v>
      </c>
      <c r="B733" t="s">
        <v>3813</v>
      </c>
      <c r="C733" t="s">
        <v>1152</v>
      </c>
      <c r="D733" t="s">
        <v>1152</v>
      </c>
      <c r="E733" t="s">
        <v>804</v>
      </c>
      <c r="F733" t="s">
        <v>2024</v>
      </c>
      <c r="G733" t="s">
        <v>2024</v>
      </c>
      <c r="I733">
        <f>_xlfn.XLOOKUP($F733,設計座標!$E$13:$E$2301,設計座標!$G$13:$G$2301,"n/a",0,1)</f>
        <v>218.69665136136888</v>
      </c>
      <c r="J733">
        <f>_xlfn.XLOOKUP($F733,設計座標!$E$13:$E$2301,設計座標!$H$13:$H$2301,"n/a",0,1)</f>
        <v>-15000</v>
      </c>
      <c r="K733">
        <f>_xlfn.XLOOKUP($F733,設計座標!$E$13:$E$2301,設計座標!$I$13:$I$2301,"n/a",0,1)</f>
        <v>45765.40610453995</v>
      </c>
      <c r="L733">
        <f>_xlfn.XLOOKUP($F733,設計座標!$E$13:$E$2301,設計座標!$J$13:$J$2301,"n/a",0,1)</f>
        <v>-270</v>
      </c>
      <c r="M733" s="2">
        <f t="shared" si="568"/>
        <v>-15003.583705752575</v>
      </c>
      <c r="N733" s="2">
        <f t="shared" si="569"/>
        <v>45765.40610453995</v>
      </c>
      <c r="O733" s="23">
        <f t="shared" si="570"/>
        <v>-267.05874139210022</v>
      </c>
      <c r="P733" s="1">
        <f t="shared" si="580"/>
        <v>-270.97123648404096</v>
      </c>
      <c r="Q733" s="1">
        <f t="shared" si="582"/>
        <v>-3.583705752575888</v>
      </c>
      <c r="R733">
        <f t="shared" si="550"/>
        <v>0</v>
      </c>
      <c r="S733" s="23">
        <f t="shared" si="581"/>
        <v>2.9412586078997567</v>
      </c>
      <c r="T733">
        <f>$S733+測地線補正!$Q$26*(lattice!$N733/1000)^3+測地線補正!$P$26*(lattice!$N733/1000)^2+測地線補正!$O$26*(lattice!$N733/1000)+測地線補正!$N$26</f>
        <v>-0.97123648404093754</v>
      </c>
      <c r="U733">
        <v>0</v>
      </c>
      <c r="V733">
        <v>0</v>
      </c>
      <c r="W733">
        <v>0</v>
      </c>
      <c r="X733">
        <f>SQRT(($M$733-$M$732)^2+($N$733-$N$732)^2)</f>
        <v>294.8747027949297</v>
      </c>
      <c r="Y733">
        <f>_xlfn.XLOOKUP($F733,設計座標!$E$13:$E$2301,設計座標!$L$13:$L$2301," ",0,1)</f>
        <v>0</v>
      </c>
      <c r="Z733">
        <f>SQRT(($M$733-$M$731)^2+($N$733-$N$731)^2)</f>
        <v>1239.5993117493736</v>
      </c>
    </row>
    <row r="734" spans="1:28">
      <c r="A734" t="s">
        <v>797</v>
      </c>
      <c r="B734" t="s">
        <v>3813</v>
      </c>
      <c r="C734" t="s">
        <v>804</v>
      </c>
      <c r="D734" t="s">
        <v>1152</v>
      </c>
      <c r="E734" t="s">
        <v>804</v>
      </c>
      <c r="F734" t="s">
        <v>1542</v>
      </c>
      <c r="G734" t="s">
        <v>2492</v>
      </c>
      <c r="I734">
        <f>_xlfn.XLOOKUP($F734,設計座標!$E$13:$E$2301,設計座標!$G$13:$G$2301,"n/a",0,1)</f>
        <v>218.92662046136888</v>
      </c>
      <c r="J734">
        <f>_xlfn.XLOOKUP($F734,設計座標!$E$13:$E$2301,設計座標!$H$13:$H$2301,"n/a",0,1)</f>
        <v>-15000</v>
      </c>
      <c r="K734">
        <f>_xlfn.XLOOKUP($F734,設計座標!$E$13:$E$2301,設計座標!$I$13:$I$2301,"n/a",0,1)</f>
        <v>45535.437004539948</v>
      </c>
      <c r="L734">
        <f>_xlfn.XLOOKUP($F734,設計座標!$E$13:$E$2301,設計座標!$J$13:$J$2301,"n/a",0,1)</f>
        <v>-270</v>
      </c>
      <c r="M734" s="2">
        <f t="shared" si="568"/>
        <v>-15003.552042819152</v>
      </c>
      <c r="N734" s="2">
        <f t="shared" si="569"/>
        <v>45535.437004539948</v>
      </c>
      <c r="O734" s="23">
        <f t="shared" si="570"/>
        <v>-267.07352208475476</v>
      </c>
      <c r="P734" s="1">
        <f t="shared" si="580"/>
        <v>-270.97171659694988</v>
      </c>
      <c r="Q734" s="1">
        <f t="shared" si="582"/>
        <v>-3.5520428191527804</v>
      </c>
      <c r="R734">
        <f t="shared" si="550"/>
        <v>0</v>
      </c>
      <c r="S734" s="23">
        <f t="shared" si="581"/>
        <v>2.9264779152452358</v>
      </c>
      <c r="T734">
        <f>$S734+測地線補正!$Q$26*(lattice!$N734/1000)^3+測地線補正!$P$26*(lattice!$N734/1000)^2+測地線補正!$O$26*(lattice!$N734/1000)+測地線補正!$N$26</f>
        <v>-0.9717165969498931</v>
      </c>
      <c r="U734">
        <f>-ATAN(($P$736-$P$734)/ABS($N$736-$N$734))</f>
        <v>2.4628640736536784E-6</v>
      </c>
      <c r="V734">
        <v>0</v>
      </c>
      <c r="W734">
        <f>ATAN(($M$736-$M$734)/ABS($N$736-$N$734))</f>
        <v>1.3768342452548425E-4</v>
      </c>
      <c r="X734">
        <f>SQRT(($M$734-$M$733)^2+($N$734-$N$733)^2)</f>
        <v>229.96910217973263</v>
      </c>
      <c r="Y734">
        <f>_xlfn.XLOOKUP($F734,設計座標!$E$13:$E$2301,設計座標!$L$13:$L$2301," ",0,1)</f>
        <v>1889.4492</v>
      </c>
      <c r="Z734">
        <f>SQRT(($M$735-$M$733)^2+($N$735-$N$733)^2)</f>
        <v>1174.6937111341765</v>
      </c>
    </row>
    <row r="735" spans="1:28">
      <c r="A735" t="s">
        <v>797</v>
      </c>
      <c r="B735" t="s">
        <v>3813</v>
      </c>
      <c r="C735" t="s">
        <v>804</v>
      </c>
      <c r="D735" t="s">
        <v>1152</v>
      </c>
      <c r="E735" t="s">
        <v>804</v>
      </c>
      <c r="F735" t="s">
        <v>1294</v>
      </c>
      <c r="G735" t="s">
        <v>2492</v>
      </c>
      <c r="I735">
        <f>_xlfn.XLOOKUP($F735,設計座標!$E$13:$E$2301,設計座標!$G$13:$G$2301,"n/a",0,1)</f>
        <v>219.87134506136888</v>
      </c>
      <c r="J735">
        <f>_xlfn.XLOOKUP($F735,設計座標!$E$13:$E$2301,設計座標!$H$13:$H$2301,"n/a",0,1)</f>
        <v>-15000</v>
      </c>
      <c r="K735">
        <f>_xlfn.XLOOKUP($F735,設計座標!$E$13:$E$2301,設計座標!$I$13:$I$2301,"n/a",0,1)</f>
        <v>44590.712404539947</v>
      </c>
      <c r="L735">
        <f>_xlfn.XLOOKUP($F735,設計座標!$E$13:$E$2301,設計座標!$J$13:$J$2301,"n/a",0,1)</f>
        <v>-270</v>
      </c>
      <c r="M735" s="2">
        <f t="shared" si="568"/>
        <v>-15003.42196990017</v>
      </c>
      <c r="N735" s="2">
        <f t="shared" si="569"/>
        <v>44590.712404539947</v>
      </c>
      <c r="O735" s="23">
        <f t="shared" si="570"/>
        <v>-267.13424191170441</v>
      </c>
      <c r="P735" s="1">
        <f t="shared" si="580"/>
        <v>-270.97388549453689</v>
      </c>
      <c r="Q735" s="1">
        <f t="shared" si="582"/>
        <v>-3.4219699001694392</v>
      </c>
      <c r="R735">
        <f t="shared" si="550"/>
        <v>0</v>
      </c>
      <c r="S735" s="23">
        <f t="shared" si="581"/>
        <v>2.8657580882955931</v>
      </c>
      <c r="T735">
        <f>$S735+測地線補正!$Q$26*(lattice!$N735/1000)^3+測地線補正!$P$26*(lattice!$N735/1000)^2+測地線補正!$O$26*(lattice!$N735/1000)+測地線補正!$N$26</f>
        <v>-0.97388549453689754</v>
      </c>
      <c r="U735">
        <f t="shared" ref="U735:U736" si="589">-ATAN(($P$736-$P$734)/ABS($N$736-$N$734))</f>
        <v>2.4628640736536784E-6</v>
      </c>
      <c r="V735">
        <v>0</v>
      </c>
      <c r="W735">
        <f t="shared" ref="W735:W736" si="590">ATAN(($M$736-$M$734)/ABS($N$736-$N$734))</f>
        <v>1.3768342452548425E-4</v>
      </c>
      <c r="X735" t="s">
        <v>3860</v>
      </c>
      <c r="Y735">
        <f>_xlfn.XLOOKUP($F735,設計座標!$E$13:$E$2301,設計座標!$L$13:$L$2301," ",0,1)</f>
        <v>1889.4492</v>
      </c>
      <c r="Z735">
        <f>SQRT(($M$735-$M$733)^2+($N$735-$N$733)^2)</f>
        <v>1174.6937111341765</v>
      </c>
    </row>
    <row r="736" spans="1:28">
      <c r="A736" t="s">
        <v>797</v>
      </c>
      <c r="B736" t="s">
        <v>3813</v>
      </c>
      <c r="C736" t="s">
        <v>804</v>
      </c>
      <c r="D736" t="s">
        <v>1152</v>
      </c>
      <c r="E736" t="s">
        <v>804</v>
      </c>
      <c r="F736" t="s">
        <v>1543</v>
      </c>
      <c r="G736" t="s">
        <v>2492</v>
      </c>
      <c r="I736">
        <f>_xlfn.XLOOKUP($F736,設計座標!$E$13:$E$2301,設計座標!$G$13:$G$2301,"n/a",0,1)</f>
        <v>220.81606966136889</v>
      </c>
      <c r="J736">
        <f>_xlfn.XLOOKUP($F736,設計座標!$E$13:$E$2301,設計座標!$H$13:$H$2301,"n/a",0,1)</f>
        <v>-15000</v>
      </c>
      <c r="K736">
        <f>_xlfn.XLOOKUP($F736,設計座標!$E$13:$E$2301,設計座標!$I$13:$I$2301,"n/a",0,1)</f>
        <v>43645.987804539946</v>
      </c>
      <c r="L736">
        <f>_xlfn.XLOOKUP($F736,設計座標!$E$13:$E$2301,設計座標!$J$13:$J$2301,"n/a",0,1)</f>
        <v>-270</v>
      </c>
      <c r="M736" s="2">
        <f t="shared" si="568"/>
        <v>-15003.291896981185</v>
      </c>
      <c r="N736" s="2">
        <f t="shared" si="569"/>
        <v>43645.987804539946</v>
      </c>
      <c r="O736" s="23">
        <f t="shared" si="570"/>
        <v>-267.19496173865406</v>
      </c>
      <c r="P736" s="1">
        <f t="shared" si="580"/>
        <v>-270.97637005350356</v>
      </c>
      <c r="Q736" s="1">
        <f t="shared" si="582"/>
        <v>-3.2918969811860981</v>
      </c>
      <c r="R736">
        <f t="shared" si="550"/>
        <v>0</v>
      </c>
      <c r="S736" s="23">
        <f t="shared" si="581"/>
        <v>2.8050382613459508</v>
      </c>
      <c r="T736">
        <f>$S736+測地線補正!$Q$26*(lattice!$N736/1000)^3+測地線補正!$P$26*(lattice!$N736/1000)^2+測地線補正!$O$26*(lattice!$N736/1000)+測地線補正!$N$26</f>
        <v>-0.97637005350355088</v>
      </c>
      <c r="U736">
        <f t="shared" si="589"/>
        <v>2.4628640736536784E-6</v>
      </c>
      <c r="V736">
        <v>0</v>
      </c>
      <c r="W736">
        <f t="shared" si="590"/>
        <v>1.3768342452548425E-4</v>
      </c>
      <c r="X736" t="s">
        <v>3860</v>
      </c>
      <c r="Y736">
        <f>_xlfn.XLOOKUP($F736,設計座標!$E$13:$E$2301,設計座標!$L$13:$L$2301," ",0,1)</f>
        <v>1889.4492</v>
      </c>
      <c r="Z736">
        <f>SQRT(($M$735-$M$733)^2+($N$735-$N$733)^2)</f>
        <v>1174.6937111341765</v>
      </c>
    </row>
    <row r="737" spans="1:28">
      <c r="A737" t="s">
        <v>797</v>
      </c>
      <c r="B737" t="s">
        <v>3813</v>
      </c>
      <c r="C737" t="s">
        <v>804</v>
      </c>
      <c r="D737" t="s">
        <v>1152</v>
      </c>
      <c r="E737" t="s">
        <v>804</v>
      </c>
      <c r="F737" t="s">
        <v>1544</v>
      </c>
      <c r="G737" t="s">
        <v>2493</v>
      </c>
      <c r="I737">
        <f>_xlfn.XLOOKUP($F737,設計座標!$E$13:$E$2301,設計座標!$G$13:$G$2301,"n/a",0,1)</f>
        <v>221.02601146136888</v>
      </c>
      <c r="J737">
        <f>_xlfn.XLOOKUP($F737,設計座標!$E$13:$E$2301,設計座標!$H$13:$H$2301,"n/a",0,1)</f>
        <v>-15000</v>
      </c>
      <c r="K737">
        <f>_xlfn.XLOOKUP($F737,設計座標!$E$13:$E$2301,設計座標!$I$13:$I$2301,"n/a",0,1)</f>
        <v>43436.046004539945</v>
      </c>
      <c r="L737">
        <f>_xlfn.XLOOKUP($F737,設計座標!$E$13:$E$2301,設計座標!$J$13:$J$2301,"n/a",0,1)</f>
        <v>-270</v>
      </c>
      <c r="M737" s="2">
        <f t="shared" si="568"/>
        <v>-15003.262991475029</v>
      </c>
      <c r="N737" s="2">
        <f t="shared" si="569"/>
        <v>43436.046004539945</v>
      </c>
      <c r="O737" s="23">
        <f t="shared" si="570"/>
        <v>-267.20845522634932</v>
      </c>
      <c r="P737" s="1">
        <f t="shared" si="580"/>
        <v>-270.9769649848767</v>
      </c>
      <c r="Q737" s="1">
        <f t="shared" si="582"/>
        <v>-3.262991475028413</v>
      </c>
      <c r="R737">
        <f t="shared" si="550"/>
        <v>0</v>
      </c>
      <c r="S737" s="23">
        <f t="shared" si="581"/>
        <v>2.7915447736507044</v>
      </c>
      <c r="T737">
        <f>$S737+測地線補正!$Q$26*(lattice!$N737/1000)^3+測地線補正!$P$26*(lattice!$N737/1000)^2+測地線補正!$O$26*(lattice!$N737/1000)+測地線補正!$N$26</f>
        <v>-0.97696498487672234</v>
      </c>
      <c r="U737">
        <f>-ATAN(($P$741-$P$737)/ABS($N$741-$N$737))</f>
        <v>3.20358353186657E-6</v>
      </c>
      <c r="V737">
        <v>0</v>
      </c>
      <c r="W737">
        <f>ATAN(($M$741-$M$737)/ABS($N$741-$N$737))</f>
        <v>1.3768342452548425E-4</v>
      </c>
      <c r="X737">
        <f>SQRT(($M$737-$M$736)^2+($N$737-$N$736)^2)</f>
        <v>209.94180198990506</v>
      </c>
      <c r="Y737">
        <f>_xlfn.XLOOKUP($F737,設計座標!$E$13:$E$2301,設計座標!$L$13:$L$2301," ",0,1)</f>
        <v>1889.4492</v>
      </c>
      <c r="Z737">
        <f>SQRT(($M$738-$M$735)^2+($N$738-$N$735)^2)</f>
        <v>2099.3910198987928</v>
      </c>
    </row>
    <row r="738" spans="1:28">
      <c r="A738" t="s">
        <v>797</v>
      </c>
      <c r="B738" t="s">
        <v>3813</v>
      </c>
      <c r="C738" t="s">
        <v>804</v>
      </c>
      <c r="D738" t="s">
        <v>1152</v>
      </c>
      <c r="E738" t="s">
        <v>804</v>
      </c>
      <c r="F738" t="s">
        <v>1348</v>
      </c>
      <c r="G738" t="s">
        <v>2493</v>
      </c>
      <c r="I738">
        <f>_xlfn.XLOOKUP($F738,設計座標!$E$13:$E$2301,設計座標!$G$13:$G$2301,"n/a",0,1)</f>
        <v>221.97073606136888</v>
      </c>
      <c r="J738">
        <f>_xlfn.XLOOKUP($F738,設計座標!$E$13:$E$2301,設計座標!$H$13:$H$2301,"n/a",0,1)</f>
        <v>-15000</v>
      </c>
      <c r="K738">
        <f>_xlfn.XLOOKUP($F738,設計座標!$E$13:$E$2301,設計座標!$I$13:$I$2301,"n/a",0,1)</f>
        <v>42491.321404539944</v>
      </c>
      <c r="L738">
        <f>_xlfn.XLOOKUP($F738,設計座標!$E$13:$E$2301,設計座標!$J$13:$J$2301,"n/a",0,1)</f>
        <v>-270</v>
      </c>
      <c r="M738" s="2">
        <f t="shared" si="568"/>
        <v>-15003.132918556044</v>
      </c>
      <c r="N738" s="2">
        <f t="shared" si="569"/>
        <v>42491.321404539944</v>
      </c>
      <c r="O738" s="23">
        <f t="shared" si="570"/>
        <v>-267.26917505329897</v>
      </c>
      <c r="P738" s="1">
        <f t="shared" si="580"/>
        <v>-270.97983442103498</v>
      </c>
      <c r="Q738" s="1">
        <f t="shared" si="582"/>
        <v>-3.1329185560450719</v>
      </c>
      <c r="R738">
        <f t="shared" si="550"/>
        <v>0</v>
      </c>
      <c r="S738" s="23">
        <f t="shared" si="581"/>
        <v>2.7308249467010621</v>
      </c>
      <c r="T738">
        <f>$S738+測地線補正!$Q$26*(lattice!$N738/1000)^3+測地線補正!$P$26*(lattice!$N738/1000)^2+測地線補正!$O$26*(lattice!$N738/1000)+測地線補正!$N$26</f>
        <v>-0.97983442103500273</v>
      </c>
      <c r="U738">
        <f t="shared" ref="U738:U740" si="591">-ATAN(($P$741-$P$737)/ABS($N$741-$N$737))</f>
        <v>3.20358353186657E-6</v>
      </c>
      <c r="V738">
        <v>0</v>
      </c>
      <c r="W738">
        <f t="shared" ref="W738:W740" si="592">ATAN(($M$741-$M$737)/ABS($N$741-$N$737))</f>
        <v>1.3768342452548425E-4</v>
      </c>
      <c r="X738" t="s">
        <v>3860</v>
      </c>
      <c r="Y738">
        <f>_xlfn.XLOOKUP($F738,設計座標!$E$13:$E$2301,設計座標!$L$13:$L$2301," ",0,1)</f>
        <v>1889.4492</v>
      </c>
      <c r="Z738">
        <f>SQRT(($M$738-$M$735)^2+($N$738-$N$735)^2)</f>
        <v>2099.3910198987928</v>
      </c>
    </row>
    <row r="739" spans="1:28">
      <c r="A739" t="s">
        <v>797</v>
      </c>
      <c r="B739" t="s">
        <v>3813</v>
      </c>
      <c r="C739" t="s">
        <v>3855</v>
      </c>
      <c r="D739" t="s">
        <v>1152</v>
      </c>
      <c r="E739" t="s">
        <v>804</v>
      </c>
      <c r="F739" t="s">
        <v>3698</v>
      </c>
      <c r="G739" t="s">
        <v>3698</v>
      </c>
      <c r="I739">
        <f>_xlfn.XLOOKUP($F739,設計座標!$E$13:$E$2301,設計座標!$G$13:$G$2301,"n/a",0,1)</f>
        <v>222.67945786136889</v>
      </c>
      <c r="J739">
        <f>_xlfn.XLOOKUP($F739,設計座標!$E$13:$E$2301,設計座標!$H$13:$H$2301,"n/a",0,1)</f>
        <v>-15000</v>
      </c>
      <c r="K739">
        <f>_xlfn.XLOOKUP($F739,設計座標!$E$13:$E$2301,設計座標!$I$13:$I$2301,"n/a",0,1)</f>
        <v>41782.599604539944</v>
      </c>
      <c r="L739">
        <f>_xlfn.XLOOKUP($F739,設計座標!$E$13:$E$2301,設計座標!$J$13:$J$2301,"n/a",0,1)</f>
        <v>-270</v>
      </c>
      <c r="M739" s="2">
        <f t="shared" si="568"/>
        <v>-15003.035339310969</v>
      </c>
      <c r="N739" s="2">
        <f t="shared" si="569"/>
        <v>41782.599604539944</v>
      </c>
      <c r="O739" s="23">
        <f t="shared" si="570"/>
        <v>-267.31472638651439</v>
      </c>
      <c r="P739" s="1">
        <f t="shared" si="580"/>
        <v>-270.98219330328607</v>
      </c>
      <c r="Q739" s="1">
        <f t="shared" si="582"/>
        <v>-3.0353393109686468</v>
      </c>
      <c r="R739">
        <f t="shared" si="550"/>
        <v>0</v>
      </c>
      <c r="S739" s="23">
        <f t="shared" si="581"/>
        <v>2.6852736134856054</v>
      </c>
      <c r="T739">
        <f>$S739+測地線補正!$Q$26*(lattice!$N739/1000)^3+測地線補正!$P$26*(lattice!$N739/1000)^2+測地線補正!$O$26*(lattice!$N739/1000)+測地線補正!$N$26</f>
        <v>-0.9821933032860457</v>
      </c>
      <c r="U739">
        <f t="shared" si="591"/>
        <v>3.20358353186657E-6</v>
      </c>
      <c r="V739">
        <v>0</v>
      </c>
      <c r="W739">
        <f t="shared" si="592"/>
        <v>1.3768342452548425E-4</v>
      </c>
      <c r="X739" t="s">
        <v>3860</v>
      </c>
      <c r="Y739">
        <f>_xlfn.XLOOKUP($F739,設計座標!$E$13:$E$2301,設計座標!$L$13:$L$2301," ",0,1)</f>
        <v>200</v>
      </c>
      <c r="Z739">
        <f>SQRT(($M$739-$M$738)^2+($N$739-$N$738)^2)</f>
        <v>708.72180671752164</v>
      </c>
      <c r="AA739">
        <f>_xlfn.XLOOKUP($G739,magnet_list!$A$2:$A$592,magnet_list!$AJ$2:$AJ$592,"n/a",0,1)</f>
        <v>0.36836999999999998</v>
      </c>
      <c r="AB739">
        <f>_xlfn.XLOOKUP($G739,magnet_list!$A$2:$A$592,magnet_list!$L$2:$L$592,"n/a",0,1)</f>
        <v>128</v>
      </c>
    </row>
    <row r="740" spans="1:28">
      <c r="A740" t="s">
        <v>797</v>
      </c>
      <c r="B740" t="s">
        <v>3813</v>
      </c>
      <c r="C740" t="s">
        <v>3855</v>
      </c>
      <c r="D740" t="s">
        <v>1152</v>
      </c>
      <c r="E740" t="s">
        <v>804</v>
      </c>
      <c r="F740" t="s">
        <v>3699</v>
      </c>
      <c r="G740" t="s">
        <v>3699</v>
      </c>
      <c r="I740">
        <f>_xlfn.XLOOKUP($F740,設計座標!$E$13:$E$2301,設計座標!$G$13:$G$2301,"n/a",0,1)</f>
        <v>222.67945786136889</v>
      </c>
      <c r="J740">
        <f>_xlfn.XLOOKUP($F740,設計座標!$E$13:$E$2301,設計座標!$H$13:$H$2301,"n/a",0,1)</f>
        <v>-15000</v>
      </c>
      <c r="K740">
        <f>_xlfn.XLOOKUP($F740,設計座標!$E$13:$E$2301,設計座標!$I$13:$I$2301,"n/a",0,1)</f>
        <v>41782.599604539944</v>
      </c>
      <c r="L740">
        <f>_xlfn.XLOOKUP($F740,設計座標!$E$13:$E$2301,設計座標!$J$13:$J$2301,"n/a",0,1)</f>
        <v>-270</v>
      </c>
      <c r="M740" s="2">
        <f t="shared" si="568"/>
        <v>-15003.035339310969</v>
      </c>
      <c r="N740" s="2">
        <f t="shared" si="569"/>
        <v>41782.599604539944</v>
      </c>
      <c r="O740" s="23">
        <f t="shared" si="570"/>
        <v>-267.31472638651439</v>
      </c>
      <c r="P740" s="1">
        <f t="shared" si="580"/>
        <v>-270.98219330328607</v>
      </c>
      <c r="Q740" s="1">
        <f t="shared" si="582"/>
        <v>-3.0353393109686468</v>
      </c>
      <c r="R740">
        <f t="shared" si="550"/>
        <v>0</v>
      </c>
      <c r="S740" s="23">
        <f t="shared" si="581"/>
        <v>2.6852736134856054</v>
      </c>
      <c r="T740">
        <f>$S740+測地線補正!$Q$26*(lattice!$N740/1000)^3+測地線補正!$P$26*(lattice!$N740/1000)^2+測地線補正!$O$26*(lattice!$N740/1000)+測地線補正!$N$26</f>
        <v>-0.9821933032860457</v>
      </c>
      <c r="U740">
        <f t="shared" si="591"/>
        <v>3.20358353186657E-6</v>
      </c>
      <c r="V740">
        <v>0</v>
      </c>
      <c r="W740">
        <f t="shared" si="592"/>
        <v>1.3768342452548425E-4</v>
      </c>
      <c r="X740" t="s">
        <v>3860</v>
      </c>
      <c r="Y740">
        <f>_xlfn.XLOOKUP($F740,設計座標!$E$13:$E$2301,設計座標!$L$13:$L$2301," ",0,1)</f>
        <v>200</v>
      </c>
      <c r="Z740">
        <f>SQRT(($M$739-$M$738)^2+($N$739-$N$738)^2)</f>
        <v>708.72180671752164</v>
      </c>
      <c r="AA740">
        <f>_xlfn.XLOOKUP($G740,magnet_list!$A$2:$A$592,magnet_list!$AJ$2:$AJ$592,"n/a",0,1)</f>
        <v>0.36836999999999998</v>
      </c>
      <c r="AB740">
        <f>_xlfn.XLOOKUP($G740,magnet_list!$A$2:$A$592,magnet_list!$L$2:$L$592,"n/a",0,1)</f>
        <v>128</v>
      </c>
    </row>
    <row r="741" spans="1:28">
      <c r="A741" t="s">
        <v>797</v>
      </c>
      <c r="B741" t="s">
        <v>3813</v>
      </c>
      <c r="C741" t="s">
        <v>804</v>
      </c>
      <c r="D741" t="s">
        <v>1152</v>
      </c>
      <c r="E741" t="s">
        <v>804</v>
      </c>
      <c r="F741" t="s">
        <v>1545</v>
      </c>
      <c r="G741" t="s">
        <v>2493</v>
      </c>
      <c r="I741">
        <f>_xlfn.XLOOKUP($F741,設計座標!$E$13:$E$2301,設計座標!$G$13:$G$2301,"n/a",0,1)</f>
        <v>222.91546066136888</v>
      </c>
      <c r="J741">
        <f>_xlfn.XLOOKUP($F741,設計座標!$E$13:$E$2301,設計座標!$H$13:$H$2301,"n/a",0,1)</f>
        <v>-15000</v>
      </c>
      <c r="K741">
        <f>_xlfn.XLOOKUP($F741,設計座標!$E$13:$E$2301,設計座標!$I$13:$I$2301,"n/a",0,1)</f>
        <v>41546.596804539942</v>
      </c>
      <c r="L741">
        <f>_xlfn.XLOOKUP($F741,設計座標!$E$13:$E$2301,設計座標!$J$13:$J$2301,"n/a",0,1)</f>
        <v>-270</v>
      </c>
      <c r="M741" s="2">
        <f t="shared" si="568"/>
        <v>-15003.002845637062</v>
      </c>
      <c r="N741" s="2">
        <f t="shared" si="569"/>
        <v>41546.596804539942</v>
      </c>
      <c r="O741" s="23">
        <f t="shared" si="570"/>
        <v>-267.32989488024856</v>
      </c>
      <c r="P741" s="1">
        <f t="shared" si="580"/>
        <v>-270.98301799321814</v>
      </c>
      <c r="Q741" s="1">
        <f t="shared" si="582"/>
        <v>-3.0028456370617311</v>
      </c>
      <c r="R741">
        <f t="shared" si="550"/>
        <v>0</v>
      </c>
      <c r="S741" s="23">
        <f t="shared" si="581"/>
        <v>2.6701051197514198</v>
      </c>
      <c r="T741">
        <f>$S741+測地線補正!$Q$26*(lattice!$N741/1000)^3+測地線補正!$P$26*(lattice!$N741/1000)^2+測地線補正!$O$26*(lattice!$N741/1000)+測地線補正!$N$26</f>
        <v>-0.9830179932181613</v>
      </c>
      <c r="U741">
        <f>-ATAN(($P$741-$P$737)/ABS($N$741-$N$737))</f>
        <v>3.20358353186657E-6</v>
      </c>
      <c r="V741">
        <v>0</v>
      </c>
      <c r="W741">
        <f>ATAN(($M$741-$M$737)/ABS($N$741-$N$737))</f>
        <v>1.3768342452548425E-4</v>
      </c>
      <c r="X741" t="s">
        <v>3860</v>
      </c>
      <c r="Y741">
        <f>_xlfn.XLOOKUP($F741,設計座標!$E$13:$E$2301,設計座標!$L$13:$L$2301," ",0,1)</f>
        <v>1889.4492</v>
      </c>
      <c r="Z741">
        <f>SQRT(($M$738-$M$735)^2+($N$738-$N$735)^2)</f>
        <v>2099.3910198987928</v>
      </c>
    </row>
    <row r="742" spans="1:28">
      <c r="A742" t="s">
        <v>797</v>
      </c>
      <c r="B742" t="s">
        <v>3813</v>
      </c>
      <c r="C742" t="s">
        <v>1152</v>
      </c>
      <c r="D742" t="s">
        <v>1152</v>
      </c>
      <c r="E742" t="s">
        <v>804</v>
      </c>
      <c r="F742" t="s">
        <v>2025</v>
      </c>
      <c r="G742" t="s">
        <v>2025</v>
      </c>
      <c r="I742">
        <f>_xlfn.XLOOKUP($F742,設計座標!$E$13:$E$2301,設計座標!$G$13:$G$2301,"n/a",0,1)</f>
        <v>223.07445776136888</v>
      </c>
      <c r="J742">
        <f>_xlfn.XLOOKUP($F742,設計座標!$E$13:$E$2301,設計座標!$H$13:$H$2301,"n/a",0,1)</f>
        <v>-15000</v>
      </c>
      <c r="K742">
        <f>_xlfn.XLOOKUP($F742,設計座標!$E$13:$E$2301,設計座標!$I$13:$I$2301,"n/a",0,1)</f>
        <v>41387.599704539942</v>
      </c>
      <c r="L742">
        <f>_xlfn.XLOOKUP($F742,設計座標!$E$13:$E$2301,設計座標!$J$13:$J$2301,"n/a",0,1)</f>
        <v>-270</v>
      </c>
      <c r="M742" s="2">
        <f t="shared" si="568"/>
        <v>-15002.980954371706</v>
      </c>
      <c r="N742" s="2">
        <f t="shared" si="569"/>
        <v>41387.599704539942</v>
      </c>
      <c r="O742" s="23">
        <f t="shared" si="570"/>
        <v>-267.34011402389899</v>
      </c>
      <c r="P742" s="1">
        <f t="shared" si="580"/>
        <v>-270.98358462294289</v>
      </c>
      <c r="Q742" s="1">
        <f t="shared" si="582"/>
        <v>-2.9809543717057885</v>
      </c>
      <c r="R742">
        <f t="shared" si="550"/>
        <v>0</v>
      </c>
      <c r="S742" s="23">
        <f t="shared" si="581"/>
        <v>2.6598859761009899</v>
      </c>
      <c r="T742">
        <f>$S742+測地線補正!$Q$26*(lattice!$N742/1000)^3+測地線補正!$P$26*(lattice!$N742/1000)^2+測地線補正!$O$26*(lattice!$N742/1000)+測地線補正!$N$26</f>
        <v>-0.9835846229429126</v>
      </c>
      <c r="U742">
        <v>0</v>
      </c>
      <c r="V742">
        <v>0</v>
      </c>
      <c r="W742">
        <v>0</v>
      </c>
      <c r="X742">
        <f>SQRT(($M$742-$M$741)^2+($N$742-$N$741)^2)</f>
        <v>158.99710150703268</v>
      </c>
      <c r="Y742">
        <f>_xlfn.XLOOKUP($F742,設計座標!$E$13:$E$2301,設計座標!$L$13:$L$2301," ",0,1)</f>
        <v>0</v>
      </c>
      <c r="Z742">
        <f>SQRT(($M$742-$M$739)^2+($N$742-$N$739)^2)</f>
        <v>394.99990374395486</v>
      </c>
    </row>
    <row r="743" spans="1:28">
      <c r="A743" t="s">
        <v>797</v>
      </c>
      <c r="B743" t="s">
        <v>3813</v>
      </c>
      <c r="C743" t="s">
        <v>805</v>
      </c>
      <c r="D743" t="s">
        <v>806</v>
      </c>
      <c r="F743" t="s">
        <v>128</v>
      </c>
      <c r="G743" t="s">
        <v>128</v>
      </c>
      <c r="I743">
        <f>_xlfn.XLOOKUP($F743,設計座標!$E$13:$E$2301,設計座標!$G$13:$G$2301,"n/a",0,1)</f>
        <v>223.24567598634883</v>
      </c>
      <c r="J743">
        <f>_xlfn.XLOOKUP($F743,設計座標!$E$13:$E$2301,設計座標!$H$13:$H$2301,"n/a",0,1)</f>
        <v>-15000</v>
      </c>
      <c r="K743">
        <f>_xlfn.XLOOKUP($F743,設計座標!$E$13:$E$2301,設計座標!$I$13:$I$2301,"n/a",0,1)</f>
        <v>41216.381479559997</v>
      </c>
      <c r="L743">
        <f>_xlfn.XLOOKUP($F743,設計座標!$E$13:$E$2301,設計座標!$J$13:$J$2301,"n/a",0,1)</f>
        <v>-20</v>
      </c>
      <c r="M743" s="2">
        <f>_xlfn.XLOOKUP($F743,survey_data!$A$2:$A$833,survey_data!$B$2:$B$833,"n/a",0,1)</f>
        <v>-15002.95738046</v>
      </c>
      <c r="N743" s="2">
        <f>_xlfn.XLOOKUP($F743,survey_data!$A$2:$A$833,survey_data!$C$2:$C$833,"n/a",0,1)</f>
        <v>41216.381479559997</v>
      </c>
      <c r="O743" s="23">
        <f>_xlfn.XLOOKUP($F743,survey_data!$A$2:$A$833,survey_data!$D$2:$D$833,"n/a",0,1)</f>
        <v>-17.35111865</v>
      </c>
      <c r="P743" s="1">
        <f t="shared" si="580"/>
        <v>-20.98420473053314</v>
      </c>
      <c r="Q743" s="1">
        <f t="shared" si="559"/>
        <v>-2.9573804600004223</v>
      </c>
      <c r="R743">
        <f t="shared" si="550"/>
        <v>0</v>
      </c>
      <c r="S743" s="23">
        <f t="shared" si="560"/>
        <v>2.6488813499999999</v>
      </c>
      <c r="T743">
        <f>$S743+測地線補正!$Q$26*(lattice!$N743/1000)^3+測地線補正!$P$26*(lattice!$N743/1000)^2+測地線補正!$O$26*(lattice!$N743/1000)+測地線補正!$N$26</f>
        <v>-0.9842047305331405</v>
      </c>
      <c r="U743">
        <f>-ATAN(($P$744-$P$743)/ABS($N$744-$N$743))</f>
        <v>6.4106024267409736E-5</v>
      </c>
      <c r="V743">
        <v>0</v>
      </c>
      <c r="W743">
        <f>ATAN(($M$744-$M$743)/ABS($N$744-$N$743))</f>
        <v>6.926854650151315E-4</v>
      </c>
      <c r="X743">
        <f>$Z$744-($Y$744+$Y$742)/2</f>
        <v>151.21823656331784</v>
      </c>
      <c r="Y743">
        <f>_xlfn.XLOOKUP($F743,設計座標!$E$13:$E$2301,設計座標!$L$13:$L$2301," ",0,1)</f>
        <v>190</v>
      </c>
      <c r="Z743">
        <f>SQRT(($M$744-$M$742)^2+($N$744-$N$742)^2)</f>
        <v>246.21823656331784</v>
      </c>
      <c r="AA743">
        <f>_xlfn.XLOOKUP($G743,magnet_list!$A$2:$A$592,magnet_list!$AJ$2:$AJ$592,"n/a",0,1)</f>
        <v>0.2039</v>
      </c>
      <c r="AB743">
        <f>_xlfn.XLOOKUP($G743,magnet_list!$A$2:$A$592,magnet_list!$L$2:$L$592,"n/a",0,1)</f>
        <v>23</v>
      </c>
    </row>
    <row r="744" spans="1:28">
      <c r="A744" t="s">
        <v>797</v>
      </c>
      <c r="B744" t="s">
        <v>3813</v>
      </c>
      <c r="C744" t="s">
        <v>805</v>
      </c>
      <c r="D744" t="s">
        <v>1152</v>
      </c>
      <c r="E744" t="s">
        <v>804</v>
      </c>
      <c r="F744" t="s">
        <v>612</v>
      </c>
      <c r="G744" t="s">
        <v>128</v>
      </c>
      <c r="I744">
        <f>_xlfn.XLOOKUP($F744,設計座標!$E$13:$E$2301,設計座標!$G$13:$G$2301,"n/a",0,1)</f>
        <v>223.32067598634882</v>
      </c>
      <c r="J744">
        <f>_xlfn.XLOOKUP($F744,設計座標!$E$13:$E$2301,設計座標!$H$13:$H$2301,"n/a",0,1)</f>
        <v>-15000</v>
      </c>
      <c r="K744">
        <f>_xlfn.XLOOKUP($F744,設計座標!$E$13:$E$2301,設計座標!$I$13:$I$2301,"n/a",0,1)</f>
        <v>41141.381479559997</v>
      </c>
      <c r="L744">
        <f>_xlfn.XLOOKUP($F744,設計座標!$E$13:$E$2301,設計座標!$J$13:$J$2301,"n/a",0,1)</f>
        <v>-20</v>
      </c>
      <c r="M744" s="2">
        <f t="shared" si="568"/>
        <v>-15002.905429041815</v>
      </c>
      <c r="N744" s="2">
        <f t="shared" si="569"/>
        <v>41141.381479559997</v>
      </c>
      <c r="O744" s="23">
        <f t="shared" si="570"/>
        <v>-17.360472169684396</v>
      </c>
      <c r="P744" s="1">
        <f t="shared" si="580"/>
        <v>-20.989012682359782</v>
      </c>
      <c r="Q744" s="1">
        <f>(Q$746-Q$743)/($N$746-$N$743)*($N744-$N$743)+Q$743</f>
        <v>-2.9054290418161979</v>
      </c>
      <c r="R744">
        <f t="shared" si="550"/>
        <v>0</v>
      </c>
      <c r="S744" s="23">
        <f t="shared" ref="S744:S745" si="593">(S$746-S$743)/($N$746-$N$743)*($N744-$N$743)+S$743</f>
        <v>2.639527830315604</v>
      </c>
      <c r="T744">
        <f>$S744+測地線補正!$Q$26*(lattice!$N744/1000)^3+測地線補正!$P$26*(lattice!$N744/1000)^2+測地線補正!$O$26*(lattice!$N744/1000)+測地線補正!$N$26</f>
        <v>-0.98901268235978201</v>
      </c>
      <c r="U744">
        <f>-ATAN(($P$744-$P$743)/ABS($N$744-$N$743))</f>
        <v>6.4106024267409736E-5</v>
      </c>
      <c r="V744">
        <v>0</v>
      </c>
      <c r="W744">
        <f>ATAN(($M$744-$M$743)/ABS($N$744-$N$743))</f>
        <v>6.926854650151315E-4</v>
      </c>
      <c r="X744">
        <f>$Z$744-($Y$744+$Y$742)/2</f>
        <v>151.21823656331784</v>
      </c>
      <c r="Y744">
        <f>_xlfn.XLOOKUP($F744,設計座標!$E$13:$E$2301,設計座標!$L$13:$L$2301," ",0,1)</f>
        <v>190</v>
      </c>
      <c r="Z744">
        <f>SQRT(($M$744-$M$742)^2+($N$744-$N$742)^2)</f>
        <v>246.21823656331784</v>
      </c>
      <c r="AA744">
        <f>_xlfn.XLOOKUP($G744,magnet_list!$A$2:$A$592,magnet_list!$AJ$2:$AJ$592,"n/a",0,1)</f>
        <v>0.2039</v>
      </c>
      <c r="AB744">
        <f>_xlfn.XLOOKUP($G744,magnet_list!$A$2:$A$592,magnet_list!$L$2:$L$592,"n/a",0,1)</f>
        <v>23</v>
      </c>
    </row>
    <row r="745" spans="1:28">
      <c r="A745" t="s">
        <v>797</v>
      </c>
      <c r="B745" t="s">
        <v>3813</v>
      </c>
      <c r="C745" t="s">
        <v>805</v>
      </c>
      <c r="D745" t="s">
        <v>1152</v>
      </c>
      <c r="E745" t="s">
        <v>804</v>
      </c>
      <c r="F745" t="s">
        <v>613</v>
      </c>
      <c r="G745" t="s">
        <v>129</v>
      </c>
      <c r="I745">
        <f>_xlfn.XLOOKUP($F745,設計座標!$E$13:$E$2301,設計座標!$G$13:$G$2301,"n/a",0,1)</f>
        <v>223.61541410529881</v>
      </c>
      <c r="J745">
        <f>_xlfn.XLOOKUP($F745,設計座標!$E$13:$E$2301,設計座標!$H$13:$H$2301,"n/a",0,1)</f>
        <v>-15000</v>
      </c>
      <c r="K745">
        <f>_xlfn.XLOOKUP($F745,設計座標!$E$13:$E$2301,設計座標!$I$13:$I$2301,"n/a",0,1)</f>
        <v>40846.643360610004</v>
      </c>
      <c r="L745">
        <f>_xlfn.XLOOKUP($F745,設計座標!$E$13:$E$2301,設計座標!$J$13:$J$2301,"n/a",0,1)</f>
        <v>-20</v>
      </c>
      <c r="M745" s="2">
        <f t="shared" si="568"/>
        <v>-15002.701268198185</v>
      </c>
      <c r="N745" s="2">
        <f t="shared" si="569"/>
        <v>40846.643360610004</v>
      </c>
      <c r="O745" s="23">
        <f t="shared" si="570"/>
        <v>-17.397230020315604</v>
      </c>
      <c r="P745" s="1">
        <f t="shared" si="580"/>
        <v>-21.007926286462162</v>
      </c>
      <c r="Q745" s="1">
        <f>(Q$746-Q$743)/($N$746-$N$743)*($N745-$N$743)+Q$743</f>
        <v>-2.70126819818416</v>
      </c>
      <c r="R745">
        <f t="shared" si="550"/>
        <v>0</v>
      </c>
      <c r="S745" s="23">
        <f t="shared" si="593"/>
        <v>2.6027699796843962</v>
      </c>
      <c r="T745">
        <f>$S745+測地線補正!$Q$26*(lattice!$N745/1000)^3+測地線補正!$P$26*(lattice!$N745/1000)^2+測地線補正!$O$26*(lattice!$N745/1000)+測地線補正!$N$26</f>
        <v>-1.007926286462163</v>
      </c>
      <c r="U745">
        <f>-ATAN(($P$746-$P$745)/ABS($N$746-$N$745))</f>
        <v>6.4235710801572018E-5</v>
      </c>
      <c r="V745">
        <v>0</v>
      </c>
      <c r="W745">
        <f>ATAN(($M$746-$M$745)/ABS($N$746-$N$745))</f>
        <v>6.926854650151315E-4</v>
      </c>
      <c r="X745">
        <f>$Z$745-($Y$745+$Y$744)/2</f>
        <v>104.73818965962107</v>
      </c>
      <c r="Y745">
        <f>_xlfn.XLOOKUP($F745,設計座標!$E$13:$E$2301,設計座標!$L$13:$L$2301," ",0,1)</f>
        <v>190</v>
      </c>
      <c r="Z745">
        <f>SQRT(($M$745-$M$744)^2+($N$745-$N$744)^2)</f>
        <v>294.73818965962107</v>
      </c>
      <c r="AA745">
        <f>_xlfn.XLOOKUP($G745,magnet_list!$A$2:$A$592,magnet_list!$AJ$2:$AJ$592,"n/a",0,1)</f>
        <v>0.2039</v>
      </c>
      <c r="AB745">
        <f>_xlfn.XLOOKUP($G745,magnet_list!$A$2:$A$592,magnet_list!$L$2:$L$592,"n/a",0,1)</f>
        <v>23</v>
      </c>
    </row>
    <row r="746" spans="1:28">
      <c r="A746" t="s">
        <v>797</v>
      </c>
      <c r="B746" t="s">
        <v>3813</v>
      </c>
      <c r="C746" t="s">
        <v>805</v>
      </c>
      <c r="D746" t="s">
        <v>806</v>
      </c>
      <c r="F746" t="s">
        <v>129</v>
      </c>
      <c r="G746" t="s">
        <v>129</v>
      </c>
      <c r="I746">
        <f>_xlfn.XLOOKUP($F746,設計座標!$E$13:$E$2301,設計座標!$G$13:$G$2301,"n/a",0,1)</f>
        <v>223.6904141052988</v>
      </c>
      <c r="J746">
        <f>_xlfn.XLOOKUP($F746,設計座標!$E$13:$E$2301,設計座標!$H$13:$H$2301,"n/a",0,1)</f>
        <v>-15000</v>
      </c>
      <c r="K746">
        <f>_xlfn.XLOOKUP($F746,設計座標!$E$13:$E$2301,設計座標!$I$13:$I$2301,"n/a",0,1)</f>
        <v>40771.643360610004</v>
      </c>
      <c r="L746">
        <f>_xlfn.XLOOKUP($F746,設計座標!$E$13:$E$2301,設計座標!$J$13:$J$2301,"n/a",0,1)</f>
        <v>-20</v>
      </c>
      <c r="M746" s="2">
        <f>_xlfn.XLOOKUP($F746,survey_data!$A$2:$A$833,survey_data!$B$2:$B$833,"n/a",0,1)</f>
        <v>-15002.64931678</v>
      </c>
      <c r="N746" s="2">
        <f>_xlfn.XLOOKUP($F746,survey_data!$A$2:$A$833,survey_data!$C$2:$C$833,"n/a",0,1)</f>
        <v>40771.643360610004</v>
      </c>
      <c r="O746" s="23">
        <f>_xlfn.XLOOKUP($F746,survey_data!$A$2:$A$833,survey_data!$D$2:$D$833,"n/a",0,1)</f>
        <v>-17.40658354</v>
      </c>
      <c r="P746" s="1">
        <f t="shared" si="580"/>
        <v>-21.012743964778906</v>
      </c>
      <c r="Q746" s="1">
        <f t="shared" si="559"/>
        <v>-2.6493167799999355</v>
      </c>
      <c r="R746">
        <f t="shared" si="550"/>
        <v>0</v>
      </c>
      <c r="S746" s="23">
        <f t="shared" si="560"/>
        <v>2.5934164600000003</v>
      </c>
      <c r="T746">
        <f>$S746+測地線補正!$Q$26*(lattice!$N746/1000)^3+測地線補正!$P$26*(lattice!$N746/1000)^2+測地線補正!$O$26*(lattice!$N746/1000)+測地線補正!$N$26</f>
        <v>-1.0127439647789058</v>
      </c>
      <c r="U746">
        <f>-ATAN(($P$746-$P$745)/ABS($N$746-$N$745))</f>
        <v>6.4235710801572018E-5</v>
      </c>
      <c r="V746">
        <v>0</v>
      </c>
      <c r="W746">
        <f>ATAN(($M$746-$M$745)/ABS($N$746-$N$745))</f>
        <v>6.926854650151315E-4</v>
      </c>
      <c r="X746">
        <f>$Z$745-($Y$745+$Y$744)/2</f>
        <v>104.73818965962107</v>
      </c>
      <c r="Y746">
        <f>_xlfn.XLOOKUP($F746,設計座標!$E$13:$E$2301,設計座標!$L$13:$L$2301," ",0,1)</f>
        <v>190</v>
      </c>
      <c r="Z746">
        <f>SQRT(($M$745-$M$744)^2+($N$745-$N$744)^2)</f>
        <v>294.73818965962107</v>
      </c>
      <c r="AA746">
        <f>_xlfn.XLOOKUP($G746,magnet_list!$A$2:$A$592,magnet_list!$AJ$2:$AJ$592,"n/a",0,1)</f>
        <v>0.2039</v>
      </c>
      <c r="AB746">
        <f>_xlfn.XLOOKUP($G746,magnet_list!$A$2:$A$592,magnet_list!$L$2:$L$592,"n/a",0,1)</f>
        <v>23</v>
      </c>
    </row>
    <row r="747" spans="1:28">
      <c r="A747" t="s">
        <v>797</v>
      </c>
      <c r="B747" t="s">
        <v>3813</v>
      </c>
      <c r="C747" t="s">
        <v>2288</v>
      </c>
      <c r="D747" t="s">
        <v>1152</v>
      </c>
      <c r="E747" t="s">
        <v>804</v>
      </c>
      <c r="F747" t="s">
        <v>2319</v>
      </c>
      <c r="G747" t="s">
        <v>2319</v>
      </c>
      <c r="I747">
        <f>_xlfn.XLOOKUP($F747,設計座標!$E$13:$E$2301,設計座標!$G$13:$G$2301,"n/a",0,1)</f>
        <v>224.26745776136889</v>
      </c>
      <c r="J747">
        <f>_xlfn.XLOOKUP($F747,設計座標!$E$13:$E$2301,設計座標!$H$13:$H$2301,"n/a",0,1)</f>
        <v>-15000</v>
      </c>
      <c r="K747">
        <f>_xlfn.XLOOKUP($F747,設計座標!$E$13:$E$2301,設計座標!$I$13:$I$2301,"n/a",0,1)</f>
        <v>40194.599704539942</v>
      </c>
      <c r="L747">
        <f>_xlfn.XLOOKUP($F747,設計座標!$E$13:$E$2301,設計座標!$J$13:$J$2301,"n/a",0,1)</f>
        <v>-270</v>
      </c>
      <c r="M747" s="2">
        <f t="shared" si="568"/>
        <v>-15002.601753639494</v>
      </c>
      <c r="N747" s="2">
        <f t="shared" si="569"/>
        <v>40194.599704539942</v>
      </c>
      <c r="O747" s="23">
        <f t="shared" si="570"/>
        <v>-267.47024631045571</v>
      </c>
      <c r="P747" s="1">
        <f t="shared" si="580"/>
        <v>-271.04157428237232</v>
      </c>
      <c r="Q747" s="1">
        <f>(Q$748-Q$746)/($N$748-$N$746)*($N747-$N$746)+Q$746</f>
        <v>-2.6017536394930252</v>
      </c>
      <c r="R747">
        <f t="shared" ref="R747:R810" si="594">$N747-$K747</f>
        <v>0</v>
      </c>
      <c r="S747" s="23">
        <f>(S$748-S$746)/($N$748-$N$746)*($N747-$N$746)+S$746</f>
        <v>2.5297536895442709</v>
      </c>
      <c r="T747">
        <f>$S747+測地線補正!$Q$26*(lattice!$N747/1000)^3+測地線補正!$P$26*(lattice!$N747/1000)^2+測地線補正!$O$26*(lattice!$N747/1000)+測地線補正!$N$26</f>
        <v>-1.041574282372332</v>
      </c>
      <c r="U747">
        <v>0</v>
      </c>
      <c r="V747">
        <v>0</v>
      </c>
      <c r="W747">
        <v>0</v>
      </c>
      <c r="X747">
        <f>$Z$747-($Y$747+$Y$745)/2</f>
        <v>557.04366366399154</v>
      </c>
      <c r="Y747">
        <f>_xlfn.XLOOKUP($F747,設計座標!$E$13:$E$2301,設計座標!$L$13:$L$2301," ",0,1)</f>
        <v>0</v>
      </c>
      <c r="Z747">
        <f>SQRT(($M$747-$M$745)^2+($N$747-$N$745)^2)</f>
        <v>652.04366366399154</v>
      </c>
    </row>
    <row r="748" spans="1:28">
      <c r="A748" t="s">
        <v>797</v>
      </c>
      <c r="B748" t="s">
        <v>3813</v>
      </c>
      <c r="C748" t="s">
        <v>805</v>
      </c>
      <c r="D748" t="s">
        <v>806</v>
      </c>
      <c r="F748" t="s">
        <v>130</v>
      </c>
      <c r="G748" t="s">
        <v>2494</v>
      </c>
      <c r="I748">
        <f>_xlfn.XLOOKUP($F748,設計座標!$E$13:$E$2301,設計座標!$G$13:$G$2301,"n/a",0,1)</f>
        <v>226.53279685040883</v>
      </c>
      <c r="J748">
        <f>_xlfn.XLOOKUP($F748,設計座標!$E$13:$E$2301,設計座標!$H$13:$H$2301,"n/a",0,1)</f>
        <v>-15000</v>
      </c>
      <c r="K748">
        <f>_xlfn.XLOOKUP($F748,設計座標!$E$13:$E$2301,設計座標!$I$13:$I$2301,"n/a",0,1)</f>
        <v>37929.260615500003</v>
      </c>
      <c r="L748">
        <f>_xlfn.XLOOKUP($F748,設計座標!$E$13:$E$2301,設計座標!$J$13:$J$2301,"n/a",0,1)</f>
        <v>-70</v>
      </c>
      <c r="M748" s="2">
        <f>_xlfn.XLOOKUP($F748,survey_data!$A$2:$A$833,survey_data!$B$2:$B$833,"n/a",0,1)</f>
        <v>-15002.415031820001</v>
      </c>
      <c r="N748" s="2">
        <f>_xlfn.XLOOKUP($F748,survey_data!$A$2:$A$833,survey_data!$C$2:$C$833,"n/a",0,1)</f>
        <v>37929.260615500003</v>
      </c>
      <c r="O748" s="23">
        <f>_xlfn.XLOOKUP($F748,survey_data!$A$2:$A$833,survey_data!$D$2:$D$833,"n/a",0,1)</f>
        <v>-67.720171530000002</v>
      </c>
      <c r="P748" s="1">
        <f t="shared" si="580"/>
        <v>-71.155881069431189</v>
      </c>
      <c r="Q748" s="1">
        <f t="shared" ref="Q748:Q796" si="595">$M748-$J748</f>
        <v>-2.4150318200008769</v>
      </c>
      <c r="R748">
        <f t="shared" si="594"/>
        <v>0</v>
      </c>
      <c r="S748" s="23">
        <f t="shared" ref="S748:S796" si="596">$O748-$L748</f>
        <v>2.2798284699999982</v>
      </c>
      <c r="T748">
        <f>$S748+測地線補正!$Q$26*(lattice!$N748/1000)^3+測地線補正!$P$26*(lattice!$N748/1000)^2+測地線補正!$O$26*(lattice!$N748/1000)+測地線補正!$N$26</f>
        <v>-1.1558810694311958</v>
      </c>
      <c r="U748">
        <f>-ATAN(($P$750-$P$748)/ABS($N$750-$N$748))</f>
        <v>-5.9330414862923263E-4</v>
      </c>
      <c r="V748">
        <v>0</v>
      </c>
      <c r="W748">
        <f>ATAN(($M$750-$M$748)/ABS($N$750-$N$748))</f>
        <v>-1.3134957374269583E-4</v>
      </c>
      <c r="X748">
        <f>$Z$749-($Y$749+$Y$747)/2</f>
        <v>2255.3472196920711</v>
      </c>
      <c r="Y748">
        <f>_xlfn.XLOOKUP($F748,設計座標!$E$13:$E$2301,設計座標!$L$13:$L$2301," ",0,1)</f>
        <v>100</v>
      </c>
      <c r="Z748">
        <f>SQRT(($M$749-$M$747)^2+($N$749-$N$747)^2)</f>
        <v>2305.3472196920711</v>
      </c>
      <c r="AA748">
        <f>_xlfn.XLOOKUP($G748,magnet_list!$A$2:$A$592,magnet_list!$AJ$2:$AJ$592,"n/a",0,1)</f>
        <v>0.1415535</v>
      </c>
      <c r="AB748">
        <f>_xlfn.XLOOKUP($G748,magnet_list!$A$2:$A$592,magnet_list!$L$2:$L$592,"n/a",0,1)</f>
        <v>44</v>
      </c>
    </row>
    <row r="749" spans="1:28">
      <c r="A749" t="s">
        <v>797</v>
      </c>
      <c r="B749" t="s">
        <v>3813</v>
      </c>
      <c r="C749" t="s">
        <v>805</v>
      </c>
      <c r="D749" t="s">
        <v>1152</v>
      </c>
      <c r="E749" t="s">
        <v>804</v>
      </c>
      <c r="F749" t="s">
        <v>614</v>
      </c>
      <c r="G749" t="s">
        <v>2494</v>
      </c>
      <c r="I749">
        <f>_xlfn.XLOOKUP($F749,設計座標!$E$13:$E$2301,設計座標!$G$13:$G$2301,"n/a",0,1)</f>
        <v>226.57280497391884</v>
      </c>
      <c r="J749">
        <f>_xlfn.XLOOKUP($F749,設計座標!$E$13:$E$2301,設計座標!$H$13:$H$2301,"n/a",0,1)</f>
        <v>-15000</v>
      </c>
      <c r="K749">
        <f>_xlfn.XLOOKUP($F749,設計座標!$E$13:$E$2301,設計座標!$I$13:$I$2301,"n/a",0,1)</f>
        <v>37889.252491990002</v>
      </c>
      <c r="L749">
        <f>_xlfn.XLOOKUP($F749,設計座標!$E$13:$E$2301,設計座標!$J$13:$J$2301,"n/a",0,1)</f>
        <v>-70</v>
      </c>
      <c r="M749" s="2">
        <f t="shared" si="568"/>
        <v>-15002.420286870001</v>
      </c>
      <c r="N749" s="2">
        <f t="shared" si="569"/>
        <v>37889.252491990002</v>
      </c>
      <c r="O749" s="23">
        <f t="shared" si="570"/>
        <v>-67.698813330000007</v>
      </c>
      <c r="P749" s="1">
        <f t="shared" si="580"/>
        <v>-71.132143802295545</v>
      </c>
      <c r="Q749" s="1">
        <f>(Q$750-Q$748)/($N$750-$N$748)*($N749-$N$748)+Q$748</f>
        <v>-2.4202868700003819</v>
      </c>
      <c r="R749">
        <f t="shared" si="594"/>
        <v>0</v>
      </c>
      <c r="S749" s="23">
        <f>(S$750-S$748)/($N$750-$N$748)*($N749-$N$748)+S$748</f>
        <v>2.3011866699999999</v>
      </c>
      <c r="T749">
        <f>$S749+測地線補正!$Q$26*(lattice!$N749/1000)^3+測地線補正!$P$26*(lattice!$N749/1000)^2+測地線補正!$O$26*(lattice!$N749/1000)+測地線補正!$N$26</f>
        <v>-1.1321438022955499</v>
      </c>
      <c r="U749">
        <f t="shared" ref="U749:U750" si="597">-ATAN(($P$750-$P$748)/ABS($N$750-$N$748))</f>
        <v>-5.9330414862923263E-4</v>
      </c>
      <c r="V749">
        <v>0</v>
      </c>
      <c r="W749">
        <f t="shared" ref="W749:W750" si="598">ATAN(($M$750-$M$748)/ABS($N$750-$N$748))</f>
        <v>-1.3134957374269583E-4</v>
      </c>
      <c r="X749">
        <f>$Z$749-($Y$749+$Y$747)/2</f>
        <v>2255.3472196920711</v>
      </c>
      <c r="Y749">
        <f>_xlfn.XLOOKUP($F749,設計座標!$E$13:$E$2301,設計座標!$L$13:$L$2301," ",0,1)</f>
        <v>100</v>
      </c>
      <c r="Z749">
        <f>SQRT(($M$749-$M$747)^2+($N$749-$N$747)^2)</f>
        <v>2305.3472196920711</v>
      </c>
      <c r="AA749">
        <f>_xlfn.XLOOKUP($G749,magnet_list!$A$2:$A$592,magnet_list!$AJ$2:$AJ$592,"n/a",0,1)</f>
        <v>0.1415535</v>
      </c>
      <c r="AB749">
        <f>_xlfn.XLOOKUP($G749,magnet_list!$A$2:$A$592,magnet_list!$L$2:$L$592,"n/a",0,1)</f>
        <v>44</v>
      </c>
    </row>
    <row r="750" spans="1:28">
      <c r="A750" t="s">
        <v>797</v>
      </c>
      <c r="B750" t="s">
        <v>3813</v>
      </c>
      <c r="C750" t="s">
        <v>805</v>
      </c>
      <c r="D750" t="s">
        <v>806</v>
      </c>
      <c r="F750" t="s">
        <v>131</v>
      </c>
      <c r="G750" t="s">
        <v>2494</v>
      </c>
      <c r="I750">
        <f>_xlfn.XLOOKUP($F750,設計座標!$E$13:$E$2301,設計座標!$G$13:$G$2301,"n/a",0,1)</f>
        <v>226.61281309742884</v>
      </c>
      <c r="J750">
        <f>_xlfn.XLOOKUP($F750,設計座標!$E$13:$E$2301,設計座標!$H$13:$H$2301,"n/a",0,1)</f>
        <v>-15000</v>
      </c>
      <c r="K750">
        <f>_xlfn.XLOOKUP($F750,設計座標!$E$13:$E$2301,設計座標!$I$13:$I$2301,"n/a",0,1)</f>
        <v>37849.244368480002</v>
      </c>
      <c r="L750">
        <f>_xlfn.XLOOKUP($F750,設計座標!$E$13:$E$2301,設計座標!$J$13:$J$2301,"n/a",0,1)</f>
        <v>-70</v>
      </c>
      <c r="M750" s="2">
        <f>_xlfn.XLOOKUP($F750,survey_data!$A$2:$A$833,survey_data!$B$2:$B$833,"n/a",0,1)</f>
        <v>-15002.42554192</v>
      </c>
      <c r="N750" s="2">
        <f>_xlfn.XLOOKUP($F750,survey_data!$A$2:$A$833,survey_data!$C$2:$C$833,"n/a",0,1)</f>
        <v>37849.244368480002</v>
      </c>
      <c r="O750" s="23">
        <f>_xlfn.XLOOKUP($F750,survey_data!$A$2:$A$833,survey_data!$D$2:$D$833,"n/a",0,1)</f>
        <v>-67.677455129999998</v>
      </c>
      <c r="P750" s="1">
        <f t="shared" si="580"/>
        <v>-71.108407092546045</v>
      </c>
      <c r="Q750" s="1">
        <f t="shared" si="595"/>
        <v>-2.4255419199998869</v>
      </c>
      <c r="R750">
        <f t="shared" si="594"/>
        <v>0</v>
      </c>
      <c r="S750" s="23">
        <f t="shared" si="596"/>
        <v>2.3225448700000015</v>
      </c>
      <c r="T750">
        <f>$S750+測地線補正!$Q$26*(lattice!$N750/1000)^3+測地線補正!$P$26*(lattice!$N750/1000)^2+測地線補正!$O$26*(lattice!$N750/1000)+測地線補正!$N$26</f>
        <v>-1.1084070925460439</v>
      </c>
      <c r="U750">
        <f t="shared" si="597"/>
        <v>-5.9330414862923263E-4</v>
      </c>
      <c r="V750">
        <v>0</v>
      </c>
      <c r="W750">
        <f t="shared" si="598"/>
        <v>-1.3134957374269583E-4</v>
      </c>
      <c r="X750">
        <f>$Z$749-($Y$749+$Y$747)/2</f>
        <v>2255.3472196920711</v>
      </c>
      <c r="Y750">
        <f>_xlfn.XLOOKUP($F750,設計座標!$E$13:$E$2301,設計座標!$L$13:$L$2301," ",0,1)</f>
        <v>100</v>
      </c>
      <c r="Z750">
        <f>SQRT(($M$749-$M$747)^2+($N$749-$N$747)^2)</f>
        <v>2305.3472196920711</v>
      </c>
      <c r="AA750">
        <f>_xlfn.XLOOKUP($G750,magnet_list!$A$2:$A$592,magnet_list!$AJ$2:$AJ$592,"n/a",0,1)</f>
        <v>0.1415535</v>
      </c>
      <c r="AB750">
        <f>_xlfn.XLOOKUP($G750,magnet_list!$A$2:$A$592,magnet_list!$L$2:$L$592,"n/a",0,1)</f>
        <v>44</v>
      </c>
    </row>
    <row r="751" spans="1:28">
      <c r="A751" t="s">
        <v>797</v>
      </c>
      <c r="B751" t="s">
        <v>3813</v>
      </c>
      <c r="C751" t="s">
        <v>805</v>
      </c>
      <c r="D751" t="s">
        <v>806</v>
      </c>
      <c r="F751" t="s">
        <v>132</v>
      </c>
      <c r="G751" t="s">
        <v>2495</v>
      </c>
      <c r="I751">
        <f>_xlfn.XLOOKUP($F751,設計座標!$E$13:$E$2301,設計座標!$G$13:$G$2301,"n/a",0,1)</f>
        <v>226.79188629507885</v>
      </c>
      <c r="J751">
        <f>_xlfn.XLOOKUP($F751,設計座標!$E$13:$E$2301,設計座標!$H$13:$H$2301,"n/a",0,1)</f>
        <v>-15000</v>
      </c>
      <c r="K751">
        <f>_xlfn.XLOOKUP($F751,設計座標!$E$13:$E$2301,設計座標!$I$13:$I$2301,"n/a",0,1)</f>
        <v>37670.171170829999</v>
      </c>
      <c r="L751">
        <f>_xlfn.XLOOKUP($F751,設計座標!$E$13:$E$2301,設計座標!$J$13:$J$2301,"n/a",0,1)</f>
        <v>-70</v>
      </c>
      <c r="M751" s="2">
        <f>_xlfn.XLOOKUP($F751,survey_data!$A$2:$A$833,survey_data!$B$2:$B$833,"n/a",0,1)</f>
        <v>-15002.42182869</v>
      </c>
      <c r="N751" s="2">
        <f>_xlfn.XLOOKUP($F751,survey_data!$A$2:$A$833,survey_data!$C$2:$C$833,"n/a",0,1)</f>
        <v>37670.171170829999</v>
      </c>
      <c r="O751" s="23">
        <f>_xlfn.XLOOKUP($F751,survey_data!$A$2:$A$833,survey_data!$D$2:$D$833,"n/a",0,1)</f>
        <v>-67.671068070000004</v>
      </c>
      <c r="P751" s="1">
        <f t="shared" si="580"/>
        <v>-71.091380840289759</v>
      </c>
      <c r="Q751" s="1">
        <f t="shared" si="595"/>
        <v>-2.4218286899995292</v>
      </c>
      <c r="R751">
        <f t="shared" si="594"/>
        <v>0</v>
      </c>
      <c r="S751" s="23">
        <f t="shared" si="596"/>
        <v>2.328931929999996</v>
      </c>
      <c r="T751">
        <f>$S751+測地線補正!$Q$26*(lattice!$N751/1000)^3+測地線補正!$P$26*(lattice!$N751/1000)^2+測地線補正!$O$26*(lattice!$N751/1000)+測地線補正!$N$26</f>
        <v>-1.0913808402897545</v>
      </c>
      <c r="U751">
        <f>-ATAN(($P$753-$P$751)/ABS($N$753-$N$751))</f>
        <v>-5.0995368134108682E-5</v>
      </c>
      <c r="V751">
        <v>0</v>
      </c>
      <c r="W751">
        <f>ATAN(($M$753-$M$751)/ABS($N$753-$N$751))</f>
        <v>1.9825089346921473E-4</v>
      </c>
      <c r="X751">
        <f>$Z$752-($Y$752+$Y$749)/2</f>
        <v>159.08873183379944</v>
      </c>
      <c r="Y751">
        <f>_xlfn.XLOOKUP($F751,設計座標!$E$13:$E$2301,設計座標!$L$13:$L$2301," ",0,1)</f>
        <v>100</v>
      </c>
      <c r="Z751">
        <f>SQRT(($M$752-$M$749)^2+($N$752-$N$749)^2)</f>
        <v>259.08873183379944</v>
      </c>
      <c r="AA751">
        <f>_xlfn.XLOOKUP($G751,magnet_list!$A$2:$A$592,magnet_list!$AJ$2:$AJ$592,"n/a",0,1)</f>
        <v>0.1415535</v>
      </c>
      <c r="AB751">
        <f>_xlfn.XLOOKUP($G751,magnet_list!$A$2:$A$592,magnet_list!$L$2:$L$592,"n/a",0,1)</f>
        <v>44</v>
      </c>
    </row>
    <row r="752" spans="1:28">
      <c r="A752" t="s">
        <v>797</v>
      </c>
      <c r="B752" t="s">
        <v>3813</v>
      </c>
      <c r="C752" t="s">
        <v>805</v>
      </c>
      <c r="D752" t="s">
        <v>1152</v>
      </c>
      <c r="E752" t="s">
        <v>804</v>
      </c>
      <c r="F752" t="s">
        <v>615</v>
      </c>
      <c r="G752" t="s">
        <v>2495</v>
      </c>
      <c r="I752">
        <f>_xlfn.XLOOKUP($F752,設計座標!$E$13:$E$2301,設計座標!$G$13:$G$2301,"n/a",0,1)</f>
        <v>226.83189370567385</v>
      </c>
      <c r="J752">
        <f>_xlfn.XLOOKUP($F752,設計座標!$E$13:$E$2301,設計座標!$H$13:$H$2301,"n/a",0,1)</f>
        <v>-15000</v>
      </c>
      <c r="K752">
        <f>_xlfn.XLOOKUP($F752,設計座標!$E$13:$E$2301,設計座標!$I$13:$I$2301,"n/a",0,1)</f>
        <v>37630.163760234995</v>
      </c>
      <c r="L752">
        <f>_xlfn.XLOOKUP($F752,設計座標!$E$13:$E$2301,設計座標!$J$13:$J$2301,"n/a",0,1)</f>
        <v>-70</v>
      </c>
      <c r="M752" s="2">
        <f t="shared" ref="M752:M815" si="599">$J752+$Q752</f>
        <v>-15002.413897184999</v>
      </c>
      <c r="N752" s="2">
        <f t="shared" ref="N752:N815" si="600">$K752</f>
        <v>37630.163760234995</v>
      </c>
      <c r="O752" s="23">
        <f t="shared" ref="O752:O815" si="601">$L752+$S752</f>
        <v>-67.67140301500001</v>
      </c>
      <c r="P752" s="1">
        <f t="shared" si="580"/>
        <v>-71.089340369142263</v>
      </c>
      <c r="Q752" s="1">
        <f>(Q$753-Q$751)/($N$753-$N$751)*($N752-$N$751)+Q$751</f>
        <v>-2.4138971849997679</v>
      </c>
      <c r="R752">
        <f t="shared" si="594"/>
        <v>0</v>
      </c>
      <c r="S752" s="23">
        <f>(S$753-S$751)/($N$753-$N$751)*($N752-$N$751)+S$751</f>
        <v>2.3285969849999972</v>
      </c>
      <c r="T752">
        <f>$S752+測地線補正!$Q$26*(lattice!$N752/1000)^3+測地線補正!$P$26*(lattice!$N752/1000)^2+測地線補正!$O$26*(lattice!$N752/1000)+測地線補正!$N$26</f>
        <v>-1.0893403691422636</v>
      </c>
      <c r="U752">
        <f t="shared" ref="U752:U753" si="602">-ATAN(($P$753-$P$751)/ABS($N$753-$N$751))</f>
        <v>-5.0995368134108682E-5</v>
      </c>
      <c r="V752">
        <v>0</v>
      </c>
      <c r="W752">
        <f t="shared" ref="W752:W753" si="603">ATAN(($M$753-$M$751)/ABS($N$753-$N$751))</f>
        <v>1.9825089346921473E-4</v>
      </c>
      <c r="X752">
        <f>$Z$752-($Y$752+$Y$749)/2</f>
        <v>159.08873183379944</v>
      </c>
      <c r="Y752">
        <f>_xlfn.XLOOKUP($F752,設計座標!$E$13:$E$2301,設計座標!$L$13:$L$2301," ",0,1)</f>
        <v>100</v>
      </c>
      <c r="Z752">
        <f>SQRT(($M$752-$M$749)^2+($N$752-$N$749)^2)</f>
        <v>259.08873183379944</v>
      </c>
      <c r="AA752">
        <f>_xlfn.XLOOKUP($G752,magnet_list!$A$2:$A$592,magnet_list!$AJ$2:$AJ$592,"n/a",0,1)</f>
        <v>0.1415535</v>
      </c>
      <c r="AB752">
        <f>_xlfn.XLOOKUP($G752,magnet_list!$A$2:$A$592,magnet_list!$L$2:$L$592,"n/a",0,1)</f>
        <v>44</v>
      </c>
    </row>
    <row r="753" spans="1:28">
      <c r="A753" t="s">
        <v>797</v>
      </c>
      <c r="B753" t="s">
        <v>3813</v>
      </c>
      <c r="C753" t="s">
        <v>805</v>
      </c>
      <c r="D753" t="s">
        <v>806</v>
      </c>
      <c r="F753" t="s">
        <v>133</v>
      </c>
      <c r="G753" t="s">
        <v>2495</v>
      </c>
      <c r="I753">
        <f>_xlfn.XLOOKUP($F753,設計座標!$E$13:$E$2301,設計座標!$G$13:$G$2301,"n/a",0,1)</f>
        <v>226.87190111626884</v>
      </c>
      <c r="J753">
        <f>_xlfn.XLOOKUP($F753,設計座標!$E$13:$E$2301,設計座標!$H$13:$H$2301,"n/a",0,1)</f>
        <v>-15000</v>
      </c>
      <c r="K753">
        <f>_xlfn.XLOOKUP($F753,設計座標!$E$13:$E$2301,設計座標!$I$13:$I$2301,"n/a",0,1)</f>
        <v>37590.156349639998</v>
      </c>
      <c r="L753">
        <f>_xlfn.XLOOKUP($F753,設計座標!$E$13:$E$2301,設計座標!$J$13:$J$2301,"n/a",0,1)</f>
        <v>-70</v>
      </c>
      <c r="M753" s="2">
        <f>_xlfn.XLOOKUP($F753,survey_data!$A$2:$A$833,survey_data!$B$2:$B$833,"n/a",0,1)</f>
        <v>-15002.40596568</v>
      </c>
      <c r="N753" s="2">
        <f>_xlfn.XLOOKUP($F753,survey_data!$A$2:$A$833,survey_data!$C$2:$C$833,"n/a",0,1)</f>
        <v>37590.156349639998</v>
      </c>
      <c r="O753" s="23">
        <f>_xlfn.XLOOKUP($F753,survey_data!$A$2:$A$833,survey_data!$D$2:$D$833,"n/a",0,1)</f>
        <v>-67.671737960000002</v>
      </c>
      <c r="P753" s="1">
        <f t="shared" si="580"/>
        <v>-71.087300455023453</v>
      </c>
      <c r="Q753" s="1">
        <f t="shared" si="595"/>
        <v>-2.4059656800000084</v>
      </c>
      <c r="R753">
        <f t="shared" si="594"/>
        <v>0</v>
      </c>
      <c r="S753" s="23">
        <f t="shared" si="596"/>
        <v>2.3282620399999985</v>
      </c>
      <c r="T753">
        <f>$S753+測地線補正!$Q$26*(lattice!$N753/1000)^3+測地線補正!$P$26*(lattice!$N753/1000)^2+測地線補正!$O$26*(lattice!$N753/1000)+測地線補正!$N$26</f>
        <v>-1.0873004550234535</v>
      </c>
      <c r="U753">
        <f t="shared" si="602"/>
        <v>-5.0995368134108682E-5</v>
      </c>
      <c r="V753">
        <v>0</v>
      </c>
      <c r="W753">
        <f t="shared" si="603"/>
        <v>1.9825089346921473E-4</v>
      </c>
      <c r="X753">
        <f>$Z$752-($Y$752+$Y$749)/2</f>
        <v>159.08873183379944</v>
      </c>
      <c r="Y753">
        <f>_xlfn.XLOOKUP($F753,設計座標!$E$13:$E$2301,設計座標!$L$13:$L$2301," ",0,1)</f>
        <v>100</v>
      </c>
      <c r="Z753">
        <f>SQRT(($M$752-$M$749)^2+($N$752-$N$749)^2)</f>
        <v>259.08873183379944</v>
      </c>
      <c r="AA753">
        <f>_xlfn.XLOOKUP($G753,magnet_list!$A$2:$A$592,magnet_list!$AJ$2:$AJ$592,"n/a",0,1)</f>
        <v>0.1415535</v>
      </c>
      <c r="AB753">
        <f>_xlfn.XLOOKUP($G753,magnet_list!$A$2:$A$592,magnet_list!$L$2:$L$592,"n/a",0,1)</f>
        <v>44</v>
      </c>
    </row>
    <row r="754" spans="1:28">
      <c r="A754" t="s">
        <v>797</v>
      </c>
      <c r="B754" t="s">
        <v>3813</v>
      </c>
      <c r="C754" t="s">
        <v>804</v>
      </c>
      <c r="D754" t="s">
        <v>1152</v>
      </c>
      <c r="E754" t="s">
        <v>804</v>
      </c>
      <c r="F754" t="s">
        <v>1546</v>
      </c>
      <c r="G754" t="s">
        <v>2496</v>
      </c>
      <c r="I754">
        <f>_xlfn.XLOOKUP($F754,設計座標!$E$13:$E$2301,設計座標!$G$13:$G$2301,"n/a",0,1)</f>
        <v>228.4429364613689</v>
      </c>
      <c r="J754">
        <f>_xlfn.XLOOKUP($F754,設計座標!$E$13:$E$2301,設計座標!$H$13:$H$2301,"n/a",0,1)</f>
        <v>-15000</v>
      </c>
      <c r="K754">
        <f>_xlfn.XLOOKUP($F754,設計座標!$E$13:$E$2301,設計座標!$I$13:$I$2301,"n/a",0,1)</f>
        <v>36019.121004539942</v>
      </c>
      <c r="L754">
        <f>_xlfn.XLOOKUP($F754,設計座標!$E$13:$E$2301,設計座標!$J$13:$J$2301,"n/a",0,1)</f>
        <v>-270</v>
      </c>
      <c r="M754" s="2">
        <f t="shared" si="599"/>
        <v>-15002.210940723813</v>
      </c>
      <c r="N754" s="2">
        <f t="shared" si="600"/>
        <v>36019.121004539942</v>
      </c>
      <c r="O754" s="23">
        <f t="shared" si="601"/>
        <v>-267.73906964832747</v>
      </c>
      <c r="P754" s="1">
        <f t="shared" si="580"/>
        <v>-271.06181457587059</v>
      </c>
      <c r="Q754" s="1">
        <f>(Q$770-Q$753)/($N$770-$N$753)*($N754-$N$753)+Q$753</f>
        <v>-2.2109407238122309</v>
      </c>
      <c r="R754">
        <f t="shared" si="594"/>
        <v>0</v>
      </c>
      <c r="S754" s="23">
        <f t="shared" ref="S754:S769" si="604">(S$770-S$753)/($N$770-$N$753)*($N754-$N$753)+S$753</f>
        <v>2.2609303516725059</v>
      </c>
      <c r="T754">
        <f>$S754+測地線補正!$Q$26*(lattice!$N754/1000)^3+測地線補正!$P$26*(lattice!$N754/1000)^2+測地線補正!$O$26*(lattice!$N754/1000)+測地線補正!$N$26</f>
        <v>-1.0618145758706043</v>
      </c>
      <c r="U754">
        <f>-ATAN(($P$758-$P$754)/ABS($N$758-$N$754))</f>
        <v>-1.5622616403209603E-5</v>
      </c>
      <c r="V754">
        <v>0</v>
      </c>
      <c r="W754">
        <f>ATAN(($M$758-$M$754)/ABS($N$758-$N$754))</f>
        <v>1.2413785329175352E-4</v>
      </c>
      <c r="X754">
        <f>SQRT(($M$754-$M$752)^2+($N$754-$N$752)^2)-$Y$752/2</f>
        <v>1561.0427684791096</v>
      </c>
      <c r="Y754">
        <f>_xlfn.XLOOKUP($F754,設計座標!$E$13:$E$2301,設計座標!$L$13:$L$2301," ",0,1)</f>
        <v>1889.4492</v>
      </c>
      <c r="Z754">
        <f>SQRT(($M$757-$M$755)^2+($N$757-$N$755)^2)</f>
        <v>307.22370236719263</v>
      </c>
    </row>
    <row r="755" spans="1:28">
      <c r="A755" t="s">
        <v>797</v>
      </c>
      <c r="B755" t="s">
        <v>3813</v>
      </c>
      <c r="C755" t="s">
        <v>3855</v>
      </c>
      <c r="D755" t="s">
        <v>1152</v>
      </c>
      <c r="E755" t="s">
        <v>804</v>
      </c>
      <c r="F755" t="s">
        <v>2276</v>
      </c>
      <c r="G755" t="s">
        <v>2276</v>
      </c>
      <c r="I755">
        <f>_xlfn.XLOOKUP($F755,設計座標!$E$13:$E$2301,設計座標!$G$13:$G$2301,"n/a",0,1)</f>
        <v>229.08043736136889</v>
      </c>
      <c r="J755">
        <f>_xlfn.XLOOKUP($F755,設計座標!$E$13:$E$2301,設計座標!$H$13:$H$2301,"n/a",0,1)</f>
        <v>-15000</v>
      </c>
      <c r="K755">
        <f>_xlfn.XLOOKUP($F755,設計座標!$E$13:$E$2301,設計座標!$I$13:$I$2301,"n/a",0,1)</f>
        <v>35381.620104539943</v>
      </c>
      <c r="L755">
        <f>_xlfn.XLOOKUP($F755,設計座標!$E$13:$E$2301,設計座標!$J$13:$J$2301,"n/a",0,1)</f>
        <v>-270</v>
      </c>
      <c r="M755" s="2">
        <f t="shared" si="599"/>
        <v>-15002.131802730208</v>
      </c>
      <c r="N755" s="2">
        <f t="shared" si="600"/>
        <v>35381.620104539943</v>
      </c>
      <c r="O755" s="23">
        <f t="shared" si="601"/>
        <v>-267.76639176558041</v>
      </c>
      <c r="P755" s="1">
        <f t="shared" si="580"/>
        <v>-271.05171706273194</v>
      </c>
      <c r="Q755" s="1">
        <f t="shared" ref="Q755:Q769" si="605">(Q$770-Q$753)/($N$770-$N$753)*($N755-$N$753)+Q$753</f>
        <v>-2.1318027302082418</v>
      </c>
      <c r="R755">
        <f t="shared" si="594"/>
        <v>0</v>
      </c>
      <c r="S755" s="23">
        <f t="shared" si="604"/>
        <v>2.2336082344195916</v>
      </c>
      <c r="T755">
        <f>$S755+測地線補正!$Q$26*(lattice!$N755/1000)^3+測地線補正!$P$26*(lattice!$N755/1000)^2+測地線補正!$O$26*(lattice!$N755/1000)+測地線補正!$N$26</f>
        <v>-1.0517170627319345</v>
      </c>
      <c r="U755">
        <f t="shared" ref="U755:U756" si="606">-ATAN(($P$758-$P$754)/ABS($N$758-$N$754))</f>
        <v>-1.5622616403209603E-5</v>
      </c>
      <c r="V755">
        <v>0</v>
      </c>
      <c r="W755">
        <f t="shared" ref="W755:W756" si="607">ATAN(($M$758-$M$754)/ABS($N$758-$N$754))</f>
        <v>1.2413785329175352E-4</v>
      </c>
      <c r="X755" t="s">
        <v>3860</v>
      </c>
      <c r="Y755">
        <f>_xlfn.XLOOKUP($F755,設計座標!$E$13:$E$2301,設計座標!$L$13:$L$2301," ",0,1)</f>
        <v>800</v>
      </c>
      <c r="Z755">
        <f>SQRT(($M$755-$M$752)^2+($N$755-$N$752)^2)</f>
        <v>2248.5436733903452</v>
      </c>
      <c r="AA755">
        <f>_xlfn.XLOOKUP($G755,magnet_list!$A$2:$A$592,magnet_list!$AJ$2:$AJ$592,"n/a",0,1)</f>
        <v>0.74619000000000002</v>
      </c>
      <c r="AB755">
        <f>_xlfn.XLOOKUP($G755,magnet_list!$A$2:$A$592,magnet_list!$L$2:$L$592,"n/a",0,1)</f>
        <v>120</v>
      </c>
    </row>
    <row r="756" spans="1:28">
      <c r="A756" t="s">
        <v>797</v>
      </c>
      <c r="B756" t="s">
        <v>3813</v>
      </c>
      <c r="C756" t="s">
        <v>3855</v>
      </c>
      <c r="D756" t="s">
        <v>1152</v>
      </c>
      <c r="E756" t="s">
        <v>804</v>
      </c>
      <c r="F756" t="s">
        <v>2277</v>
      </c>
      <c r="G756" t="s">
        <v>2277</v>
      </c>
      <c r="I756">
        <f>_xlfn.XLOOKUP($F756,設計座標!$E$13:$E$2301,設計座標!$G$13:$G$2301,"n/a",0,1)</f>
        <v>229.08043736136889</v>
      </c>
      <c r="J756">
        <f>_xlfn.XLOOKUP($F756,設計座標!$E$13:$E$2301,設計座標!$H$13:$H$2301,"n/a",0,1)</f>
        <v>-15000</v>
      </c>
      <c r="K756">
        <f>_xlfn.XLOOKUP($F756,設計座標!$E$13:$E$2301,設計座標!$I$13:$I$2301,"n/a",0,1)</f>
        <v>35381.620104539943</v>
      </c>
      <c r="L756">
        <f>_xlfn.XLOOKUP($F756,設計座標!$E$13:$E$2301,設計座標!$J$13:$J$2301,"n/a",0,1)</f>
        <v>-270</v>
      </c>
      <c r="M756" s="2">
        <f t="shared" si="599"/>
        <v>-15002.131802730208</v>
      </c>
      <c r="N756" s="2">
        <f t="shared" si="600"/>
        <v>35381.620104539943</v>
      </c>
      <c r="O756" s="23">
        <f t="shared" si="601"/>
        <v>-267.76639176558041</v>
      </c>
      <c r="P756" s="1">
        <f t="shared" si="580"/>
        <v>-271.05171706273194</v>
      </c>
      <c r="Q756" s="1">
        <f t="shared" si="605"/>
        <v>-2.1318027302082418</v>
      </c>
      <c r="R756">
        <f t="shared" si="594"/>
        <v>0</v>
      </c>
      <c r="S756" s="23">
        <f t="shared" si="604"/>
        <v>2.2336082344195916</v>
      </c>
      <c r="T756">
        <f>$S756+測地線補正!$Q$26*(lattice!$N756/1000)^3+測地線補正!$P$26*(lattice!$N756/1000)^2+測地線補正!$O$26*(lattice!$N756/1000)+測地線補正!$N$26</f>
        <v>-1.0517170627319345</v>
      </c>
      <c r="U756">
        <f t="shared" si="606"/>
        <v>-1.5622616403209603E-5</v>
      </c>
      <c r="V756">
        <v>0</v>
      </c>
      <c r="W756">
        <f t="shared" si="607"/>
        <v>1.2413785329175352E-4</v>
      </c>
      <c r="X756" t="s">
        <v>3860</v>
      </c>
      <c r="Y756">
        <f>_xlfn.XLOOKUP($F756,設計座標!$E$13:$E$2301,設計座標!$L$13:$L$2301," ",0,1)</f>
        <v>800</v>
      </c>
      <c r="Z756">
        <f>SQRT(($M$755-$M$752)^2+($N$755-$N$752)^2)</f>
        <v>2248.5436733903452</v>
      </c>
      <c r="AA756">
        <f>_xlfn.XLOOKUP($G756,magnet_list!$A$2:$A$592,magnet_list!$AJ$2:$AJ$592,"n/a",0,1)</f>
        <v>0.74619000000000002</v>
      </c>
      <c r="AB756">
        <f>_xlfn.XLOOKUP($G756,magnet_list!$A$2:$A$592,magnet_list!$L$2:$L$592,"n/a",0,1)</f>
        <v>120</v>
      </c>
    </row>
    <row r="757" spans="1:28">
      <c r="A757" t="s">
        <v>797</v>
      </c>
      <c r="B757" t="s">
        <v>3813</v>
      </c>
      <c r="C757" t="s">
        <v>804</v>
      </c>
      <c r="D757" t="s">
        <v>1152</v>
      </c>
      <c r="E757" t="s">
        <v>804</v>
      </c>
      <c r="F757" t="s">
        <v>1184</v>
      </c>
      <c r="G757" t="s">
        <v>2496</v>
      </c>
      <c r="I757">
        <f>_xlfn.XLOOKUP($F757,設計座標!$E$13:$E$2301,設計座標!$G$13:$G$2301,"n/a",0,1)</f>
        <v>229.3876610613689</v>
      </c>
      <c r="J757">
        <f>_xlfn.XLOOKUP($F757,設計座標!$E$13:$E$2301,設計座標!$H$13:$H$2301,"n/a",0,1)</f>
        <v>-15000</v>
      </c>
      <c r="K757">
        <f>_xlfn.XLOOKUP($F757,設計座標!$E$13:$E$2301,設計座標!$I$13:$I$2301,"n/a",0,1)</f>
        <v>35074.396404539941</v>
      </c>
      <c r="L757">
        <f>_xlfn.XLOOKUP($F757,設計座標!$E$13:$E$2301,設計座標!$J$13:$J$2301,"n/a",0,1)</f>
        <v>-270</v>
      </c>
      <c r="M757" s="2">
        <f t="shared" si="599"/>
        <v>-15002.093664639415</v>
      </c>
      <c r="N757" s="2">
        <f t="shared" si="600"/>
        <v>35074.396404539941</v>
      </c>
      <c r="O757" s="23">
        <f t="shared" si="601"/>
        <v>-267.77955880888072</v>
      </c>
      <c r="P757" s="1">
        <f t="shared" si="580"/>
        <v>-271.04690113228253</v>
      </c>
      <c r="Q757" s="1">
        <f t="shared" si="605"/>
        <v>-2.0936646394140266</v>
      </c>
      <c r="R757">
        <f t="shared" si="594"/>
        <v>0</v>
      </c>
      <c r="S757" s="23">
        <f t="shared" si="604"/>
        <v>2.2204411911193009</v>
      </c>
      <c r="T757">
        <f>$S757+測地線補正!$Q$26*(lattice!$N757/1000)^3+測地線補正!$P$26*(lattice!$N757/1000)^2+測地線補正!$O$26*(lattice!$N757/1000)+測地線補正!$N$26</f>
        <v>-1.046901132282535</v>
      </c>
      <c r="U757">
        <f t="shared" ref="U757:U758" si="608">-ATAN(($P$758-$P$754)/ABS($N$758-$N$754))</f>
        <v>-1.5622616403209603E-5</v>
      </c>
      <c r="V757">
        <v>0</v>
      </c>
      <c r="W757">
        <f t="shared" ref="W757:W758" si="609">ATAN(($M$758-$M$754)/ABS($N$758-$N$754))</f>
        <v>1.2413785329175352E-4</v>
      </c>
      <c r="X757" t="s">
        <v>3860</v>
      </c>
      <c r="Y757">
        <f>_xlfn.XLOOKUP($F757,設計座標!$E$13:$E$2301,設計座標!$L$13:$L$2301," ",0,1)</f>
        <v>1889.4492</v>
      </c>
      <c r="Z757">
        <f>SQRT(($M$757-$M$755)^2+($N$757-$N$755)^2)</f>
        <v>307.22370236719263</v>
      </c>
    </row>
    <row r="758" spans="1:28">
      <c r="A758" t="s">
        <v>797</v>
      </c>
      <c r="B758" t="s">
        <v>3813</v>
      </c>
      <c r="C758" t="s">
        <v>804</v>
      </c>
      <c r="D758" t="s">
        <v>1152</v>
      </c>
      <c r="E758" t="s">
        <v>804</v>
      </c>
      <c r="F758" t="s">
        <v>1547</v>
      </c>
      <c r="G758" t="s">
        <v>2496</v>
      </c>
      <c r="I758">
        <f>_xlfn.XLOOKUP($F758,設計座標!$E$13:$E$2301,設計座標!$G$13:$G$2301,"n/a",0,1)</f>
        <v>230.3323856613689</v>
      </c>
      <c r="J758">
        <f>_xlfn.XLOOKUP($F758,設計座標!$E$13:$E$2301,設計座標!$H$13:$H$2301,"n/a",0,1)</f>
        <v>-15000</v>
      </c>
      <c r="K758">
        <f>_xlfn.XLOOKUP($F758,設計座標!$E$13:$E$2301,設計座標!$I$13:$I$2301,"n/a",0,1)</f>
        <v>34129.671804539939</v>
      </c>
      <c r="L758">
        <f>_xlfn.XLOOKUP($F758,設計座標!$E$13:$E$2301,設計座標!$J$13:$J$2301,"n/a",0,1)</f>
        <v>-270</v>
      </c>
      <c r="M758" s="2">
        <f t="shared" si="599"/>
        <v>-15001.976388555016</v>
      </c>
      <c r="N758" s="2">
        <f t="shared" si="600"/>
        <v>34129.671804539939</v>
      </c>
      <c r="O758" s="23">
        <f t="shared" si="601"/>
        <v>-267.82004796943392</v>
      </c>
      <c r="P758" s="1">
        <f t="shared" si="580"/>
        <v>-271.03229643580323</v>
      </c>
      <c r="Q758" s="1">
        <f t="shared" si="605"/>
        <v>-1.9763885550158224</v>
      </c>
      <c r="R758">
        <f t="shared" si="594"/>
        <v>0</v>
      </c>
      <c r="S758" s="23">
        <f t="shared" si="604"/>
        <v>2.1799520305660964</v>
      </c>
      <c r="T758">
        <f>$S758+測地線補正!$Q$26*(lattice!$N758/1000)^3+測地線補正!$P$26*(lattice!$N758/1000)^2+測地線補正!$O$26*(lattice!$N758/1000)+測地線補正!$N$26</f>
        <v>-1.0322964358032556</v>
      </c>
      <c r="U758">
        <f t="shared" si="608"/>
        <v>-1.5622616403209603E-5</v>
      </c>
      <c r="V758">
        <v>0</v>
      </c>
      <c r="W758">
        <f t="shared" si="609"/>
        <v>1.2413785329175352E-4</v>
      </c>
      <c r="X758" t="s">
        <v>3860</v>
      </c>
      <c r="Y758">
        <f>_xlfn.XLOOKUP($F758,設計座標!$E$13:$E$2301,設計座標!$L$13:$L$2301," ",0,1)</f>
        <v>1889.4492</v>
      </c>
      <c r="Z758">
        <f>SQRT(($M$757-$M$755)^2+($N$757-$N$755)^2)</f>
        <v>307.22370236719263</v>
      </c>
    </row>
    <row r="759" spans="1:28">
      <c r="A759" t="s">
        <v>797</v>
      </c>
      <c r="B759" t="s">
        <v>3813</v>
      </c>
      <c r="C759" t="s">
        <v>804</v>
      </c>
      <c r="D759" t="s">
        <v>1152</v>
      </c>
      <c r="E759" t="s">
        <v>804</v>
      </c>
      <c r="F759" t="s">
        <v>1548</v>
      </c>
      <c r="G759" t="s">
        <v>2497</v>
      </c>
      <c r="I759">
        <f>_xlfn.XLOOKUP($F759,設計座標!$E$13:$E$2301,設計座標!$G$13:$G$2301,"n/a",0,1)</f>
        <v>230.5423274613689</v>
      </c>
      <c r="J759">
        <f>_xlfn.XLOOKUP($F759,設計座標!$E$13:$E$2301,設計座標!$H$13:$H$2301,"n/a",0,1)</f>
        <v>-15000</v>
      </c>
      <c r="K759">
        <f>_xlfn.XLOOKUP($F759,設計座標!$E$13:$E$2301,設計座標!$I$13:$I$2301,"n/a",0,1)</f>
        <v>33919.730004539939</v>
      </c>
      <c r="L759">
        <f>_xlfn.XLOOKUP($F759,設計座標!$E$13:$E$2301,設計座標!$J$13:$J$2301,"n/a",0,1)</f>
        <v>-270</v>
      </c>
      <c r="M759" s="2">
        <f t="shared" si="599"/>
        <v>-15001.950326830514</v>
      </c>
      <c r="N759" s="2">
        <f t="shared" si="600"/>
        <v>33919.730004539939</v>
      </c>
      <c r="O759" s="23">
        <f t="shared" si="601"/>
        <v>-267.82904568924243</v>
      </c>
      <c r="P759" s="1">
        <f t="shared" si="580"/>
        <v>-271.02909276159676</v>
      </c>
      <c r="Q759" s="1">
        <f t="shared" si="605"/>
        <v>-1.9503268305137709</v>
      </c>
      <c r="R759">
        <f t="shared" si="594"/>
        <v>0</v>
      </c>
      <c r="S759" s="23">
        <f t="shared" si="604"/>
        <v>2.1709543107575633</v>
      </c>
      <c r="T759">
        <f>$S759+測地線補正!$Q$26*(lattice!$N759/1000)^3+測地線補正!$P$26*(lattice!$N759/1000)^2+測地線補正!$O$26*(lattice!$N759/1000)+測地線補正!$N$26</f>
        <v>-1.0290927615967755</v>
      </c>
      <c r="U759">
        <f>-ATAN(($P$761-$P$759)/ABS($N$761-$N$759))</f>
        <v>-1.4898161016501797E-5</v>
      </c>
      <c r="V759">
        <v>0</v>
      </c>
      <c r="W759">
        <f>ATAN(($M$761-$M$759)/ABS($N$761-$N$759))</f>
        <v>1.2413785329175352E-4</v>
      </c>
      <c r="X759">
        <f>SQRT(($M$759-$M$758)^2+($N$759-$N$758)^2)</f>
        <v>209.94180161762378</v>
      </c>
      <c r="Y759">
        <f>_xlfn.XLOOKUP($F759,設計座標!$E$13:$E$2301,設計座標!$L$13:$L$2301," ",0,1)</f>
        <v>1889.4492</v>
      </c>
      <c r="Z759">
        <f>SQRT(($M$760-$M$757)^2+($N$760-$N$757)^2)</f>
        <v>2099.3910161760282</v>
      </c>
    </row>
    <row r="760" spans="1:28">
      <c r="A760" t="s">
        <v>797</v>
      </c>
      <c r="B760" t="s">
        <v>3813</v>
      </c>
      <c r="C760" t="s">
        <v>804</v>
      </c>
      <c r="D760" t="s">
        <v>1152</v>
      </c>
      <c r="E760" t="s">
        <v>804</v>
      </c>
      <c r="F760" t="s">
        <v>1240</v>
      </c>
      <c r="G760" t="s">
        <v>2497</v>
      </c>
      <c r="I760">
        <f>_xlfn.XLOOKUP($F760,設計座標!$E$13:$E$2301,設計座標!$G$13:$G$2301,"n/a",0,1)</f>
        <v>231.4870520613689</v>
      </c>
      <c r="J760">
        <f>_xlfn.XLOOKUP($F760,設計座標!$E$13:$E$2301,設計座標!$H$13:$H$2301,"n/a",0,1)</f>
        <v>-15000</v>
      </c>
      <c r="K760">
        <f>_xlfn.XLOOKUP($F760,設計座標!$E$13:$E$2301,設計座標!$I$13:$I$2301,"n/a",0,1)</f>
        <v>32975.005404539937</v>
      </c>
      <c r="L760">
        <f>_xlfn.XLOOKUP($F760,設計座標!$E$13:$E$2301,設計座標!$J$13:$J$2301,"n/a",0,1)</f>
        <v>-270</v>
      </c>
      <c r="M760" s="2">
        <f t="shared" si="599"/>
        <v>-15001.833050746116</v>
      </c>
      <c r="N760" s="2">
        <f t="shared" si="600"/>
        <v>32975.005404539937</v>
      </c>
      <c r="O760" s="23">
        <f t="shared" si="601"/>
        <v>-267.86953484979563</v>
      </c>
      <c r="P760" s="1">
        <f t="shared" si="580"/>
        <v>-271.01486449151167</v>
      </c>
      <c r="Q760" s="1">
        <f t="shared" si="605"/>
        <v>-1.8330507461155667</v>
      </c>
      <c r="R760">
        <f t="shared" si="594"/>
        <v>0</v>
      </c>
      <c r="S760" s="23">
        <f t="shared" si="604"/>
        <v>2.1304651502043583</v>
      </c>
      <c r="T760">
        <f>$S760+測地線補正!$Q$26*(lattice!$N760/1000)^3+測地線補正!$P$26*(lattice!$N760/1000)^2+測地線補正!$O$26*(lattice!$N760/1000)+測地線補正!$N$26</f>
        <v>-1.0148644915116698</v>
      </c>
      <c r="U760">
        <f t="shared" ref="U760:U761" si="610">-ATAN(($P$761-$P$759)/ABS($N$761-$N$759))</f>
        <v>-1.4898161016501797E-5</v>
      </c>
      <c r="V760">
        <v>0</v>
      </c>
      <c r="W760">
        <f t="shared" ref="W760:W761" si="611">ATAN(($M$761-$M$759)/ABS($N$761-$N$759))</f>
        <v>1.2413785329175352E-4</v>
      </c>
      <c r="X760" t="s">
        <v>3860</v>
      </c>
      <c r="Y760">
        <f>_xlfn.XLOOKUP($F760,設計座標!$E$13:$E$2301,設計座標!$L$13:$L$2301," ",0,1)</f>
        <v>1889.4492</v>
      </c>
      <c r="Z760">
        <f>SQRT(($M$760-$M$757)^2+($N$760-$N$757)^2)</f>
        <v>2099.3910161760282</v>
      </c>
    </row>
    <row r="761" spans="1:28">
      <c r="A761" t="s">
        <v>797</v>
      </c>
      <c r="B761" t="s">
        <v>3813</v>
      </c>
      <c r="C761" t="s">
        <v>804</v>
      </c>
      <c r="D761" t="s">
        <v>1152</v>
      </c>
      <c r="E761" t="s">
        <v>804</v>
      </c>
      <c r="F761" t="s">
        <v>1549</v>
      </c>
      <c r="G761" t="s">
        <v>2497</v>
      </c>
      <c r="I761">
        <f>_xlfn.XLOOKUP($F761,設計座標!$E$13:$E$2301,設計座標!$G$13:$G$2301,"n/a",0,1)</f>
        <v>232.4317766613689</v>
      </c>
      <c r="J761">
        <f>_xlfn.XLOOKUP($F761,設計座標!$E$13:$E$2301,設計座標!$H$13:$H$2301,"n/a",0,1)</f>
        <v>-15000</v>
      </c>
      <c r="K761">
        <f>_xlfn.XLOOKUP($F761,設計座標!$E$13:$E$2301,設計座標!$I$13:$I$2301,"n/a",0,1)</f>
        <v>32030.280804539936</v>
      </c>
      <c r="L761">
        <f>_xlfn.XLOOKUP($F761,設計座標!$E$13:$E$2301,設計座標!$J$13:$J$2301,"n/a",0,1)</f>
        <v>-270</v>
      </c>
      <c r="M761" s="2">
        <f t="shared" si="599"/>
        <v>-15001.715774661718</v>
      </c>
      <c r="N761" s="2">
        <f t="shared" si="600"/>
        <v>32030.280804539936</v>
      </c>
      <c r="O761" s="23">
        <f t="shared" si="601"/>
        <v>-267.91002401034882</v>
      </c>
      <c r="P761" s="1">
        <f t="shared" si="580"/>
        <v>-271.00094344318057</v>
      </c>
      <c r="Q761" s="1">
        <f t="shared" si="605"/>
        <v>-1.7157746617173624</v>
      </c>
      <c r="R761">
        <f t="shared" si="594"/>
        <v>0</v>
      </c>
      <c r="S761" s="23">
        <f t="shared" si="604"/>
        <v>2.0899759896511538</v>
      </c>
      <c r="T761">
        <f>$S761+測地線補正!$Q$26*(lattice!$N761/1000)^3+測地線補正!$P$26*(lattice!$N761/1000)^2+測地線補正!$O$26*(lattice!$N761/1000)+測地線補正!$N$26</f>
        <v>-1.0009434431805826</v>
      </c>
      <c r="U761">
        <f t="shared" si="610"/>
        <v>-1.4898161016501797E-5</v>
      </c>
      <c r="V761">
        <v>0</v>
      </c>
      <c r="W761">
        <f t="shared" si="611"/>
        <v>1.2413785329175352E-4</v>
      </c>
      <c r="X761" t="s">
        <v>3860</v>
      </c>
      <c r="Y761">
        <f>_xlfn.XLOOKUP($F761,設計座標!$E$13:$E$2301,設計座標!$L$13:$L$2301," ",0,1)</f>
        <v>1889.4492</v>
      </c>
      <c r="Z761">
        <f>SQRT(($M$760-$M$757)^2+($N$760-$N$757)^2)</f>
        <v>2099.3910161760282</v>
      </c>
    </row>
    <row r="762" spans="1:28">
      <c r="A762" t="s">
        <v>797</v>
      </c>
      <c r="B762" t="s">
        <v>3813</v>
      </c>
      <c r="C762" t="s">
        <v>1152</v>
      </c>
      <c r="D762" t="s">
        <v>1152</v>
      </c>
      <c r="E762" t="s">
        <v>804</v>
      </c>
      <c r="F762" t="s">
        <v>2026</v>
      </c>
      <c r="G762" t="s">
        <v>2026</v>
      </c>
      <c r="I762">
        <f>_xlfn.XLOOKUP($F762,設計座標!$E$13:$E$2301,設計座標!$G$13:$G$2301,"n/a",0,1)</f>
        <v>232.72665136136891</v>
      </c>
      <c r="J762">
        <f>_xlfn.XLOOKUP($F762,設計座標!$E$13:$E$2301,設計座標!$H$13:$H$2301,"n/a",0,1)</f>
        <v>-15000</v>
      </c>
      <c r="K762">
        <f>_xlfn.XLOOKUP($F762,設計座標!$E$13:$E$2301,設計座標!$I$13:$I$2301,"n/a",0,1)</f>
        <v>31735.406104539936</v>
      </c>
      <c r="L762">
        <f>_xlfn.XLOOKUP($F762,設計座標!$E$13:$E$2301,設計座標!$J$13:$J$2301,"n/a",0,1)</f>
        <v>-270</v>
      </c>
      <c r="M762" s="2">
        <f t="shared" si="599"/>
        <v>-15001.679169549281</v>
      </c>
      <c r="N762" s="2">
        <f t="shared" si="600"/>
        <v>31735.406104539936</v>
      </c>
      <c r="O762" s="23">
        <f t="shared" si="601"/>
        <v>-267.92266179819876</v>
      </c>
      <c r="P762" s="1">
        <f t="shared" si="580"/>
        <v>-270.99666110184182</v>
      </c>
      <c r="Q762" s="1">
        <f t="shared" si="605"/>
        <v>-1.6791695492813201</v>
      </c>
      <c r="R762">
        <f t="shared" si="594"/>
        <v>0</v>
      </c>
      <c r="S762" s="23">
        <f t="shared" si="604"/>
        <v>2.0773382018012576</v>
      </c>
      <c r="T762">
        <f>$S762+測地線補正!$Q$26*(lattice!$N762/1000)^3+測地線補正!$P$26*(lattice!$N762/1000)^2+測地線補正!$O$26*(lattice!$N762/1000)+測地線補正!$N$26</f>
        <v>-0.99666110184181056</v>
      </c>
      <c r="U762">
        <v>0</v>
      </c>
      <c r="V762">
        <v>0</v>
      </c>
      <c r="W762">
        <v>0</v>
      </c>
      <c r="X762">
        <f>SQRT(($M$762-$M$761)^2+($N$762-$N$761)^2)</f>
        <v>294.87470227204034</v>
      </c>
      <c r="Y762">
        <f>_xlfn.XLOOKUP($F762,設計座標!$E$13:$E$2301,設計座標!$L$13:$L$2301," ",0,1)</f>
        <v>0</v>
      </c>
      <c r="Z762">
        <f>SQRT(($M$762-$M$760)^2+($N$762-$N$760)^2)</f>
        <v>1239.5993095512424</v>
      </c>
    </row>
    <row r="763" spans="1:28">
      <c r="A763" t="s">
        <v>797</v>
      </c>
      <c r="B763" t="s">
        <v>3813</v>
      </c>
      <c r="C763" t="s">
        <v>804</v>
      </c>
      <c r="D763" t="s">
        <v>1152</v>
      </c>
      <c r="E763" t="s">
        <v>804</v>
      </c>
      <c r="F763" t="s">
        <v>1550</v>
      </c>
      <c r="G763" t="s">
        <v>2498</v>
      </c>
      <c r="I763">
        <f>_xlfn.XLOOKUP($F763,設計座標!$E$13:$E$2301,設計座標!$G$13:$G$2301,"n/a",0,1)</f>
        <v>232.95662046136891</v>
      </c>
      <c r="J763">
        <f>_xlfn.XLOOKUP($F763,設計座標!$E$13:$E$2301,設計座標!$H$13:$H$2301,"n/a",0,1)</f>
        <v>-15000</v>
      </c>
      <c r="K763">
        <f>_xlfn.XLOOKUP($F763,設計座標!$E$13:$E$2301,設計座標!$I$13:$I$2301,"n/a",0,1)</f>
        <v>31505.437004539937</v>
      </c>
      <c r="L763">
        <f>_xlfn.XLOOKUP($F763,設計座標!$E$13:$E$2301,設計座標!$J$13:$J$2301,"n/a",0,1)</f>
        <v>-270</v>
      </c>
      <c r="M763" s="2">
        <f t="shared" si="599"/>
        <v>-15001.650621678737</v>
      </c>
      <c r="N763" s="2">
        <f t="shared" si="600"/>
        <v>31505.437004539937</v>
      </c>
      <c r="O763" s="23">
        <f t="shared" si="601"/>
        <v>-267.93251785128786</v>
      </c>
      <c r="P763" s="1">
        <f t="shared" si="580"/>
        <v>-270.99334207098337</v>
      </c>
      <c r="Q763" s="1">
        <f t="shared" si="605"/>
        <v>-1.6506216787372707</v>
      </c>
      <c r="R763">
        <f t="shared" si="594"/>
        <v>0</v>
      </c>
      <c r="S763" s="23">
        <f t="shared" si="604"/>
        <v>2.0674821487121608</v>
      </c>
      <c r="T763">
        <f>$S763+測地線補正!$Q$26*(lattice!$N763/1000)^3+測地線補正!$P$26*(lattice!$N763/1000)^2+測地線補正!$O$26*(lattice!$N763/1000)+測地線補正!$N$26</f>
        <v>-0.99334207098335914</v>
      </c>
      <c r="U763">
        <f>-ATAN(($P$765-$P$763)/ABS($N$765-$N$763))</f>
        <v>-1.4069475276208342E-5</v>
      </c>
      <c r="V763">
        <v>0</v>
      </c>
      <c r="W763">
        <f>ATAN(($M$765-$M$763)/ABS($N$765-$N$763))</f>
        <v>1.2413785329079083E-4</v>
      </c>
      <c r="X763">
        <f>SQRT(($M$763-$M$762)^2+($N$763-$N$762)^2)</f>
        <v>229.96910177193413</v>
      </c>
      <c r="Y763">
        <f>_xlfn.XLOOKUP($F763,設計座標!$E$13:$E$2301,設計座標!$L$13:$L$2301," ",0,1)</f>
        <v>1889.4492</v>
      </c>
      <c r="Z763">
        <f>SQRT(($M$764-$M$762)^2+($N$764-$N$762)^2)</f>
        <v>1174.6937090511362</v>
      </c>
    </row>
    <row r="764" spans="1:28">
      <c r="A764" t="s">
        <v>797</v>
      </c>
      <c r="B764" t="s">
        <v>3813</v>
      </c>
      <c r="C764" t="s">
        <v>804</v>
      </c>
      <c r="D764" t="s">
        <v>1152</v>
      </c>
      <c r="E764" t="s">
        <v>804</v>
      </c>
      <c r="F764" t="s">
        <v>1295</v>
      </c>
      <c r="G764" t="s">
        <v>2498</v>
      </c>
      <c r="I764">
        <f>_xlfn.XLOOKUP($F764,設計座標!$E$13:$E$2301,設計座標!$G$13:$G$2301,"n/a",0,1)</f>
        <v>233.90134506136891</v>
      </c>
      <c r="J764">
        <f>_xlfn.XLOOKUP($F764,設計座標!$E$13:$E$2301,設計座標!$H$13:$H$2301,"n/a",0,1)</f>
        <v>-15000</v>
      </c>
      <c r="K764">
        <f>_xlfn.XLOOKUP($F764,設計座標!$E$13:$E$2301,設計座標!$I$13:$I$2301,"n/a",0,1)</f>
        <v>30560.712404539936</v>
      </c>
      <c r="L764">
        <f>_xlfn.XLOOKUP($F764,設計座標!$E$13:$E$2301,設計座標!$J$13:$J$2301,"n/a",0,1)</f>
        <v>-270</v>
      </c>
      <c r="M764" s="2">
        <f t="shared" si="599"/>
        <v>-15001.533345594338</v>
      </c>
      <c r="N764" s="2">
        <f t="shared" si="600"/>
        <v>30560.712404539936</v>
      </c>
      <c r="O764" s="23">
        <f t="shared" si="601"/>
        <v>-267.97300701184105</v>
      </c>
      <c r="P764" s="1">
        <f t="shared" si="580"/>
        <v>-270.97989755777951</v>
      </c>
      <c r="Q764" s="1">
        <f t="shared" si="605"/>
        <v>-1.5333455943390666</v>
      </c>
      <c r="R764">
        <f t="shared" si="594"/>
        <v>0</v>
      </c>
      <c r="S764" s="23">
        <f t="shared" si="604"/>
        <v>2.0269929881589563</v>
      </c>
      <c r="T764">
        <f>$S764+測地線補正!$Q$26*(lattice!$N764/1000)^3+測地線補正!$P$26*(lattice!$N764/1000)^2+測地線補正!$O$26*(lattice!$N764/1000)+測地線補正!$N$26</f>
        <v>-0.9798975577795197</v>
      </c>
      <c r="U764">
        <f t="shared" ref="U764:U765" si="612">-ATAN(($P$765-$P$763)/ABS($N$765-$N$763))</f>
        <v>-1.4069475276208342E-5</v>
      </c>
      <c r="V764">
        <v>0</v>
      </c>
      <c r="W764">
        <f t="shared" ref="W764:W765" si="613">ATAN(($M$765-$M$763)/ABS($N$765-$N$763))</f>
        <v>1.2413785329079083E-4</v>
      </c>
      <c r="X764" t="s">
        <v>3860</v>
      </c>
      <c r="Y764">
        <f>_xlfn.XLOOKUP($F764,設計座標!$E$13:$E$2301,設計座標!$L$13:$L$2301," ",0,1)</f>
        <v>1889.4492</v>
      </c>
      <c r="Z764">
        <f>SQRT(($M$764-$M$762)^2+($N$764-$N$762)^2)</f>
        <v>1174.6937090511362</v>
      </c>
    </row>
    <row r="765" spans="1:28">
      <c r="A765" t="s">
        <v>797</v>
      </c>
      <c r="B765" t="s">
        <v>3813</v>
      </c>
      <c r="C765" t="s">
        <v>804</v>
      </c>
      <c r="D765" t="s">
        <v>1152</v>
      </c>
      <c r="E765" t="s">
        <v>804</v>
      </c>
      <c r="F765" t="s">
        <v>1551</v>
      </c>
      <c r="G765" t="s">
        <v>2498</v>
      </c>
      <c r="I765">
        <f>_xlfn.XLOOKUP($F765,設計座標!$E$13:$E$2301,設計座標!$G$13:$G$2301,"n/a",0,1)</f>
        <v>234.84606966136892</v>
      </c>
      <c r="J765">
        <f>_xlfn.XLOOKUP($F765,設計座標!$E$13:$E$2301,設計座標!$H$13:$H$2301,"n/a",0,1)</f>
        <v>-15000</v>
      </c>
      <c r="K765">
        <f>_xlfn.XLOOKUP($F765,設計座標!$E$13:$E$2301,設計座標!$I$13:$I$2301,"n/a",0,1)</f>
        <v>29615.987804539935</v>
      </c>
      <c r="L765">
        <f>_xlfn.XLOOKUP($F765,設計座標!$E$13:$E$2301,設計座標!$J$13:$J$2301,"n/a",0,1)</f>
        <v>-270</v>
      </c>
      <c r="M765" s="2">
        <f t="shared" si="599"/>
        <v>-15001.416069509942</v>
      </c>
      <c r="N765" s="2">
        <f t="shared" si="600"/>
        <v>29615.987804539935</v>
      </c>
      <c r="O765" s="23">
        <f t="shared" si="601"/>
        <v>-268.01349617239424</v>
      </c>
      <c r="P765" s="1">
        <f t="shared" si="580"/>
        <v>-270.96675851217657</v>
      </c>
      <c r="Q765" s="1">
        <f t="shared" si="605"/>
        <v>-1.4160695099408624</v>
      </c>
      <c r="R765">
        <f t="shared" si="594"/>
        <v>0</v>
      </c>
      <c r="S765" s="23">
        <f t="shared" si="604"/>
        <v>1.9865038276057516</v>
      </c>
      <c r="T765">
        <f>$S765+測地線補正!$Q$26*(lattice!$N765/1000)^3+測地線補正!$P$26*(lattice!$N765/1000)^2+測地線補正!$O$26*(lattice!$N765/1000)+測地線補正!$N$26</f>
        <v>-0.96675851217654363</v>
      </c>
      <c r="U765">
        <f t="shared" si="612"/>
        <v>-1.4069475276208342E-5</v>
      </c>
      <c r="V765">
        <v>0</v>
      </c>
      <c r="W765">
        <f t="shared" si="613"/>
        <v>1.2413785329079083E-4</v>
      </c>
      <c r="X765" t="s">
        <v>3860</v>
      </c>
      <c r="Y765">
        <f>_xlfn.XLOOKUP($F765,設計座標!$E$13:$E$2301,設計座標!$L$13:$L$2301," ",0,1)</f>
        <v>1889.4492</v>
      </c>
      <c r="Z765">
        <f>SQRT(($M$764-$M$762)^2+($N$764-$N$762)^2)</f>
        <v>1174.6937090511362</v>
      </c>
    </row>
    <row r="766" spans="1:28">
      <c r="A766" t="s">
        <v>797</v>
      </c>
      <c r="B766" t="s">
        <v>3813</v>
      </c>
      <c r="C766" t="s">
        <v>804</v>
      </c>
      <c r="D766" t="s">
        <v>1152</v>
      </c>
      <c r="E766" t="s">
        <v>804</v>
      </c>
      <c r="F766" t="s">
        <v>1552</v>
      </c>
      <c r="G766" t="s">
        <v>2499</v>
      </c>
      <c r="I766">
        <f>_xlfn.XLOOKUP($F766,設計座標!$E$13:$E$2301,設計座標!$G$13:$G$2301,"n/a",0,1)</f>
        <v>235.05601146136891</v>
      </c>
      <c r="J766">
        <f>_xlfn.XLOOKUP($F766,設計座標!$E$13:$E$2301,設計座標!$H$13:$H$2301,"n/a",0,1)</f>
        <v>-15000</v>
      </c>
      <c r="K766">
        <f>_xlfn.XLOOKUP($F766,設計座標!$E$13:$E$2301,設計座標!$I$13:$I$2301,"n/a",0,1)</f>
        <v>29406.046004539938</v>
      </c>
      <c r="L766">
        <f>_xlfn.XLOOKUP($F766,設計座標!$E$13:$E$2301,設計座標!$J$13:$J$2301,"n/a",0,1)</f>
        <v>-270</v>
      </c>
      <c r="M766" s="2">
        <f t="shared" si="599"/>
        <v>-15001.39000778544</v>
      </c>
      <c r="N766" s="2">
        <f t="shared" si="600"/>
        <v>29406.046004539938</v>
      </c>
      <c r="O766" s="23">
        <f t="shared" si="601"/>
        <v>-268.02249389220276</v>
      </c>
      <c r="P766" s="1">
        <f t="shared" si="580"/>
        <v>-270.96388009744624</v>
      </c>
      <c r="Q766" s="1">
        <f t="shared" si="605"/>
        <v>-1.3900077854388113</v>
      </c>
      <c r="R766">
        <f t="shared" si="594"/>
        <v>0</v>
      </c>
      <c r="S766" s="23">
        <f t="shared" si="604"/>
        <v>1.9775061077972182</v>
      </c>
      <c r="T766">
        <f>$S766+測地線補正!$Q$26*(lattice!$N766/1000)^3+測地線補正!$P$26*(lattice!$N766/1000)^2+測地線補正!$O$26*(lattice!$N766/1000)+測地線補正!$N$26</f>
        <v>-0.96388009744621894</v>
      </c>
      <c r="U766">
        <f>-ATAN(($P$768-$P$766)/ABS($N$768-$N$766))</f>
        <v>-1.3352734101448599E-5</v>
      </c>
      <c r="V766">
        <v>0</v>
      </c>
      <c r="W766">
        <f>ATAN(($M$768-$M$766)/ABS($N$768-$N$766))</f>
        <v>1.2413785329175352E-4</v>
      </c>
      <c r="X766">
        <f>SQRT(($M$766-$M$765)^2+($N$766-$N$765)^2)</f>
        <v>209.94180161762014</v>
      </c>
      <c r="Y766">
        <f>_xlfn.XLOOKUP($F766,設計座標!$E$13:$E$2301,設計座標!$L$13:$L$2301," ",0,1)</f>
        <v>1889.4492</v>
      </c>
      <c r="Z766">
        <f>SQRT(($M$767-$M$764)^2+($N$767-$N$764)^2)</f>
        <v>2099.3910161760246</v>
      </c>
    </row>
    <row r="767" spans="1:28">
      <c r="A767" t="s">
        <v>797</v>
      </c>
      <c r="B767" t="s">
        <v>3813</v>
      </c>
      <c r="C767" t="s">
        <v>804</v>
      </c>
      <c r="D767" t="s">
        <v>1152</v>
      </c>
      <c r="E767" t="s">
        <v>804</v>
      </c>
      <c r="F767" t="s">
        <v>1349</v>
      </c>
      <c r="G767" t="s">
        <v>2499</v>
      </c>
      <c r="I767">
        <f>_xlfn.XLOOKUP($F767,設計座標!$E$13:$E$2301,設計座標!$G$13:$G$2301,"n/a",0,1)</f>
        <v>236.00073606136891</v>
      </c>
      <c r="J767">
        <f>_xlfn.XLOOKUP($F767,設計座標!$E$13:$E$2301,設計座標!$H$13:$H$2301,"n/a",0,1)</f>
        <v>-15000</v>
      </c>
      <c r="K767">
        <f>_xlfn.XLOOKUP($F767,設計座標!$E$13:$E$2301,設計座標!$I$13:$I$2301,"n/a",0,1)</f>
        <v>28461.321404539936</v>
      </c>
      <c r="L767">
        <f>_xlfn.XLOOKUP($F767,設計座標!$E$13:$E$2301,設計座標!$J$13:$J$2301,"n/a",0,1)</f>
        <v>-270</v>
      </c>
      <c r="M767" s="2">
        <f t="shared" si="599"/>
        <v>-15001.272731701041</v>
      </c>
      <c r="N767" s="2">
        <f t="shared" si="600"/>
        <v>28461.321404539936</v>
      </c>
      <c r="O767" s="23">
        <f t="shared" si="601"/>
        <v>-268.06298305275601</v>
      </c>
      <c r="P767" s="1">
        <f t="shared" si="580"/>
        <v>-270.95111346993951</v>
      </c>
      <c r="Q767" s="1">
        <f t="shared" si="605"/>
        <v>-1.272731701040607</v>
      </c>
      <c r="R767">
        <f t="shared" si="594"/>
        <v>0</v>
      </c>
      <c r="S767" s="23">
        <f t="shared" si="604"/>
        <v>1.9370169472440137</v>
      </c>
      <c r="T767">
        <f>$S767+測地線補正!$Q$26*(lattice!$N767/1000)^3+測地線補正!$P$26*(lattice!$N767/1000)^2+測地線補正!$O$26*(lattice!$N767/1000)+測地線補正!$N$26</f>
        <v>-0.95111346993953716</v>
      </c>
      <c r="U767">
        <f t="shared" ref="U767:U768" si="614">-ATAN(($P$768-$P$766)/ABS($N$768-$N$766))</f>
        <v>-1.3352734101448599E-5</v>
      </c>
      <c r="V767">
        <v>0</v>
      </c>
      <c r="W767">
        <f t="shared" ref="W767:W768" si="615">ATAN(($M$768-$M$766)/ABS($N$768-$N$766))</f>
        <v>1.2413785329175352E-4</v>
      </c>
      <c r="X767" t="s">
        <v>3860</v>
      </c>
      <c r="Y767">
        <f>_xlfn.XLOOKUP($F767,設計座標!$E$13:$E$2301,設計座標!$L$13:$L$2301," ",0,1)</f>
        <v>1889.4492</v>
      </c>
      <c r="Z767">
        <f>SQRT(($M$767-$M$764)^2+($N$767-$N$764)^2)</f>
        <v>2099.3910161760246</v>
      </c>
    </row>
    <row r="768" spans="1:28">
      <c r="A768" t="s">
        <v>797</v>
      </c>
      <c r="B768" t="s">
        <v>3813</v>
      </c>
      <c r="C768" t="s">
        <v>804</v>
      </c>
      <c r="D768" t="s">
        <v>1152</v>
      </c>
      <c r="E768" t="s">
        <v>804</v>
      </c>
      <c r="F768" t="s">
        <v>1553</v>
      </c>
      <c r="G768" t="s">
        <v>2499</v>
      </c>
      <c r="I768">
        <f>_xlfn.XLOOKUP($F768,設計座標!$E$13:$E$2301,設計座標!$G$13:$G$2301,"n/a",0,1)</f>
        <v>236.94546066136891</v>
      </c>
      <c r="J768">
        <f>_xlfn.XLOOKUP($F768,設計座標!$E$13:$E$2301,設計座標!$H$13:$H$2301,"n/a",0,1)</f>
        <v>-15000</v>
      </c>
      <c r="K768">
        <f>_xlfn.XLOOKUP($F768,設計座標!$E$13:$E$2301,設計座標!$I$13:$I$2301,"n/a",0,1)</f>
        <v>27516.596804539935</v>
      </c>
      <c r="L768">
        <f>_xlfn.XLOOKUP($F768,設計座標!$E$13:$E$2301,設計座標!$J$13:$J$2301,"n/a",0,1)</f>
        <v>-270</v>
      </c>
      <c r="M768" s="2">
        <f t="shared" si="599"/>
        <v>-15001.155455616643</v>
      </c>
      <c r="N768" s="2">
        <f t="shared" si="600"/>
        <v>27516.596804539935</v>
      </c>
      <c r="O768" s="23">
        <f t="shared" si="601"/>
        <v>-268.1034722133092</v>
      </c>
      <c r="P768" s="1">
        <f t="shared" si="580"/>
        <v>-270.93865078467894</v>
      </c>
      <c r="Q768" s="1">
        <f t="shared" si="605"/>
        <v>-1.1554556166424028</v>
      </c>
      <c r="R768">
        <f t="shared" si="594"/>
        <v>0</v>
      </c>
      <c r="S768" s="23">
        <f t="shared" si="604"/>
        <v>1.8965277866908092</v>
      </c>
      <c r="T768">
        <f>$S768+測地線補正!$Q$26*(lattice!$N768/1000)^3+測地線補正!$P$26*(lattice!$N768/1000)^2+測地線補正!$O$26*(lattice!$N768/1000)+測地線補正!$N$26</f>
        <v>-0.93865078467894669</v>
      </c>
      <c r="U768">
        <f t="shared" si="614"/>
        <v>-1.3352734101448599E-5</v>
      </c>
      <c r="V768">
        <v>0</v>
      </c>
      <c r="W768">
        <f t="shared" si="615"/>
        <v>1.2413785329175352E-4</v>
      </c>
      <c r="X768" t="s">
        <v>3860</v>
      </c>
      <c r="Y768">
        <f>_xlfn.XLOOKUP($F768,設計座標!$E$13:$E$2301,設計座標!$L$13:$L$2301," ",0,1)</f>
        <v>1889.4492</v>
      </c>
      <c r="Z768">
        <f>SQRT(($M$767-$M$764)^2+($N$767-$N$764)^2)</f>
        <v>2099.3910161760246</v>
      </c>
    </row>
    <row r="769" spans="1:28">
      <c r="A769" t="s">
        <v>797</v>
      </c>
      <c r="B769" t="s">
        <v>3813</v>
      </c>
      <c r="C769" t="s">
        <v>1152</v>
      </c>
      <c r="D769" t="s">
        <v>1152</v>
      </c>
      <c r="E769" t="s">
        <v>804</v>
      </c>
      <c r="F769" t="s">
        <v>2027</v>
      </c>
      <c r="G769" t="s">
        <v>2027</v>
      </c>
      <c r="I769">
        <f>_xlfn.XLOOKUP($F769,設計座標!$E$13:$E$2301,設計座標!$G$13:$G$2301,"n/a",0,1)</f>
        <v>237.10445776136891</v>
      </c>
      <c r="J769">
        <f>_xlfn.XLOOKUP($F769,設計座標!$E$13:$E$2301,設計座標!$H$13:$H$2301,"n/a",0,1)</f>
        <v>-15000</v>
      </c>
      <c r="K769">
        <f>_xlfn.XLOOKUP($F769,設計座標!$E$13:$E$2301,設計座標!$I$13:$I$2301,"n/a",0,1)</f>
        <v>27357.599704539934</v>
      </c>
      <c r="L769">
        <f>_xlfn.XLOOKUP($F769,設計座標!$E$13:$E$2301,設計座標!$J$13:$J$2301,"n/a",0,1)</f>
        <v>-270</v>
      </c>
      <c r="M769" s="2">
        <f t="shared" si="599"/>
        <v>-15001.135718057867</v>
      </c>
      <c r="N769" s="2">
        <f t="shared" si="600"/>
        <v>27357.599704539934</v>
      </c>
      <c r="O769" s="23">
        <f t="shared" si="601"/>
        <v>-268.1102865368797</v>
      </c>
      <c r="P769" s="1">
        <f t="shared" si="580"/>
        <v>-270.93658314793203</v>
      </c>
      <c r="Q769" s="1">
        <f t="shared" si="605"/>
        <v>-1.1357180578674226</v>
      </c>
      <c r="R769">
        <f t="shared" si="594"/>
        <v>0</v>
      </c>
      <c r="S769" s="23">
        <f t="shared" si="604"/>
        <v>1.8897134631203274</v>
      </c>
      <c r="T769">
        <f>$S769+測地線補正!$Q$26*(lattice!$N769/1000)^3+測地線補正!$P$26*(lattice!$N769/1000)^2+測地線補正!$O$26*(lattice!$N769/1000)+測地線補正!$N$26</f>
        <v>-0.93658314793202768</v>
      </c>
      <c r="U769">
        <v>0</v>
      </c>
      <c r="V769">
        <v>0</v>
      </c>
      <c r="W769">
        <v>0</v>
      </c>
      <c r="X769">
        <f>SQRT(($M$769-$M$768)^2+($N$769-$N$768)^2)</f>
        <v>158.99710122508958</v>
      </c>
      <c r="Y769">
        <f>_xlfn.XLOOKUP($F769,設計座標!$E$13:$E$2301,設計座標!$L$13:$L$2301," ",0,1)</f>
        <v>0</v>
      </c>
      <c r="Z769">
        <f>SQRT(($M$769-$M$767)^2+($N$769-$N$767)^2)</f>
        <v>1103.7217085042917</v>
      </c>
    </row>
    <row r="770" spans="1:28">
      <c r="A770" t="s">
        <v>797</v>
      </c>
      <c r="B770" t="s">
        <v>3813</v>
      </c>
      <c r="C770" t="s">
        <v>805</v>
      </c>
      <c r="D770" t="s">
        <v>806</v>
      </c>
      <c r="F770" t="s">
        <v>134</v>
      </c>
      <c r="G770" t="s">
        <v>134</v>
      </c>
      <c r="I770">
        <f>_xlfn.XLOOKUP($F770,設計座標!$E$13:$E$2301,設計座標!$G$13:$G$2301,"n/a",0,1)</f>
        <v>237.24705494109884</v>
      </c>
      <c r="J770">
        <f>_xlfn.XLOOKUP($F770,設計座標!$E$13:$E$2301,設計座標!$H$13:$H$2301,"n/a",0,1)</f>
        <v>-15000</v>
      </c>
      <c r="K770">
        <f>_xlfn.XLOOKUP($F770,設計座標!$E$13:$E$2301,設計座標!$I$13:$I$2301,"n/a",0,1)</f>
        <v>27215.002524809999</v>
      </c>
      <c r="L770">
        <f>_xlfn.XLOOKUP($F770,設計座標!$E$13:$E$2301,設計座標!$J$13:$J$2301,"n/a",0,1)</f>
        <v>-20</v>
      </c>
      <c r="M770" s="2">
        <f>_xlfn.XLOOKUP($F770,survey_data!$A$2:$A$833,survey_data!$B$2:$B$833,"n/a",0,1)</f>
        <v>-15001.118016349999</v>
      </c>
      <c r="N770" s="2">
        <f>_xlfn.XLOOKUP($F770,survey_data!$A$2:$A$833,survey_data!$C$2:$C$833,"n/a",0,1)</f>
        <v>27215.002524809999</v>
      </c>
      <c r="O770" s="23">
        <f>_xlfn.XLOOKUP($F770,survey_data!$A$2:$A$833,survey_data!$D$2:$D$833,"n/a",0,1)</f>
        <v>-18.116397989999999</v>
      </c>
      <c r="P770" s="1">
        <f t="shared" si="580"/>
        <v>-20.934736083416045</v>
      </c>
      <c r="Q770" s="1">
        <f t="shared" si="595"/>
        <v>-1.1180163499993796</v>
      </c>
      <c r="R770">
        <f t="shared" si="594"/>
        <v>0</v>
      </c>
      <c r="S770" s="23">
        <f t="shared" si="596"/>
        <v>1.8836020100000006</v>
      </c>
      <c r="T770">
        <f>$S770+測地線補正!$Q$26*(lattice!$N770/1000)^3+測地線補正!$P$26*(lattice!$N770/1000)^2+測地線補正!$O$26*(lattice!$N770/1000)+測地線補正!$N$26</f>
        <v>-0.93473608341604564</v>
      </c>
      <c r="U770">
        <f>-ATAN(($P$771-$P$770)/ABS($N$771-$N$770))</f>
        <v>-6.1380731475948319E-5</v>
      </c>
      <c r="V770">
        <v>0</v>
      </c>
      <c r="W770">
        <f>ATAN(($M$771-$M$770)/ABS($N$771-$N$770))</f>
        <v>3.0357977965884579E-4</v>
      </c>
      <c r="X770">
        <f>$Z$771-($Y$771+$Y$769)/2</f>
        <v>122.59718349339499</v>
      </c>
      <c r="Y770">
        <f>_xlfn.XLOOKUP($F770,設計座標!$E$13:$E$2301,設計座標!$L$13:$L$2301," ",0,1)</f>
        <v>190</v>
      </c>
      <c r="Z770">
        <f>SQRT(($M$771-$M$769)^2+($N$771-$N$769)^2)</f>
        <v>217.59718349339499</v>
      </c>
      <c r="AA770">
        <f>_xlfn.XLOOKUP($G770,magnet_list!$A$2:$A$592,magnet_list!$AJ$2:$AJ$592,"n/a",0,1)</f>
        <v>0.2039</v>
      </c>
      <c r="AB770">
        <f>_xlfn.XLOOKUP($G770,magnet_list!$A$2:$A$592,magnet_list!$L$2:$L$592,"n/a",0,1)</f>
        <v>23</v>
      </c>
    </row>
    <row r="771" spans="1:28">
      <c r="A771" t="s">
        <v>797</v>
      </c>
      <c r="B771" t="s">
        <v>3813</v>
      </c>
      <c r="C771" t="s">
        <v>805</v>
      </c>
      <c r="D771" t="s">
        <v>1152</v>
      </c>
      <c r="E771" t="s">
        <v>804</v>
      </c>
      <c r="F771" t="s">
        <v>616</v>
      </c>
      <c r="G771" t="s">
        <v>134</v>
      </c>
      <c r="I771">
        <f>_xlfn.XLOOKUP($F771,設計座標!$E$13:$E$2301,設計座標!$G$13:$G$2301,"n/a",0,1)</f>
        <v>237.32205494109883</v>
      </c>
      <c r="J771">
        <f>_xlfn.XLOOKUP($F771,設計座標!$E$13:$E$2301,設計座標!$H$13:$H$2301,"n/a",0,1)</f>
        <v>-15000</v>
      </c>
      <c r="K771">
        <f>_xlfn.XLOOKUP($F771,設計座標!$E$13:$E$2301,設計座標!$I$13:$I$2301,"n/a",0,1)</f>
        <v>27140.002524809999</v>
      </c>
      <c r="L771">
        <f>_xlfn.XLOOKUP($F771,設計座標!$E$13:$E$2301,設計座標!$J$13:$J$2301,"n/a",0,1)</f>
        <v>-20</v>
      </c>
      <c r="M771" s="2">
        <f t="shared" si="599"/>
        <v>-15001.095247865826</v>
      </c>
      <c r="N771" s="2">
        <f t="shared" si="600"/>
        <v>27140.002524809999</v>
      </c>
      <c r="O771" s="23">
        <f t="shared" si="601"/>
        <v>-18.115977503318071</v>
      </c>
      <c r="P771" s="1">
        <f t="shared" si="580"/>
        <v>-20.930132528549567</v>
      </c>
      <c r="Q771" s="1">
        <f>(Q$773-Q$770)/($N$773-$N$770)*($N771-$N$770)+Q$770</f>
        <v>-1.0952478658247986</v>
      </c>
      <c r="R771">
        <f t="shared" si="594"/>
        <v>0</v>
      </c>
      <c r="S771" s="23">
        <f t="shared" ref="S771:S772" si="616">(S$773-S$770)/($N$773-$N$770)*($N771-$N$770)+S$770</f>
        <v>1.8840224966819283</v>
      </c>
      <c r="T771">
        <f>$S771+測地線補正!$Q$26*(lattice!$N771/1000)^3+測地線補正!$P$26*(lattice!$N771/1000)^2+測地線補正!$O$26*(lattice!$N771/1000)+測地線補正!$N$26</f>
        <v>-0.9301325285495663</v>
      </c>
      <c r="U771">
        <f>-ATAN(($P$771-$P$770)/ABS($N$771-$N$770))</f>
        <v>-6.1380731475948319E-5</v>
      </c>
      <c r="V771">
        <v>0</v>
      </c>
      <c r="W771">
        <f>ATAN(($M$771-$M$770)/ABS($N$771-$N$770))</f>
        <v>3.0357977965884579E-4</v>
      </c>
      <c r="X771">
        <f>$Z$771-($Y$771+$Y$769)/2</f>
        <v>122.59718349339499</v>
      </c>
      <c r="Y771">
        <f>_xlfn.XLOOKUP($F771,設計座標!$E$13:$E$2301,設計座標!$L$13:$L$2301," ",0,1)</f>
        <v>190</v>
      </c>
      <c r="Z771">
        <f>SQRT(($M$771-$M$769)^2+($N$771-$N$769)^2)</f>
        <v>217.59718349339499</v>
      </c>
      <c r="AA771">
        <f>_xlfn.XLOOKUP($G771,magnet_list!$A$2:$A$592,magnet_list!$AJ$2:$AJ$592,"n/a",0,1)</f>
        <v>0.2039</v>
      </c>
      <c r="AB771">
        <f>_xlfn.XLOOKUP($G771,magnet_list!$A$2:$A$592,magnet_list!$L$2:$L$592,"n/a",0,1)</f>
        <v>23</v>
      </c>
    </row>
    <row r="772" spans="1:28">
      <c r="A772" t="s">
        <v>797</v>
      </c>
      <c r="B772" t="s">
        <v>3813</v>
      </c>
      <c r="C772" t="s">
        <v>805</v>
      </c>
      <c r="D772" t="s">
        <v>1152</v>
      </c>
      <c r="E772" t="s">
        <v>804</v>
      </c>
      <c r="F772" t="s">
        <v>617</v>
      </c>
      <c r="G772" t="s">
        <v>135</v>
      </c>
      <c r="I772">
        <f>_xlfn.XLOOKUP($F772,設計座標!$E$13:$E$2301,設計座標!$G$13:$G$2301,"n/a",0,1)</f>
        <v>237.61632763278882</v>
      </c>
      <c r="J772">
        <f>_xlfn.XLOOKUP($F772,設計座標!$E$13:$E$2301,設計座標!$H$13:$H$2301,"n/a",0,1)</f>
        <v>-15000</v>
      </c>
      <c r="K772">
        <f>_xlfn.XLOOKUP($F772,設計座標!$E$13:$E$2301,設計座標!$I$13:$I$2301,"n/a",0,1)</f>
        <v>26845.72983312</v>
      </c>
      <c r="L772">
        <f>_xlfn.XLOOKUP($F772,設計座標!$E$13:$E$2301,設計座標!$J$13:$J$2301,"n/a",0,1)</f>
        <v>-20</v>
      </c>
      <c r="M772" s="2">
        <f t="shared" si="599"/>
        <v>-15001.005912624174</v>
      </c>
      <c r="N772" s="2">
        <f t="shared" si="600"/>
        <v>26845.72983312</v>
      </c>
      <c r="O772" s="23">
        <f t="shared" si="601"/>
        <v>-18.11432766668193</v>
      </c>
      <c r="P772" s="1">
        <f t="shared" si="580"/>
        <v>-20.912088297020183</v>
      </c>
      <c r="Q772" s="1">
        <f>(Q$773-Q$770)/($N$773-$N$770)*($N772-$N$770)+Q$770</f>
        <v>-1.0059126241747305</v>
      </c>
      <c r="R772">
        <f t="shared" si="594"/>
        <v>0</v>
      </c>
      <c r="S772" s="23">
        <f t="shared" si="616"/>
        <v>1.8856723333180705</v>
      </c>
      <c r="T772">
        <f>$S772+測地線補正!$Q$26*(lattice!$N772/1000)^3+測地線補正!$P$26*(lattice!$N772/1000)^2+測地線補正!$O$26*(lattice!$N772/1000)+測地線補正!$N$26</f>
        <v>-0.91208829702018268</v>
      </c>
      <c r="U772">
        <f>-ATAN(($P$773-$P$772)/ABS($N$773-$N$772))</f>
        <v>-6.1255417181277271E-5</v>
      </c>
      <c r="V772">
        <v>0</v>
      </c>
      <c r="W772">
        <f>ATAN(($M$773-$M$772)/ABS($N$773-$N$772))</f>
        <v>3.0357977965884579E-4</v>
      </c>
      <c r="X772">
        <f>$Z$772-($Y$772+$Y$771)/2</f>
        <v>104.27270525018577</v>
      </c>
      <c r="Y772">
        <f>_xlfn.XLOOKUP($F772,設計座標!$E$13:$E$2301,設計座標!$L$13:$L$2301," ",0,1)</f>
        <v>190</v>
      </c>
      <c r="Z772">
        <f>SQRT(($M$772-$M$771)^2+($N$772-$N$771)^2)</f>
        <v>294.27270525018577</v>
      </c>
      <c r="AA772">
        <f>_xlfn.XLOOKUP($G772,magnet_list!$A$2:$A$592,magnet_list!$AJ$2:$AJ$592,"n/a",0,1)</f>
        <v>0.2039</v>
      </c>
      <c r="AB772">
        <f>_xlfn.XLOOKUP($G772,magnet_list!$A$2:$A$592,magnet_list!$L$2:$L$592,"n/a",0,1)</f>
        <v>23</v>
      </c>
    </row>
    <row r="773" spans="1:28">
      <c r="A773" t="s">
        <v>797</v>
      </c>
      <c r="B773" t="s">
        <v>3813</v>
      </c>
      <c r="C773" t="s">
        <v>805</v>
      </c>
      <c r="D773" t="s">
        <v>806</v>
      </c>
      <c r="F773" t="s">
        <v>135</v>
      </c>
      <c r="G773" t="s">
        <v>135</v>
      </c>
      <c r="I773">
        <f>_xlfn.XLOOKUP($F773,設計座標!$E$13:$E$2301,設計座標!$G$13:$G$2301,"n/a",0,1)</f>
        <v>237.69132763278881</v>
      </c>
      <c r="J773">
        <f>_xlfn.XLOOKUP($F773,設計座標!$E$13:$E$2301,設計座標!$H$13:$H$2301,"n/a",0,1)</f>
        <v>-15000</v>
      </c>
      <c r="K773">
        <f>_xlfn.XLOOKUP($F773,設計座標!$E$13:$E$2301,設計座標!$I$13:$I$2301,"n/a",0,1)</f>
        <v>26770.72983312</v>
      </c>
      <c r="L773">
        <f>_xlfn.XLOOKUP($F773,設計座標!$E$13:$E$2301,設計座標!$J$13:$J$2301,"n/a",0,1)</f>
        <v>-20</v>
      </c>
      <c r="M773" s="2">
        <f>_xlfn.XLOOKUP($F773,survey_data!$A$2:$A$833,survey_data!$B$2:$B$833,"n/a",0,1)</f>
        <v>-15000.98314414</v>
      </c>
      <c r="N773" s="2">
        <f>_xlfn.XLOOKUP($F773,survey_data!$A$2:$A$833,survey_data!$C$2:$C$833,"n/a",0,1)</f>
        <v>26770.72983312</v>
      </c>
      <c r="O773" s="23">
        <f>_xlfn.XLOOKUP($F773,survey_data!$A$2:$A$833,survey_data!$D$2:$D$833,"n/a",0,1)</f>
        <v>-18.113907180000002</v>
      </c>
      <c r="P773" s="1">
        <f t="shared" si="580"/>
        <v>-20.907494140725841</v>
      </c>
      <c r="Q773" s="1">
        <f t="shared" si="595"/>
        <v>-0.98314414000014949</v>
      </c>
      <c r="R773">
        <f t="shared" si="594"/>
        <v>0</v>
      </c>
      <c r="S773" s="23">
        <f t="shared" si="596"/>
        <v>1.8860928199999982</v>
      </c>
      <c r="T773">
        <f>$S773+測地線補正!$Q$26*(lattice!$N773/1000)^3+測地線補正!$P$26*(lattice!$N773/1000)^2+測地線補正!$O$26*(lattice!$N773/1000)+測地線補正!$N$26</f>
        <v>-0.90749414072584211</v>
      </c>
      <c r="U773">
        <f>-ATAN(($P$773-$P$772)/ABS($N$773-$N$772))</f>
        <v>-6.1255417181277271E-5</v>
      </c>
      <c r="V773">
        <v>0</v>
      </c>
      <c r="W773">
        <f>ATAN(($M$773-$M$772)/ABS($N$773-$N$772))</f>
        <v>3.0357977965884579E-4</v>
      </c>
      <c r="X773">
        <f>$Z$772-($Y$772+$Y$771)/2</f>
        <v>104.27270525018577</v>
      </c>
      <c r="Y773">
        <f>_xlfn.XLOOKUP($F773,設計座標!$E$13:$E$2301,設計座標!$L$13:$L$2301," ",0,1)</f>
        <v>190</v>
      </c>
      <c r="Z773">
        <f>SQRT(($M$772-$M$771)^2+($N$772-$N$771)^2)</f>
        <v>294.27270525018577</v>
      </c>
      <c r="AA773">
        <f>_xlfn.XLOOKUP($G773,magnet_list!$A$2:$A$592,magnet_list!$AJ$2:$AJ$592,"n/a",0,1)</f>
        <v>0.2039</v>
      </c>
      <c r="AB773">
        <f>_xlfn.XLOOKUP($G773,magnet_list!$A$2:$A$592,magnet_list!$L$2:$L$592,"n/a",0,1)</f>
        <v>23</v>
      </c>
    </row>
    <row r="774" spans="1:28">
      <c r="A774" t="s">
        <v>797</v>
      </c>
      <c r="B774">
        <v>1</v>
      </c>
      <c r="C774" t="s">
        <v>2288</v>
      </c>
      <c r="D774" t="s">
        <v>1152</v>
      </c>
      <c r="E774" t="s">
        <v>804</v>
      </c>
      <c r="F774" t="s">
        <v>2320</v>
      </c>
      <c r="G774" t="s">
        <v>2320</v>
      </c>
      <c r="I774">
        <f>_xlfn.XLOOKUP($F774,設計座標!$E$13:$E$2301,設計座標!$G$13:$G$2301,"n/a",0,1)</f>
        <v>238.21293736136892</v>
      </c>
      <c r="J774">
        <f>_xlfn.XLOOKUP($F774,設計座標!$E$13:$E$2301,設計座標!$H$13:$H$2301,"n/a",0,1)</f>
        <v>-15000</v>
      </c>
      <c r="K774">
        <f>_xlfn.XLOOKUP($F774,設計座標!$E$13:$E$2301,設計座標!$I$13:$I$2301,"n/a",0,1)</f>
        <v>26249.120104539936</v>
      </c>
      <c r="L774">
        <f>_xlfn.XLOOKUP($F774,設計座標!$E$13:$E$2301,設計座標!$J$13:$J$2301,"n/a",0,1)</f>
        <v>-270</v>
      </c>
      <c r="M774" s="2">
        <f t="shared" si="599"/>
        <v>-15000.91476700728</v>
      </c>
      <c r="N774" s="2">
        <f t="shared" si="600"/>
        <v>26249.120104539936</v>
      </c>
      <c r="O774" s="23">
        <f t="shared" si="601"/>
        <v>-268.1545405697899</v>
      </c>
      <c r="P774" s="1">
        <f t="shared" si="580"/>
        <v>-270.91915326430689</v>
      </c>
      <c r="Q774" s="1">
        <f>(Q$793-Q$773)/($N$793-$N$773)*($N774-$N$773)+Q$773</f>
        <v>-0.91476700727990479</v>
      </c>
      <c r="R774">
        <f t="shared" si="594"/>
        <v>0</v>
      </c>
      <c r="S774" s="23">
        <f t="shared" ref="S774:S792" si="617">(S$793-S$773)/($N$793-$N$773)*($N774-$N$773)+S$773</f>
        <v>1.8454594302100955</v>
      </c>
      <c r="T774">
        <f>$S774+測地線補正!$Q$26*(lattice!$N774/1000)^3+測地線補正!$P$26*(lattice!$N774/1000)^2+測地線補正!$O$26*(lattice!$N774/1000)+測地線補正!$N$26</f>
        <v>-0.91915326430691069</v>
      </c>
      <c r="U774">
        <v>0</v>
      </c>
      <c r="V774">
        <v>0</v>
      </c>
      <c r="W774">
        <v>0</v>
      </c>
      <c r="X774">
        <f>$Z$774-($Y$774+$Y$772)/2</f>
        <v>501.60973554234045</v>
      </c>
      <c r="Y774">
        <f>_xlfn.XLOOKUP($F774,設計座標!$E$13:$E$2301,設計座標!$L$13:$L$2301," ",0,1)</f>
        <v>0</v>
      </c>
      <c r="Z774">
        <f>SQRT(($M$774 -$M$772)^2+($N$774-$N$772)^2)</f>
        <v>596.60973554234045</v>
      </c>
    </row>
    <row r="775" spans="1:28">
      <c r="A775" t="s">
        <v>797</v>
      </c>
      <c r="B775">
        <v>1</v>
      </c>
      <c r="C775" t="s">
        <v>804</v>
      </c>
      <c r="D775" t="s">
        <v>1152</v>
      </c>
      <c r="E775" t="s">
        <v>804</v>
      </c>
      <c r="F775" t="s">
        <v>1554</v>
      </c>
      <c r="G775" t="s">
        <v>2500</v>
      </c>
      <c r="I775">
        <f>_xlfn.XLOOKUP($F775,設計座標!$E$13:$E$2301,設計座標!$G$13:$G$2301,"n/a",0,1)</f>
        <v>238.34293696136891</v>
      </c>
      <c r="J775">
        <f>_xlfn.XLOOKUP($F775,設計座標!$E$13:$E$2301,設計座標!$H$13:$H$2301,"n/a",0,1)</f>
        <v>-15000</v>
      </c>
      <c r="K775">
        <f>_xlfn.XLOOKUP($F775,設計座標!$E$13:$E$2301,設計座標!$I$13:$I$2301,"n/a",0,1)</f>
        <v>26119.120504539937</v>
      </c>
      <c r="L775">
        <f>_xlfn.XLOOKUP($F775,設計座標!$E$13:$E$2301,設計座標!$J$13:$J$2301,"n/a",0,1)</f>
        <v>-270</v>
      </c>
      <c r="M775" s="2">
        <f t="shared" si="599"/>
        <v>-15000.897725530835</v>
      </c>
      <c r="N775" s="2">
        <f t="shared" si="600"/>
        <v>26119.120504539937</v>
      </c>
      <c r="O775" s="23">
        <f t="shared" si="601"/>
        <v>-268.1646675366195</v>
      </c>
      <c r="P775" s="1">
        <f t="shared" si="580"/>
        <v>-270.92207339305094</v>
      </c>
      <c r="Q775" s="1">
        <f t="shared" ref="Q775:Q792" si="618">(Q$793-Q$773)/($N$793-$N$773)*($N775-$N$773)+Q$773</f>
        <v>-0.89772553083548257</v>
      </c>
      <c r="R775">
        <f t="shared" si="594"/>
        <v>0</v>
      </c>
      <c r="S775" s="23">
        <f t="shared" si="617"/>
        <v>1.8353324633804871</v>
      </c>
      <c r="T775">
        <f>$S775+測地線補正!$Q$26*(lattice!$N775/1000)^3+測地線補正!$P$26*(lattice!$N775/1000)^2+測地線補正!$O$26*(lattice!$N775/1000)+測地線補正!$N$26</f>
        <v>-0.92207339305095615</v>
      </c>
      <c r="U775">
        <f>-ATAN(($P$779-$P$775)/ABS($N$779-$N$775))</f>
        <v>2.2804051979107271E-5</v>
      </c>
      <c r="V775">
        <v>0</v>
      </c>
      <c r="W775">
        <f>ATAN(($M$779-$M$775)/ABS($N$779-$N$775))</f>
        <v>1.3108868294006574E-4</v>
      </c>
      <c r="X775">
        <f>SQRT(($M$775-$M$774)^2+($N$775-$N$774)^2)</f>
        <v>129.99960111697155</v>
      </c>
      <c r="Y775">
        <f>_xlfn.XLOOKUP($F775,設計座標!$E$13:$E$2301,設計座標!$L$13:$L$2301," ",0,1)</f>
        <v>1889.4492</v>
      </c>
      <c r="Z775">
        <f>SQRT(($M$778-$M$776)^2+($N$778-$N$776)^2)</f>
        <v>324.69420278981374</v>
      </c>
    </row>
    <row r="776" spans="1:28">
      <c r="A776" t="s">
        <v>797</v>
      </c>
      <c r="B776">
        <v>1</v>
      </c>
      <c r="C776" t="s">
        <v>3855</v>
      </c>
      <c r="D776" t="s">
        <v>1152</v>
      </c>
      <c r="E776" t="s">
        <v>804</v>
      </c>
      <c r="F776" t="s">
        <v>2278</v>
      </c>
      <c r="G776" t="s">
        <v>2278</v>
      </c>
      <c r="I776">
        <f>_xlfn.XLOOKUP($F776,設計座標!$E$13:$E$2301,設計座標!$G$13:$G$2301,"n/a",0,1)</f>
        <v>238.96296736136892</v>
      </c>
      <c r="J776">
        <f>_xlfn.XLOOKUP($F776,設計座標!$E$13:$E$2301,設計座標!$H$13:$H$2301,"n/a",0,1)</f>
        <v>-15000</v>
      </c>
      <c r="K776">
        <f>_xlfn.XLOOKUP($F776,設計座標!$E$13:$E$2301,設計座標!$I$13:$I$2301,"n/a",0,1)</f>
        <v>25499.090104539937</v>
      </c>
      <c r="L776">
        <f>_xlfn.XLOOKUP($F776,設計座標!$E$13:$E$2301,設計座標!$J$13:$J$2301,"n/a",0,1)</f>
        <v>-270</v>
      </c>
      <c r="M776" s="2">
        <f t="shared" si="599"/>
        <v>-15000.81644656185</v>
      </c>
      <c r="N776" s="2">
        <f t="shared" si="600"/>
        <v>25499.090104539937</v>
      </c>
      <c r="O776" s="23">
        <f t="shared" si="601"/>
        <v>-268.21296789519101</v>
      </c>
      <c r="P776" s="1">
        <f t="shared" si="580"/>
        <v>-270.93607959722254</v>
      </c>
      <c r="Q776" s="1">
        <f t="shared" si="618"/>
        <v>-0.81644656185076436</v>
      </c>
      <c r="R776">
        <f t="shared" si="594"/>
        <v>0</v>
      </c>
      <c r="S776" s="23">
        <f t="shared" si="617"/>
        <v>1.7870321048090074</v>
      </c>
      <c r="T776">
        <f>$S776+測地線補正!$Q$26*(lattice!$N776/1000)^3+測地線補正!$P$26*(lattice!$N776/1000)^2+測地線補正!$O$26*(lattice!$N776/1000)+測地線補正!$N$26</f>
        <v>-0.9360795972225231</v>
      </c>
      <c r="U776">
        <f t="shared" ref="U776:U777" si="619">-ATAN(($P$779-$P$775)/ABS($N$779-$N$775))</f>
        <v>2.2804051979107271E-5</v>
      </c>
      <c r="V776">
        <v>0</v>
      </c>
      <c r="W776">
        <f t="shared" ref="W776:W777" si="620">ATAN(($M$779-$M$775)/ABS($N$779-$N$775))</f>
        <v>1.3108868294006574E-4</v>
      </c>
      <c r="X776" t="s">
        <v>3860</v>
      </c>
      <c r="Y776">
        <f>_xlfn.XLOOKUP($F776,設計座標!$E$13:$E$2301,設計座標!$L$13:$L$2301," ",0,1)</f>
        <v>1000</v>
      </c>
      <c r="Z776">
        <f>SQRT(($M$776-$M$774)^2+($N$776-$N$774)^2)</f>
        <v>750.03000644434769</v>
      </c>
      <c r="AA776">
        <f>_xlfn.XLOOKUP($G776,magnet_list!$A$2:$A$592,magnet_list!$AJ$2:$AJ$592,"n/a",0,1)</f>
        <v>0.95010000000000006</v>
      </c>
      <c r="AB776">
        <f>_xlfn.XLOOKUP($G776,magnet_list!$A$2:$A$592,magnet_list!$L$2:$L$592,"n/a",0,1)</f>
        <v>120</v>
      </c>
    </row>
    <row r="777" spans="1:28">
      <c r="A777" t="s">
        <v>797</v>
      </c>
      <c r="B777">
        <v>1</v>
      </c>
      <c r="C777" t="s">
        <v>3855</v>
      </c>
      <c r="D777" t="s">
        <v>1152</v>
      </c>
      <c r="E777" t="s">
        <v>804</v>
      </c>
      <c r="F777" t="s">
        <v>2279</v>
      </c>
      <c r="G777" t="s">
        <v>2279</v>
      </c>
      <c r="I777">
        <f>_xlfn.XLOOKUP($F777,設計座標!$E$13:$E$2301,設計座標!$G$13:$G$2301,"n/a",0,1)</f>
        <v>238.96296736136892</v>
      </c>
      <c r="J777">
        <f>_xlfn.XLOOKUP($F777,設計座標!$E$13:$E$2301,設計座標!$H$13:$H$2301,"n/a",0,1)</f>
        <v>-15000</v>
      </c>
      <c r="K777">
        <f>_xlfn.XLOOKUP($F777,設計座標!$E$13:$E$2301,設計座標!$I$13:$I$2301,"n/a",0,1)</f>
        <v>25499.090104539937</v>
      </c>
      <c r="L777">
        <f>_xlfn.XLOOKUP($F777,設計座標!$E$13:$E$2301,設計座標!$J$13:$J$2301,"n/a",0,1)</f>
        <v>-270</v>
      </c>
      <c r="M777" s="2">
        <f t="shared" si="599"/>
        <v>-15000.81644656185</v>
      </c>
      <c r="N777" s="2">
        <f t="shared" si="600"/>
        <v>25499.090104539937</v>
      </c>
      <c r="O777" s="23">
        <f t="shared" si="601"/>
        <v>-268.21296789519101</v>
      </c>
      <c r="P777" s="1">
        <f t="shared" si="580"/>
        <v>-270.93607959722254</v>
      </c>
      <c r="Q777" s="1">
        <f t="shared" si="618"/>
        <v>-0.81644656185076436</v>
      </c>
      <c r="R777">
        <f t="shared" si="594"/>
        <v>0</v>
      </c>
      <c r="S777" s="23">
        <f t="shared" si="617"/>
        <v>1.7870321048090074</v>
      </c>
      <c r="T777">
        <f>$S777+測地線補正!$Q$26*(lattice!$N777/1000)^3+測地線補正!$P$26*(lattice!$N777/1000)^2+測地線補正!$O$26*(lattice!$N777/1000)+測地線補正!$N$26</f>
        <v>-0.9360795972225231</v>
      </c>
      <c r="U777">
        <f t="shared" si="619"/>
        <v>2.2804051979107271E-5</v>
      </c>
      <c r="V777">
        <v>0</v>
      </c>
      <c r="W777">
        <f t="shared" si="620"/>
        <v>1.3108868294006574E-4</v>
      </c>
      <c r="X777" t="s">
        <v>3860</v>
      </c>
      <c r="Y777">
        <f>_xlfn.XLOOKUP($F777,設計座標!$E$13:$E$2301,設計座標!$L$13:$L$2301," ",0,1)</f>
        <v>1000</v>
      </c>
      <c r="Z777">
        <f>SQRT(($M$776-$M$774)^2+($N$776-$N$774)^2)</f>
        <v>750.03000644434769</v>
      </c>
      <c r="AA777">
        <f>_xlfn.XLOOKUP($G777,magnet_list!$A$2:$A$592,magnet_list!$AJ$2:$AJ$592,"n/a",0,1)</f>
        <v>0.95010000000000006</v>
      </c>
      <c r="AB777">
        <f>_xlfn.XLOOKUP($G777,magnet_list!$A$2:$A$592,magnet_list!$L$2:$L$592,"n/a",0,1)</f>
        <v>120</v>
      </c>
    </row>
    <row r="778" spans="1:28">
      <c r="A778" t="s">
        <v>797</v>
      </c>
      <c r="B778">
        <v>1</v>
      </c>
      <c r="C778" t="s">
        <v>804</v>
      </c>
      <c r="D778" t="s">
        <v>1152</v>
      </c>
      <c r="E778" t="s">
        <v>804</v>
      </c>
      <c r="F778" t="s">
        <v>1185</v>
      </c>
      <c r="G778" t="s">
        <v>2500</v>
      </c>
      <c r="I778">
        <f>_xlfn.XLOOKUP($F778,設計座標!$E$13:$E$2301,設計座標!$G$13:$G$2301,"n/a",0,1)</f>
        <v>239.28766156136891</v>
      </c>
      <c r="J778">
        <f>_xlfn.XLOOKUP($F778,設計座標!$E$13:$E$2301,設計座標!$H$13:$H$2301,"n/a",0,1)</f>
        <v>-15000</v>
      </c>
      <c r="K778">
        <f>_xlfn.XLOOKUP($F778,設計座標!$E$13:$E$2301,設計座標!$I$13:$I$2301,"n/a",0,1)</f>
        <v>25174.395904539935</v>
      </c>
      <c r="L778">
        <f>_xlfn.XLOOKUP($F778,設計座標!$E$13:$E$2301,設計座標!$J$13:$J$2301,"n/a",0,1)</f>
        <v>-270</v>
      </c>
      <c r="M778" s="2">
        <f t="shared" si="599"/>
        <v>-15000.77388282657</v>
      </c>
      <c r="N778" s="2">
        <f t="shared" si="600"/>
        <v>25174.395904539935</v>
      </c>
      <c r="O778" s="23">
        <f t="shared" si="601"/>
        <v>-268.23826156834974</v>
      </c>
      <c r="P778" s="1">
        <f t="shared" si="580"/>
        <v>-270.94346616490691</v>
      </c>
      <c r="Q778" s="1">
        <f t="shared" si="618"/>
        <v>-0.77388282657049734</v>
      </c>
      <c r="R778">
        <f t="shared" si="594"/>
        <v>0</v>
      </c>
      <c r="S778" s="23">
        <f t="shared" si="617"/>
        <v>1.7617384316502722</v>
      </c>
      <c r="T778">
        <f>$S778+測地線補正!$Q$26*(lattice!$N778/1000)^3+測地線補正!$P$26*(lattice!$N778/1000)^2+測地線補正!$O$26*(lattice!$N778/1000)+測地線補正!$N$26</f>
        <v>-0.94346616490691737</v>
      </c>
      <c r="U778">
        <f t="shared" ref="U778:U779" si="621">-ATAN(($P$779-$P$775)/ABS($N$779-$N$775))</f>
        <v>2.2804051979107271E-5</v>
      </c>
      <c r="V778">
        <v>0</v>
      </c>
      <c r="W778">
        <f t="shared" ref="W778:W779" si="622">ATAN(($M$779-$M$775)/ABS($N$779-$N$775))</f>
        <v>1.3108868294006574E-4</v>
      </c>
      <c r="X778" t="s">
        <v>3860</v>
      </c>
      <c r="Y778">
        <f>_xlfn.XLOOKUP($F778,設計座標!$E$13:$E$2301,設計座標!$L$13:$L$2301," ",0,1)</f>
        <v>1889.4492</v>
      </c>
      <c r="Z778">
        <f>SQRT(($M$778-$M$776)^2+($N$778-$N$776)^2)</f>
        <v>324.69420278981374</v>
      </c>
    </row>
    <row r="779" spans="1:28">
      <c r="A779" t="s">
        <v>797</v>
      </c>
      <c r="B779">
        <v>1</v>
      </c>
      <c r="C779" t="s">
        <v>804</v>
      </c>
      <c r="D779" t="s">
        <v>1152</v>
      </c>
      <c r="E779" t="s">
        <v>804</v>
      </c>
      <c r="F779" t="s">
        <v>1555</v>
      </c>
      <c r="G779" t="s">
        <v>2500</v>
      </c>
      <c r="I779">
        <f>_xlfn.XLOOKUP($F779,設計座標!$E$13:$E$2301,設計座標!$G$13:$G$2301,"n/a",0,1)</f>
        <v>240.23238616136891</v>
      </c>
      <c r="J779">
        <f>_xlfn.XLOOKUP($F779,設計座標!$E$13:$E$2301,設計座標!$H$13:$H$2301,"n/a",0,1)</f>
        <v>-15000</v>
      </c>
      <c r="K779">
        <f>_xlfn.XLOOKUP($F779,設計座標!$E$13:$E$2301,設計座標!$I$13:$I$2301,"n/a",0,1)</f>
        <v>24229.671304539934</v>
      </c>
      <c r="L779">
        <f>_xlfn.XLOOKUP($F779,設計座標!$E$13:$E$2301,設計座標!$J$13:$J$2301,"n/a",0,1)</f>
        <v>-270</v>
      </c>
      <c r="M779" s="2">
        <f t="shared" si="599"/>
        <v>-15000.650040122306</v>
      </c>
      <c r="N779" s="2">
        <f t="shared" si="600"/>
        <v>24229.671304539934</v>
      </c>
      <c r="O779" s="23">
        <f t="shared" si="601"/>
        <v>-268.31185560007992</v>
      </c>
      <c r="P779" s="1">
        <f t="shared" si="580"/>
        <v>-270.96516049082709</v>
      </c>
      <c r="Q779" s="1">
        <f t="shared" si="618"/>
        <v>-0.65004012230551211</v>
      </c>
      <c r="R779">
        <f t="shared" si="594"/>
        <v>0</v>
      </c>
      <c r="S779" s="23">
        <f t="shared" si="617"/>
        <v>1.6881443999200574</v>
      </c>
      <c r="T779">
        <f>$S779+測地線補正!$Q$26*(lattice!$N779/1000)^3+測地線補正!$P$26*(lattice!$N779/1000)^2+測地線補正!$O$26*(lattice!$N779/1000)+測地線補正!$N$26</f>
        <v>-0.96516049082711519</v>
      </c>
      <c r="U779">
        <f t="shared" si="621"/>
        <v>2.2804051979107271E-5</v>
      </c>
      <c r="V779">
        <v>0</v>
      </c>
      <c r="W779">
        <f t="shared" si="622"/>
        <v>1.3108868294006574E-4</v>
      </c>
      <c r="X779" t="s">
        <v>3860</v>
      </c>
      <c r="Y779">
        <f>_xlfn.XLOOKUP($F779,設計座標!$E$13:$E$2301,設計座標!$L$13:$L$2301," ",0,1)</f>
        <v>1889.4492</v>
      </c>
      <c r="Z779">
        <f>SQRT(($M$778-$M$776)^2+($N$778-$N$776)^2)</f>
        <v>324.69420278981374</v>
      </c>
    </row>
    <row r="780" spans="1:28">
      <c r="A780" t="s">
        <v>797</v>
      </c>
      <c r="B780">
        <v>1</v>
      </c>
      <c r="C780" t="s">
        <v>804</v>
      </c>
      <c r="D780" t="s">
        <v>1152</v>
      </c>
      <c r="E780" t="s">
        <v>804</v>
      </c>
      <c r="F780" t="s">
        <v>1556</v>
      </c>
      <c r="G780" t="s">
        <v>2501</v>
      </c>
      <c r="I780">
        <f>_xlfn.XLOOKUP($F780,設計座標!$E$13:$E$2301,設計座標!$G$13:$G$2301,"n/a",0,1)</f>
        <v>240.44232496136891</v>
      </c>
      <c r="J780">
        <f>_xlfn.XLOOKUP($F780,設計座標!$E$13:$E$2301,設計座標!$H$13:$H$2301,"n/a",0,1)</f>
        <v>-15000</v>
      </c>
      <c r="K780">
        <f>_xlfn.XLOOKUP($F780,設計座標!$E$13:$E$2301,設計座標!$I$13:$I$2301,"n/a",0,1)</f>
        <v>24019.732504539938</v>
      </c>
      <c r="L780">
        <f>_xlfn.XLOOKUP($F780,設計座標!$E$13:$E$2301,設計座標!$J$13:$J$2301,"n/a",0,1)</f>
        <v>-270</v>
      </c>
      <c r="M780" s="2">
        <f t="shared" si="599"/>
        <v>-15000.622519521357</v>
      </c>
      <c r="N780" s="2">
        <f t="shared" si="600"/>
        <v>24019.732504539938</v>
      </c>
      <c r="O780" s="23">
        <f t="shared" si="601"/>
        <v>-268.32820982935334</v>
      </c>
      <c r="P780" s="1">
        <f t="shared" si="580"/>
        <v>-270.97002233488035</v>
      </c>
      <c r="Q780" s="1">
        <f t="shared" si="618"/>
        <v>-0.62251952135773814</v>
      </c>
      <c r="R780">
        <f t="shared" si="594"/>
        <v>0</v>
      </c>
      <c r="S780" s="23">
        <f t="shared" si="617"/>
        <v>1.6717901706466767</v>
      </c>
      <c r="T780">
        <f>$S780+測地線補正!$Q$26*(lattice!$N780/1000)^3+測地線補正!$P$26*(lattice!$N780/1000)^2+測地線補正!$O$26*(lattice!$N780/1000)+測地線補正!$N$26</f>
        <v>-0.97002233488033296</v>
      </c>
      <c r="U780">
        <f>-ATAN(($P$782-$P$780)/ABS($N$782-$N$780))</f>
        <v>2.3511586541196654E-5</v>
      </c>
      <c r="V780">
        <v>0</v>
      </c>
      <c r="W780">
        <f>ATAN(($M$782-$M$780)/ABS($N$782-$N$780))</f>
        <v>1.3108868294006574E-4</v>
      </c>
      <c r="X780">
        <f>SQRT(($M$780-$M$779)^2+($N$780-$N$779)^2)</f>
        <v>209.93880180381592</v>
      </c>
      <c r="Y780">
        <f>_xlfn.XLOOKUP($F780,設計座標!$E$13:$E$2301,設計座標!$L$13:$L$2301," ",0,1)</f>
        <v>1889.4492</v>
      </c>
      <c r="Z780">
        <f>SQRT(($M$781-$M$778)^2+($N$781-$N$778)^2)</f>
        <v>2099.3880180381957</v>
      </c>
    </row>
    <row r="781" spans="1:28">
      <c r="A781" t="s">
        <v>797</v>
      </c>
      <c r="B781">
        <v>1</v>
      </c>
      <c r="C781" t="s">
        <v>804</v>
      </c>
      <c r="D781" t="s">
        <v>1152</v>
      </c>
      <c r="E781" t="s">
        <v>804</v>
      </c>
      <c r="F781" t="s">
        <v>1241</v>
      </c>
      <c r="G781" t="s">
        <v>2501</v>
      </c>
      <c r="I781">
        <f>_xlfn.XLOOKUP($F781,設計座標!$E$13:$E$2301,設計座標!$G$13:$G$2301,"n/a",0,1)</f>
        <v>241.38704956136891</v>
      </c>
      <c r="J781">
        <f>_xlfn.XLOOKUP($F781,設計座標!$E$13:$E$2301,設計座標!$H$13:$H$2301,"n/a",0,1)</f>
        <v>-15000</v>
      </c>
      <c r="K781">
        <f>_xlfn.XLOOKUP($F781,設計座標!$E$13:$E$2301,設計座標!$I$13:$I$2301,"n/a",0,1)</f>
        <v>23075.007904539936</v>
      </c>
      <c r="L781">
        <f>_xlfn.XLOOKUP($F781,設計座標!$E$13:$E$2301,設計座標!$J$13:$J$2301,"n/a",0,1)</f>
        <v>-270</v>
      </c>
      <c r="M781" s="2">
        <f t="shared" si="599"/>
        <v>-15000.498676817093</v>
      </c>
      <c r="N781" s="2">
        <f t="shared" si="600"/>
        <v>23075.007904539936</v>
      </c>
      <c r="O781" s="23">
        <f t="shared" si="601"/>
        <v>-268.40180386108352</v>
      </c>
      <c r="P781" s="1">
        <f t="shared" si="580"/>
        <v>-270.99208429471912</v>
      </c>
      <c r="Q781" s="1">
        <f t="shared" si="618"/>
        <v>-0.4986768170927528</v>
      </c>
      <c r="R781">
        <f t="shared" si="594"/>
        <v>0</v>
      </c>
      <c r="S781" s="23">
        <f t="shared" si="617"/>
        <v>1.5981961389164618</v>
      </c>
      <c r="T781">
        <f>$S781+測地線補正!$Q$26*(lattice!$N781/1000)^3+測地線補正!$P$26*(lattice!$N781/1000)^2+測地線補正!$O$26*(lattice!$N781/1000)+測地線補正!$N$26</f>
        <v>-0.9920842947191244</v>
      </c>
      <c r="U781">
        <f t="shared" ref="U781:U782" si="623">-ATAN(($P$782-$P$780)/ABS($N$782-$N$780))</f>
        <v>2.3511586541196654E-5</v>
      </c>
      <c r="V781">
        <v>0</v>
      </c>
      <c r="W781">
        <f t="shared" ref="W781:W782" si="624">ATAN(($M$782-$M$780)/ABS($N$782-$N$780))</f>
        <v>1.3108868294006574E-4</v>
      </c>
      <c r="X781" t="s">
        <v>3860</v>
      </c>
      <c r="Y781">
        <f>_xlfn.XLOOKUP($F781,設計座標!$E$13:$E$2301,設計座標!$L$13:$L$2301," ",0,1)</f>
        <v>1889.4492</v>
      </c>
      <c r="Z781">
        <f>SQRT(($M$781-$M$778)^2+($N$781-$N$778)^2)</f>
        <v>2099.3880180381957</v>
      </c>
    </row>
    <row r="782" spans="1:28">
      <c r="A782" t="s">
        <v>797</v>
      </c>
      <c r="B782">
        <v>1</v>
      </c>
      <c r="C782" t="s">
        <v>804</v>
      </c>
      <c r="D782" t="s">
        <v>1152</v>
      </c>
      <c r="E782" t="s">
        <v>804</v>
      </c>
      <c r="F782" t="s">
        <v>1557</v>
      </c>
      <c r="G782" t="s">
        <v>2501</v>
      </c>
      <c r="I782">
        <f>_xlfn.XLOOKUP($F782,設計座標!$E$13:$E$2301,設計座標!$G$13:$G$2301,"n/a",0,1)</f>
        <v>242.33177416136891</v>
      </c>
      <c r="J782">
        <f>_xlfn.XLOOKUP($F782,設計座標!$E$13:$E$2301,設計座標!$H$13:$H$2301,"n/a",0,1)</f>
        <v>-15000</v>
      </c>
      <c r="K782">
        <f>_xlfn.XLOOKUP($F782,設計座標!$E$13:$E$2301,設計座標!$I$13:$I$2301,"n/a",0,1)</f>
        <v>22130.283304539935</v>
      </c>
      <c r="L782">
        <f>_xlfn.XLOOKUP($F782,設計座標!$E$13:$E$2301,設計座標!$J$13:$J$2301,"n/a",0,1)</f>
        <v>-270</v>
      </c>
      <c r="M782" s="2">
        <f t="shared" si="599"/>
        <v>-15000.374834112828</v>
      </c>
      <c r="N782" s="2">
        <f t="shared" si="600"/>
        <v>22130.283304539935</v>
      </c>
      <c r="O782" s="23">
        <f t="shared" si="601"/>
        <v>-268.47539789281376</v>
      </c>
      <c r="P782" s="1">
        <f t="shared" si="580"/>
        <v>-271.01444628326954</v>
      </c>
      <c r="Q782" s="1">
        <f t="shared" si="618"/>
        <v>-0.37483411282776757</v>
      </c>
      <c r="R782">
        <f t="shared" si="594"/>
        <v>0</v>
      </c>
      <c r="S782" s="23">
        <f t="shared" si="617"/>
        <v>1.524602107186247</v>
      </c>
      <c r="T782">
        <f>$S782+測地線補正!$Q$26*(lattice!$N782/1000)^3+測地線補正!$P$26*(lattice!$N782/1000)^2+測地線補正!$O$26*(lattice!$N782/1000)+測地線補正!$N$26</f>
        <v>-1.0144462832695609</v>
      </c>
      <c r="U782">
        <f t="shared" si="623"/>
        <v>2.3511586541196654E-5</v>
      </c>
      <c r="V782">
        <v>0</v>
      </c>
      <c r="W782">
        <f t="shared" si="624"/>
        <v>1.3108868294006574E-4</v>
      </c>
      <c r="X782" t="s">
        <v>3860</v>
      </c>
      <c r="Y782">
        <f>_xlfn.XLOOKUP($F782,設計座標!$E$13:$E$2301,設計座標!$L$13:$L$2301," ",0,1)</f>
        <v>1889.4492</v>
      </c>
      <c r="Z782">
        <f>SQRT(($M$781-$M$778)^2+($N$781-$N$778)^2)</f>
        <v>2099.3880180381957</v>
      </c>
    </row>
    <row r="783" spans="1:28">
      <c r="A783" t="s">
        <v>797</v>
      </c>
      <c r="B783">
        <v>1</v>
      </c>
      <c r="C783" t="s">
        <v>1152</v>
      </c>
      <c r="D783" t="s">
        <v>1152</v>
      </c>
      <c r="E783" t="s">
        <v>804</v>
      </c>
      <c r="F783" t="s">
        <v>2028</v>
      </c>
      <c r="G783" t="s">
        <v>2028</v>
      </c>
      <c r="I783">
        <f>_xlfn.XLOOKUP($F783,設計座標!$E$13:$E$2301,設計座標!$G$13:$G$2301,"n/a",0,1)</f>
        <v>242.62665146136891</v>
      </c>
      <c r="J783">
        <f>_xlfn.XLOOKUP($F783,設計座標!$E$13:$E$2301,設計座標!$H$13:$H$2301,"n/a",0,1)</f>
        <v>-15000</v>
      </c>
      <c r="K783">
        <f>_xlfn.XLOOKUP($F783,設計座標!$E$13:$E$2301,設計座標!$I$13:$I$2301,"n/a",0,1)</f>
        <v>21835.406004539935</v>
      </c>
      <c r="L783">
        <f>_xlfn.XLOOKUP($F783,設計座標!$E$13:$E$2301,設計座標!$J$13:$J$2301,"n/a",0,1)</f>
        <v>-270</v>
      </c>
      <c r="M783" s="2">
        <f t="shared" si="599"/>
        <v>-15000.336179035719</v>
      </c>
      <c r="N783" s="2">
        <f t="shared" si="600"/>
        <v>21835.406004539935</v>
      </c>
      <c r="O783" s="23">
        <f t="shared" si="601"/>
        <v>-268.49836882992361</v>
      </c>
      <c r="P783" s="1">
        <f t="shared" si="580"/>
        <v>-271.02148747139881</v>
      </c>
      <c r="Q783" s="1">
        <f t="shared" si="618"/>
        <v>-0.33617903572026209</v>
      </c>
      <c r="R783">
        <f t="shared" si="594"/>
        <v>0</v>
      </c>
      <c r="S783" s="23">
        <f t="shared" si="617"/>
        <v>1.5016311700764056</v>
      </c>
      <c r="T783">
        <f>$S783+測地線補正!$Q$26*(lattice!$N783/1000)^3+測地線補正!$P$26*(lattice!$N783/1000)^2+測地線補正!$O$26*(lattice!$N783/1000)+測地線補正!$N$26</f>
        <v>-1.0214874713988003</v>
      </c>
      <c r="U783">
        <v>0</v>
      </c>
      <c r="V783">
        <v>0</v>
      </c>
      <c r="W783">
        <v>0</v>
      </c>
      <c r="X783">
        <f>SQRT(($M$783-$M$782)^2+($N$783-$N$782)^2)</f>
        <v>294.87730253362167</v>
      </c>
      <c r="Y783">
        <f>_xlfn.XLOOKUP($F783,設計座標!$E$13:$E$2301,設計座標!$L$13:$L$2301," ",0,1)</f>
        <v>0</v>
      </c>
      <c r="Z783">
        <f>SQRT(($M$783-$M$781)^2+($N$783-$N$781)^2)</f>
        <v>1239.6019106508115</v>
      </c>
    </row>
    <row r="784" spans="1:28">
      <c r="A784" t="s">
        <v>797</v>
      </c>
      <c r="B784">
        <v>1</v>
      </c>
      <c r="C784" t="s">
        <v>804</v>
      </c>
      <c r="D784" t="s">
        <v>1152</v>
      </c>
      <c r="E784" t="s">
        <v>804</v>
      </c>
      <c r="F784" t="s">
        <v>1558</v>
      </c>
      <c r="G784" t="s">
        <v>2502</v>
      </c>
      <c r="I784">
        <f>_xlfn.XLOOKUP($F784,設計座標!$E$13:$E$2301,設計座標!$G$13:$G$2301,"n/a",0,1)</f>
        <v>242.85662066136891</v>
      </c>
      <c r="J784">
        <f>_xlfn.XLOOKUP($F784,設計座標!$E$13:$E$2301,設計座標!$H$13:$H$2301,"n/a",0,1)</f>
        <v>-15000</v>
      </c>
      <c r="K784">
        <f>_xlfn.XLOOKUP($F784,設計座標!$E$13:$E$2301,設計座標!$I$13:$I$2301,"n/a",0,1)</f>
        <v>21605.436804539935</v>
      </c>
      <c r="L784">
        <f>_xlfn.XLOOKUP($F784,設計座標!$E$13:$E$2301,設計座標!$J$13:$J$2301,"n/a",0,1)</f>
        <v>-270</v>
      </c>
      <c r="M784" s="2">
        <f t="shared" si="599"/>
        <v>-15000.306032676002</v>
      </c>
      <c r="N784" s="2">
        <f t="shared" si="600"/>
        <v>21605.436804539935</v>
      </c>
      <c r="O784" s="23">
        <f t="shared" si="601"/>
        <v>-268.5162834270472</v>
      </c>
      <c r="P784" s="1">
        <f t="shared" si="580"/>
        <v>-271.02699898761938</v>
      </c>
      <c r="Q784" s="1">
        <f t="shared" si="618"/>
        <v>-0.30603267600267325</v>
      </c>
      <c r="R784">
        <f t="shared" si="594"/>
        <v>0</v>
      </c>
      <c r="S784" s="23">
        <f t="shared" si="617"/>
        <v>1.4837165729527868</v>
      </c>
      <c r="T784">
        <f>$S784+測地線補正!$Q$26*(lattice!$N784/1000)^3+測地線補正!$P$26*(lattice!$N784/1000)^2+測地線補正!$O$26*(lattice!$N784/1000)+測地線補正!$N$26</f>
        <v>-1.0269989876193584</v>
      </c>
      <c r="U784">
        <f>-ATAN(($P$788-$P$784)/ABS($N$788-$N$784))</f>
        <v>2.4320815454781524E-5</v>
      </c>
      <c r="V784">
        <v>0</v>
      </c>
      <c r="W784">
        <f>ATAN(($M$788-$M$784)/ABS($N$788-$N$784))</f>
        <v>1.3108868294006574E-4</v>
      </c>
      <c r="X784">
        <f>SQRT(($M$784-$M$783)^2+($N$784-$N$783)^2)</f>
        <v>229.96920197592286</v>
      </c>
      <c r="Y784">
        <f>_xlfn.XLOOKUP($F784,設計座標!$E$13:$E$2301,設計座標!$L$13:$L$2301," ",0,1)</f>
        <v>1889.4492</v>
      </c>
      <c r="Z784">
        <f>SQRT(($M$787-$M$785)^2+($N$787-$N$785)^2)</f>
        <v>324.69380278980947</v>
      </c>
    </row>
    <row r="785" spans="1:28">
      <c r="A785" t="s">
        <v>797</v>
      </c>
      <c r="B785">
        <v>1</v>
      </c>
      <c r="C785" t="s">
        <v>3855</v>
      </c>
      <c r="D785" t="s">
        <v>1152</v>
      </c>
      <c r="E785" t="s">
        <v>804</v>
      </c>
      <c r="F785" t="s">
        <v>2280</v>
      </c>
      <c r="G785" t="s">
        <v>2280</v>
      </c>
      <c r="I785">
        <f>_xlfn.XLOOKUP($F785,設計座標!$E$13:$E$2301,設計座標!$G$13:$G$2301,"n/a",0,1)</f>
        <v>243.4766514613689</v>
      </c>
      <c r="J785">
        <f>_xlfn.XLOOKUP($F785,設計座標!$E$13:$E$2301,設計座標!$H$13:$H$2301,"n/a",0,1)</f>
        <v>-15000</v>
      </c>
      <c r="K785">
        <f>_xlfn.XLOOKUP($F785,設計座標!$E$13:$E$2301,設計座標!$I$13:$I$2301,"n/a",0,1)</f>
        <v>20985.406004539935</v>
      </c>
      <c r="L785">
        <f>_xlfn.XLOOKUP($F785,設計座標!$E$13:$E$2301,設計座標!$J$13:$J$2301,"n/a",0,1)</f>
        <v>-270</v>
      </c>
      <c r="M785" s="2">
        <f t="shared" si="599"/>
        <v>-15000.224753654582</v>
      </c>
      <c r="N785" s="2">
        <f t="shared" si="600"/>
        <v>20985.406004539935</v>
      </c>
      <c r="O785" s="23">
        <f t="shared" si="601"/>
        <v>-268.56458381677868</v>
      </c>
      <c r="P785" s="1">
        <f t="shared" si="580"/>
        <v>-271.04194708700027</v>
      </c>
      <c r="Q785" s="1">
        <f t="shared" si="618"/>
        <v>-0.22475365458248142</v>
      </c>
      <c r="R785">
        <f t="shared" si="594"/>
        <v>0</v>
      </c>
      <c r="S785" s="23">
        <f t="shared" si="617"/>
        <v>1.4354161832213133</v>
      </c>
      <c r="T785">
        <f>$S785+測地線補正!$Q$26*(lattice!$N785/1000)^3+測地線補正!$P$26*(lattice!$N785/1000)^2+測地線補正!$O$26*(lattice!$N785/1000)+測地線補正!$N$26</f>
        <v>-1.0419470870002909</v>
      </c>
      <c r="U785">
        <f t="shared" ref="U785:U786" si="625">-ATAN(($P$788-$P$784)/ABS($N$788-$N$784))</f>
        <v>2.4320815454781524E-5</v>
      </c>
      <c r="V785">
        <v>0</v>
      </c>
      <c r="W785">
        <f t="shared" ref="W785:W786" si="626">ATAN(($M$788-$M$784)/ABS($N$788-$N$784))</f>
        <v>1.3108868294006574E-4</v>
      </c>
      <c r="X785" t="s">
        <v>3860</v>
      </c>
      <c r="Y785">
        <f>_xlfn.XLOOKUP($F785,設計座標!$E$13:$E$2301,設計座標!$L$13:$L$2301," ",0,1)</f>
        <v>800</v>
      </c>
      <c r="Z785">
        <f>SQRT(($M$785-$M$783)^2+($N$785-$N$783)^2)</f>
        <v>850.00000730330328</v>
      </c>
      <c r="AA785">
        <f>_xlfn.XLOOKUP($G785,magnet_list!$A$2:$A$592,magnet_list!$AJ$2:$AJ$592,"n/a",0,1)</f>
        <v>0.74619000000000002</v>
      </c>
      <c r="AB785">
        <f>_xlfn.XLOOKUP($G785,magnet_list!$A$2:$A$592,magnet_list!$L$2:$L$592,"n/a",0,1)</f>
        <v>120</v>
      </c>
    </row>
    <row r="786" spans="1:28">
      <c r="A786" t="s">
        <v>797</v>
      </c>
      <c r="B786">
        <v>1</v>
      </c>
      <c r="C786" t="s">
        <v>3855</v>
      </c>
      <c r="D786" t="s">
        <v>1152</v>
      </c>
      <c r="E786" t="s">
        <v>804</v>
      </c>
      <c r="F786" t="s">
        <v>2281</v>
      </c>
      <c r="G786" t="s">
        <v>2281</v>
      </c>
      <c r="I786">
        <f>_xlfn.XLOOKUP($F786,設計座標!$E$13:$E$2301,設計座標!$G$13:$G$2301,"n/a",0,1)</f>
        <v>243.4766514613689</v>
      </c>
      <c r="J786">
        <f>_xlfn.XLOOKUP($F786,設計座標!$E$13:$E$2301,設計座標!$H$13:$H$2301,"n/a",0,1)</f>
        <v>-15000</v>
      </c>
      <c r="K786">
        <f>_xlfn.XLOOKUP($F786,設計座標!$E$13:$E$2301,設計座標!$I$13:$I$2301,"n/a",0,1)</f>
        <v>20985.406004539935</v>
      </c>
      <c r="L786">
        <f>_xlfn.XLOOKUP($F786,設計座標!$E$13:$E$2301,設計座標!$J$13:$J$2301,"n/a",0,1)</f>
        <v>-270</v>
      </c>
      <c r="M786" s="2">
        <f t="shared" si="599"/>
        <v>-15000.224753654582</v>
      </c>
      <c r="N786" s="2">
        <f t="shared" si="600"/>
        <v>20985.406004539935</v>
      </c>
      <c r="O786" s="23">
        <f t="shared" si="601"/>
        <v>-268.56458381677868</v>
      </c>
      <c r="P786" s="1">
        <f t="shared" si="580"/>
        <v>-271.04194708700027</v>
      </c>
      <c r="Q786" s="1">
        <f t="shared" si="618"/>
        <v>-0.22475365458248142</v>
      </c>
      <c r="R786">
        <f t="shared" si="594"/>
        <v>0</v>
      </c>
      <c r="S786" s="23">
        <f t="shared" si="617"/>
        <v>1.4354161832213133</v>
      </c>
      <c r="T786">
        <f>$S786+測地線補正!$Q$26*(lattice!$N786/1000)^3+測地線補正!$P$26*(lattice!$N786/1000)^2+測地線補正!$O$26*(lattice!$N786/1000)+測地線補正!$N$26</f>
        <v>-1.0419470870002909</v>
      </c>
      <c r="U786">
        <f t="shared" si="625"/>
        <v>2.4320815454781524E-5</v>
      </c>
      <c r="V786">
        <v>0</v>
      </c>
      <c r="W786">
        <f t="shared" si="626"/>
        <v>1.3108868294006574E-4</v>
      </c>
      <c r="X786" t="s">
        <v>3860</v>
      </c>
      <c r="Y786">
        <f>_xlfn.XLOOKUP($F786,設計座標!$E$13:$E$2301,設計座標!$L$13:$L$2301," ",0,1)</f>
        <v>800</v>
      </c>
      <c r="Z786">
        <f>SQRT(($M$785-$M$783)^2+($N$785-$N$783)^2)</f>
        <v>850.00000730330328</v>
      </c>
      <c r="AA786">
        <f>_xlfn.XLOOKUP($G786,magnet_list!$A$2:$A$592,magnet_list!$AJ$2:$AJ$592,"n/a",0,1)</f>
        <v>0.74619000000000002</v>
      </c>
      <c r="AB786">
        <f>_xlfn.XLOOKUP($G786,magnet_list!$A$2:$A$592,magnet_list!$L$2:$L$592,"n/a",0,1)</f>
        <v>120</v>
      </c>
    </row>
    <row r="787" spans="1:28">
      <c r="A787" t="s">
        <v>797</v>
      </c>
      <c r="B787">
        <v>1</v>
      </c>
      <c r="C787" t="s">
        <v>804</v>
      </c>
      <c r="D787" t="s">
        <v>1152</v>
      </c>
      <c r="E787" t="s">
        <v>804</v>
      </c>
      <c r="F787" t="s">
        <v>1296</v>
      </c>
      <c r="G787" t="s">
        <v>2502</v>
      </c>
      <c r="I787">
        <f>_xlfn.XLOOKUP($F787,設計座標!$E$13:$E$2301,設計座標!$G$13:$G$2301,"n/a",0,1)</f>
        <v>243.80134526136891</v>
      </c>
      <c r="J787">
        <f>_xlfn.XLOOKUP($F787,設計座標!$E$13:$E$2301,設計座標!$H$13:$H$2301,"n/a",0,1)</f>
        <v>-15000</v>
      </c>
      <c r="K787">
        <f>_xlfn.XLOOKUP($F787,設計座標!$E$13:$E$2301,設計座標!$I$13:$I$2301,"n/a",0,1)</f>
        <v>20660.712204539934</v>
      </c>
      <c r="L787">
        <f>_xlfn.XLOOKUP($F787,設計座標!$E$13:$E$2301,設計座標!$J$13:$J$2301,"n/a",0,1)</f>
        <v>-270</v>
      </c>
      <c r="M787" s="2">
        <f t="shared" si="599"/>
        <v>-15000.182189971738</v>
      </c>
      <c r="N787" s="2">
        <f t="shared" si="600"/>
        <v>20660.712204539934</v>
      </c>
      <c r="O787" s="23">
        <f t="shared" si="601"/>
        <v>-268.58987745877744</v>
      </c>
      <c r="P787" s="1">
        <f t="shared" si="580"/>
        <v>-271.04982632299783</v>
      </c>
      <c r="Q787" s="1">
        <f t="shared" si="618"/>
        <v>-0.18218997173768803</v>
      </c>
      <c r="R787">
        <f t="shared" si="594"/>
        <v>0</v>
      </c>
      <c r="S787" s="23">
        <f t="shared" si="617"/>
        <v>1.410122541222572</v>
      </c>
      <c r="T787">
        <f>$S787+測地線補正!$Q$26*(lattice!$N787/1000)^3+測地線補正!$P$26*(lattice!$N787/1000)^2+測地線補正!$O$26*(lattice!$N787/1000)+測地線補正!$N$26</f>
        <v>-1.049826322997824</v>
      </c>
      <c r="U787">
        <f t="shared" ref="U787:U788" si="627">-ATAN(($P$788-$P$784)/ABS($N$788-$N$784))</f>
        <v>2.4320815454781524E-5</v>
      </c>
      <c r="V787">
        <v>0</v>
      </c>
      <c r="W787">
        <f t="shared" ref="W787:W788" si="628">ATAN(($M$788-$M$784)/ABS($N$788-$N$784))</f>
        <v>1.3108868294006574E-4</v>
      </c>
      <c r="X787" t="s">
        <v>3860</v>
      </c>
      <c r="Y787">
        <f>_xlfn.XLOOKUP($F787,設計座標!$E$13:$E$2301,設計座標!$L$13:$L$2301," ",0,1)</f>
        <v>1889.4492</v>
      </c>
      <c r="Z787">
        <f>SQRT(($M$787-$M$785)^2+($N$787-$N$785)^2)</f>
        <v>324.69380278980947</v>
      </c>
    </row>
    <row r="788" spans="1:28">
      <c r="A788" t="s">
        <v>797</v>
      </c>
      <c r="B788">
        <v>1</v>
      </c>
      <c r="C788" t="s">
        <v>804</v>
      </c>
      <c r="D788" t="s">
        <v>1152</v>
      </c>
      <c r="E788" t="s">
        <v>804</v>
      </c>
      <c r="F788" t="s">
        <v>1559</v>
      </c>
      <c r="G788" t="s">
        <v>2502</v>
      </c>
      <c r="I788">
        <f>_xlfn.XLOOKUP($F788,設計座標!$E$13:$E$2301,設計座標!$G$13:$G$2301,"n/a",0,1)</f>
        <v>244.74606986136891</v>
      </c>
      <c r="J788">
        <f>_xlfn.XLOOKUP($F788,設計座標!$E$13:$E$2301,設計座標!$H$13:$H$2301,"n/a",0,1)</f>
        <v>-15000</v>
      </c>
      <c r="K788">
        <f>_xlfn.XLOOKUP($F788,設計座標!$E$13:$E$2301,設計座標!$I$13:$I$2301,"n/a",0,1)</f>
        <v>19715.987604539932</v>
      </c>
      <c r="L788">
        <f>_xlfn.XLOOKUP($F788,設計座標!$E$13:$E$2301,設計座標!$J$13:$J$2301,"n/a",0,1)</f>
        <v>-270</v>
      </c>
      <c r="M788" s="2">
        <f t="shared" si="599"/>
        <v>-15000.058347267473</v>
      </c>
      <c r="N788" s="2">
        <f t="shared" si="600"/>
        <v>19715.987604539932</v>
      </c>
      <c r="O788" s="23">
        <f t="shared" si="601"/>
        <v>-268.66347149050762</v>
      </c>
      <c r="P788" s="1">
        <f t="shared" ref="P788:P852" si="629">$L788+$T788</f>
        <v>-271.07295193293282</v>
      </c>
      <c r="Q788" s="1">
        <f t="shared" si="618"/>
        <v>-5.8347267472702802E-2</v>
      </c>
      <c r="R788">
        <f t="shared" si="594"/>
        <v>0</v>
      </c>
      <c r="S788" s="23">
        <f t="shared" si="617"/>
        <v>1.3365285094923571</v>
      </c>
      <c r="T788">
        <f>$S788+測地線補正!$Q$26*(lattice!$N788/1000)^3+測地線補正!$P$26*(lattice!$N788/1000)^2+測地線補正!$O$26*(lattice!$N788/1000)+測地線補正!$N$26</f>
        <v>-1.0729519329328168</v>
      </c>
      <c r="U788">
        <f t="shared" si="627"/>
        <v>2.4320815454781524E-5</v>
      </c>
      <c r="V788">
        <v>0</v>
      </c>
      <c r="W788">
        <f t="shared" si="628"/>
        <v>1.3108868294006574E-4</v>
      </c>
      <c r="X788" t="s">
        <v>3860</v>
      </c>
      <c r="Y788">
        <f>_xlfn.XLOOKUP($F788,設計座標!$E$13:$E$2301,設計座標!$L$13:$L$2301," ",0,1)</f>
        <v>1889.4492</v>
      </c>
      <c r="Z788">
        <f>SQRT(($M$787-$M$785)^2+($N$787-$N$785)^2)</f>
        <v>324.69380278980947</v>
      </c>
    </row>
    <row r="789" spans="1:28">
      <c r="A789" t="s">
        <v>797</v>
      </c>
      <c r="B789">
        <v>1</v>
      </c>
      <c r="C789" t="s">
        <v>804</v>
      </c>
      <c r="D789" t="s">
        <v>1152</v>
      </c>
      <c r="E789" t="s">
        <v>804</v>
      </c>
      <c r="F789" t="s">
        <v>1560</v>
      </c>
      <c r="G789" t="s">
        <v>2503</v>
      </c>
      <c r="I789">
        <f>_xlfn.XLOOKUP($F789,設計座標!$E$13:$E$2301,設計座標!$G$13:$G$2301,"n/a",0,1)</f>
        <v>244.9560116613689</v>
      </c>
      <c r="J789">
        <f>_xlfn.XLOOKUP($F789,設計座標!$E$13:$E$2301,設計座標!$H$13:$H$2301,"n/a",0,1)</f>
        <v>-15000</v>
      </c>
      <c r="K789">
        <f>_xlfn.XLOOKUP($F789,設計座標!$E$13:$E$2301,設計座標!$I$13:$I$2301,"n/a",0,1)</f>
        <v>19506.045804539935</v>
      </c>
      <c r="L789">
        <f>_xlfn.XLOOKUP($F789,設計座標!$E$13:$E$2301,設計座標!$J$13:$J$2301,"n/a",0,1)</f>
        <v>-270</v>
      </c>
      <c r="M789" s="2">
        <f t="shared" si="599"/>
        <v>-15000.03082627326</v>
      </c>
      <c r="N789" s="2">
        <f t="shared" si="600"/>
        <v>19506.045804539935</v>
      </c>
      <c r="O789" s="23">
        <f t="shared" si="601"/>
        <v>-268.67982595348099</v>
      </c>
      <c r="P789" s="1">
        <f t="shared" si="629"/>
        <v>-271.07813146885405</v>
      </c>
      <c r="Q789" s="1">
        <f t="shared" si="618"/>
        <v>-3.0826273258877657E-2</v>
      </c>
      <c r="R789">
        <f t="shared" si="594"/>
        <v>0</v>
      </c>
      <c r="S789" s="23">
        <f t="shared" si="617"/>
        <v>1.3201740465190226</v>
      </c>
      <c r="T789">
        <f>$S789+測地線補正!$Q$26*(lattice!$N789/1000)^3+測地線補正!$P$26*(lattice!$N789/1000)^2+測地線補正!$O$26*(lattice!$N789/1000)+測地線補正!$N$26</f>
        <v>-1.078131468854036</v>
      </c>
      <c r="U789">
        <f>-ATAN(($P$791-$P$789)/ABS($N$791-$N$789))</f>
        <v>2.5020636813881552E-5</v>
      </c>
      <c r="V789">
        <v>0</v>
      </c>
      <c r="W789">
        <f>ATAN(($M$791-$M$789)/ABS($N$791-$N$789))</f>
        <v>1.3108868294102843E-4</v>
      </c>
      <c r="X789">
        <f>SQRT(($M$789-$M$788)^2+($N$789-$N$788)^2)</f>
        <v>209.94180180384231</v>
      </c>
      <c r="Y789">
        <f>_xlfn.XLOOKUP($F789,設計座標!$E$13:$E$2301,設計座標!$L$13:$L$2301," ",0,1)</f>
        <v>1889.4492</v>
      </c>
      <c r="Z789">
        <f>SQRT(($M$790-$M$787)^2+($N$790-$N$787)^2)</f>
        <v>2099.3910180382222</v>
      </c>
    </row>
    <row r="790" spans="1:28">
      <c r="A790" t="s">
        <v>797</v>
      </c>
      <c r="B790">
        <v>1</v>
      </c>
      <c r="C790" t="s">
        <v>804</v>
      </c>
      <c r="D790" t="s">
        <v>1152</v>
      </c>
      <c r="E790" t="s">
        <v>804</v>
      </c>
      <c r="F790" t="s">
        <v>1350</v>
      </c>
      <c r="G790" t="s">
        <v>2503</v>
      </c>
      <c r="I790">
        <f>_xlfn.XLOOKUP($F790,設計座標!$E$13:$E$2301,設計座標!$G$13:$G$2301,"n/a",0,1)</f>
        <v>245.90073626136891</v>
      </c>
      <c r="J790">
        <f>_xlfn.XLOOKUP($F790,設計座標!$E$13:$E$2301,設計座標!$H$13:$H$2301,"n/a",0,1)</f>
        <v>-15000</v>
      </c>
      <c r="K790">
        <f>_xlfn.XLOOKUP($F790,設計座標!$E$13:$E$2301,設計座標!$I$13:$I$2301,"n/a",0,1)</f>
        <v>18561.321204539934</v>
      </c>
      <c r="L790">
        <f>_xlfn.XLOOKUP($F790,設計座標!$E$13:$E$2301,設計座標!$J$13:$J$2301,"n/a",0,1)</f>
        <v>-270</v>
      </c>
      <c r="M790" s="2">
        <f t="shared" si="599"/>
        <v>-14999.906983568993</v>
      </c>
      <c r="N790" s="2">
        <f t="shared" si="600"/>
        <v>18561.321204539934</v>
      </c>
      <c r="O790" s="23">
        <f t="shared" si="601"/>
        <v>-268.75341998521117</v>
      </c>
      <c r="P790" s="1">
        <f t="shared" si="629"/>
        <v>-271.10162070536387</v>
      </c>
      <c r="Q790" s="1">
        <f t="shared" si="618"/>
        <v>9.301643100610768E-2</v>
      </c>
      <c r="R790">
        <f t="shared" si="594"/>
        <v>0</v>
      </c>
      <c r="S790" s="23">
        <f t="shared" si="617"/>
        <v>1.246580014788808</v>
      </c>
      <c r="T790">
        <f>$S790+測地線補正!$Q$26*(lattice!$N790/1000)^3+測地線補正!$P$26*(lattice!$N790/1000)^2+測地線補正!$O$26*(lattice!$N790/1000)+測地線補正!$N$26</f>
        <v>-1.1016207053638489</v>
      </c>
      <c r="U790">
        <f t="shared" ref="U790:U791" si="630">-ATAN(($P$791-$P$789)/ABS($N$791-$N$789))</f>
        <v>2.5020636813881552E-5</v>
      </c>
      <c r="V790">
        <v>0</v>
      </c>
      <c r="W790">
        <f t="shared" ref="W790:W791" si="631">ATAN(($M$791-$M$789)/ABS($N$791-$N$789))</f>
        <v>1.3108868294102843E-4</v>
      </c>
      <c r="X790" t="s">
        <v>3860</v>
      </c>
      <c r="Y790">
        <f>_xlfn.XLOOKUP($F790,設計座標!$E$13:$E$2301,設計座標!$L$13:$L$2301," ",0,1)</f>
        <v>1889.4492</v>
      </c>
      <c r="Z790">
        <f>SQRT(($M$790-$M$787)^2+($N$790-$N$787)^2)</f>
        <v>2099.3910180382222</v>
      </c>
    </row>
    <row r="791" spans="1:28">
      <c r="A791" t="s">
        <v>797</v>
      </c>
      <c r="B791">
        <v>1</v>
      </c>
      <c r="C791" t="s">
        <v>804</v>
      </c>
      <c r="D791" t="s">
        <v>1152</v>
      </c>
      <c r="E791" t="s">
        <v>804</v>
      </c>
      <c r="F791" t="s">
        <v>1561</v>
      </c>
      <c r="G791" t="s">
        <v>2503</v>
      </c>
      <c r="I791">
        <f>_xlfn.XLOOKUP($F791,設計座標!$E$13:$E$2301,設計座標!$G$13:$G$2301,"n/a",0,1)</f>
        <v>246.84546086136891</v>
      </c>
      <c r="J791">
        <f>_xlfn.XLOOKUP($F791,設計座標!$E$13:$E$2301,設計座標!$H$13:$H$2301,"n/a",0,1)</f>
        <v>-15000</v>
      </c>
      <c r="K791">
        <f>_xlfn.XLOOKUP($F791,設計座標!$E$13:$E$2301,設計座標!$I$13:$I$2301,"n/a",0,1)</f>
        <v>17616.596604539933</v>
      </c>
      <c r="L791">
        <f>_xlfn.XLOOKUP($F791,設計座標!$E$13:$E$2301,設計座標!$J$13:$J$2301,"n/a",0,1)</f>
        <v>-270</v>
      </c>
      <c r="M791" s="2">
        <f t="shared" si="599"/>
        <v>-14999.783140864729</v>
      </c>
      <c r="N791" s="2">
        <f t="shared" si="600"/>
        <v>17616.596604539933</v>
      </c>
      <c r="O791" s="23">
        <f t="shared" si="601"/>
        <v>-268.8270140169414</v>
      </c>
      <c r="P791" s="1">
        <f t="shared" si="629"/>
        <v>-271.1254066910754</v>
      </c>
      <c r="Q791" s="1">
        <f t="shared" si="618"/>
        <v>0.21685913527109291</v>
      </c>
      <c r="R791">
        <f t="shared" si="594"/>
        <v>0</v>
      </c>
      <c r="S791" s="23">
        <f t="shared" si="617"/>
        <v>1.1729859830585931</v>
      </c>
      <c r="T791">
        <f>$S791+測地線補正!$Q$26*(lattice!$N791/1000)^3+測地線補正!$P$26*(lattice!$N791/1000)^2+測地線補正!$O$26*(lattice!$N791/1000)+測地線補正!$N$26</f>
        <v>-1.1254066910754186</v>
      </c>
      <c r="U791">
        <f t="shared" si="630"/>
        <v>2.5020636813881552E-5</v>
      </c>
      <c r="V791">
        <v>0</v>
      </c>
      <c r="W791">
        <f t="shared" si="631"/>
        <v>1.3108868294102843E-4</v>
      </c>
      <c r="X791" t="s">
        <v>3860</v>
      </c>
      <c r="Y791">
        <f>_xlfn.XLOOKUP($F791,設計座標!$E$13:$E$2301,設計座標!$L$13:$L$2301," ",0,1)</f>
        <v>1889.4492</v>
      </c>
      <c r="Z791">
        <f>SQRT(($M$790-$M$787)^2+($N$790-$N$787)^2)</f>
        <v>2099.3910180382222</v>
      </c>
    </row>
    <row r="792" spans="1:28">
      <c r="A792" t="s">
        <v>797</v>
      </c>
      <c r="B792">
        <v>1</v>
      </c>
      <c r="C792" t="s">
        <v>1152</v>
      </c>
      <c r="D792" t="s">
        <v>1152</v>
      </c>
      <c r="E792" t="s">
        <v>804</v>
      </c>
      <c r="F792" t="s">
        <v>2029</v>
      </c>
      <c r="G792" t="s">
        <v>2029</v>
      </c>
      <c r="I792">
        <f>_xlfn.XLOOKUP($F792,設計座標!$E$13:$E$2301,設計座標!$G$13:$G$2301,"n/a",0,1)</f>
        <v>247.0019584613689</v>
      </c>
      <c r="J792">
        <f>_xlfn.XLOOKUP($F792,設計座標!$E$13:$E$2301,設計座標!$H$13:$H$2301,"n/a",0,1)</f>
        <v>-15000</v>
      </c>
      <c r="K792">
        <f>_xlfn.XLOOKUP($F792,設計座標!$E$13:$E$2301,設計座標!$I$13:$I$2301,"n/a",0,1)</f>
        <v>17460.099004539934</v>
      </c>
      <c r="L792">
        <f>_xlfn.XLOOKUP($F792,設計座標!$E$13:$E$2301,設計座標!$J$13:$J$2301,"n/a",0,1)</f>
        <v>-270</v>
      </c>
      <c r="M792" s="2">
        <f t="shared" si="599"/>
        <v>-14999.762625800344</v>
      </c>
      <c r="N792" s="2">
        <f t="shared" si="600"/>
        <v>17460.099004539934</v>
      </c>
      <c r="O792" s="23">
        <f t="shared" si="601"/>
        <v>-268.83920517756121</v>
      </c>
      <c r="P792" s="1">
        <f t="shared" si="629"/>
        <v>-271.12937554219434</v>
      </c>
      <c r="Q792" s="1">
        <f t="shared" si="618"/>
        <v>0.23737419965597262</v>
      </c>
      <c r="R792">
        <f t="shared" si="594"/>
        <v>0</v>
      </c>
      <c r="S792" s="23">
        <f t="shared" si="617"/>
        <v>1.1607948224387656</v>
      </c>
      <c r="T792">
        <f>$S792+測地線補正!$Q$26*(lattice!$N792/1000)^3+測地線補正!$P$26*(lattice!$N792/1000)^2+測地線補正!$O$26*(lattice!$N792/1000)+測地線補正!$N$26</f>
        <v>-1.1293755421943219</v>
      </c>
      <c r="U792">
        <v>0</v>
      </c>
      <c r="V792">
        <v>0</v>
      </c>
      <c r="W792">
        <v>0</v>
      </c>
      <c r="X792">
        <f>SQRT(($M$792-$M$791)^2+($N$792-$N$791)^2)</f>
        <v>156.49760134464518</v>
      </c>
      <c r="Y792">
        <f>_xlfn.XLOOKUP($F792,設計座標!$E$13:$E$2301,設計座標!$L$13:$L$2301," ",0,1)</f>
        <v>0</v>
      </c>
      <c r="Z792">
        <f>SQRT(($M$792-$M$790)^2+($N$792-$N$790)^2)</f>
        <v>1101.2222094618351</v>
      </c>
    </row>
    <row r="793" spans="1:28">
      <c r="A793" t="s">
        <v>797</v>
      </c>
      <c r="B793">
        <v>1</v>
      </c>
      <c r="C793" t="s">
        <v>805</v>
      </c>
      <c r="D793" t="s">
        <v>806</v>
      </c>
      <c r="F793" t="s">
        <v>136</v>
      </c>
      <c r="G793" t="s">
        <v>136</v>
      </c>
      <c r="I793">
        <f>_xlfn.XLOOKUP($F793,設計座標!$E$13:$E$2301,設計座標!$G$13:$G$2301,"n/a",0,1)</f>
        <v>247.16576032236884</v>
      </c>
      <c r="J793">
        <f>_xlfn.XLOOKUP($F793,設計座標!$E$13:$E$2301,設計座標!$H$13:$H$2301,"n/a",0,1)</f>
        <v>-15000</v>
      </c>
      <c r="K793">
        <f>_xlfn.XLOOKUP($F793,設計座標!$E$13:$E$2301,設計座標!$I$13:$I$2301,"n/a",0,1)</f>
        <v>17296.29714354</v>
      </c>
      <c r="L793">
        <f>_xlfn.XLOOKUP($F793,設計座標!$E$13:$E$2301,設計座標!$J$13:$J$2301,"n/a",0,1)</f>
        <v>-20</v>
      </c>
      <c r="M793" s="2">
        <f>_xlfn.XLOOKUP($F793,survey_data!$A$2:$A$833,survey_data!$B$2:$B$833,"n/a",0,1)</f>
        <v>-14999.741153229999</v>
      </c>
      <c r="N793" s="2">
        <f>_xlfn.XLOOKUP($F793,survey_data!$A$2:$A$833,survey_data!$C$2:$C$833,"n/a",0,1)</f>
        <v>17296.29714354</v>
      </c>
      <c r="O793" s="23">
        <f>_xlfn.XLOOKUP($F793,survey_data!$A$2:$A$833,survey_data!$D$2:$D$833,"n/a",0,1)</f>
        <v>-18.85196534</v>
      </c>
      <c r="P793" s="1">
        <f t="shared" si="629"/>
        <v>-21.133538331324708</v>
      </c>
      <c r="Q793" s="1">
        <f t="shared" si="595"/>
        <v>0.25884677000067313</v>
      </c>
      <c r="R793">
        <f t="shared" si="594"/>
        <v>0</v>
      </c>
      <c r="S793" s="23">
        <f t="shared" si="596"/>
        <v>1.1480346600000004</v>
      </c>
      <c r="T793">
        <f>$S793+測地線補正!$Q$26*(lattice!$N793/1000)^3+測地線補正!$P$26*(lattice!$N793/1000)^2+測地線補正!$O$26*(lattice!$N793/1000)+測地線補正!$N$26</f>
        <v>-1.1335383313247083</v>
      </c>
      <c r="U793">
        <f>-ATAN(($P$794-$P$793)/ABS($N$794-$N$793))</f>
        <v>4.8563027308969796E-4</v>
      </c>
      <c r="V793">
        <v>0</v>
      </c>
      <c r="W793">
        <f>ATAN(($M$794-$M$793)/ABS($N$794-$N$793))</f>
        <v>2.1938974868556383E-5</v>
      </c>
      <c r="X793">
        <f>$Z$794-($Y$794+$Y$792)/2</f>
        <v>143.80186211894085</v>
      </c>
      <c r="Y793">
        <f>_xlfn.XLOOKUP($F793,設計座標!$E$13:$E$2301,設計座標!$L$13:$L$2301," ",0,1)</f>
        <v>190</v>
      </c>
      <c r="Z793">
        <f>SQRT(($M$794-$M$792)^2+($N$794-$N$792)^2)</f>
        <v>238.80186211894085</v>
      </c>
      <c r="AA793">
        <f>_xlfn.XLOOKUP($G793,magnet_list!$A$2:$A$592,magnet_list!$AJ$2:$AJ$592,"n/a",0,1)</f>
        <v>0.2039</v>
      </c>
      <c r="AB793">
        <f>_xlfn.XLOOKUP($G793,magnet_list!$A$2:$A$592,magnet_list!$L$2:$L$592,"n/a",0,1)</f>
        <v>23</v>
      </c>
    </row>
    <row r="794" spans="1:28">
      <c r="A794" t="s">
        <v>797</v>
      </c>
      <c r="B794">
        <v>1</v>
      </c>
      <c r="C794" t="s">
        <v>805</v>
      </c>
      <c r="D794" t="s">
        <v>1152</v>
      </c>
      <c r="E794" t="s">
        <v>804</v>
      </c>
      <c r="F794" t="s">
        <v>618</v>
      </c>
      <c r="G794" t="s">
        <v>136</v>
      </c>
      <c r="I794">
        <f>_xlfn.XLOOKUP($F794,設計座標!$E$13:$E$2301,設計座標!$G$13:$G$2301,"n/a",0,1)</f>
        <v>247.24076032236883</v>
      </c>
      <c r="J794">
        <f>_xlfn.XLOOKUP($F794,設計座標!$E$13:$E$2301,設計座標!$H$13:$H$2301,"n/a",0,1)</f>
        <v>-15000</v>
      </c>
      <c r="K794">
        <f>_xlfn.XLOOKUP($F794,設計座標!$E$13:$E$2301,設計座標!$I$13:$I$2301,"n/a",0,1)</f>
        <v>17221.29714354</v>
      </c>
      <c r="L794">
        <f>_xlfn.XLOOKUP($F794,設計座標!$E$13:$E$2301,設計座標!$J$13:$J$2301,"n/a",0,1)</f>
        <v>-20</v>
      </c>
      <c r="M794" s="2">
        <f t="shared" si="599"/>
        <v>-14999.739507806884</v>
      </c>
      <c r="N794" s="2">
        <f t="shared" si="600"/>
        <v>17221.29714354</v>
      </c>
      <c r="O794" s="23">
        <f t="shared" si="601"/>
        <v>-18.892321126392734</v>
      </c>
      <c r="P794" s="1">
        <f t="shared" si="629"/>
        <v>-21.169960604669672</v>
      </c>
      <c r="Q794" s="1">
        <f>(Q$796-Q$793)/($N$796-$N$793)*($N794-$N$793)+Q$793</f>
        <v>0.26049219311670346</v>
      </c>
      <c r="R794">
        <f t="shared" si="594"/>
        <v>0</v>
      </c>
      <c r="S794" s="23">
        <f t="shared" ref="S794:S795" si="632">(S$796-S$793)/($N$796-$N$793)*($N794-$N$793)+S$793</f>
        <v>1.1076788736072656</v>
      </c>
      <c r="T794">
        <f>$S794+測地線補正!$Q$26*(lattice!$N794/1000)^3+測地線補正!$P$26*(lattice!$N794/1000)^2+測地線補正!$O$26*(lattice!$N794/1000)+測地線補正!$N$26</f>
        <v>-1.169960604669672</v>
      </c>
      <c r="U794">
        <f>-ATAN(($P$794-$P$793)/ABS($N$794-$N$793))</f>
        <v>4.8563027308969796E-4</v>
      </c>
      <c r="V794">
        <v>0</v>
      </c>
      <c r="W794">
        <f>ATAN(($M$794-$M$793)/ABS($N$794-$N$793))</f>
        <v>2.1938974868556383E-5</v>
      </c>
      <c r="X794">
        <f>$Z$794-($Y$794+$Y$792)/2</f>
        <v>143.80186211894085</v>
      </c>
      <c r="Y794">
        <f>_xlfn.XLOOKUP($F794,設計座標!$E$13:$E$2301,設計座標!$L$13:$L$2301," ",0,1)</f>
        <v>190</v>
      </c>
      <c r="Z794">
        <f>SQRT(($M$794-$M$792)^2+($N$794-$N$792)^2)</f>
        <v>238.80186211894085</v>
      </c>
      <c r="AA794">
        <f>_xlfn.XLOOKUP($G794,magnet_list!$A$2:$A$592,magnet_list!$AJ$2:$AJ$592,"n/a",0,1)</f>
        <v>0.2039</v>
      </c>
      <c r="AB794">
        <f>_xlfn.XLOOKUP($G794,magnet_list!$A$2:$A$592,magnet_list!$L$2:$L$592,"n/a",0,1)</f>
        <v>23</v>
      </c>
    </row>
    <row r="795" spans="1:28">
      <c r="A795" t="s">
        <v>797</v>
      </c>
      <c r="B795">
        <v>1</v>
      </c>
      <c r="C795" t="s">
        <v>805</v>
      </c>
      <c r="D795" t="s">
        <v>1152</v>
      </c>
      <c r="E795" t="s">
        <v>804</v>
      </c>
      <c r="F795" t="s">
        <v>619</v>
      </c>
      <c r="G795" t="s">
        <v>137</v>
      </c>
      <c r="I795">
        <f>_xlfn.XLOOKUP($F795,設計座標!$E$13:$E$2301,設計座標!$G$13:$G$2301,"n/a",0,1)</f>
        <v>247.53677569237882</v>
      </c>
      <c r="J795">
        <f>_xlfn.XLOOKUP($F795,設計座標!$E$13:$E$2301,設計座標!$H$13:$H$2301,"n/a",0,1)</f>
        <v>-15000</v>
      </c>
      <c r="K795">
        <f>_xlfn.XLOOKUP($F795,設計座標!$E$13:$E$2301,設計座標!$I$13:$I$2301,"n/a",0,1)</f>
        <v>16925.281773530001</v>
      </c>
      <c r="L795">
        <f>_xlfn.XLOOKUP($F795,設計座標!$E$13:$E$2301,設計座標!$J$13:$J$2301,"n/a",0,1)</f>
        <v>-20</v>
      </c>
      <c r="M795" s="2">
        <f t="shared" si="599"/>
        <v>-14999.733013533116</v>
      </c>
      <c r="N795" s="2">
        <f t="shared" si="600"/>
        <v>16925.281773530001</v>
      </c>
      <c r="O795" s="23">
        <f t="shared" si="601"/>
        <v>-19.051600233607267</v>
      </c>
      <c r="P795" s="1">
        <f t="shared" si="629"/>
        <v>-21.313732835837055</v>
      </c>
      <c r="Q795" s="1">
        <f>(Q$796-Q$793)/($N$796-$N$793)*($N795-$N$793)+Q$793</f>
        <v>0.26698646688356642</v>
      </c>
      <c r="R795">
        <f t="shared" si="594"/>
        <v>0</v>
      </c>
      <c r="S795" s="23">
        <f t="shared" si="632"/>
        <v>0.9483997663927336</v>
      </c>
      <c r="T795">
        <f>$S795+測地線補正!$Q$26*(lattice!$N795/1000)^3+測地線補正!$P$26*(lattice!$N795/1000)^2+測地線補正!$O$26*(lattice!$N795/1000)+測地線補正!$N$26</f>
        <v>-1.3137328358370532</v>
      </c>
      <c r="U795">
        <f>-ATAN(($P$796-$P$795)/ABS($N$796-$N$795))</f>
        <v>4.8575318267013939E-4</v>
      </c>
      <c r="V795">
        <v>0</v>
      </c>
      <c r="W795">
        <f>ATAN(($M$796-$M$795)/ABS($N$796-$N$795))</f>
        <v>2.1938974868556383E-5</v>
      </c>
      <c r="X795">
        <f>$Z$795-($Y$795+$Y$794)/2</f>
        <v>201.01537008123699</v>
      </c>
      <c r="Y795">
        <f>_xlfn.XLOOKUP($F795,設計座標!$E$13:$E$2301,設計座標!$L$13:$L$2301," ",0,1)</f>
        <v>0</v>
      </c>
      <c r="Z795">
        <f>SQRT(($M$795-$M$794)^2+($N$795-$N$794)^2)</f>
        <v>296.01537008123699</v>
      </c>
      <c r="AA795">
        <f>_xlfn.XLOOKUP($G795,magnet_list!$A$2:$A$592,magnet_list!$AJ$2:$AJ$592,"n/a",0,1)</f>
        <v>0.2039</v>
      </c>
      <c r="AB795">
        <f>_xlfn.XLOOKUP($G795,magnet_list!$A$2:$A$592,magnet_list!$L$2:$L$592,"n/a",0,1)</f>
        <v>23</v>
      </c>
    </row>
    <row r="796" spans="1:28">
      <c r="A796" t="s">
        <v>797</v>
      </c>
      <c r="B796">
        <v>1</v>
      </c>
      <c r="C796" t="s">
        <v>805</v>
      </c>
      <c r="D796" t="s">
        <v>806</v>
      </c>
      <c r="F796" t="s">
        <v>137</v>
      </c>
      <c r="G796" t="s">
        <v>137</v>
      </c>
      <c r="I796">
        <f>_xlfn.XLOOKUP($F796,設計座標!$E$13:$E$2301,設計座標!$G$13:$G$2301,"n/a",0,1)</f>
        <v>247.61177569237881</v>
      </c>
      <c r="J796">
        <f>_xlfn.XLOOKUP($F796,設計座標!$E$13:$E$2301,設計座標!$H$13:$H$2301,"n/a",0,1)</f>
        <v>-15000</v>
      </c>
      <c r="K796">
        <f>_xlfn.XLOOKUP($F796,設計座標!$E$13:$E$2301,設計座標!$I$13:$I$2301,"n/a",0,1)</f>
        <v>16850.281773530001</v>
      </c>
      <c r="L796">
        <f>_xlfn.XLOOKUP($F796,設計座標!$E$13:$E$2301,設計座標!$J$13:$J$2301,"n/a",0,1)</f>
        <v>-20</v>
      </c>
      <c r="M796" s="2">
        <f>_xlfn.XLOOKUP($F796,survey_data!$A$2:$A$833,survey_data!$B$2:$B$833,"n/a",0,1)</f>
        <v>-14999.73136811</v>
      </c>
      <c r="N796" s="2">
        <f>_xlfn.XLOOKUP($F796,survey_data!$A$2:$A$833,survey_data!$C$2:$C$833,"n/a",0,1)</f>
        <v>16850.281773530001</v>
      </c>
      <c r="O796" s="23">
        <f>_xlfn.XLOOKUP($F796,survey_data!$A$2:$A$833,survey_data!$D$2:$D$833,"n/a",0,1)</f>
        <v>-19.091956020000001</v>
      </c>
      <c r="P796" s="1">
        <f t="shared" si="629"/>
        <v>-21.350164327402727</v>
      </c>
      <c r="Q796" s="1">
        <f t="shared" si="595"/>
        <v>0.26863188999959675</v>
      </c>
      <c r="R796">
        <f t="shared" si="594"/>
        <v>0</v>
      </c>
      <c r="S796" s="23">
        <f t="shared" si="596"/>
        <v>0.90804397999999864</v>
      </c>
      <c r="T796">
        <f>$S796+測地線補正!$Q$26*(lattice!$N796/1000)^3+測地線補正!$P$26*(lattice!$N796/1000)^2+測地線補正!$O$26*(lattice!$N796/1000)+測地線補正!$N$26</f>
        <v>-1.3501643274027275</v>
      </c>
      <c r="U796">
        <f>-ATAN(($P$796-$P$795)/ABS($N$796-$N$795))</f>
        <v>4.8575318267013939E-4</v>
      </c>
      <c r="V796">
        <v>0</v>
      </c>
      <c r="W796">
        <f>ATAN(($M$796-$M$795)/ABS($N$796-$N$795))</f>
        <v>2.1938974868556383E-5</v>
      </c>
      <c r="X796">
        <f>$Z$795-($Y$795+$Y$794)/2</f>
        <v>201.01537008123699</v>
      </c>
      <c r="Y796">
        <f>_xlfn.XLOOKUP($F796,設計座標!$E$13:$E$2301,設計座標!$L$13:$L$2301," ",0,1)</f>
        <v>190</v>
      </c>
      <c r="Z796">
        <f>SQRT(($M$795-$M$794)^2+($N$795-$N$794)^2)</f>
        <v>296.01537008123699</v>
      </c>
      <c r="AA796">
        <f>_xlfn.XLOOKUP($G796,magnet_list!$A$2:$A$592,magnet_list!$AJ$2:$AJ$592,"n/a",0,1)</f>
        <v>0.2039</v>
      </c>
      <c r="AB796">
        <f>_xlfn.XLOOKUP($G796,magnet_list!$A$2:$A$592,magnet_list!$L$2:$L$592,"n/a",0,1)</f>
        <v>23</v>
      </c>
    </row>
    <row r="797" spans="1:28">
      <c r="A797" t="s">
        <v>797</v>
      </c>
      <c r="B797">
        <v>1</v>
      </c>
      <c r="C797" t="s">
        <v>804</v>
      </c>
      <c r="D797" t="s">
        <v>1152</v>
      </c>
      <c r="E797" t="s">
        <v>804</v>
      </c>
      <c r="F797" t="s">
        <v>1562</v>
      </c>
      <c r="G797" t="s">
        <v>2504</v>
      </c>
      <c r="I797">
        <f>_xlfn.XLOOKUP($F797,設計座標!$E$13:$E$2301,設計座標!$G$13:$G$2301,"n/a",0,1)</f>
        <v>247.94293666136889</v>
      </c>
      <c r="J797">
        <f>_xlfn.XLOOKUP($F797,設計座標!$E$13:$E$2301,設計座標!$H$13:$H$2301,"n/a",0,1)</f>
        <v>-15000</v>
      </c>
      <c r="K797">
        <f>_xlfn.XLOOKUP($F797,設計座標!$E$13:$E$2301,設計座標!$I$13:$I$2301,"n/a",0,1)</f>
        <v>16519.120804539936</v>
      </c>
      <c r="L797">
        <f>_xlfn.XLOOKUP($F797,設計座標!$E$13:$E$2301,設計座標!$J$13:$J$2301,"n/a",0,1)</f>
        <v>-270</v>
      </c>
      <c r="M797" s="2">
        <f t="shared" si="599"/>
        <v>-14999.688314248915</v>
      </c>
      <c r="N797" s="2">
        <f t="shared" si="600"/>
        <v>16519.120804539936</v>
      </c>
      <c r="O797" s="23">
        <f t="shared" si="601"/>
        <v>-269.09089130325572</v>
      </c>
      <c r="P797" s="1">
        <f t="shared" si="629"/>
        <v>-271.33179422936001</v>
      </c>
      <c r="Q797" s="1">
        <f>(Q$814-Q$796)/($N$814-$N$796)*($N797-$N$796)+Q$796</f>
        <v>0.311685751085644</v>
      </c>
      <c r="R797">
        <f t="shared" si="594"/>
        <v>0</v>
      </c>
      <c r="S797" s="23">
        <f t="shared" ref="S797:S813" si="633">(S$814-S$796)/($N$814-$N$796)*($N797-$N$796)+S$796</f>
        <v>0.9091086967442622</v>
      </c>
      <c r="T797">
        <f>$S797+測地線補正!$Q$26*(lattice!$N797/1000)^3+測地線補正!$P$26*(lattice!$N797/1000)^2+測地線補正!$O$26*(lattice!$N797/1000)+測地線補正!$N$26</f>
        <v>-1.3317942293600238</v>
      </c>
      <c r="U797">
        <f>-ATAN(($P$801-$P$797)/ABS($N$801-$N$797))</f>
        <v>-5.5104958629182348E-5</v>
      </c>
      <c r="V797">
        <v>0</v>
      </c>
      <c r="W797">
        <f>ATAN(($M$801-$M$797)/ABS($N$801-$N$797))</f>
        <v>1.3000886238175171E-4</v>
      </c>
      <c r="X797">
        <f>SQRT(($M$797-$M$796)^2+($N$797-$N$796)^2)</f>
        <v>331.16097178875691</v>
      </c>
      <c r="Y797">
        <f>_xlfn.XLOOKUP($F797,設計座標!$E$13:$E$2301,設計座標!$L$13:$L$2301," ",0,1)</f>
        <v>1889.4492</v>
      </c>
      <c r="Z797">
        <f>SQRT(($M$800-$M$798)^2+($N$800-$N$798)^2)</f>
        <v>324.69380274403579</v>
      </c>
    </row>
    <row r="798" spans="1:28">
      <c r="A798" t="s">
        <v>797</v>
      </c>
      <c r="B798">
        <v>1</v>
      </c>
      <c r="C798" t="s">
        <v>3855</v>
      </c>
      <c r="D798" t="s">
        <v>1152</v>
      </c>
      <c r="E798" t="s">
        <v>804</v>
      </c>
      <c r="F798" t="s">
        <v>2282</v>
      </c>
      <c r="G798" t="s">
        <v>2282</v>
      </c>
      <c r="I798">
        <f>_xlfn.XLOOKUP($F798,設計座標!$E$13:$E$2301,設計座標!$G$13:$G$2301,"n/a",0,1)</f>
        <v>248.56296746136891</v>
      </c>
      <c r="J798">
        <f>_xlfn.XLOOKUP($F798,設計座標!$E$13:$E$2301,設計座標!$H$13:$H$2301,"n/a",0,1)</f>
        <v>-15000</v>
      </c>
      <c r="K798">
        <f>_xlfn.XLOOKUP($F798,設計座標!$E$13:$E$2301,設計座標!$I$13:$I$2301,"n/a",0,1)</f>
        <v>15899.090004539934</v>
      </c>
      <c r="L798">
        <f>_xlfn.XLOOKUP($F798,設計座標!$E$13:$E$2301,設計座標!$J$13:$J$2301,"n/a",0,1)</f>
        <v>-270</v>
      </c>
      <c r="M798" s="2">
        <f t="shared" si="599"/>
        <v>-14999.607704749511</v>
      </c>
      <c r="N798" s="2">
        <f t="shared" si="600"/>
        <v>15899.090004539934</v>
      </c>
      <c r="O798" s="23">
        <f t="shared" si="601"/>
        <v>-269.08889784014707</v>
      </c>
      <c r="P798" s="1">
        <f t="shared" si="629"/>
        <v>-271.29749753197297</v>
      </c>
      <c r="Q798" s="1">
        <f t="shared" ref="Q798:Q813" si="634">(Q$814-Q$796)/($N$814-$N$796)*($N798-$N$796)+Q$796</f>
        <v>0.39229525048915526</v>
      </c>
      <c r="R798">
        <f t="shared" si="594"/>
        <v>0</v>
      </c>
      <c r="S798" s="23">
        <f t="shared" si="633"/>
        <v>0.9111021598529504</v>
      </c>
      <c r="T798">
        <f>$S798+測地線補正!$Q$26*(lattice!$N798/1000)^3+測地線補正!$P$26*(lattice!$N798/1000)^2+測地線補正!$O$26*(lattice!$N798/1000)+測地線補正!$N$26</f>
        <v>-1.2974975319729409</v>
      </c>
      <c r="U798">
        <f t="shared" ref="U798:U799" si="635">-ATAN(($P$801-$P$797)/ABS($N$801-$N$797))</f>
        <v>-5.5104958629182348E-5</v>
      </c>
      <c r="V798">
        <v>0</v>
      </c>
      <c r="W798">
        <f t="shared" ref="W798:W799" si="636">ATAN(($M$801-$M$797)/ABS($N$801-$N$797))</f>
        <v>1.3000886238175171E-4</v>
      </c>
      <c r="X798" t="s">
        <v>3860</v>
      </c>
      <c r="Y798">
        <f>_xlfn.XLOOKUP($F798,設計座標!$E$13:$E$2301,設計座標!$L$13:$L$2301," ",0,1)</f>
        <v>800</v>
      </c>
      <c r="Z798">
        <f>SQRT(($M$798-$M$796)^2+($N$798-$N$796)^2)</f>
        <v>951.1917770287339</v>
      </c>
      <c r="AA798">
        <f>_xlfn.XLOOKUP($G798,magnet_list!$A$2:$A$592,magnet_list!$AJ$2:$AJ$592,"n/a",0,1)</f>
        <v>0.74619000000000002</v>
      </c>
      <c r="AB798">
        <f>_xlfn.XLOOKUP($G798,magnet_list!$A$2:$A$592,magnet_list!$L$2:$L$592,"n/a",0,1)</f>
        <v>120</v>
      </c>
    </row>
    <row r="799" spans="1:28">
      <c r="A799" t="s">
        <v>797</v>
      </c>
      <c r="B799">
        <v>1</v>
      </c>
      <c r="C799" t="s">
        <v>3855</v>
      </c>
      <c r="D799" t="s">
        <v>1152</v>
      </c>
      <c r="E799" t="s">
        <v>804</v>
      </c>
      <c r="F799" t="s">
        <v>2283</v>
      </c>
      <c r="G799" t="s">
        <v>2283</v>
      </c>
      <c r="I799">
        <f>_xlfn.XLOOKUP($F799,設計座標!$E$13:$E$2301,設計座標!$G$13:$G$2301,"n/a",0,1)</f>
        <v>248.56296746136891</v>
      </c>
      <c r="J799">
        <f>_xlfn.XLOOKUP($F799,設計座標!$E$13:$E$2301,設計座標!$H$13:$H$2301,"n/a",0,1)</f>
        <v>-15000</v>
      </c>
      <c r="K799">
        <f>_xlfn.XLOOKUP($F799,設計座標!$E$13:$E$2301,設計座標!$I$13:$I$2301,"n/a",0,1)</f>
        <v>15899.090004539934</v>
      </c>
      <c r="L799">
        <f>_xlfn.XLOOKUP($F799,設計座標!$E$13:$E$2301,設計座標!$J$13:$J$2301,"n/a",0,1)</f>
        <v>-270</v>
      </c>
      <c r="M799" s="2">
        <f t="shared" si="599"/>
        <v>-14999.607704749511</v>
      </c>
      <c r="N799" s="2">
        <f t="shared" si="600"/>
        <v>15899.090004539934</v>
      </c>
      <c r="O799" s="23">
        <f t="shared" si="601"/>
        <v>-269.08889784014707</v>
      </c>
      <c r="P799" s="1">
        <f t="shared" si="629"/>
        <v>-271.29749753197297</v>
      </c>
      <c r="Q799" s="1">
        <f t="shared" si="634"/>
        <v>0.39229525048915526</v>
      </c>
      <c r="R799">
        <f t="shared" si="594"/>
        <v>0</v>
      </c>
      <c r="S799" s="23">
        <f t="shared" si="633"/>
        <v>0.9111021598529504</v>
      </c>
      <c r="T799">
        <f>$S799+測地線補正!$Q$26*(lattice!$N799/1000)^3+測地線補正!$P$26*(lattice!$N799/1000)^2+測地線補正!$O$26*(lattice!$N799/1000)+測地線補正!$N$26</f>
        <v>-1.2974975319729409</v>
      </c>
      <c r="U799">
        <f t="shared" si="635"/>
        <v>-5.5104958629182348E-5</v>
      </c>
      <c r="V799">
        <v>0</v>
      </c>
      <c r="W799">
        <f t="shared" si="636"/>
        <v>1.3000886238175171E-4</v>
      </c>
      <c r="X799" t="s">
        <v>3860</v>
      </c>
      <c r="Y799">
        <f>_xlfn.XLOOKUP($F799,設計座標!$E$13:$E$2301,設計座標!$L$13:$L$2301," ",0,1)</f>
        <v>800</v>
      </c>
      <c r="Z799">
        <f>SQRT(($M$798-$M$796)^2+($N$798-$N$796)^2)</f>
        <v>951.1917770287339</v>
      </c>
      <c r="AA799">
        <f>_xlfn.XLOOKUP($G799,magnet_list!$A$2:$A$592,magnet_list!$AJ$2:$AJ$592,"n/a",0,1)</f>
        <v>0.74619000000000002</v>
      </c>
      <c r="AB799">
        <f>_xlfn.XLOOKUP($G799,magnet_list!$A$2:$A$592,magnet_list!$L$2:$L$592,"n/a",0,1)</f>
        <v>120</v>
      </c>
    </row>
    <row r="800" spans="1:28">
      <c r="A800" t="s">
        <v>797</v>
      </c>
      <c r="B800">
        <v>1</v>
      </c>
      <c r="C800" t="s">
        <v>804</v>
      </c>
      <c r="D800" t="s">
        <v>1152</v>
      </c>
      <c r="E800" t="s">
        <v>804</v>
      </c>
      <c r="F800" t="s">
        <v>1186</v>
      </c>
      <c r="G800" t="s">
        <v>2504</v>
      </c>
      <c r="I800">
        <f>_xlfn.XLOOKUP($F800,設計座標!$E$13:$E$2301,設計座標!$G$13:$G$2301,"n/a",0,1)</f>
        <v>248.88766126136889</v>
      </c>
      <c r="J800">
        <f>_xlfn.XLOOKUP($F800,設計座標!$E$13:$E$2301,設計座標!$H$13:$H$2301,"n/a",0,1)</f>
        <v>-15000</v>
      </c>
      <c r="K800">
        <f>_xlfn.XLOOKUP($F800,設計座標!$E$13:$E$2301,設計座標!$I$13:$I$2301,"n/a",0,1)</f>
        <v>15574.396204539935</v>
      </c>
      <c r="L800">
        <f>_xlfn.XLOOKUP($F800,設計座標!$E$13:$E$2301,設計座標!$J$13:$J$2301,"n/a",0,1)</f>
        <v>-270</v>
      </c>
      <c r="M800" s="2">
        <f t="shared" si="599"/>
        <v>-14999.565491677713</v>
      </c>
      <c r="N800" s="2">
        <f t="shared" si="600"/>
        <v>15574.396204539935</v>
      </c>
      <c r="O800" s="23">
        <f t="shared" si="601"/>
        <v>-269.08785391601953</v>
      </c>
      <c r="P800" s="1">
        <f t="shared" si="629"/>
        <v>-271.27958792981269</v>
      </c>
      <c r="Q800" s="1">
        <f t="shared" si="634"/>
        <v>0.43450832228723957</v>
      </c>
      <c r="R800">
        <f t="shared" si="594"/>
        <v>0</v>
      </c>
      <c r="S800" s="23">
        <f t="shared" si="633"/>
        <v>0.91214608398046115</v>
      </c>
      <c r="T800">
        <f>$S800+測地線補正!$Q$26*(lattice!$N800/1000)^3+測地線補正!$P$26*(lattice!$N800/1000)^2+測地線補正!$O$26*(lattice!$N800/1000)+測地線補正!$N$26</f>
        <v>-1.2795879298127126</v>
      </c>
      <c r="U800">
        <f t="shared" ref="U800:U801" si="637">-ATAN(($P$801-$P$797)/ABS($N$801-$N$797))</f>
        <v>-5.5104958629182348E-5</v>
      </c>
      <c r="V800">
        <v>0</v>
      </c>
      <c r="W800">
        <f t="shared" ref="W800:W801" si="638">ATAN(($M$801-$M$797)/ABS($N$801-$N$797))</f>
        <v>1.3000886238175171E-4</v>
      </c>
      <c r="X800" t="s">
        <v>3860</v>
      </c>
      <c r="Y800">
        <f>_xlfn.XLOOKUP($F800,設計座標!$E$13:$E$2301,設計座標!$L$13:$L$2301," ",0,1)</f>
        <v>1889.4492</v>
      </c>
      <c r="Z800">
        <f>SQRT(($M$800-$M$798)^2+($N$800-$N$798)^2)</f>
        <v>324.69380274403579</v>
      </c>
    </row>
    <row r="801" spans="1:28">
      <c r="A801" t="s">
        <v>797</v>
      </c>
      <c r="B801">
        <v>1</v>
      </c>
      <c r="C801" t="s">
        <v>804</v>
      </c>
      <c r="D801" t="s">
        <v>1152</v>
      </c>
      <c r="E801" t="s">
        <v>804</v>
      </c>
      <c r="F801" t="s">
        <v>1563</v>
      </c>
      <c r="G801" t="s">
        <v>2504</v>
      </c>
      <c r="I801">
        <f>_xlfn.XLOOKUP($F801,設計座標!$E$13:$E$2301,設計座標!$G$13:$G$2301,"n/a",0,1)</f>
        <v>249.83238586136889</v>
      </c>
      <c r="J801">
        <f>_xlfn.XLOOKUP($F801,設計座標!$E$13:$E$2301,設計座標!$H$13:$H$2301,"n/a",0,1)</f>
        <v>-15000</v>
      </c>
      <c r="K801">
        <f>_xlfn.XLOOKUP($F801,設計座標!$E$13:$E$2301,設計座標!$I$13:$I$2301,"n/a",0,1)</f>
        <v>14629.671604539935</v>
      </c>
      <c r="L801">
        <f>_xlfn.XLOOKUP($F801,設計座標!$E$13:$E$2301,設計座標!$J$13:$J$2301,"n/a",0,1)</f>
        <v>-270</v>
      </c>
      <c r="M801" s="2">
        <f t="shared" si="599"/>
        <v>-14999.442669106511</v>
      </c>
      <c r="N801" s="2">
        <f t="shared" si="600"/>
        <v>14629.671604539935</v>
      </c>
      <c r="O801" s="23">
        <f t="shared" si="601"/>
        <v>-269.08481652878334</v>
      </c>
      <c r="P801" s="1">
        <f t="shared" si="629"/>
        <v>-271.22767620925669</v>
      </c>
      <c r="Q801" s="1">
        <f t="shared" si="634"/>
        <v>0.5573308934888348</v>
      </c>
      <c r="R801">
        <f t="shared" si="594"/>
        <v>0</v>
      </c>
      <c r="S801" s="23">
        <f t="shared" si="633"/>
        <v>0.9151834712166601</v>
      </c>
      <c r="T801">
        <f>$S801+測地線補正!$Q$26*(lattice!$N801/1000)^3+測地線補正!$P$26*(lattice!$N801/1000)^2+測地線補正!$O$26*(lattice!$N801/1000)+測地線補正!$N$26</f>
        <v>-1.2276762092567015</v>
      </c>
      <c r="U801">
        <f t="shared" si="637"/>
        <v>-5.5104958629182348E-5</v>
      </c>
      <c r="V801">
        <v>0</v>
      </c>
      <c r="W801">
        <f t="shared" si="638"/>
        <v>1.3000886238175171E-4</v>
      </c>
      <c r="X801" t="s">
        <v>3860</v>
      </c>
      <c r="Y801">
        <f>_xlfn.XLOOKUP($F801,設計座標!$E$13:$E$2301,設計座標!$L$13:$L$2301," ",0,1)</f>
        <v>1889.4492</v>
      </c>
      <c r="Z801">
        <f>SQRT(($M$800-$M$798)^2+($N$800-$N$798)^2)</f>
        <v>324.69380274403579</v>
      </c>
    </row>
    <row r="802" spans="1:28">
      <c r="A802" t="s">
        <v>797</v>
      </c>
      <c r="B802">
        <v>1</v>
      </c>
      <c r="C802" t="s">
        <v>804</v>
      </c>
      <c r="D802" t="s">
        <v>1152</v>
      </c>
      <c r="E802" t="s">
        <v>804</v>
      </c>
      <c r="F802" t="s">
        <v>1564</v>
      </c>
      <c r="G802" t="s">
        <v>2505</v>
      </c>
      <c r="I802">
        <f>_xlfn.XLOOKUP($F802,設計座標!$E$13:$E$2301,設計座標!$G$13:$G$2301,"n/a",0,1)</f>
        <v>250.04232766136889</v>
      </c>
      <c r="J802">
        <f>_xlfn.XLOOKUP($F802,設計座標!$E$13:$E$2301,設計座標!$H$13:$H$2301,"n/a",0,1)</f>
        <v>-15000</v>
      </c>
      <c r="K802">
        <f>_xlfn.XLOOKUP($F802,設計座標!$E$13:$E$2301,設計座標!$I$13:$I$2301,"n/a",0,1)</f>
        <v>14419.729804539935</v>
      </c>
      <c r="L802">
        <f>_xlfn.XLOOKUP($F802,設計座標!$E$13:$E$2301,設計座標!$J$13:$J$2301,"n/a",0,1)</f>
        <v>-270</v>
      </c>
      <c r="M802" s="2">
        <f t="shared" si="599"/>
        <v>-14999.415374811773</v>
      </c>
      <c r="N802" s="2">
        <f t="shared" si="600"/>
        <v>14419.729804539935</v>
      </c>
      <c r="O802" s="23">
        <f t="shared" si="601"/>
        <v>-269.08414154419665</v>
      </c>
      <c r="P802" s="1">
        <f t="shared" si="629"/>
        <v>-271.21618004268805</v>
      </c>
      <c r="Q802" s="1">
        <f t="shared" si="634"/>
        <v>0.5846251882268898</v>
      </c>
      <c r="R802">
        <f t="shared" si="594"/>
        <v>0</v>
      </c>
      <c r="S802" s="23">
        <f t="shared" si="633"/>
        <v>0.91585845580334779</v>
      </c>
      <c r="T802">
        <f>$S802+測地線補正!$Q$26*(lattice!$N802/1000)^3+測地線補正!$P$26*(lattice!$N802/1000)^2+測地線補正!$O$26*(lattice!$N802/1000)+測地線補正!$N$26</f>
        <v>-1.216180042688038</v>
      </c>
      <c r="U802">
        <f>-ATAN(($P$804-$P$802)/ABS($N$804-$N$802))</f>
        <v>-5.4413830153126616E-5</v>
      </c>
      <c r="V802">
        <v>0</v>
      </c>
      <c r="W802">
        <f>ATAN(($M$804-$M$802)/ABS($N$804-$N$802))</f>
        <v>1.3000886238175184E-4</v>
      </c>
      <c r="X802">
        <f>SQRT(($M$802-$M$801)^2+($N$802-$N$801)^2)</f>
        <v>209.94180177425062</v>
      </c>
      <c r="Y802">
        <f>_xlfn.XLOOKUP($F802,設計座標!$E$13:$E$2301,設計座標!$L$13:$L$2301," ",0,1)</f>
        <v>1889.4492</v>
      </c>
      <c r="Z802">
        <f>SQRT(($M$803-$M$800)^2+($N$803-$N$800)^2)</f>
        <v>2099.3910177422727</v>
      </c>
    </row>
    <row r="803" spans="1:28">
      <c r="A803" t="s">
        <v>797</v>
      </c>
      <c r="B803">
        <v>1</v>
      </c>
      <c r="C803" t="s">
        <v>804</v>
      </c>
      <c r="D803" t="s">
        <v>1152</v>
      </c>
      <c r="E803" t="s">
        <v>804</v>
      </c>
      <c r="F803" t="s">
        <v>1242</v>
      </c>
      <c r="G803" t="s">
        <v>2505</v>
      </c>
      <c r="I803">
        <f>_xlfn.XLOOKUP($F803,設計座標!$E$13:$E$2301,設計座標!$G$13:$G$2301,"n/a",0,1)</f>
        <v>250.98705226136889</v>
      </c>
      <c r="J803">
        <f>_xlfn.XLOOKUP($F803,設計座標!$E$13:$E$2301,設計座標!$H$13:$H$2301,"n/a",0,1)</f>
        <v>-15000</v>
      </c>
      <c r="K803">
        <f>_xlfn.XLOOKUP($F803,設計座標!$E$13:$E$2301,設計座標!$I$13:$I$2301,"n/a",0,1)</f>
        <v>13475.005204539935</v>
      </c>
      <c r="L803">
        <f>_xlfn.XLOOKUP($F803,設計座標!$E$13:$E$2301,設計座標!$J$13:$J$2301,"n/a",0,1)</f>
        <v>-270</v>
      </c>
      <c r="M803" s="2">
        <f t="shared" si="599"/>
        <v>-14999.292552240571</v>
      </c>
      <c r="N803" s="2">
        <f t="shared" si="600"/>
        <v>13475.005204539935</v>
      </c>
      <c r="O803" s="23">
        <f t="shared" si="601"/>
        <v>-269.08110415696046</v>
      </c>
      <c r="P803" s="1">
        <f t="shared" si="629"/>
        <v>-271.16462743189317</v>
      </c>
      <c r="Q803" s="1">
        <f t="shared" si="634"/>
        <v>0.70744775942848515</v>
      </c>
      <c r="R803">
        <f t="shared" si="594"/>
        <v>0</v>
      </c>
      <c r="S803" s="23">
        <f t="shared" si="633"/>
        <v>0.91889584303954674</v>
      </c>
      <c r="T803">
        <f>$S803+測地線補正!$Q$26*(lattice!$N803/1000)^3+測地線補正!$P$26*(lattice!$N803/1000)^2+測地線補正!$O$26*(lattice!$N803/1000)+測地線補正!$N$26</f>
        <v>-1.1646274318931671</v>
      </c>
      <c r="U803">
        <f t="shared" ref="U803:U804" si="639">-ATAN(($P$804-$P$802)/ABS($N$804-$N$802))</f>
        <v>-5.4413830153126616E-5</v>
      </c>
      <c r="V803">
        <v>0</v>
      </c>
      <c r="W803">
        <f t="shared" ref="W803:W804" si="640">ATAN(($M$804-$M$802)/ABS($N$804-$N$802))</f>
        <v>1.3000886238175184E-4</v>
      </c>
      <c r="X803" t="s">
        <v>3860</v>
      </c>
      <c r="Y803">
        <f>_xlfn.XLOOKUP($F803,設計座標!$E$13:$E$2301,設計座標!$L$13:$L$2301," ",0,1)</f>
        <v>1889.4492</v>
      </c>
      <c r="Z803">
        <f>SQRT(($M$803-$M$800)^2+($N$803-$N$800)^2)</f>
        <v>2099.3910177422727</v>
      </c>
    </row>
    <row r="804" spans="1:28">
      <c r="A804" t="s">
        <v>797</v>
      </c>
      <c r="B804">
        <v>1</v>
      </c>
      <c r="C804" t="s">
        <v>804</v>
      </c>
      <c r="D804" t="s">
        <v>1152</v>
      </c>
      <c r="E804" t="s">
        <v>804</v>
      </c>
      <c r="F804" t="s">
        <v>1565</v>
      </c>
      <c r="G804" t="s">
        <v>2505</v>
      </c>
      <c r="I804">
        <f>_xlfn.XLOOKUP($F804,設計座標!$E$13:$E$2301,設計座標!$G$13:$G$2301,"n/a",0,1)</f>
        <v>251.93177686136889</v>
      </c>
      <c r="J804">
        <f>_xlfn.XLOOKUP($F804,設計座標!$E$13:$E$2301,設計座標!$H$13:$H$2301,"n/a",0,1)</f>
        <v>-15000</v>
      </c>
      <c r="K804">
        <f>_xlfn.XLOOKUP($F804,設計座標!$E$13:$E$2301,設計座標!$I$13:$I$2301,"n/a",0,1)</f>
        <v>12530.280604539936</v>
      </c>
      <c r="L804">
        <f>_xlfn.XLOOKUP($F804,設計座標!$E$13:$E$2301,設計座標!$J$13:$J$2301,"n/a",0,1)</f>
        <v>-270</v>
      </c>
      <c r="M804" s="2">
        <f t="shared" si="599"/>
        <v>-14999.169729669369</v>
      </c>
      <c r="N804" s="2">
        <f t="shared" si="600"/>
        <v>12530.280604539936</v>
      </c>
      <c r="O804" s="23">
        <f t="shared" si="601"/>
        <v>-269.07806676972427</v>
      </c>
      <c r="P804" s="1">
        <f t="shared" si="629"/>
        <v>-271.11336787473482</v>
      </c>
      <c r="Q804" s="1">
        <f t="shared" si="634"/>
        <v>0.83027033063008049</v>
      </c>
      <c r="R804">
        <f t="shared" si="594"/>
        <v>0</v>
      </c>
      <c r="S804" s="23">
        <f t="shared" si="633"/>
        <v>0.9219332302757457</v>
      </c>
      <c r="T804">
        <f>$S804+測地線補正!$Q$26*(lattice!$N804/1000)^3+測地線補正!$P$26*(lattice!$N804/1000)^2+測地線補正!$O$26*(lattice!$N804/1000)+測地線補正!$N$26</f>
        <v>-1.1133678747348248</v>
      </c>
      <c r="U804">
        <f t="shared" si="639"/>
        <v>-5.4413830153126616E-5</v>
      </c>
      <c r="V804">
        <v>0</v>
      </c>
      <c r="W804">
        <f t="shared" si="640"/>
        <v>1.3000886238175184E-4</v>
      </c>
      <c r="X804" t="s">
        <v>3860</v>
      </c>
      <c r="Y804">
        <f>_xlfn.XLOOKUP($F804,設計座標!$E$13:$E$2301,設計座標!$L$13:$L$2301," ",0,1)</f>
        <v>1889.4492</v>
      </c>
      <c r="Z804">
        <f>SQRT(($M$803-$M$800)^2+($N$803-$N$800)^2)</f>
        <v>2099.3910177422727</v>
      </c>
    </row>
    <row r="805" spans="1:28">
      <c r="A805" t="s">
        <v>797</v>
      </c>
      <c r="B805">
        <v>1</v>
      </c>
      <c r="C805" t="s">
        <v>805</v>
      </c>
      <c r="D805" t="s">
        <v>1152</v>
      </c>
      <c r="F805" t="s">
        <v>620</v>
      </c>
      <c r="G805" t="s">
        <v>620</v>
      </c>
      <c r="I805">
        <f>_xlfn.XLOOKUP($F805,設計座標!$E$13:$E$2301,設計座標!$G$13:$G$2301,"n/a",0,1)</f>
        <v>252.13420287757882</v>
      </c>
      <c r="J805">
        <f>_xlfn.XLOOKUP($F805,設計座標!$E$13:$E$2301,設計座標!$H$13:$H$2301,"n/a",0,1)</f>
        <v>-15173.5</v>
      </c>
      <c r="K805">
        <f>_xlfn.XLOOKUP($F805,設計座標!$E$13:$E$2301,設計座標!$I$13:$I$2301,"n/a",0,1)</f>
        <v>12327.854588330001</v>
      </c>
      <c r="L805">
        <f>_xlfn.XLOOKUP($F805,設計座標!$E$13:$E$2301,設計座標!$J$13:$J$2301,"n/a",0,1)</f>
        <v>-370</v>
      </c>
      <c r="M805" s="2">
        <f t="shared" si="599"/>
        <v>-15172.643412493138</v>
      </c>
      <c r="N805" s="2">
        <f t="shared" si="600"/>
        <v>12327.854588330001</v>
      </c>
      <c r="O805" s="23">
        <f t="shared" si="601"/>
        <v>-369.07741594915927</v>
      </c>
      <c r="P805" s="1">
        <f t="shared" si="629"/>
        <v>-371.10242255379285</v>
      </c>
      <c r="Q805" s="1">
        <f t="shared" si="634"/>
        <v>0.85658750686218021</v>
      </c>
      <c r="R805">
        <f t="shared" si="594"/>
        <v>0</v>
      </c>
      <c r="S805" s="23">
        <f t="shared" si="633"/>
        <v>0.92258405084071315</v>
      </c>
      <c r="T805">
        <f>$S805+測地線補正!$Q$26*(lattice!$N805/1000)^3+測地線補正!$P$26*(lattice!$N805/1000)^2+測地線補正!$O$26*(lattice!$N805/1000)+測地線補正!$N$26</f>
        <v>-1.1024225537928425</v>
      </c>
      <c r="U805">
        <v>0</v>
      </c>
      <c r="V805">
        <v>0</v>
      </c>
      <c r="W805">
        <v>0</v>
      </c>
      <c r="X805">
        <f>SQRT(($M$806-$M$804)^2+($N$806-$N$804)^2)-$Y$806/2</f>
        <v>127.42601792066753</v>
      </c>
      <c r="Y805">
        <f>_xlfn.XLOOKUP($F805,設計座標!$E$13:$E$2301,設計座標!$L$13:$L$2301," ",0,1)</f>
        <v>150</v>
      </c>
      <c r="Z805">
        <f>SQRT(($M$806-$M$803)^2+($N$806-$N$803)^2)</f>
        <v>1147.1506259046785</v>
      </c>
      <c r="AA805">
        <f>_xlfn.XLOOKUP($G805,magnet_list!$A$2:$A$592,magnet_list!$AJ$2:$AJ$592,"n/a",0,1)</f>
        <v>0.18626200000000001</v>
      </c>
      <c r="AB805">
        <f>_xlfn.XLOOKUP($G805,magnet_list!$A$2:$A$592,magnet_list!$L$2:$L$592,"n/a",0,1)</f>
        <v>35</v>
      </c>
    </row>
    <row r="806" spans="1:28">
      <c r="A806" t="s">
        <v>797</v>
      </c>
      <c r="B806">
        <v>1</v>
      </c>
      <c r="C806" t="s">
        <v>805</v>
      </c>
      <c r="D806" t="s">
        <v>1152</v>
      </c>
      <c r="E806" t="s">
        <v>804</v>
      </c>
      <c r="F806" t="s">
        <v>1388</v>
      </c>
      <c r="G806" t="s">
        <v>620</v>
      </c>
      <c r="I806">
        <f>_xlfn.XLOOKUP($F806,設計座標!$E$13:$E$2301,設計座標!$G$13:$G$2301,"n/a",0,1)</f>
        <v>252.13420287757882</v>
      </c>
      <c r="J806">
        <f>_xlfn.XLOOKUP($F806,設計座標!$E$13:$E$2301,設計座標!$H$13:$H$2301,"n/a",0,1)</f>
        <v>-15000</v>
      </c>
      <c r="K806">
        <f>_xlfn.XLOOKUP($F806,設計座標!$E$13:$E$2301,設計座標!$I$13:$I$2301,"n/a",0,1)</f>
        <v>12327.854588330001</v>
      </c>
      <c r="L806">
        <f>_xlfn.XLOOKUP($F806,設計座標!$E$13:$E$2301,設計座標!$J$13:$J$2301,"n/a",0,1)</f>
        <v>-370</v>
      </c>
      <c r="M806" s="2">
        <f t="shared" si="599"/>
        <v>-14999.143412493138</v>
      </c>
      <c r="N806" s="2">
        <f t="shared" si="600"/>
        <v>12327.854588330001</v>
      </c>
      <c r="O806" s="23">
        <f t="shared" si="601"/>
        <v>-369.07741594915927</v>
      </c>
      <c r="P806" s="1">
        <f t="shared" si="629"/>
        <v>-371.10242255379285</v>
      </c>
      <c r="Q806" s="1">
        <f t="shared" si="634"/>
        <v>0.85658750686218021</v>
      </c>
      <c r="R806">
        <f t="shared" si="594"/>
        <v>0</v>
      </c>
      <c r="S806" s="23">
        <f t="shared" si="633"/>
        <v>0.92258405084071315</v>
      </c>
      <c r="T806">
        <f>$S806+測地線補正!$Q$26*(lattice!$N806/1000)^3+測地線補正!$P$26*(lattice!$N806/1000)^2+測地線補正!$O$26*(lattice!$N806/1000)+測地線補正!$N$26</f>
        <v>-1.1024225537928425</v>
      </c>
      <c r="U806">
        <v>0</v>
      </c>
      <c r="V806">
        <v>0</v>
      </c>
      <c r="W806">
        <v>0</v>
      </c>
      <c r="X806">
        <f>SQRT(($M$806-$M$804)^2+($N$806-$N$804)^2)-$Y$806/2</f>
        <v>127.42601792066753</v>
      </c>
      <c r="Y806">
        <f>_xlfn.XLOOKUP($F806,設計座標!$E$13:$E$2301,設計座標!$L$13:$L$2301," ",0,1)</f>
        <v>150</v>
      </c>
      <c r="Z806">
        <f>SQRT(($M$806-$M$803)^2+($N$806-$N$803)^2)</f>
        <v>1147.1506259046785</v>
      </c>
      <c r="AA806">
        <f>_xlfn.XLOOKUP($G806,magnet_list!$A$2:$A$592,magnet_list!$AJ$2:$AJ$592,"n/a",0,1)</f>
        <v>0.18626200000000001</v>
      </c>
      <c r="AB806">
        <f>_xlfn.XLOOKUP($G806,magnet_list!$A$2:$A$592,magnet_list!$L$2:$L$592,"n/a",0,1)</f>
        <v>35</v>
      </c>
    </row>
    <row r="807" spans="1:28">
      <c r="A807" t="s">
        <v>797</v>
      </c>
      <c r="B807">
        <v>1</v>
      </c>
      <c r="C807" t="s">
        <v>804</v>
      </c>
      <c r="D807" t="s">
        <v>1152</v>
      </c>
      <c r="E807" t="s">
        <v>804</v>
      </c>
      <c r="F807" t="s">
        <v>1566</v>
      </c>
      <c r="G807" t="s">
        <v>2506</v>
      </c>
      <c r="I807">
        <f>_xlfn.XLOOKUP($F807,設計座標!$E$13:$E$2301,設計座標!$G$13:$G$2301,"n/a",0,1)</f>
        <v>252.45662066136887</v>
      </c>
      <c r="J807">
        <f>_xlfn.XLOOKUP($F807,設計座標!$E$13:$E$2301,設計座標!$H$13:$H$2301,"n/a",0,1)</f>
        <v>-15000</v>
      </c>
      <c r="K807">
        <f>_xlfn.XLOOKUP($F807,設計座標!$E$13:$E$2301,設計座標!$I$13:$I$2301,"n/a",0,1)</f>
        <v>12005.436804539935</v>
      </c>
      <c r="L807">
        <f>_xlfn.XLOOKUP($F807,設計座標!$E$13:$E$2301,設計座標!$J$13:$J$2301,"n/a",0,1)</f>
        <v>-270</v>
      </c>
      <c r="M807" s="2">
        <f t="shared" si="599"/>
        <v>-14999.101495323619</v>
      </c>
      <c r="N807" s="2">
        <f t="shared" si="600"/>
        <v>12005.436804539935</v>
      </c>
      <c r="O807" s="23">
        <f t="shared" si="601"/>
        <v>-269.07637934265915</v>
      </c>
      <c r="P807" s="1">
        <f t="shared" si="629"/>
        <v>-271.08501689102116</v>
      </c>
      <c r="Q807" s="1">
        <f t="shared" si="634"/>
        <v>0.89850467638038267</v>
      </c>
      <c r="R807">
        <f t="shared" si="594"/>
        <v>0</v>
      </c>
      <c r="S807" s="23">
        <f t="shared" si="633"/>
        <v>0.92362065734085874</v>
      </c>
      <c r="T807">
        <f>$S807+測地線補正!$Q$26*(lattice!$N807/1000)^3+測地線補正!$P$26*(lattice!$N807/1000)^2+測地線補正!$O$26*(lattice!$N807/1000)+測地線補正!$N$26</f>
        <v>-1.0850168910211775</v>
      </c>
      <c r="U807">
        <f>-ATAN(($P$809-$P$807)/ABS($N$809-$N$807))</f>
        <v>-5.3623470254407976E-5</v>
      </c>
      <c r="V807">
        <v>0</v>
      </c>
      <c r="W807">
        <f>ATAN(($M$809-$M$807)/ABS($N$809-$N$807))</f>
        <v>1.3000886238078913E-4</v>
      </c>
      <c r="X807">
        <f>SQRT(($M$807-$M$806)^2+($N$807-$N$806)^2)-$Y$806/2</f>
        <v>247.41778651486788</v>
      </c>
      <c r="Y807">
        <f>_xlfn.XLOOKUP($F807,設計座標!$E$13:$E$2301,設計座標!$L$13:$L$2301," ",0,1)</f>
        <v>1889.4492</v>
      </c>
      <c r="Z807">
        <f>SQRT(($M$808-$M$806)^2+($N$808-$N$806)^2)</f>
        <v>1267.1423944988787</v>
      </c>
    </row>
    <row r="808" spans="1:28">
      <c r="A808" t="s">
        <v>797</v>
      </c>
      <c r="B808">
        <v>1</v>
      </c>
      <c r="C808" t="s">
        <v>804</v>
      </c>
      <c r="D808" t="s">
        <v>1152</v>
      </c>
      <c r="E808" t="s">
        <v>804</v>
      </c>
      <c r="F808" t="s">
        <v>1297</v>
      </c>
      <c r="G808" t="s">
        <v>2506</v>
      </c>
      <c r="I808">
        <f>_xlfn.XLOOKUP($F808,設計座標!$E$13:$E$2301,設計座標!$G$13:$G$2301,"n/a",0,1)</f>
        <v>253.40134526136887</v>
      </c>
      <c r="J808">
        <f>_xlfn.XLOOKUP($F808,設計座標!$E$13:$E$2301,設計座標!$H$13:$H$2301,"n/a",0,1)</f>
        <v>-15000</v>
      </c>
      <c r="K808">
        <f>_xlfn.XLOOKUP($F808,設計座標!$E$13:$E$2301,設計座標!$I$13:$I$2301,"n/a",0,1)</f>
        <v>11060.712204539936</v>
      </c>
      <c r="L808">
        <f>_xlfn.XLOOKUP($F808,設計座標!$E$13:$E$2301,設計座標!$J$13:$J$2301,"n/a",0,1)</f>
        <v>-270</v>
      </c>
      <c r="M808" s="2">
        <f t="shared" si="599"/>
        <v>-14998.978672752419</v>
      </c>
      <c r="N808" s="2">
        <f t="shared" si="600"/>
        <v>11060.712204539936</v>
      </c>
      <c r="O808" s="23">
        <f t="shared" si="601"/>
        <v>-269.07334195542296</v>
      </c>
      <c r="P808" s="1">
        <f t="shared" si="629"/>
        <v>-271.03421182974421</v>
      </c>
      <c r="Q808" s="1">
        <f t="shared" si="634"/>
        <v>1.0213272475819779</v>
      </c>
      <c r="R808">
        <f t="shared" si="594"/>
        <v>0</v>
      </c>
      <c r="S808" s="23">
        <f t="shared" si="633"/>
        <v>0.92665804457705769</v>
      </c>
      <c r="T808">
        <f>$S808+測地線補正!$Q$26*(lattice!$N808/1000)^3+測地線補正!$P$26*(lattice!$N808/1000)^2+測地線補正!$O$26*(lattice!$N808/1000)+測地線補正!$N$26</f>
        <v>-1.0342118297442013</v>
      </c>
      <c r="U808">
        <f t="shared" ref="U808:U809" si="641">-ATAN(($P$809-$P$807)/ABS($N$809-$N$807))</f>
        <v>-5.3623470254407976E-5</v>
      </c>
      <c r="V808">
        <v>0</v>
      </c>
      <c r="W808">
        <f t="shared" ref="W808:W809" si="642">ATAN(($M$809-$M$807)/ABS($N$809-$N$807))</f>
        <v>1.3000886238078913E-4</v>
      </c>
      <c r="X808" t="s">
        <v>3860</v>
      </c>
      <c r="Y808">
        <f>_xlfn.XLOOKUP($F808,設計座標!$E$13:$E$2301,設計座標!$L$13:$L$2301," ",0,1)</f>
        <v>1889.4492</v>
      </c>
      <c r="Z808">
        <f>SQRT(($M$808-$M$806)^2+($N$808-$N$806)^2)</f>
        <v>1267.1423944988787</v>
      </c>
    </row>
    <row r="809" spans="1:28">
      <c r="A809" t="s">
        <v>797</v>
      </c>
      <c r="B809">
        <v>1</v>
      </c>
      <c r="C809" t="s">
        <v>804</v>
      </c>
      <c r="D809" t="s">
        <v>1152</v>
      </c>
      <c r="E809" t="s">
        <v>804</v>
      </c>
      <c r="F809" t="s">
        <v>1567</v>
      </c>
      <c r="G809" t="s">
        <v>2506</v>
      </c>
      <c r="I809">
        <f>_xlfn.XLOOKUP($F809,設計座標!$E$13:$E$2301,設計座標!$G$13:$G$2301,"n/a",0,1)</f>
        <v>254.34606986136887</v>
      </c>
      <c r="J809">
        <f>_xlfn.XLOOKUP($F809,設計座標!$E$13:$E$2301,設計座標!$H$13:$H$2301,"n/a",0,1)</f>
        <v>-15000</v>
      </c>
      <c r="K809">
        <f>_xlfn.XLOOKUP($F809,設計座標!$E$13:$E$2301,設計座標!$I$13:$I$2301,"n/a",0,1)</f>
        <v>10115.987604539936</v>
      </c>
      <c r="L809">
        <f>_xlfn.XLOOKUP($F809,設計座標!$E$13:$E$2301,設計座標!$J$13:$J$2301,"n/a",0,1)</f>
        <v>-270</v>
      </c>
      <c r="M809" s="2">
        <f t="shared" si="599"/>
        <v>-14998.855850181217</v>
      </c>
      <c r="N809" s="2">
        <f t="shared" si="600"/>
        <v>10115.987604539936</v>
      </c>
      <c r="O809" s="23">
        <f t="shared" si="601"/>
        <v>-269.07030456818677</v>
      </c>
      <c r="P809" s="1">
        <f t="shared" si="629"/>
        <v>-270.98369806795063</v>
      </c>
      <c r="Q809" s="1">
        <f t="shared" si="634"/>
        <v>1.144149818783573</v>
      </c>
      <c r="R809">
        <f t="shared" si="594"/>
        <v>0</v>
      </c>
      <c r="S809" s="23">
        <f t="shared" si="633"/>
        <v>0.92969543181325665</v>
      </c>
      <c r="T809">
        <f>$S809+測地線補正!$Q$26*(lattice!$N809/1000)^3+測地線補正!$P$26*(lattice!$N809/1000)^2+測地線補正!$O$26*(lattice!$N809/1000)+測地線補正!$N$26</f>
        <v>-0.98369806795059866</v>
      </c>
      <c r="U809">
        <f t="shared" si="641"/>
        <v>-5.3623470254407976E-5</v>
      </c>
      <c r="V809">
        <v>0</v>
      </c>
      <c r="W809">
        <f t="shared" si="642"/>
        <v>1.3000886238078913E-4</v>
      </c>
      <c r="X809" t="s">
        <v>3860</v>
      </c>
      <c r="Y809">
        <f>_xlfn.XLOOKUP($F809,設計座標!$E$13:$E$2301,設計座標!$L$13:$L$2301," ",0,1)</f>
        <v>1889.4492</v>
      </c>
      <c r="Z809">
        <f>SQRT(($M$808-$M$806)^2+($N$808-$N$806)^2)</f>
        <v>1267.1423944988787</v>
      </c>
    </row>
    <row r="810" spans="1:28">
      <c r="A810" t="s">
        <v>797</v>
      </c>
      <c r="B810">
        <v>1</v>
      </c>
      <c r="C810" t="s">
        <v>804</v>
      </c>
      <c r="D810" t="s">
        <v>1152</v>
      </c>
      <c r="E810" t="s">
        <v>804</v>
      </c>
      <c r="F810" t="s">
        <v>1568</v>
      </c>
      <c r="G810" t="s">
        <v>2507</v>
      </c>
      <c r="I810">
        <f>_xlfn.XLOOKUP($F810,設計座標!$E$13:$E$2301,設計座標!$G$13:$G$2301,"n/a",0,1)</f>
        <v>254.55601166136887</v>
      </c>
      <c r="J810">
        <f>_xlfn.XLOOKUP($F810,設計座標!$E$13:$E$2301,設計座標!$H$13:$H$2301,"n/a",0,1)</f>
        <v>-15000</v>
      </c>
      <c r="K810">
        <f>_xlfn.XLOOKUP($F810,設計座標!$E$13:$E$2301,設計座標!$I$13:$I$2301,"n/a",0,1)</f>
        <v>9906.0458045399355</v>
      </c>
      <c r="L810">
        <f>_xlfn.XLOOKUP($F810,設計座標!$E$13:$E$2301,設計座標!$J$13:$J$2301,"n/a",0,1)</f>
        <v>-270</v>
      </c>
      <c r="M810" s="2">
        <f t="shared" si="599"/>
        <v>-14998.828555886479</v>
      </c>
      <c r="N810" s="2">
        <f t="shared" si="600"/>
        <v>9906.0458045399355</v>
      </c>
      <c r="O810" s="23">
        <f t="shared" si="601"/>
        <v>-269.06962958360003</v>
      </c>
      <c r="P810" s="1">
        <f t="shared" si="629"/>
        <v>-270.97251211795117</v>
      </c>
      <c r="Q810" s="1">
        <f t="shared" si="634"/>
        <v>1.1714441135216282</v>
      </c>
      <c r="R810">
        <f t="shared" si="594"/>
        <v>0</v>
      </c>
      <c r="S810" s="23">
        <f t="shared" si="633"/>
        <v>0.93037041639994433</v>
      </c>
      <c r="T810">
        <f>$S810+測地線補正!$Q$26*(lattice!$N810/1000)^3+測地線補正!$P$26*(lattice!$N810/1000)^2+測地線補正!$O$26*(lattice!$N810/1000)+測地線補正!$N$26</f>
        <v>-0.97251211795115533</v>
      </c>
      <c r="U810">
        <f>-ATAN(($P$812-$P$810)/ABS($N$812-$N$810))</f>
        <v>-5.2940055990201975E-5</v>
      </c>
      <c r="V810">
        <v>0</v>
      </c>
      <c r="W810">
        <f>ATAN(($M$812-$M$810)/ABS($N$812-$N$810))</f>
        <v>1.3000886238175184E-4</v>
      </c>
      <c r="X810">
        <f>SQRT(($M$810-$M$809)^2+($N$810-$N$809)^2)</f>
        <v>209.94180177425062</v>
      </c>
      <c r="Y810">
        <f>_xlfn.XLOOKUP($F810,設計座標!$E$13:$E$2301,設計座標!$L$13:$L$2301," ",0,1)</f>
        <v>1889.4492</v>
      </c>
      <c r="Z810">
        <f>SQRT(($M$811-$M$808)^2+($N$811-$N$808)^2)</f>
        <v>2099.3910177422727</v>
      </c>
    </row>
    <row r="811" spans="1:28">
      <c r="A811" t="s">
        <v>797</v>
      </c>
      <c r="B811">
        <v>1</v>
      </c>
      <c r="C811" t="s">
        <v>804</v>
      </c>
      <c r="D811" t="s">
        <v>1152</v>
      </c>
      <c r="E811" t="s">
        <v>804</v>
      </c>
      <c r="F811" t="s">
        <v>1351</v>
      </c>
      <c r="G811" t="s">
        <v>2507</v>
      </c>
      <c r="I811">
        <f>_xlfn.XLOOKUP($F811,設計座標!$E$13:$E$2301,設計座標!$G$13:$G$2301,"n/a",0,1)</f>
        <v>255.50073626136887</v>
      </c>
      <c r="J811">
        <f>_xlfn.XLOOKUP($F811,設計座標!$E$13:$E$2301,設計座標!$H$13:$H$2301,"n/a",0,1)</f>
        <v>-15000</v>
      </c>
      <c r="K811">
        <f>_xlfn.XLOOKUP($F811,設計座標!$E$13:$E$2301,設計座標!$I$13:$I$2301,"n/a",0,1)</f>
        <v>8961.3212045399359</v>
      </c>
      <c r="L811">
        <f>_xlfn.XLOOKUP($F811,設計座標!$E$13:$E$2301,設計座標!$J$13:$J$2301,"n/a",0,1)</f>
        <v>-270</v>
      </c>
      <c r="M811" s="2">
        <f t="shared" si="599"/>
        <v>-14998.705733315277</v>
      </c>
      <c r="N811" s="2">
        <f t="shared" si="600"/>
        <v>8961.3212045399359</v>
      </c>
      <c r="O811" s="23">
        <f t="shared" si="601"/>
        <v>-269.06659219636384</v>
      </c>
      <c r="P811" s="1">
        <f t="shared" si="629"/>
        <v>-270.92235345762083</v>
      </c>
      <c r="Q811" s="1">
        <f t="shared" si="634"/>
        <v>1.2942666847232236</v>
      </c>
      <c r="R811">
        <f t="shared" ref="R811:R875" si="643">$N811-$K811</f>
        <v>0</v>
      </c>
      <c r="S811" s="23">
        <f t="shared" si="633"/>
        <v>0.93340780363614329</v>
      </c>
      <c r="T811">
        <f>$S811+測地線補正!$Q$26*(lattice!$N811/1000)^3+測地線補正!$P$26*(lattice!$N811/1000)^2+測地線補正!$O$26*(lattice!$N811/1000)+測地線補正!$N$26</f>
        <v>-0.92235345762081256</v>
      </c>
      <c r="U811">
        <f t="shared" ref="U811:U812" si="644">-ATAN(($P$812-$P$810)/ABS($N$812-$N$810))</f>
        <v>-5.2940055990201975E-5</v>
      </c>
      <c r="V811">
        <v>0</v>
      </c>
      <c r="W811">
        <f t="shared" ref="W811:W812" si="645">ATAN(($M$812-$M$810)/ABS($N$812-$N$810))</f>
        <v>1.3000886238175184E-4</v>
      </c>
      <c r="X811" t="s">
        <v>3860</v>
      </c>
      <c r="Y811">
        <f>_xlfn.XLOOKUP($F811,設計座標!$E$13:$E$2301,設計座標!$L$13:$L$2301," ",0,1)</f>
        <v>1889.4492</v>
      </c>
      <c r="Z811">
        <f>SQRT(($M$811-$M$808)^2+($N$811-$N$808)^2)</f>
        <v>2099.3910177422727</v>
      </c>
    </row>
    <row r="812" spans="1:28">
      <c r="A812" t="s">
        <v>797</v>
      </c>
      <c r="B812">
        <v>1</v>
      </c>
      <c r="C812" t="s">
        <v>804</v>
      </c>
      <c r="D812" t="s">
        <v>1152</v>
      </c>
      <c r="E812" t="s">
        <v>804</v>
      </c>
      <c r="F812" t="s">
        <v>1569</v>
      </c>
      <c r="G812" t="s">
        <v>2507</v>
      </c>
      <c r="I812">
        <f>_xlfn.XLOOKUP($F812,設計座標!$E$13:$E$2301,設計座標!$G$13:$G$2301,"n/a",0,1)</f>
        <v>256.44546086136887</v>
      </c>
      <c r="J812">
        <f>_xlfn.XLOOKUP($F812,設計座標!$E$13:$E$2301,設計座標!$H$13:$H$2301,"n/a",0,1)</f>
        <v>-15000</v>
      </c>
      <c r="K812">
        <f>_xlfn.XLOOKUP($F812,設計座標!$E$13:$E$2301,設計座標!$I$13:$I$2301,"n/a",0,1)</f>
        <v>8016.5966045399364</v>
      </c>
      <c r="L812">
        <f>_xlfn.XLOOKUP($F812,設計座標!$E$13:$E$2301,設計座標!$J$13:$J$2301,"n/a",0,1)</f>
        <v>-270</v>
      </c>
      <c r="M812" s="2">
        <f t="shared" si="599"/>
        <v>-14998.582910744075</v>
      </c>
      <c r="N812" s="2">
        <f t="shared" si="600"/>
        <v>8016.5966045399364</v>
      </c>
      <c r="O812" s="23">
        <f t="shared" si="601"/>
        <v>-269.06355480912765</v>
      </c>
      <c r="P812" s="1">
        <f t="shared" si="629"/>
        <v>-270.87248457141908</v>
      </c>
      <c r="Q812" s="1">
        <f t="shared" si="634"/>
        <v>1.4170892559248187</v>
      </c>
      <c r="R812">
        <f t="shared" si="643"/>
        <v>0</v>
      </c>
      <c r="S812" s="23">
        <f t="shared" si="633"/>
        <v>0.93644519087234224</v>
      </c>
      <c r="T812">
        <f>$S812+測地線補正!$Q$26*(lattice!$N812/1000)^3+測地線補正!$P$26*(lattice!$N812/1000)^2+測地線補正!$O$26*(lattice!$N812/1000)+測地線補正!$N$26</f>
        <v>-0.8724845714190721</v>
      </c>
      <c r="U812">
        <f t="shared" si="644"/>
        <v>-5.2940055990201975E-5</v>
      </c>
      <c r="V812">
        <v>0</v>
      </c>
      <c r="W812">
        <f t="shared" si="645"/>
        <v>1.3000886238175184E-4</v>
      </c>
      <c r="X812" t="s">
        <v>3860</v>
      </c>
      <c r="Y812">
        <f>_xlfn.XLOOKUP($F812,設計座標!$E$13:$E$2301,設計座標!$L$13:$L$2301," ",0,1)</f>
        <v>1889.4492</v>
      </c>
      <c r="Z812">
        <f>SQRT(($M$811-$M$808)^2+($N$811-$N$808)^2)</f>
        <v>2099.3910177422727</v>
      </c>
    </row>
    <row r="813" spans="1:28">
      <c r="A813" t="s">
        <v>797</v>
      </c>
      <c r="B813">
        <v>1</v>
      </c>
      <c r="C813" t="s">
        <v>1152</v>
      </c>
      <c r="D813" t="s">
        <v>1152</v>
      </c>
      <c r="E813" t="s">
        <v>804</v>
      </c>
      <c r="F813" t="s">
        <v>2030</v>
      </c>
      <c r="G813" t="s">
        <v>2030</v>
      </c>
      <c r="I813">
        <f>_xlfn.XLOOKUP($F813,設計座標!$E$13:$E$2301,設計座標!$G$13:$G$2301,"n/a",0,1)</f>
        <v>256.60195846136889</v>
      </c>
      <c r="J813">
        <f>_xlfn.XLOOKUP($F813,設計座標!$E$13:$E$2301,設計座標!$H$13:$H$2301,"n/a",0,1)</f>
        <v>-15000</v>
      </c>
      <c r="K813">
        <f>_xlfn.XLOOKUP($F813,設計座標!$E$13:$E$2301,設計座標!$I$13:$I$2301,"n/a",0,1)</f>
        <v>7860.0990045399358</v>
      </c>
      <c r="L813">
        <f>_xlfn.XLOOKUP($F813,設計座標!$E$13:$E$2301,設計座標!$J$13:$J$2301,"n/a",0,1)</f>
        <v>-270</v>
      </c>
      <c r="M813" s="2">
        <f t="shared" si="599"/>
        <v>-14998.562564669019</v>
      </c>
      <c r="N813" s="2">
        <f t="shared" si="600"/>
        <v>7860.0990045399358</v>
      </c>
      <c r="O813" s="23">
        <f t="shared" si="601"/>
        <v>-269.06305165316797</v>
      </c>
      <c r="P813" s="1">
        <f t="shared" si="629"/>
        <v>-270.86425151005847</v>
      </c>
      <c r="Q813" s="1">
        <f t="shared" si="634"/>
        <v>1.4374353309808499</v>
      </c>
      <c r="R813">
        <f t="shared" si="643"/>
        <v>0</v>
      </c>
      <c r="S813" s="23">
        <f t="shared" si="633"/>
        <v>0.93694834683201111</v>
      </c>
      <c r="T813">
        <f>$S813+測地線補正!$Q$26*(lattice!$N813/1000)^3+測地線補正!$P$26*(lattice!$N813/1000)^2+測地線補正!$O$26*(lattice!$N813/1000)+測地線補正!$N$26</f>
        <v>-0.86425151005847156</v>
      </c>
      <c r="U813">
        <v>0</v>
      </c>
      <c r="V813">
        <v>0</v>
      </c>
      <c r="W813">
        <v>0</v>
      </c>
      <c r="X813">
        <f>SQRT(($M$813-$M$812)^2+($N$813-$N$812)^2)</f>
        <v>156.49760132258564</v>
      </c>
      <c r="Y813">
        <f>_xlfn.XLOOKUP($F813,設計座標!$E$13:$E$2301,設計座標!$L$13:$L$2301," ",0,1)</f>
        <v>0</v>
      </c>
      <c r="Z813">
        <f>SQRT(($M$813-$M$811)^2+($N$813-$N$811)^2)</f>
        <v>1101.2222093065966</v>
      </c>
    </row>
    <row r="814" spans="1:28">
      <c r="A814" t="s">
        <v>797</v>
      </c>
      <c r="B814">
        <v>1</v>
      </c>
      <c r="C814" t="s">
        <v>805</v>
      </c>
      <c r="D814" t="s">
        <v>806</v>
      </c>
      <c r="F814" t="s">
        <v>138</v>
      </c>
      <c r="G814" t="s">
        <v>138</v>
      </c>
      <c r="I814">
        <f>_xlfn.XLOOKUP($F814,設計座標!$E$13:$E$2301,設計座標!$G$13:$G$2301,"n/a",0,1)</f>
        <v>256.7538114854388</v>
      </c>
      <c r="J814">
        <f>_xlfn.XLOOKUP($F814,設計座標!$E$13:$E$2301,設計座標!$H$13:$H$2301,"n/a",0,1)</f>
        <v>-15000</v>
      </c>
      <c r="K814">
        <f>_xlfn.XLOOKUP($F814,設計座標!$E$13:$E$2301,設計座標!$I$13:$I$2301,"n/a",0,1)</f>
        <v>7708.2459804700002</v>
      </c>
      <c r="L814">
        <f>_xlfn.XLOOKUP($F814,設計座標!$E$13:$E$2301,設計座標!$J$13:$J$2301,"n/a",0,1)</f>
        <v>-20</v>
      </c>
      <c r="M814" s="2">
        <f>_xlfn.XLOOKUP($F814,survey_data!$A$2:$A$833,survey_data!$B$2:$B$833,"n/a",0,1)</f>
        <v>-14998.542822429999</v>
      </c>
      <c r="N814" s="2">
        <f>_xlfn.XLOOKUP($F814,survey_data!$A$2:$A$833,survey_data!$C$2:$C$833,"n/a",0,1)</f>
        <v>7708.2459804700002</v>
      </c>
      <c r="O814" s="23">
        <f>_xlfn.XLOOKUP($F814,survey_data!$A$2:$A$833,survey_data!$D$2:$D$833,"n/a",0,1)</f>
        <v>-19.062563430000001</v>
      </c>
      <c r="P814" s="1">
        <f t="shared" si="629"/>
        <v>-20.856270371939033</v>
      </c>
      <c r="Q814" s="1">
        <f t="shared" ref="Q814:Q841" si="646">$M814-$J814</f>
        <v>1.4571775700005674</v>
      </c>
      <c r="R814">
        <f t="shared" si="643"/>
        <v>0</v>
      </c>
      <c r="S814" s="23">
        <f t="shared" ref="S814:S841" si="647">$O814-$L814</f>
        <v>0.93743656999999914</v>
      </c>
      <c r="T814">
        <f>$S814+測地線補正!$Q$26*(lattice!$N814/1000)^3+測地線補正!$P$26*(lattice!$N814/1000)^2+測地線補正!$O$26*(lattice!$N814/1000)+測地線補正!$N$26</f>
        <v>-0.8562703719390321</v>
      </c>
      <c r="U814">
        <f>-ATAN(($P$815-$P$814)/ABS($N$815-$N$814))</f>
        <v>-2.7408884555109282E-4</v>
      </c>
      <c r="V814">
        <v>0</v>
      </c>
      <c r="W814">
        <f>ATAN(($M$815-$M$814)/ABS($N$815-$N$814))</f>
        <v>-5.1638612345438449E-4</v>
      </c>
      <c r="X814">
        <f>$Z$815-($Y$815+$Y$813)/2</f>
        <v>131.85302486449339</v>
      </c>
      <c r="Y814">
        <f>_xlfn.XLOOKUP($F814,設計座標!$E$13:$E$2301,設計座標!$L$13:$L$2301," ",0,1)</f>
        <v>190</v>
      </c>
      <c r="Z814">
        <f>SQRT(($M$815-$M$813)^2+($N$815-$N$813)^2)</f>
        <v>226.85302486449339</v>
      </c>
      <c r="AA814">
        <f>_xlfn.XLOOKUP($G814,magnet_list!$A$2:$A$592,magnet_list!$AJ$2:$AJ$592,"n/a",0,1)</f>
        <v>0.2039</v>
      </c>
      <c r="AB814">
        <f>_xlfn.XLOOKUP($G814,magnet_list!$A$2:$A$592,magnet_list!$L$2:$L$592,"n/a",0,1)</f>
        <v>23</v>
      </c>
    </row>
    <row r="815" spans="1:28">
      <c r="A815" t="s">
        <v>797</v>
      </c>
      <c r="B815">
        <v>1</v>
      </c>
      <c r="C815" t="s">
        <v>805</v>
      </c>
      <c r="D815" t="s">
        <v>1152</v>
      </c>
      <c r="E815" t="s">
        <v>804</v>
      </c>
      <c r="F815" t="s">
        <v>621</v>
      </c>
      <c r="G815" t="s">
        <v>138</v>
      </c>
      <c r="I815">
        <f>_xlfn.XLOOKUP($F815,設計座標!$E$13:$E$2301,設計座標!$G$13:$G$2301,"n/a",0,1)</f>
        <v>256.82881148543879</v>
      </c>
      <c r="J815">
        <f>_xlfn.XLOOKUP($F815,設計座標!$E$13:$E$2301,設計座標!$H$13:$H$2301,"n/a",0,1)</f>
        <v>-15000</v>
      </c>
      <c r="K815">
        <f>_xlfn.XLOOKUP($F815,設計座標!$E$13:$E$2301,設計座標!$I$13:$I$2301,"n/a",0,1)</f>
        <v>7633.2459804700002</v>
      </c>
      <c r="L815">
        <f>_xlfn.XLOOKUP($F815,設計座標!$E$13:$E$2301,設計座標!$J$13:$J$2301,"n/a",0,1)</f>
        <v>-20</v>
      </c>
      <c r="M815" s="2">
        <f t="shared" si="599"/>
        <v>-14998.581551392701</v>
      </c>
      <c r="N815" s="2">
        <f t="shared" si="600"/>
        <v>7633.2459804700002</v>
      </c>
      <c r="O815" s="23">
        <f t="shared" si="601"/>
        <v>-19.045704752963172</v>
      </c>
      <c r="P815" s="1">
        <f t="shared" si="629"/>
        <v>-20.83571370800793</v>
      </c>
      <c r="Q815" s="1">
        <f>(Q$817-Q$814)/($N$817-$N$814)*($N815-$N$814)+Q$814</f>
        <v>1.4184486072989864</v>
      </c>
      <c r="R815">
        <f t="shared" si="643"/>
        <v>0</v>
      </c>
      <c r="S815" s="23">
        <f t="shared" ref="S815:S816" si="648">(S$817-S$814)/($N$817-$N$814)*($N815-$N$814)+S$814</f>
        <v>0.95429524703682678</v>
      </c>
      <c r="T815">
        <f>$S815+測地線補正!$Q$26*(lattice!$N815/1000)^3+測地線補正!$P$26*(lattice!$N815/1000)^2+測地線補正!$O$26*(lattice!$N815/1000)+測地線補正!$N$26</f>
        <v>-0.83571370800792988</v>
      </c>
      <c r="U815">
        <f>-ATAN(($P$815-$P$814)/ABS($N$815-$N$814))</f>
        <v>-2.7408884555109282E-4</v>
      </c>
      <c r="V815">
        <v>0</v>
      </c>
      <c r="W815">
        <f>ATAN(($M$815-$M$814)/ABS($N$815-$N$814))</f>
        <v>-5.1638612345438449E-4</v>
      </c>
      <c r="X815">
        <f>$Z$815-($Y$815+$Y$813)/2</f>
        <v>131.85302486449339</v>
      </c>
      <c r="Y815">
        <f>_xlfn.XLOOKUP($F815,設計座標!$E$13:$E$2301,設計座標!$L$13:$L$2301," ",0,1)</f>
        <v>190</v>
      </c>
      <c r="Z815">
        <f>SQRT(($M$815-$M$813)^2+($N$815-$N$813)^2)</f>
        <v>226.85302486449339</v>
      </c>
      <c r="AA815">
        <f>_xlfn.XLOOKUP($G815,magnet_list!$A$2:$A$592,magnet_list!$AJ$2:$AJ$592,"n/a",0,1)</f>
        <v>0.2039</v>
      </c>
      <c r="AB815">
        <f>_xlfn.XLOOKUP($G815,magnet_list!$A$2:$A$592,magnet_list!$L$2:$L$592,"n/a",0,1)</f>
        <v>23</v>
      </c>
    </row>
    <row r="816" spans="1:28">
      <c r="A816" t="s">
        <v>797</v>
      </c>
      <c r="B816">
        <v>1</v>
      </c>
      <c r="C816" t="s">
        <v>805</v>
      </c>
      <c r="D816" t="s">
        <v>1152</v>
      </c>
      <c r="E816" t="s">
        <v>804</v>
      </c>
      <c r="F816" t="s">
        <v>622</v>
      </c>
      <c r="G816" t="s">
        <v>139</v>
      </c>
      <c r="I816">
        <f>_xlfn.XLOOKUP($F816,設計座標!$E$13:$E$2301,設計座標!$G$13:$G$2301,"n/a",0,1)</f>
        <v>257.1241072808088</v>
      </c>
      <c r="J816">
        <f>_xlfn.XLOOKUP($F816,設計座標!$E$13:$E$2301,設計座標!$H$13:$H$2301,"n/a",0,1)</f>
        <v>-15000</v>
      </c>
      <c r="K816">
        <f>_xlfn.XLOOKUP($F816,設計座標!$E$13:$E$2301,設計座標!$I$13:$I$2301,"n/a",0,1)</f>
        <v>7337.9501851000005</v>
      </c>
      <c r="L816">
        <f>_xlfn.XLOOKUP($F816,設計座標!$E$13:$E$2301,設計座標!$J$13:$J$2301,"n/a",0,1)</f>
        <v>-20</v>
      </c>
      <c r="M816" s="2">
        <f t="shared" ref="M816:M880" si="649">$J816+$Q816</f>
        <v>-14998.734038057299</v>
      </c>
      <c r="N816" s="2">
        <f t="shared" ref="N816:N880" si="650">$K816</f>
        <v>7337.9501851000005</v>
      </c>
      <c r="O816" s="23">
        <f t="shared" ref="O816:O880" si="651">$L816+$S816</f>
        <v>-18.979327467036828</v>
      </c>
      <c r="P816" s="1">
        <f t="shared" si="629"/>
        <v>-20.754794111050529</v>
      </c>
      <c r="Q816" s="1">
        <f>(Q$817-Q$814)/($N$817-$N$814)*($N816-$N$814)+Q$814</f>
        <v>1.2659619427014071</v>
      </c>
      <c r="R816">
        <f t="shared" si="643"/>
        <v>0</v>
      </c>
      <c r="S816" s="23">
        <f t="shared" si="648"/>
        <v>1.0206725329631732</v>
      </c>
      <c r="T816">
        <f>$S816+測地線補正!$Q$26*(lattice!$N816/1000)^3+測地線補正!$P$26*(lattice!$N816/1000)^2+測地線補正!$O$26*(lattice!$N816/1000)+測地線補正!$N$26</f>
        <v>-0.75479411105053096</v>
      </c>
      <c r="U816">
        <f>-ATAN(($P$817-$P$816)/ABS($N$817-$N$816))</f>
        <v>-2.739690645439772E-4</v>
      </c>
      <c r="V816">
        <v>0</v>
      </c>
      <c r="W816">
        <f>ATAN(($M$817-$M$816)/ABS($N$817-$N$816))</f>
        <v>-5.1638612345438449E-4</v>
      </c>
      <c r="X816">
        <f>$Z$816-($Y$816+$Y$815)/2</f>
        <v>105.2958347409994</v>
      </c>
      <c r="Y816">
        <f>_xlfn.XLOOKUP($F816,設計座標!$E$13:$E$2301,設計座標!$L$13:$L$2301," ",0,1)</f>
        <v>190</v>
      </c>
      <c r="Z816">
        <f>SQRT(($M$816-$M$815)^2+($N$816-$N$815)^2)</f>
        <v>295.2958347409994</v>
      </c>
      <c r="AA816">
        <f>_xlfn.XLOOKUP($G816,magnet_list!$A$2:$A$592,magnet_list!$AJ$2:$AJ$592,"n/a",0,1)</f>
        <v>0.2039</v>
      </c>
      <c r="AB816">
        <f>_xlfn.XLOOKUP($G816,magnet_list!$A$2:$A$592,magnet_list!$L$2:$L$592,"n/a",0,1)</f>
        <v>23</v>
      </c>
    </row>
    <row r="817" spans="1:28">
      <c r="A817" t="s">
        <v>797</v>
      </c>
      <c r="B817">
        <v>1</v>
      </c>
      <c r="C817" t="s">
        <v>805</v>
      </c>
      <c r="D817" t="s">
        <v>806</v>
      </c>
      <c r="F817" t="s">
        <v>139</v>
      </c>
      <c r="G817" t="s">
        <v>139</v>
      </c>
      <c r="I817">
        <f>_xlfn.XLOOKUP($F817,設計座標!$E$13:$E$2301,設計座標!$G$13:$G$2301,"n/a",0,1)</f>
        <v>257.19910728080879</v>
      </c>
      <c r="J817">
        <f>_xlfn.XLOOKUP($F817,設計座標!$E$13:$E$2301,設計座標!$H$13:$H$2301,"n/a",0,1)</f>
        <v>-15000</v>
      </c>
      <c r="K817">
        <f>_xlfn.XLOOKUP($F817,設計座標!$E$13:$E$2301,設計座標!$I$13:$I$2301,"n/a",0,1)</f>
        <v>7262.9501851000005</v>
      </c>
      <c r="L817">
        <f>_xlfn.XLOOKUP($F817,設計座標!$E$13:$E$2301,設計座標!$J$13:$J$2301,"n/a",0,1)</f>
        <v>-20</v>
      </c>
      <c r="M817" s="2">
        <f>_xlfn.XLOOKUP($F817,survey_data!$A$2:$A$833,survey_data!$B$2:$B$833,"n/a",0,1)</f>
        <v>-14998.77276702</v>
      </c>
      <c r="N817" s="2">
        <f>_xlfn.XLOOKUP($F817,survey_data!$A$2:$A$833,survey_data!$C$2:$C$833,"n/a",0,1)</f>
        <v>7262.9501851000005</v>
      </c>
      <c r="O817" s="23">
        <f>_xlfn.XLOOKUP($F817,survey_data!$A$2:$A$833,survey_data!$D$2:$D$833,"n/a",0,1)</f>
        <v>-18.962468789999999</v>
      </c>
      <c r="P817" s="1">
        <f t="shared" si="629"/>
        <v>-20.734246430695634</v>
      </c>
      <c r="Q817" s="1">
        <f t="shared" si="646"/>
        <v>1.2272329799998261</v>
      </c>
      <c r="R817">
        <f t="shared" si="643"/>
        <v>0</v>
      </c>
      <c r="S817" s="23">
        <f t="shared" si="647"/>
        <v>1.0375312100000009</v>
      </c>
      <c r="T817">
        <f>$S817+測地線補正!$Q$26*(lattice!$N817/1000)^3+測地線補正!$P$26*(lattice!$N817/1000)^2+測地線補正!$O$26*(lattice!$N817/1000)+測地線補正!$N$26</f>
        <v>-0.73424643069563444</v>
      </c>
      <c r="U817">
        <f>-ATAN(($P$817-$P$816)/ABS($N$817-$N$816))</f>
        <v>-2.739690645439772E-4</v>
      </c>
      <c r="V817">
        <v>0</v>
      </c>
      <c r="W817">
        <f>ATAN(($M$817-$M$816)/ABS($N$817-$N$816))</f>
        <v>-5.1638612345438449E-4</v>
      </c>
      <c r="X817">
        <f>$Z$816-($Y$816+$Y$815)/2</f>
        <v>105.2958347409994</v>
      </c>
      <c r="Y817">
        <f>_xlfn.XLOOKUP($F817,設計座標!$E$13:$E$2301,設計座標!$L$13:$L$2301," ",0,1)</f>
        <v>190</v>
      </c>
      <c r="Z817">
        <f>SQRT(($M$816-$M$815)^2+($N$816-$N$815)^2)</f>
        <v>295.2958347409994</v>
      </c>
      <c r="AA817">
        <f>_xlfn.XLOOKUP($G817,magnet_list!$A$2:$A$592,magnet_list!$AJ$2:$AJ$592,"n/a",0,1)</f>
        <v>0.2039</v>
      </c>
      <c r="AB817">
        <f>_xlfn.XLOOKUP($G817,magnet_list!$A$2:$A$592,magnet_list!$L$2:$L$592,"n/a",0,1)</f>
        <v>23</v>
      </c>
    </row>
    <row r="818" spans="1:28">
      <c r="A818" t="s">
        <v>797</v>
      </c>
      <c r="B818">
        <v>1</v>
      </c>
      <c r="C818" t="s">
        <v>2288</v>
      </c>
      <c r="D818" t="s">
        <v>1152</v>
      </c>
      <c r="E818" t="s">
        <v>804</v>
      </c>
      <c r="F818" t="s">
        <v>2321</v>
      </c>
      <c r="G818" t="s">
        <v>2321</v>
      </c>
      <c r="I818">
        <f>_xlfn.XLOOKUP($F818,設計座標!$E$13:$E$2301,設計座標!$G$13:$G$2301,"n/a",0,1)</f>
        <v>257.36246746136891</v>
      </c>
      <c r="J818">
        <f>_xlfn.XLOOKUP($F818,設計座標!$E$13:$E$2301,設計座標!$H$13:$H$2301,"n/a",0,1)</f>
        <v>-15000</v>
      </c>
      <c r="K818">
        <f>_xlfn.XLOOKUP($F818,設計座標!$E$13:$E$2301,設計座標!$I$13:$I$2301,"n/a",0,1)</f>
        <v>7099.5900045399358</v>
      </c>
      <c r="L818">
        <f>_xlfn.XLOOKUP($F818,設計座標!$E$13:$E$2301,設計座標!$J$13:$J$2301,"n/a",0,1)</f>
        <v>-270</v>
      </c>
      <c r="M818" s="2">
        <f t="shared" si="649"/>
        <v>-14998.752993065824</v>
      </c>
      <c r="N818" s="2">
        <f t="shared" si="650"/>
        <v>7099.5900045399358</v>
      </c>
      <c r="O818" s="23">
        <f t="shared" si="651"/>
        <v>-268.96436083179219</v>
      </c>
      <c r="P818" s="1">
        <f t="shared" si="629"/>
        <v>-270.72810961632092</v>
      </c>
      <c r="Q818" s="1">
        <f>(Q$835-Q$817)/($N$835-$N$817)*($N818-$N$817)+Q$817</f>
        <v>1.2470069341764611</v>
      </c>
      <c r="R818">
        <f t="shared" si="643"/>
        <v>0</v>
      </c>
      <c r="S818" s="23">
        <f t="shared" ref="S818:S834" si="652">(S$835-S$817)/($N$835-$N$817)*($N818-$N$817)+S$817</f>
        <v>1.0356391682078181</v>
      </c>
      <c r="T818">
        <f>$S818+測地線補正!$Q$26*(lattice!$N818/1000)^3+測地線補正!$P$26*(lattice!$N818/1000)^2+測地線補正!$O$26*(lattice!$N818/1000)+測地線補正!$N$26</f>
        <v>-0.72810961632090976</v>
      </c>
      <c r="U818">
        <v>0</v>
      </c>
      <c r="V818">
        <v>0</v>
      </c>
      <c r="W818">
        <v>0</v>
      </c>
      <c r="X818">
        <f>$Z$818-($Y$818+$Y$817)/2</f>
        <v>143.36018131373996</v>
      </c>
      <c r="Y818">
        <f>_xlfn.XLOOKUP($F818,設計座標!$E$13:$E$2301,設計座標!$L$13:$L$2301," ",0,1)</f>
        <v>0</v>
      </c>
      <c r="Z818">
        <f>SQRT(($M$818-$M$816)^2+($N$818-$N$816)^2)</f>
        <v>238.36018131373996</v>
      </c>
    </row>
    <row r="819" spans="1:28">
      <c r="A819" t="s">
        <v>797</v>
      </c>
      <c r="B819">
        <v>1</v>
      </c>
      <c r="C819" t="s">
        <v>804</v>
      </c>
      <c r="D819" t="s">
        <v>1152</v>
      </c>
      <c r="E819" t="s">
        <v>804</v>
      </c>
      <c r="F819" t="s">
        <v>1570</v>
      </c>
      <c r="G819" t="s">
        <v>2508</v>
      </c>
      <c r="I819">
        <f>_xlfn.XLOOKUP($F819,設計座標!$E$13:$E$2301,設計座標!$G$13:$G$2301,"n/a",0,1)</f>
        <v>257.54293666136891</v>
      </c>
      <c r="J819">
        <f>_xlfn.XLOOKUP($F819,設計座標!$E$13:$E$2301,設計座標!$H$13:$H$2301,"n/a",0,1)</f>
        <v>-15000</v>
      </c>
      <c r="K819">
        <f>_xlfn.XLOOKUP($F819,設計座標!$E$13:$E$2301,設計座標!$I$13:$I$2301,"n/a",0,1)</f>
        <v>6919.1208045399362</v>
      </c>
      <c r="L819">
        <f>_xlfn.XLOOKUP($F819,設計座標!$E$13:$E$2301,設計座標!$J$13:$J$2301,"n/a",0,1)</f>
        <v>-270</v>
      </c>
      <c r="M819" s="2">
        <f t="shared" si="649"/>
        <v>-14998.731148148177</v>
      </c>
      <c r="N819" s="2">
        <f t="shared" si="650"/>
        <v>6919.1208045399362</v>
      </c>
      <c r="O819" s="23">
        <f t="shared" si="651"/>
        <v>-268.96645103068539</v>
      </c>
      <c r="P819" s="1">
        <f t="shared" si="629"/>
        <v>-270.72134010779916</v>
      </c>
      <c r="Q819" s="1">
        <f t="shared" ref="Q819:Q834" si="653">(Q$835-Q$817)/($N$835-$N$817)*($N819-$N$817)+Q$817</f>
        <v>1.2688518518232184</v>
      </c>
      <c r="R819">
        <f t="shared" si="643"/>
        <v>0</v>
      </c>
      <c r="S819" s="23">
        <f t="shared" si="652"/>
        <v>1.0335489693146047</v>
      </c>
      <c r="T819">
        <f>$S819+測地線補正!$Q$26*(lattice!$N819/1000)^3+測地線補正!$P$26*(lattice!$N819/1000)^2+測地線補正!$O$26*(lattice!$N819/1000)+測地線補正!$N$26</f>
        <v>-0.72134010779918989</v>
      </c>
      <c r="U819">
        <f>-ATAN(($P$823-$P$819)/ABS($N$823-$N$819))</f>
        <v>-3.7176777997521195E-5</v>
      </c>
      <c r="V819">
        <v>0</v>
      </c>
      <c r="W819">
        <f>ATAN(($M$823-$M$819)/ABS($N$823-$N$819))</f>
        <v>1.2104512869869378E-4</v>
      </c>
      <c r="X819">
        <f>SQRT(($M$819-$M$818)^2+($N$819-$N$818)^2)</f>
        <v>180.46920132211</v>
      </c>
      <c r="Y819">
        <f>_xlfn.XLOOKUP($F819,設計座標!$E$13:$E$2301,設計座標!$L$13:$L$2301," ",0,1)</f>
        <v>1889.4492</v>
      </c>
      <c r="Z819">
        <f>SQRT(($M$822-$M$820)^2+($N$822-$N$820)^2)</f>
        <v>307.22380225070953</v>
      </c>
    </row>
    <row r="820" spans="1:28">
      <c r="A820" t="s">
        <v>797</v>
      </c>
      <c r="B820">
        <v>1</v>
      </c>
      <c r="C820" t="s">
        <v>3855</v>
      </c>
      <c r="D820" t="s">
        <v>1152</v>
      </c>
      <c r="E820" t="s">
        <v>804</v>
      </c>
      <c r="F820" t="s">
        <v>3700</v>
      </c>
      <c r="G820" t="s">
        <v>3700</v>
      </c>
      <c r="I820">
        <f>_xlfn.XLOOKUP($F820,設計座標!$E$13:$E$2301,設計座標!$G$13:$G$2301,"n/a",0,1)</f>
        <v>258.18043746136891</v>
      </c>
      <c r="J820">
        <f>_xlfn.XLOOKUP($F820,設計座標!$E$13:$E$2301,設計座標!$H$13:$H$2301,"n/a",0,1)</f>
        <v>-15000</v>
      </c>
      <c r="K820">
        <f>_xlfn.XLOOKUP($F820,設計座標!$E$13:$E$2301,設計座標!$I$13:$I$2301,"n/a",0,1)</f>
        <v>6281.6200045399355</v>
      </c>
      <c r="L820">
        <f>_xlfn.XLOOKUP($F820,設計座標!$E$13:$E$2301,設計座標!$J$13:$J$2301,"n/a",0,1)</f>
        <v>-270</v>
      </c>
      <c r="M820" s="2">
        <f t="shared" si="649"/>
        <v>-14998.653981781419</v>
      </c>
      <c r="N820" s="2">
        <f t="shared" si="650"/>
        <v>6281.6200045399355</v>
      </c>
      <c r="O820" s="23">
        <f t="shared" si="651"/>
        <v>-268.97383458126677</v>
      </c>
      <c r="P820" s="1">
        <f t="shared" si="629"/>
        <v>-270.69751125456406</v>
      </c>
      <c r="Q820" s="1">
        <f t="shared" si="653"/>
        <v>1.3460182185813236</v>
      </c>
      <c r="R820">
        <f t="shared" si="643"/>
        <v>0</v>
      </c>
      <c r="S820" s="23">
        <f t="shared" si="652"/>
        <v>1.0261654187332163</v>
      </c>
      <c r="T820">
        <f>$S820+測地線補正!$Q$26*(lattice!$N820/1000)^3+測地線補正!$P$26*(lattice!$N820/1000)^2+測地線補正!$O$26*(lattice!$N820/1000)+測地線補正!$N$26</f>
        <v>-0.69751125456407137</v>
      </c>
      <c r="U820">
        <f t="shared" ref="U820:U821" si="654">-ATAN(($P$823-$P$819)/ABS($N$823-$N$819))</f>
        <v>-3.7176777997521195E-5</v>
      </c>
      <c r="V820">
        <v>0</v>
      </c>
      <c r="W820">
        <f t="shared" ref="W820:W821" si="655">ATAN(($M$823-$M$819)/ABS($N$823-$N$819))</f>
        <v>1.2104512869869378E-4</v>
      </c>
      <c r="X820" t="s">
        <v>3860</v>
      </c>
      <c r="Y820">
        <f>_xlfn.XLOOKUP($F820,設計座標!$E$13:$E$2301,設計座標!$L$13:$L$2301," ",0,1)</f>
        <v>200</v>
      </c>
      <c r="Z820">
        <f>SQRT(($M$820-$M$818)^2+($N$820-$N$818)^2)</f>
        <v>817.9700059924171</v>
      </c>
      <c r="AA820">
        <f>_xlfn.XLOOKUP($G820,magnet_list!$A$2:$A$592,magnet_list!$AJ$2:$AJ$592,"n/a",0,1)</f>
        <v>0.36836999999999998</v>
      </c>
      <c r="AB820">
        <f>_xlfn.XLOOKUP($G820,magnet_list!$A$2:$A$592,magnet_list!$L$2:$L$592,"n/a",0,1)</f>
        <v>128</v>
      </c>
    </row>
    <row r="821" spans="1:28">
      <c r="A821" t="s">
        <v>797</v>
      </c>
      <c r="B821">
        <v>1</v>
      </c>
      <c r="C821" t="s">
        <v>3855</v>
      </c>
      <c r="D821" t="s">
        <v>1152</v>
      </c>
      <c r="E821" t="s">
        <v>804</v>
      </c>
      <c r="F821" t="s">
        <v>3701</v>
      </c>
      <c r="G821" t="s">
        <v>3701</v>
      </c>
      <c r="I821">
        <f>_xlfn.XLOOKUP($F821,設計座標!$E$13:$E$2301,設計座標!$G$13:$G$2301,"n/a",0,1)</f>
        <v>258.18043746136891</v>
      </c>
      <c r="J821">
        <f>_xlfn.XLOOKUP($F821,設計座標!$E$13:$E$2301,設計座標!$H$13:$H$2301,"n/a",0,1)</f>
        <v>-15000</v>
      </c>
      <c r="K821">
        <f>_xlfn.XLOOKUP($F821,設計座標!$E$13:$E$2301,設計座標!$I$13:$I$2301,"n/a",0,1)</f>
        <v>6281.6200045399355</v>
      </c>
      <c r="L821">
        <f>_xlfn.XLOOKUP($F821,設計座標!$E$13:$E$2301,設計座標!$J$13:$J$2301,"n/a",0,1)</f>
        <v>-270</v>
      </c>
      <c r="M821" s="2">
        <f t="shared" si="649"/>
        <v>-14998.653981781419</v>
      </c>
      <c r="N821" s="2">
        <f t="shared" si="650"/>
        <v>6281.6200045399355</v>
      </c>
      <c r="O821" s="23">
        <f t="shared" si="651"/>
        <v>-268.97383458126677</v>
      </c>
      <c r="P821" s="1">
        <f t="shared" si="629"/>
        <v>-270.69751125456406</v>
      </c>
      <c r="Q821" s="1">
        <f t="shared" si="653"/>
        <v>1.3460182185813236</v>
      </c>
      <c r="R821">
        <f t="shared" si="643"/>
        <v>0</v>
      </c>
      <c r="S821" s="23">
        <f t="shared" si="652"/>
        <v>1.0261654187332163</v>
      </c>
      <c r="T821">
        <f>$S821+測地線補正!$Q$26*(lattice!$N821/1000)^3+測地線補正!$P$26*(lattice!$N821/1000)^2+測地線補正!$O$26*(lattice!$N821/1000)+測地線補正!$N$26</f>
        <v>-0.69751125456407137</v>
      </c>
      <c r="U821">
        <f t="shared" si="654"/>
        <v>-3.7176777997521195E-5</v>
      </c>
      <c r="V821">
        <v>0</v>
      </c>
      <c r="W821">
        <f t="shared" si="655"/>
        <v>1.2104512869869378E-4</v>
      </c>
      <c r="X821" t="s">
        <v>3860</v>
      </c>
      <c r="Y821">
        <f>_xlfn.XLOOKUP($F821,設計座標!$E$13:$E$2301,設計座標!$L$13:$L$2301," ",0,1)</f>
        <v>200</v>
      </c>
      <c r="Z821">
        <f>SQRT(($M$820-$M$818)^2+($N$820-$N$818)^2)</f>
        <v>817.9700059924171</v>
      </c>
      <c r="AA821">
        <f>_xlfn.XLOOKUP($G821,magnet_list!$A$2:$A$592,magnet_list!$AJ$2:$AJ$592,"n/a",0,1)</f>
        <v>0.36836999999999998</v>
      </c>
      <c r="AB821">
        <f>_xlfn.XLOOKUP($G821,magnet_list!$A$2:$A$592,magnet_list!$L$2:$L$592,"n/a",0,1)</f>
        <v>128</v>
      </c>
    </row>
    <row r="822" spans="1:28">
      <c r="A822" t="s">
        <v>797</v>
      </c>
      <c r="B822">
        <v>1</v>
      </c>
      <c r="C822" t="s">
        <v>804</v>
      </c>
      <c r="D822" t="s">
        <v>1152</v>
      </c>
      <c r="E822" t="s">
        <v>804</v>
      </c>
      <c r="F822" t="s">
        <v>1187</v>
      </c>
      <c r="G822" t="s">
        <v>2508</v>
      </c>
      <c r="I822">
        <f>_xlfn.XLOOKUP($F822,設計座標!$E$13:$E$2301,設計座標!$G$13:$G$2301,"n/a",0,1)</f>
        <v>258.48766126136888</v>
      </c>
      <c r="J822">
        <f>_xlfn.XLOOKUP($F822,設計座標!$E$13:$E$2301,設計座標!$H$13:$H$2301,"n/a",0,1)</f>
        <v>-15000</v>
      </c>
      <c r="K822">
        <f>_xlfn.XLOOKUP($F822,設計座標!$E$13:$E$2301,設計座標!$I$13:$I$2301,"n/a",0,1)</f>
        <v>5974.3962045399358</v>
      </c>
      <c r="L822">
        <f>_xlfn.XLOOKUP($F822,設計座標!$E$13:$E$2301,設計座標!$J$13:$J$2301,"n/a",0,1)</f>
        <v>-270</v>
      </c>
      <c r="M822" s="2">
        <f t="shared" si="649"/>
        <v>-14998.616793836827</v>
      </c>
      <c r="N822" s="2">
        <f t="shared" si="650"/>
        <v>5974.3962045399358</v>
      </c>
      <c r="O822" s="23">
        <f t="shared" si="651"/>
        <v>-268.97739285518128</v>
      </c>
      <c r="P822" s="1">
        <f t="shared" si="629"/>
        <v>-270.68607448910092</v>
      </c>
      <c r="Q822" s="1">
        <f t="shared" si="653"/>
        <v>1.383206163173109</v>
      </c>
      <c r="R822">
        <f t="shared" si="643"/>
        <v>0</v>
      </c>
      <c r="S822" s="23">
        <f t="shared" si="652"/>
        <v>1.0226071448187266</v>
      </c>
      <c r="T822">
        <f>$S822+測地線補正!$Q$26*(lattice!$N822/1000)^3+測地線補正!$P$26*(lattice!$N822/1000)^2+測地線補正!$O$26*(lattice!$N822/1000)+測地線補正!$N$26</f>
        <v>-0.68607448910092317</v>
      </c>
      <c r="U822">
        <f t="shared" ref="U822:U823" si="656">-ATAN(($P$823-$P$819)/ABS($N$823-$N$819))</f>
        <v>-3.7176777997521195E-5</v>
      </c>
      <c r="V822">
        <v>0</v>
      </c>
      <c r="W822">
        <f t="shared" ref="W822:W823" si="657">ATAN(($M$823-$M$819)/ABS($N$823-$N$819))</f>
        <v>1.2104512869869378E-4</v>
      </c>
      <c r="X822" t="s">
        <v>3860</v>
      </c>
      <c r="Y822">
        <f>_xlfn.XLOOKUP($F822,設計座標!$E$13:$E$2301,設計座標!$L$13:$L$2301," ",0,1)</f>
        <v>1889.4492</v>
      </c>
      <c r="Z822">
        <f>SQRT(($M$822-$M$820)^2+($N$822-$N$820)^2)</f>
        <v>307.22380225070953</v>
      </c>
    </row>
    <row r="823" spans="1:28">
      <c r="A823" t="s">
        <v>797</v>
      </c>
      <c r="B823">
        <v>1</v>
      </c>
      <c r="C823" t="s">
        <v>804</v>
      </c>
      <c r="D823" t="s">
        <v>1152</v>
      </c>
      <c r="E823" t="s">
        <v>804</v>
      </c>
      <c r="F823" t="s">
        <v>1571</v>
      </c>
      <c r="G823" t="s">
        <v>2508</v>
      </c>
      <c r="I823">
        <f>_xlfn.XLOOKUP($F823,設計座標!$E$13:$E$2301,設計座標!$G$13:$G$2301,"n/a",0,1)</f>
        <v>259.43238586136886</v>
      </c>
      <c r="J823">
        <f>_xlfn.XLOOKUP($F823,設計座標!$E$13:$E$2301,設計座標!$H$13:$H$2301,"n/a",0,1)</f>
        <v>-15000</v>
      </c>
      <c r="K823">
        <f>_xlfn.XLOOKUP($F823,設計座標!$E$13:$E$2301,設計座標!$I$13:$I$2301,"n/a",0,1)</f>
        <v>5029.6716045399353</v>
      </c>
      <c r="L823">
        <f>_xlfn.XLOOKUP($F823,設計座標!$E$13:$E$2301,設計座標!$J$13:$J$2301,"n/a",0,1)</f>
        <v>-270</v>
      </c>
      <c r="M823" s="2">
        <f t="shared" si="649"/>
        <v>-14998.502439525477</v>
      </c>
      <c r="N823" s="2">
        <f t="shared" si="650"/>
        <v>5029.6716045399353</v>
      </c>
      <c r="O823" s="23">
        <f t="shared" si="651"/>
        <v>-268.98833467967717</v>
      </c>
      <c r="P823" s="1">
        <f t="shared" si="629"/>
        <v>-270.65109647432081</v>
      </c>
      <c r="Q823" s="1">
        <f t="shared" si="653"/>
        <v>1.4975604745229996</v>
      </c>
      <c r="R823">
        <f t="shared" si="643"/>
        <v>0</v>
      </c>
      <c r="S823" s="23">
        <f t="shared" si="652"/>
        <v>1.0116653203228483</v>
      </c>
      <c r="T823">
        <f>$S823+測地線補正!$Q$26*(lattice!$N823/1000)^3+測地線補正!$P$26*(lattice!$N823/1000)^2+測地線補正!$O$26*(lattice!$N823/1000)+測地線補正!$N$26</f>
        <v>-0.65109647432080286</v>
      </c>
      <c r="U823">
        <f t="shared" si="656"/>
        <v>-3.7176777997521195E-5</v>
      </c>
      <c r="V823">
        <v>0</v>
      </c>
      <c r="W823">
        <f t="shared" si="657"/>
        <v>1.2104512869869378E-4</v>
      </c>
      <c r="X823" t="s">
        <v>3860</v>
      </c>
      <c r="Y823">
        <f>_xlfn.XLOOKUP($F823,設計座標!$E$13:$E$2301,設計座標!$L$13:$L$2301," ",0,1)</f>
        <v>1889.4492</v>
      </c>
      <c r="Z823">
        <f>SQRT(($M$822-$M$820)^2+($N$822-$N$820)^2)</f>
        <v>307.22380225070953</v>
      </c>
    </row>
    <row r="824" spans="1:28">
      <c r="A824" t="s">
        <v>797</v>
      </c>
      <c r="B824">
        <v>1</v>
      </c>
      <c r="C824" t="s">
        <v>804</v>
      </c>
      <c r="D824" t="s">
        <v>1152</v>
      </c>
      <c r="E824" t="s">
        <v>804</v>
      </c>
      <c r="F824" t="s">
        <v>1572</v>
      </c>
      <c r="G824" t="s">
        <v>2509</v>
      </c>
      <c r="I824">
        <f>_xlfn.XLOOKUP($F824,設計座標!$E$13:$E$2301,設計座標!$G$13:$G$2301,"n/a",0,1)</f>
        <v>259.64232766136894</v>
      </c>
      <c r="J824">
        <f>_xlfn.XLOOKUP($F824,設計座標!$E$13:$E$2301,設計座標!$H$13:$H$2301,"n/a",0,1)</f>
        <v>-15000</v>
      </c>
      <c r="K824">
        <f>_xlfn.XLOOKUP($F824,設計座標!$E$13:$E$2301,設計座標!$I$13:$I$2301,"n/a",0,1)</f>
        <v>4819.7298045399357</v>
      </c>
      <c r="L824">
        <f>_xlfn.XLOOKUP($F824,設計座標!$E$13:$E$2301,設計座標!$J$13:$J$2301,"n/a",0,1)</f>
        <v>-270</v>
      </c>
      <c r="M824" s="2">
        <f t="shared" si="649"/>
        <v>-14998.477027093153</v>
      </c>
      <c r="N824" s="2">
        <f t="shared" si="650"/>
        <v>4819.7298045399357</v>
      </c>
      <c r="O824" s="23">
        <f t="shared" si="651"/>
        <v>-268.99076623097784</v>
      </c>
      <c r="P824" s="1">
        <f t="shared" si="629"/>
        <v>-270.64336246000545</v>
      </c>
      <c r="Q824" s="1">
        <f t="shared" si="653"/>
        <v>1.522972906847252</v>
      </c>
      <c r="R824">
        <f t="shared" si="643"/>
        <v>0</v>
      </c>
      <c r="S824" s="23">
        <f t="shared" si="652"/>
        <v>1.009233769022132</v>
      </c>
      <c r="T824">
        <f>$S824+測地線補正!$Q$26*(lattice!$N824/1000)^3+測地線補正!$P$26*(lattice!$N824/1000)^2+測地線補正!$O$26*(lattice!$N824/1000)+測地線補正!$N$26</f>
        <v>-0.64336246000542874</v>
      </c>
      <c r="U824">
        <f>-ATAN(($P$826-$P$824)/ABS($N$826-$N$824))</f>
        <v>-3.6502056613688506E-5</v>
      </c>
      <c r="V824">
        <v>0</v>
      </c>
      <c r="W824">
        <f>ATAN(($M$826-$M$824)/ABS($N$826-$N$824))</f>
        <v>1.2104512869869385E-4</v>
      </c>
      <c r="X824">
        <f>SQRT(($M$824-$M$823)^2+($N$824-$N$823)^2)</f>
        <v>209.94180153802517</v>
      </c>
      <c r="Y824">
        <f>_xlfn.XLOOKUP($F824,設計座標!$E$13:$E$2301,設計座標!$L$13:$L$2301," ",0,1)</f>
        <v>1889.4492</v>
      </c>
      <c r="Z824">
        <f>SQRT(($M$825-$M$822)^2+($N$825-$N$822)^2)</f>
        <v>2099.391015380058</v>
      </c>
    </row>
    <row r="825" spans="1:28">
      <c r="A825" t="s">
        <v>797</v>
      </c>
      <c r="B825">
        <v>1</v>
      </c>
      <c r="C825" t="s">
        <v>804</v>
      </c>
      <c r="D825" t="s">
        <v>1152</v>
      </c>
      <c r="E825" t="s">
        <v>804</v>
      </c>
      <c r="F825" t="s">
        <v>1243</v>
      </c>
      <c r="G825" t="s">
        <v>2509</v>
      </c>
      <c r="I825">
        <f>_xlfn.XLOOKUP($F825,設計座標!$E$13:$E$2301,設計座標!$G$13:$G$2301,"n/a",0,1)</f>
        <v>260.58705226136891</v>
      </c>
      <c r="J825">
        <f>_xlfn.XLOOKUP($F825,設計座標!$E$13:$E$2301,設計座標!$H$13:$H$2301,"n/a",0,1)</f>
        <v>-15000</v>
      </c>
      <c r="K825">
        <f>_xlfn.XLOOKUP($F825,設計座標!$E$13:$E$2301,設計座標!$I$13:$I$2301,"n/a",0,1)</f>
        <v>3875.0052045399357</v>
      </c>
      <c r="L825">
        <f>_xlfn.XLOOKUP($F825,設計座標!$E$13:$E$2301,設計座標!$J$13:$J$2301,"n/a",0,1)</f>
        <v>-270</v>
      </c>
      <c r="M825" s="2">
        <f t="shared" si="649"/>
        <v>-14998.362672781803</v>
      </c>
      <c r="N825" s="2">
        <f t="shared" si="650"/>
        <v>3875.0052045399357</v>
      </c>
      <c r="O825" s="23">
        <f t="shared" si="651"/>
        <v>-269.00170805547373</v>
      </c>
      <c r="P825" s="1">
        <f t="shared" si="629"/>
        <v>-270.60873502987488</v>
      </c>
      <c r="Q825" s="1">
        <f t="shared" si="653"/>
        <v>1.6373272181971423</v>
      </c>
      <c r="R825">
        <f t="shared" si="643"/>
        <v>0</v>
      </c>
      <c r="S825" s="23">
        <f t="shared" si="652"/>
        <v>0.99829194452625392</v>
      </c>
      <c r="T825">
        <f>$S825+測地線補正!$Q$26*(lattice!$N825/1000)^3+測地線補正!$P$26*(lattice!$N825/1000)^2+測地線補正!$O$26*(lattice!$N825/1000)+測地線補正!$N$26</f>
        <v>-0.6087350298748877</v>
      </c>
      <c r="U825">
        <f t="shared" ref="U825:U826" si="658">-ATAN(($P$826-$P$824)/ABS($N$826-$N$824))</f>
        <v>-3.6502056613688506E-5</v>
      </c>
      <c r="V825">
        <v>0</v>
      </c>
      <c r="W825">
        <f t="shared" ref="W825:W826" si="659">ATAN(($M$826-$M$824)/ABS($N$826-$N$824))</f>
        <v>1.2104512869869385E-4</v>
      </c>
      <c r="X825" t="s">
        <v>3860</v>
      </c>
      <c r="Y825">
        <f>_xlfn.XLOOKUP($F825,設計座標!$E$13:$E$2301,設計座標!$L$13:$L$2301," ",0,1)</f>
        <v>1889.4492</v>
      </c>
      <c r="Z825">
        <f>SQRT(($M$825-$M$822)^2+($N$825-$N$822)^2)</f>
        <v>2099.391015380058</v>
      </c>
    </row>
    <row r="826" spans="1:28">
      <c r="A826" t="s">
        <v>797</v>
      </c>
      <c r="B826">
        <v>1</v>
      </c>
      <c r="C826" t="s">
        <v>804</v>
      </c>
      <c r="D826" t="s">
        <v>1152</v>
      </c>
      <c r="E826" t="s">
        <v>804</v>
      </c>
      <c r="F826" t="s">
        <v>1573</v>
      </c>
      <c r="G826" t="s">
        <v>2509</v>
      </c>
      <c r="I826">
        <f>_xlfn.XLOOKUP($F826,設計座標!$E$13:$E$2301,設計座標!$G$13:$G$2301,"n/a",0,1)</f>
        <v>261.53177686136888</v>
      </c>
      <c r="J826">
        <f>_xlfn.XLOOKUP($F826,設計座標!$E$13:$E$2301,設計座標!$H$13:$H$2301,"n/a",0,1)</f>
        <v>-15000</v>
      </c>
      <c r="K826">
        <f>_xlfn.XLOOKUP($F826,設計座標!$E$13:$E$2301,設計座標!$I$13:$I$2301,"n/a",0,1)</f>
        <v>2930.2806045399357</v>
      </c>
      <c r="L826">
        <f>_xlfn.XLOOKUP($F826,設計座標!$E$13:$E$2301,設計座標!$J$13:$J$2301,"n/a",0,1)</f>
        <v>-270</v>
      </c>
      <c r="M826" s="2">
        <f t="shared" si="649"/>
        <v>-14998.248318470452</v>
      </c>
      <c r="N826" s="2">
        <f t="shared" si="650"/>
        <v>2930.2806045399357</v>
      </c>
      <c r="O826" s="23">
        <f t="shared" si="651"/>
        <v>-269.01264987996962</v>
      </c>
      <c r="P826" s="1">
        <f t="shared" si="629"/>
        <v>-270.57439367830773</v>
      </c>
      <c r="Q826" s="1">
        <f t="shared" si="653"/>
        <v>1.7516815295470329</v>
      </c>
      <c r="R826">
        <f t="shared" si="643"/>
        <v>0</v>
      </c>
      <c r="S826" s="23">
        <f t="shared" si="652"/>
        <v>0.98735012003037581</v>
      </c>
      <c r="T826">
        <f>$S826+測地線補正!$Q$26*(lattice!$N826/1000)^3+測地線補正!$P$26*(lattice!$N826/1000)^2+測地線補正!$O$26*(lattice!$N826/1000)+測地線補正!$N$26</f>
        <v>-0.5743936783077217</v>
      </c>
      <c r="U826">
        <f t="shared" si="658"/>
        <v>-3.6502056613688506E-5</v>
      </c>
      <c r="V826">
        <v>0</v>
      </c>
      <c r="W826">
        <f t="shared" si="659"/>
        <v>1.2104512869869385E-4</v>
      </c>
      <c r="X826" t="s">
        <v>3860</v>
      </c>
      <c r="Y826">
        <f>_xlfn.XLOOKUP($F826,設計座標!$E$13:$E$2301,設計座標!$L$13:$L$2301," ",0,1)</f>
        <v>1889.4492</v>
      </c>
      <c r="Z826">
        <f>SQRT(($M$825-$M$822)^2+($N$825-$N$822)^2)</f>
        <v>2099.391015380058</v>
      </c>
    </row>
    <row r="827" spans="1:28">
      <c r="A827" t="s">
        <v>797</v>
      </c>
      <c r="B827">
        <v>1</v>
      </c>
      <c r="C827" t="s">
        <v>805</v>
      </c>
      <c r="D827" t="s">
        <v>1152</v>
      </c>
      <c r="F827" t="s">
        <v>623</v>
      </c>
      <c r="G827" t="s">
        <v>623</v>
      </c>
      <c r="I827">
        <f>_xlfn.XLOOKUP($F827,設計座標!$E$13:$E$2301,設計座標!$G$13:$G$2301,"n/a",0,1)</f>
        <v>261.75238985073884</v>
      </c>
      <c r="J827">
        <f>_xlfn.XLOOKUP($F827,設計座標!$E$13:$E$2301,設計座標!$H$13:$H$2301,"n/a",0,1)</f>
        <v>-15100</v>
      </c>
      <c r="K827">
        <f>_xlfn.XLOOKUP($F827,設計座標!$E$13:$E$2301,設計座標!$I$13:$I$2301,"n/a",0,1)</f>
        <v>2709.6676151699994</v>
      </c>
      <c r="L827">
        <f>_xlfn.XLOOKUP($F827,設計座標!$E$13:$E$2301,設計座標!$J$13:$J$2301,"n/a",0,1)</f>
        <v>-96.5</v>
      </c>
      <c r="M827" s="2">
        <f t="shared" si="649"/>
        <v>-15098.221614342632</v>
      </c>
      <c r="N827" s="2">
        <f t="shared" si="650"/>
        <v>2709.6676151699994</v>
      </c>
      <c r="O827" s="23">
        <f t="shared" si="651"/>
        <v>-95.515205025258737</v>
      </c>
      <c r="P827" s="1">
        <f t="shared" si="629"/>
        <v>-97.066415382435821</v>
      </c>
      <c r="Q827" s="1">
        <f t="shared" si="653"/>
        <v>1.7783856573682411</v>
      </c>
      <c r="R827">
        <f t="shared" si="643"/>
        <v>0</v>
      </c>
      <c r="S827" s="23">
        <f t="shared" si="652"/>
        <v>0.98479497474126521</v>
      </c>
      <c r="T827">
        <f>$S827+測地線補正!$Q$26*(lattice!$N827/1000)^3+測地線補正!$P$26*(lattice!$N827/1000)^2+測地線補正!$O$26*(lattice!$N827/1000)+測地線補正!$N$26</f>
        <v>-0.56641538243582745</v>
      </c>
      <c r="U827">
        <v>0</v>
      </c>
      <c r="V827">
        <v>0</v>
      </c>
      <c r="W827">
        <v>0</v>
      </c>
      <c r="Y827">
        <f>_xlfn.XLOOKUP($F827,設計座標!$E$13:$E$2301,設計座標!$L$13:$L$2301," ",0,1)</f>
        <v>150</v>
      </c>
      <c r="Z827">
        <f>SQRT(($M$828-$M$825)^2+($N$828-$N$825)^2)</f>
        <v>1165.3375979071548</v>
      </c>
      <c r="AA827">
        <f>_xlfn.XLOOKUP($G827,magnet_list!$A$2:$A$592,magnet_list!$AJ$2:$AJ$592,"n/a",0,1)</f>
        <v>0.18626200000000001</v>
      </c>
      <c r="AB827">
        <f>_xlfn.XLOOKUP($G827,magnet_list!$A$2:$A$592,magnet_list!$L$2:$L$592,"n/a",0,1)</f>
        <v>35</v>
      </c>
    </row>
    <row r="828" spans="1:28">
      <c r="A828" t="s">
        <v>797</v>
      </c>
      <c r="B828">
        <v>1</v>
      </c>
      <c r="C828" t="s">
        <v>805</v>
      </c>
      <c r="D828" t="s">
        <v>1152</v>
      </c>
      <c r="E828" t="s">
        <v>804</v>
      </c>
      <c r="F828" t="s">
        <v>1389</v>
      </c>
      <c r="G828" t="s">
        <v>623</v>
      </c>
      <c r="I828">
        <f>_xlfn.XLOOKUP($F828,設計座標!$E$13:$E$2301,設計座標!$G$13:$G$2301,"n/a",0,1)</f>
        <v>261.75238985073884</v>
      </c>
      <c r="J828">
        <f>_xlfn.XLOOKUP($F828,設計座標!$E$13:$E$2301,設計座標!$H$13:$H$2301,"n/a",0,1)</f>
        <v>-15000</v>
      </c>
      <c r="K828">
        <f>_xlfn.XLOOKUP($F828,設計座標!$E$13:$E$2301,設計座標!$I$13:$I$2301,"n/a",0,1)</f>
        <v>2709.6676151699994</v>
      </c>
      <c r="L828">
        <f>_xlfn.XLOOKUP($F828,設計座標!$E$13:$E$2301,設計座標!$J$13:$J$2301,"n/a",0,1)</f>
        <v>-96.5</v>
      </c>
      <c r="M828" s="2">
        <f t="shared" si="649"/>
        <v>-14998.221614342632</v>
      </c>
      <c r="N828" s="2">
        <f t="shared" si="650"/>
        <v>2709.6676151699994</v>
      </c>
      <c r="O828" s="23">
        <f t="shared" si="651"/>
        <v>-95.515205025258737</v>
      </c>
      <c r="P828" s="1">
        <f t="shared" si="629"/>
        <v>-97.066415382435821</v>
      </c>
      <c r="Q828" s="1">
        <f t="shared" si="653"/>
        <v>1.7783856573682411</v>
      </c>
      <c r="R828">
        <f t="shared" si="643"/>
        <v>0</v>
      </c>
      <c r="S828" s="23">
        <f t="shared" si="652"/>
        <v>0.98479497474126521</v>
      </c>
      <c r="T828">
        <f>$S828+測地線補正!$Q$26*(lattice!$N828/1000)^3+測地線補正!$P$26*(lattice!$N828/1000)^2+測地線補正!$O$26*(lattice!$N828/1000)+測地線補正!$N$26</f>
        <v>-0.56641538243582745</v>
      </c>
      <c r="U828">
        <v>0</v>
      </c>
      <c r="V828">
        <v>0</v>
      </c>
      <c r="W828">
        <v>0</v>
      </c>
      <c r="X828">
        <f>SQRT(($M$828-$M$826)^2+($N$828-$N$826)^2)-$Y$828/2</f>
        <v>145.61299098613856</v>
      </c>
      <c r="Y828">
        <f>_xlfn.XLOOKUP($F828,設計座標!$E$13:$E$2301,設計座標!$L$13:$L$2301," ",0,1)</f>
        <v>150</v>
      </c>
      <c r="Z828">
        <f>SQRT(($M$828-$M$825)^2+($N$828-$N$825)^2)</f>
        <v>1165.3375979071548</v>
      </c>
      <c r="AA828">
        <f>_xlfn.XLOOKUP($G828,magnet_list!$A$2:$A$592,magnet_list!$AJ$2:$AJ$592,"n/a",0,1)</f>
        <v>0.18626200000000001</v>
      </c>
      <c r="AB828">
        <f>_xlfn.XLOOKUP($G828,magnet_list!$A$2:$A$592,magnet_list!$L$2:$L$592,"n/a",0,1)</f>
        <v>35</v>
      </c>
    </row>
    <row r="829" spans="1:28">
      <c r="A829" t="s">
        <v>797</v>
      </c>
      <c r="B829">
        <v>1</v>
      </c>
      <c r="C829" t="s">
        <v>804</v>
      </c>
      <c r="D829" t="s">
        <v>1152</v>
      </c>
      <c r="E829" t="s">
        <v>804</v>
      </c>
      <c r="F829" t="s">
        <v>1574</v>
      </c>
      <c r="G829" t="s">
        <v>2510</v>
      </c>
      <c r="I829">
        <f>_xlfn.XLOOKUP($F829,設計座標!$E$13:$E$2301,設計座標!$G$13:$G$2301,"n/a",0,1)</f>
        <v>262.05662106136896</v>
      </c>
      <c r="J829">
        <f>_xlfn.XLOOKUP($F829,設計座標!$E$13:$E$2301,設計座標!$H$13:$H$2301,"n/a",0,1)</f>
        <v>-15000</v>
      </c>
      <c r="K829">
        <f>_xlfn.XLOOKUP($F829,設計座標!$E$13:$E$2301,設計座標!$I$13:$I$2301,"n/a",0,1)</f>
        <v>2405.4364045399357</v>
      </c>
      <c r="L829">
        <f>_xlfn.XLOOKUP($F829,設計座標!$E$13:$E$2301,設計座標!$J$13:$J$2301,"n/a",0,1)</f>
        <v>-270</v>
      </c>
      <c r="M829" s="2">
        <f t="shared" si="649"/>
        <v>-14998.184788636407</v>
      </c>
      <c r="N829" s="2">
        <f t="shared" si="650"/>
        <v>2405.4364045399357</v>
      </c>
      <c r="O829" s="23">
        <f t="shared" si="651"/>
        <v>-269.01872863892658</v>
      </c>
      <c r="P829" s="1">
        <f t="shared" si="629"/>
        <v>-270.55543861208616</v>
      </c>
      <c r="Q829" s="1">
        <f t="shared" si="653"/>
        <v>1.8152113635928322</v>
      </c>
      <c r="R829">
        <f t="shared" si="643"/>
        <v>0</v>
      </c>
      <c r="S829" s="23">
        <f t="shared" si="652"/>
        <v>0.98127136107344848</v>
      </c>
      <c r="T829">
        <f>$S829+測地線補正!$Q$26*(lattice!$N829/1000)^3+測地線補正!$P$26*(lattice!$N829/1000)^2+測地線補正!$O$26*(lattice!$N829/1000)+測地線補正!$N$26</f>
        <v>-0.55543861208615408</v>
      </c>
      <c r="U829">
        <f>-ATAN(($P$831-$P$829)/ABS($N$831-$N$829))</f>
        <v>-3.5730564691660408E-5</v>
      </c>
      <c r="V829">
        <v>0</v>
      </c>
      <c r="W829">
        <f>ATAN(($M$831-$M$829)/ABS($N$831-$N$829))</f>
        <v>1.2104512869773113E-4</v>
      </c>
      <c r="X829">
        <f>SQRT(($M$829-$M$828)^2+($N$829-$N$828)^2)-$Y$828/2</f>
        <v>229.23121285884991</v>
      </c>
      <c r="Y829">
        <f>_xlfn.XLOOKUP($F829,設計座標!$E$13:$E$2301,設計座標!$L$13:$L$2301," ",0,1)</f>
        <v>1889.4492</v>
      </c>
      <c r="Z829">
        <f>SQRT(($M$830-$M$828)^2+($N$830-$N$828)^2)</f>
        <v>1248.955819779866</v>
      </c>
    </row>
    <row r="830" spans="1:28">
      <c r="A830" t="s">
        <v>797</v>
      </c>
      <c r="B830">
        <v>1</v>
      </c>
      <c r="C830" t="s">
        <v>804</v>
      </c>
      <c r="D830" t="s">
        <v>1152</v>
      </c>
      <c r="E830" t="s">
        <v>804</v>
      </c>
      <c r="F830" t="s">
        <v>1298</v>
      </c>
      <c r="G830" t="s">
        <v>2510</v>
      </c>
      <c r="I830">
        <f>_xlfn.XLOOKUP($F830,設計座標!$E$13:$E$2301,設計座標!$G$13:$G$2301,"n/a",0,1)</f>
        <v>263.00134566136893</v>
      </c>
      <c r="J830">
        <f>_xlfn.XLOOKUP($F830,設計座標!$E$13:$E$2301,設計座標!$H$13:$H$2301,"n/a",0,1)</f>
        <v>-15000</v>
      </c>
      <c r="K830">
        <f>_xlfn.XLOOKUP($F830,設計座標!$E$13:$E$2301,設計座標!$I$13:$I$2301,"n/a",0,1)</f>
        <v>1460.7118045399357</v>
      </c>
      <c r="L830">
        <f>_xlfn.XLOOKUP($F830,設計座標!$E$13:$E$2301,設計座標!$J$13:$J$2301,"n/a",0,1)</f>
        <v>-270</v>
      </c>
      <c r="M830" s="2">
        <f t="shared" si="649"/>
        <v>-14998.070434325058</v>
      </c>
      <c r="N830" s="2">
        <f t="shared" si="650"/>
        <v>1460.7118045399357</v>
      </c>
      <c r="O830" s="23">
        <f t="shared" si="651"/>
        <v>-269.02967046342241</v>
      </c>
      <c r="P830" s="1">
        <f t="shared" si="629"/>
        <v>-270.52154090643069</v>
      </c>
      <c r="Q830" s="1">
        <f t="shared" si="653"/>
        <v>1.9295656749427228</v>
      </c>
      <c r="R830">
        <f t="shared" si="643"/>
        <v>0</v>
      </c>
      <c r="S830" s="23">
        <f t="shared" si="652"/>
        <v>0.97032953657757037</v>
      </c>
      <c r="T830">
        <f>$S830+測地線補正!$Q$26*(lattice!$N830/1000)^3+測地線補正!$P$26*(lattice!$N830/1000)^2+測地線補正!$O$26*(lattice!$N830/1000)+測地線補正!$N$26</f>
        <v>-0.52154090643071394</v>
      </c>
      <c r="U830">
        <f t="shared" ref="U830:U831" si="660">-ATAN(($P$831-$P$829)/ABS($N$831-$N$829))</f>
        <v>-3.5730564691660408E-5</v>
      </c>
      <c r="V830">
        <v>0</v>
      </c>
      <c r="W830">
        <f t="shared" ref="W830:W831" si="661">ATAN(($M$831-$M$829)/ABS($N$831-$N$829))</f>
        <v>1.2104512869773113E-4</v>
      </c>
      <c r="X830" t="s">
        <v>3860</v>
      </c>
      <c r="Y830">
        <f>_xlfn.XLOOKUP($F830,設計座標!$E$13:$E$2301,設計座標!$L$13:$L$2301," ",0,1)</f>
        <v>1889.4492</v>
      </c>
      <c r="Z830">
        <f>SQRT(($M$830-$M$828)^2+($N$830-$N$828)^2)</f>
        <v>1248.955819779866</v>
      </c>
    </row>
    <row r="831" spans="1:28">
      <c r="A831" t="s">
        <v>797</v>
      </c>
      <c r="B831">
        <v>1</v>
      </c>
      <c r="C831" t="s">
        <v>804</v>
      </c>
      <c r="D831" t="s">
        <v>1152</v>
      </c>
      <c r="E831" t="s">
        <v>804</v>
      </c>
      <c r="F831" t="s">
        <v>1575</v>
      </c>
      <c r="G831" t="s">
        <v>2510</v>
      </c>
      <c r="I831">
        <f>_xlfn.XLOOKUP($F831,設計座標!$E$13:$E$2301,設計座標!$G$13:$G$2301,"n/a",0,1)</f>
        <v>263.9460702613689</v>
      </c>
      <c r="J831">
        <f>_xlfn.XLOOKUP($F831,設計座標!$E$13:$E$2301,設計座標!$H$13:$H$2301,"n/a",0,1)</f>
        <v>-15000</v>
      </c>
      <c r="K831">
        <f>_xlfn.XLOOKUP($F831,設計座標!$E$13:$E$2301,設計座標!$I$13:$I$2301,"n/a",0,1)</f>
        <v>515.98720453993565</v>
      </c>
      <c r="L831">
        <f>_xlfn.XLOOKUP($F831,設計座標!$E$13:$E$2301,設計座標!$J$13:$J$2301,"n/a",0,1)</f>
        <v>-270</v>
      </c>
      <c r="M831" s="2">
        <f t="shared" si="649"/>
        <v>-14997.956080013708</v>
      </c>
      <c r="N831" s="2">
        <f t="shared" si="650"/>
        <v>515.98720453993565</v>
      </c>
      <c r="O831" s="23">
        <f t="shared" si="651"/>
        <v>-269.04061228791829</v>
      </c>
      <c r="P831" s="1">
        <f t="shared" si="629"/>
        <v>-270.48792752518523</v>
      </c>
      <c r="Q831" s="1">
        <f t="shared" si="653"/>
        <v>2.0439199862926132</v>
      </c>
      <c r="R831">
        <f t="shared" si="643"/>
        <v>0</v>
      </c>
      <c r="S831" s="23">
        <f t="shared" si="652"/>
        <v>0.95938771208169227</v>
      </c>
      <c r="T831">
        <f>$S831+測地線補正!$Q$26*(lattice!$N831/1000)^3+測地線補正!$P$26*(lattice!$N831/1000)^2+測地線補正!$O$26*(lattice!$N831/1000)+測地線補正!$N$26</f>
        <v>-0.48792752518520288</v>
      </c>
      <c r="U831">
        <f t="shared" si="660"/>
        <v>-3.5730564691660408E-5</v>
      </c>
      <c r="V831">
        <v>0</v>
      </c>
      <c r="W831">
        <f t="shared" si="661"/>
        <v>1.2104512869773113E-4</v>
      </c>
      <c r="X831" t="s">
        <v>3860</v>
      </c>
      <c r="Y831">
        <f>_xlfn.XLOOKUP($F831,設計座標!$E$13:$E$2301,設計座標!$L$13:$L$2301," ",0,1)</f>
        <v>1889.4492</v>
      </c>
      <c r="Z831">
        <f>SQRT(($M$830-$M$828)^2+($N$830-$N$828)^2)</f>
        <v>1248.955819779866</v>
      </c>
    </row>
    <row r="832" spans="1:28">
      <c r="A832" t="s">
        <v>797</v>
      </c>
      <c r="B832">
        <v>1</v>
      </c>
      <c r="C832" t="s">
        <v>804</v>
      </c>
      <c r="D832" t="s">
        <v>1152</v>
      </c>
      <c r="E832" t="s">
        <v>804</v>
      </c>
      <c r="F832" t="s">
        <v>1576</v>
      </c>
      <c r="G832" t="s">
        <v>2511</v>
      </c>
      <c r="I832">
        <f>_xlfn.XLOOKUP($F832,設計座標!$E$13:$E$2301,設計座標!$G$13:$G$2301,"n/a",0,1)</f>
        <v>264.15600906136893</v>
      </c>
      <c r="J832">
        <f>_xlfn.XLOOKUP($F832,設計座標!$E$13:$E$2301,設計座標!$H$13:$H$2301,"n/a",0,1)</f>
        <v>-15000</v>
      </c>
      <c r="K832">
        <f>_xlfn.XLOOKUP($F832,設計座標!$E$13:$E$2301,設計座標!$I$13:$I$2301,"n/a",0,1)</f>
        <v>306.04840453993575</v>
      </c>
      <c r="L832">
        <f>_xlfn.XLOOKUP($F832,設計座標!$E$13:$E$2301,設計座標!$J$13:$J$2301,"n/a",0,1)</f>
        <v>-270</v>
      </c>
      <c r="M832" s="2">
        <f t="shared" si="649"/>
        <v>-14997.930667944518</v>
      </c>
      <c r="N832" s="2">
        <f t="shared" si="650"/>
        <v>306.04840453993575</v>
      </c>
      <c r="O832" s="23">
        <f t="shared" si="651"/>
        <v>-269.04304380447297</v>
      </c>
      <c r="P832" s="1">
        <f t="shared" si="629"/>
        <v>-270.48049642781643</v>
      </c>
      <c r="Q832" s="1">
        <f t="shared" si="653"/>
        <v>2.0693320554814778</v>
      </c>
      <c r="R832">
        <f t="shared" si="643"/>
        <v>0</v>
      </c>
      <c r="S832" s="23">
        <f t="shared" si="652"/>
        <v>0.95695619552705269</v>
      </c>
      <c r="T832">
        <f>$S832+測地線補正!$Q$26*(lattice!$N832/1000)^3+測地線補正!$P$26*(lattice!$N832/1000)^2+測地線補正!$O$26*(lattice!$N832/1000)+測地線補正!$N$26</f>
        <v>-0.48049642781644386</v>
      </c>
      <c r="U832">
        <f>-ATAN(($P$834-$P$832)/ABS($N$834-$N$832))</f>
        <v>-3.5063558470946245E-5</v>
      </c>
      <c r="V832">
        <v>0</v>
      </c>
      <c r="W832">
        <f>ATAN(($M$834-$M$832)/ABS($N$834-$N$832))</f>
        <v>1.2104512869773113E-4</v>
      </c>
      <c r="X832">
        <f>SQRT(($M$832-$M$831)^2+($N$832-$N$831)^2)</f>
        <v>209.9388015380035</v>
      </c>
      <c r="Y832">
        <f>_xlfn.XLOOKUP($F832,設計座標!$E$13:$E$2301,設計座標!$L$13:$L$2301," ",0,1)</f>
        <v>1889.4492</v>
      </c>
      <c r="Z832">
        <f>SQRT(($M$833-$M$830)^2+($N$833-$N$830)^2)</f>
        <v>2099.388015380036</v>
      </c>
    </row>
    <row r="833" spans="1:28">
      <c r="A833" t="s">
        <v>797</v>
      </c>
      <c r="B833">
        <v>1</v>
      </c>
      <c r="C833" t="s">
        <v>804</v>
      </c>
      <c r="D833" t="s">
        <v>1152</v>
      </c>
      <c r="E833" t="s">
        <v>804</v>
      </c>
      <c r="F833" t="s">
        <v>1352</v>
      </c>
      <c r="G833" t="s">
        <v>2511</v>
      </c>
      <c r="I833">
        <f>_xlfn.XLOOKUP($F833,設計座標!$E$13:$E$2301,設計座標!$G$13:$G$2301,"n/a",0,1)</f>
        <v>265.10073366136891</v>
      </c>
      <c r="J833">
        <f>_xlfn.XLOOKUP($F833,設計座標!$E$13:$E$2301,設計座標!$H$13:$H$2301,"n/a",0,1)</f>
        <v>-15000</v>
      </c>
      <c r="K833">
        <f>_xlfn.XLOOKUP($F833,設計座標!$E$13:$E$2301,設計座標!$I$13:$I$2301,"n/a",0,1)</f>
        <v>-638.67619546006426</v>
      </c>
      <c r="L833">
        <f>_xlfn.XLOOKUP($F833,設計座標!$E$13:$E$2301,設計座標!$J$13:$J$2301,"n/a",0,1)</f>
        <v>-270</v>
      </c>
      <c r="M833" s="2">
        <f t="shared" si="649"/>
        <v>-14997.816313633168</v>
      </c>
      <c r="N833" s="2">
        <f t="shared" si="650"/>
        <v>-638.67619546006426</v>
      </c>
      <c r="O833" s="23">
        <f t="shared" si="651"/>
        <v>-269.0539856289688</v>
      </c>
      <c r="P833" s="1">
        <f t="shared" si="629"/>
        <v>-270.44722962202314</v>
      </c>
      <c r="Q833" s="1">
        <f t="shared" si="653"/>
        <v>2.1836863668313682</v>
      </c>
      <c r="R833">
        <f t="shared" si="643"/>
        <v>0</v>
      </c>
      <c r="S833" s="23">
        <f t="shared" si="652"/>
        <v>0.94601437103117447</v>
      </c>
      <c r="T833">
        <f>$S833+測地線補正!$Q$26*(lattice!$N833/1000)^3+測地線補正!$P$26*(lattice!$N833/1000)^2+測地線補正!$O$26*(lattice!$N833/1000)+測地線補正!$N$26</f>
        <v>-0.4472296220231512</v>
      </c>
      <c r="U833">
        <f t="shared" ref="U833:U834" si="662">-ATAN(($P$834-$P$832)/ABS($N$834-$N$832))</f>
        <v>-3.5063558470946245E-5</v>
      </c>
      <c r="V833">
        <v>0</v>
      </c>
      <c r="W833">
        <f t="shared" ref="W833:W834" si="663">ATAN(($M$834-$M$832)/ABS($N$834-$N$832))</f>
        <v>1.2104512869773113E-4</v>
      </c>
      <c r="X833" t="s">
        <v>3860</v>
      </c>
      <c r="Y833">
        <f>_xlfn.XLOOKUP($F833,設計座標!$E$13:$E$2301,設計座標!$L$13:$L$2301," ",0,1)</f>
        <v>1889.4492</v>
      </c>
      <c r="Z833">
        <f>SQRT(($M$833-$M$830)^2+($N$833-$N$830)^2)</f>
        <v>2099.388015380036</v>
      </c>
    </row>
    <row r="834" spans="1:28">
      <c r="A834" t="s">
        <v>797</v>
      </c>
      <c r="B834">
        <v>1</v>
      </c>
      <c r="C834" t="s">
        <v>804</v>
      </c>
      <c r="D834" t="s">
        <v>1152</v>
      </c>
      <c r="E834" t="s">
        <v>804</v>
      </c>
      <c r="F834" t="s">
        <v>1577</v>
      </c>
      <c r="G834" t="s">
        <v>2511</v>
      </c>
      <c r="I834">
        <f>_xlfn.XLOOKUP($F834,設計座標!$E$13:$E$2301,設計座標!$G$13:$G$2301,"n/a",0,1)</f>
        <v>266.04545826136888</v>
      </c>
      <c r="J834">
        <f>_xlfn.XLOOKUP($F834,設計座標!$E$13:$E$2301,設計座標!$H$13:$H$2301,"n/a",0,1)</f>
        <v>-15000</v>
      </c>
      <c r="K834">
        <f>_xlfn.XLOOKUP($F834,設計座標!$E$13:$E$2301,設計座標!$I$13:$I$2301,"n/a",0,1)</f>
        <v>-1583.4007954600643</v>
      </c>
      <c r="L834">
        <f>_xlfn.XLOOKUP($F834,設計座標!$E$13:$E$2301,設計座標!$J$13:$J$2301,"n/a",0,1)</f>
        <v>-270</v>
      </c>
      <c r="M834" s="2">
        <f t="shared" si="649"/>
        <v>-14997.701959321819</v>
      </c>
      <c r="N834" s="2">
        <f t="shared" si="650"/>
        <v>-1583.4007954600643</v>
      </c>
      <c r="O834" s="23">
        <f t="shared" si="651"/>
        <v>-269.06492745346469</v>
      </c>
      <c r="P834" s="1">
        <f t="shared" si="629"/>
        <v>-270.4142456152872</v>
      </c>
      <c r="Q834" s="1">
        <f t="shared" si="653"/>
        <v>2.298040678181259</v>
      </c>
      <c r="R834">
        <f t="shared" si="643"/>
        <v>0</v>
      </c>
      <c r="S834" s="23">
        <f t="shared" si="652"/>
        <v>0.93507254653529637</v>
      </c>
      <c r="T834">
        <f>$S834+測地線補正!$Q$26*(lattice!$N834/1000)^3+測地線補正!$P$26*(lattice!$N834/1000)^2+測地線補正!$O$26*(lattice!$N834/1000)+測地線補正!$N$26</f>
        <v>-0.41424561528719561</v>
      </c>
      <c r="U834">
        <f t="shared" si="662"/>
        <v>-3.5063558470946245E-5</v>
      </c>
      <c r="V834">
        <v>0</v>
      </c>
      <c r="W834">
        <f t="shared" si="663"/>
        <v>1.2104512869773113E-4</v>
      </c>
      <c r="X834" t="s">
        <v>3860</v>
      </c>
      <c r="Y834">
        <f>_xlfn.XLOOKUP($F834,設計座標!$E$13:$E$2301,設計座標!$L$13:$L$2301," ",0,1)</f>
        <v>1889.4492</v>
      </c>
      <c r="Z834">
        <f>SQRT(($M$833-$M$830)^2+($N$833-$N$830)^2)</f>
        <v>2099.388015380036</v>
      </c>
    </row>
    <row r="835" spans="1:28">
      <c r="A835" t="s">
        <v>797</v>
      </c>
      <c r="B835">
        <v>1</v>
      </c>
      <c r="C835" t="s">
        <v>805</v>
      </c>
      <c r="D835" t="s">
        <v>806</v>
      </c>
      <c r="F835" t="s">
        <v>140</v>
      </c>
      <c r="G835" t="s">
        <v>2512</v>
      </c>
      <c r="I835">
        <f>_xlfn.XLOOKUP($F835,設計座標!$E$13:$E$2301,設計座標!$G$13:$G$2301,"n/a",0,1)</f>
        <v>267.24822166600882</v>
      </c>
      <c r="J835">
        <f>_xlfn.XLOOKUP($F835,設計座標!$E$13:$E$2301,設計座標!$H$13:$H$2301,"n/a",0,1)</f>
        <v>-15000</v>
      </c>
      <c r="K835">
        <f>_xlfn.XLOOKUP($F835,設計座標!$E$13:$E$2301,設計座標!$I$13:$I$2301,"n/a",0,1)</f>
        <v>-2786.1642001</v>
      </c>
      <c r="L835">
        <f>_xlfn.XLOOKUP($F835,設計座標!$E$13:$E$2301,設計座標!$J$13:$J$2301,"n/a",0,1)</f>
        <v>-50</v>
      </c>
      <c r="M835" s="2">
        <f>_xlfn.XLOOKUP($F835,survey_data!$A$2:$A$833,survey_data!$B$2:$B$833,"n/a",0,1)</f>
        <v>-14997.55637067</v>
      </c>
      <c r="N835" s="2">
        <f>_xlfn.XLOOKUP($F835,survey_data!$A$2:$A$833,survey_data!$C$2:$C$833,"n/a",0,1)</f>
        <v>-2786.1642001</v>
      </c>
      <c r="O835" s="23">
        <f>_xlfn.XLOOKUP($F835,survey_data!$A$2:$A$833,survey_data!$D$2:$D$833,"n/a",0,1)</f>
        <v>-49.078857890000002</v>
      </c>
      <c r="P835" s="1">
        <f t="shared" si="629"/>
        <v>-50.372660599641904</v>
      </c>
      <c r="Q835" s="1">
        <f t="shared" si="646"/>
        <v>2.4436293300004763</v>
      </c>
      <c r="R835">
        <f t="shared" si="643"/>
        <v>0</v>
      </c>
      <c r="S835" s="23">
        <f t="shared" si="647"/>
        <v>0.92114210999999813</v>
      </c>
      <c r="T835">
        <f>$S835+測地線補正!$Q$26*(lattice!$N835/1000)^3+測地線補正!$P$26*(lattice!$N835/1000)^2+測地線補正!$O$26*(lattice!$N835/1000)+測地線補正!$N$26</f>
        <v>-0.37266059964190079</v>
      </c>
      <c r="U835">
        <f>-ATAN(($P$837-$P$835)/ABS($N$837-$N$835))</f>
        <v>8.0521317417961197E-4</v>
      </c>
      <c r="V835">
        <v>0</v>
      </c>
      <c r="W835">
        <f>ATAN(($M$837-$M$835)/ABS($N$837-$N$835))</f>
        <v>1.3371219339190142E-4</v>
      </c>
      <c r="X835">
        <f>SQRT(($M$835-$M$834)^2+($N$835-$N$834)^2)</f>
        <v>1202.7634134513344</v>
      </c>
      <c r="Y835">
        <f>_xlfn.XLOOKUP($F835,設計座標!$E$13:$E$2301,設計座標!$L$13:$L$2301," ",0,1)</f>
        <v>200</v>
      </c>
      <c r="Z835">
        <f>SQRT(($M$836-$M$833)^2+($N$836-$N$833)^2)</f>
        <v>2222.4790210369174</v>
      </c>
      <c r="AA835">
        <f>_xlfn.XLOOKUP($G835,magnet_list!$A$2:$A$592,magnet_list!$AJ$2:$AJ$592,"n/a",0,1)</f>
        <v>0.21244935000000001</v>
      </c>
      <c r="AB835">
        <f>_xlfn.XLOOKUP($G835,magnet_list!$A$2:$A$592,magnet_list!$L$2:$L$592,"n/a",0,1)</f>
        <v>20</v>
      </c>
    </row>
    <row r="836" spans="1:28">
      <c r="A836" t="s">
        <v>797</v>
      </c>
      <c r="B836">
        <v>1</v>
      </c>
      <c r="C836" t="s">
        <v>805</v>
      </c>
      <c r="D836" t="s">
        <v>1152</v>
      </c>
      <c r="E836" t="s">
        <v>804</v>
      </c>
      <c r="F836" t="s">
        <v>624</v>
      </c>
      <c r="G836" t="s">
        <v>2512</v>
      </c>
      <c r="I836">
        <f>_xlfn.XLOOKUP($F836,設計座標!$E$13:$E$2301,設計座標!$G$13:$G$2301,"n/a",0,1)</f>
        <v>267.32321266600883</v>
      </c>
      <c r="J836">
        <f>_xlfn.XLOOKUP($F836,設計座標!$E$13:$E$2301,設計座標!$H$13:$H$2301,"n/a",0,1)</f>
        <v>-15000</v>
      </c>
      <c r="K836">
        <f>_xlfn.XLOOKUP($F836,設計座標!$E$13:$E$2301,設計座標!$I$13:$I$2301,"n/a",0,1)</f>
        <v>-2861.1552001</v>
      </c>
      <c r="L836">
        <f>_xlfn.XLOOKUP($F836,設計座標!$E$13:$E$2301,設計座標!$J$13:$J$2301,"n/a",0,1)</f>
        <v>-50</v>
      </c>
      <c r="M836" s="2">
        <f t="shared" si="649"/>
        <v>-14997.546343458846</v>
      </c>
      <c r="N836" s="2">
        <f t="shared" si="650"/>
        <v>-2861.1552001</v>
      </c>
      <c r="O836" s="23">
        <f t="shared" si="651"/>
        <v>-49.142686974674682</v>
      </c>
      <c r="P836" s="1">
        <f t="shared" si="629"/>
        <v>-50.433043467480204</v>
      </c>
      <c r="Q836" s="1">
        <f>(Q$837-Q$835)/($N$837-$N$835)*($N836-$N$835)+Q$835</f>
        <v>2.4536565411548872</v>
      </c>
      <c r="R836">
        <f t="shared" si="643"/>
        <v>0</v>
      </c>
      <c r="S836" s="23">
        <f>(S$837-S$835)/($N$837-$N$835)*($N836-$N$835)+S$835</f>
        <v>0.85731302532531595</v>
      </c>
      <c r="T836">
        <f>$S836+測地線補正!$Q$26*(lattice!$N836/1000)^3+測地線補正!$P$26*(lattice!$N836/1000)^2+測地線補正!$O$26*(lattice!$N836/1000)+測地線補正!$N$26</f>
        <v>-0.43304346748020395</v>
      </c>
      <c r="U836">
        <f t="shared" ref="U836:U837" si="664">-ATAN(($P$837-$P$835)/ABS($N$837-$N$835))</f>
        <v>8.0521317417961197E-4</v>
      </c>
      <c r="V836">
        <v>0</v>
      </c>
      <c r="W836">
        <f t="shared" ref="W836:W837" si="665">ATAN(($M$837-$M$835)/ABS($N$837-$N$835))</f>
        <v>1.3371219339190142E-4</v>
      </c>
      <c r="X836" t="s">
        <v>3860</v>
      </c>
      <c r="Y836">
        <f>_xlfn.XLOOKUP($F836,設計座標!$E$13:$E$2301,設計座標!$L$13:$L$2301," ",0,1)</f>
        <v>200</v>
      </c>
      <c r="Z836">
        <f>SQRT(($M$836-$M$833)^2+($N$836-$N$833)^2)</f>
        <v>2222.4790210369174</v>
      </c>
      <c r="AA836">
        <f>_xlfn.XLOOKUP($G836,magnet_list!$A$2:$A$592,magnet_list!$AJ$2:$AJ$592,"n/a",0,1)</f>
        <v>0.21244935000000001</v>
      </c>
      <c r="AB836">
        <f>_xlfn.XLOOKUP($G836,magnet_list!$A$2:$A$592,magnet_list!$L$2:$L$592,"n/a",0,1)</f>
        <v>20</v>
      </c>
    </row>
    <row r="837" spans="1:28">
      <c r="A837" t="s">
        <v>797</v>
      </c>
      <c r="B837">
        <v>1</v>
      </c>
      <c r="C837" t="s">
        <v>805</v>
      </c>
      <c r="D837" t="s">
        <v>806</v>
      </c>
      <c r="F837" t="s">
        <v>141</v>
      </c>
      <c r="G837" t="s">
        <v>2512</v>
      </c>
      <c r="I837">
        <f>_xlfn.XLOOKUP($F837,設計座標!$E$13:$E$2301,設計座標!$G$13:$G$2301,"n/a",0,1)</f>
        <v>267.39824508100884</v>
      </c>
      <c r="J837">
        <f>_xlfn.XLOOKUP($F837,設計座標!$E$13:$E$2301,設計座標!$H$13:$H$2301,"n/a",0,1)</f>
        <v>-15000</v>
      </c>
      <c r="K837">
        <f>_xlfn.XLOOKUP($F837,設計座標!$E$13:$E$2301,設計座標!$I$13:$I$2301,"n/a",0,1)</f>
        <v>-2936.1876151000001</v>
      </c>
      <c r="L837">
        <f>_xlfn.XLOOKUP($F837,設計座標!$E$13:$E$2301,設計座標!$J$13:$J$2301,"n/a",0,1)</f>
        <v>-50</v>
      </c>
      <c r="M837" s="2">
        <f>_xlfn.XLOOKUP($F837,survey_data!$A$2:$A$833,survey_data!$B$2:$B$833,"n/a",0,1)</f>
        <v>-14997.53631071</v>
      </c>
      <c r="N837" s="2">
        <f>_xlfn.XLOOKUP($F837,survey_data!$A$2:$A$833,survey_data!$C$2:$C$833,"n/a",0,1)</f>
        <v>-2936.1876151000001</v>
      </c>
      <c r="O837" s="23">
        <f>_xlfn.XLOOKUP($F837,survey_data!$A$2:$A$833,survey_data!$D$2:$D$833,"n/a",0,1)</f>
        <v>-49.206551310000002</v>
      </c>
      <c r="P837" s="1">
        <f t="shared" si="629"/>
        <v>-50.493461455943134</v>
      </c>
      <c r="Q837" s="1">
        <f t="shared" si="646"/>
        <v>2.4636892899998202</v>
      </c>
      <c r="R837">
        <f t="shared" si="643"/>
        <v>0</v>
      </c>
      <c r="S837" s="23">
        <f t="shared" si="647"/>
        <v>0.79344868999999818</v>
      </c>
      <c r="T837">
        <f>$S837+測地線補正!$Q$26*(lattice!$N837/1000)^3+測地線補正!$P$26*(lattice!$N837/1000)^2+測地線補正!$O$26*(lattice!$N837/1000)+測地線補正!$N$26</f>
        <v>-0.49346145594313473</v>
      </c>
      <c r="U837">
        <f t="shared" si="664"/>
        <v>8.0521317417961197E-4</v>
      </c>
      <c r="V837">
        <v>0</v>
      </c>
      <c r="W837">
        <f t="shared" si="665"/>
        <v>1.3371219339190142E-4</v>
      </c>
      <c r="X837" t="s">
        <v>3860</v>
      </c>
      <c r="Y837">
        <f>_xlfn.XLOOKUP($F837,設計座標!$E$13:$E$2301,設計座標!$L$13:$L$2301," ",0,1)</f>
        <v>200</v>
      </c>
      <c r="Z837">
        <f>SQRT(($M$836-$M$833)^2+($N$836-$N$833)^2)</f>
        <v>2222.4790210369174</v>
      </c>
      <c r="AA837">
        <f>_xlfn.XLOOKUP($G837,magnet_list!$A$2:$A$592,magnet_list!$AJ$2:$AJ$592,"n/a",0,1)</f>
        <v>0.21244935000000001</v>
      </c>
      <c r="AB837">
        <f>_xlfn.XLOOKUP($G837,magnet_list!$A$2:$A$592,magnet_list!$L$2:$L$592,"n/a",0,1)</f>
        <v>20</v>
      </c>
    </row>
    <row r="838" spans="1:28">
      <c r="A838" t="s">
        <v>797</v>
      </c>
      <c r="B838">
        <v>1</v>
      </c>
      <c r="C838" t="s">
        <v>1152</v>
      </c>
      <c r="D838" t="s">
        <v>1152</v>
      </c>
      <c r="E838" t="s">
        <v>804</v>
      </c>
      <c r="F838" t="s">
        <v>2031</v>
      </c>
      <c r="G838" t="s">
        <v>2031</v>
      </c>
      <c r="I838">
        <f>_xlfn.XLOOKUP($F838,設計座標!$E$13:$E$2301,設計座標!$G$13:$G$2301,"n/a",0,1)</f>
        <v>267.62903756136893</v>
      </c>
      <c r="J838">
        <f>_xlfn.XLOOKUP($F838,設計座標!$E$13:$E$2301,設計座標!$H$13:$H$2301,"n/a",0,1)</f>
        <v>-15000</v>
      </c>
      <c r="K838">
        <f>_xlfn.XLOOKUP($F838,設計座標!$E$13:$E$2301,設計座標!$I$13:$I$2301,"n/a",0,1)</f>
        <v>-3166.9800954600641</v>
      </c>
      <c r="L838">
        <f>_xlfn.XLOOKUP($F838,設計座標!$E$13:$E$2301,設計座標!$J$13:$J$2301,"n/a",0,1)</f>
        <v>-270</v>
      </c>
      <c r="M838" s="2">
        <f t="shared" si="649"/>
        <v>-14997.506099419817</v>
      </c>
      <c r="N838" s="2">
        <f t="shared" si="650"/>
        <v>-3166.9800954600641</v>
      </c>
      <c r="O838" s="23">
        <f t="shared" si="651"/>
        <v>-269.2010880153141</v>
      </c>
      <c r="P838" s="1">
        <f t="shared" si="629"/>
        <v>-270.47740864513298</v>
      </c>
      <c r="Q838" s="1">
        <f>(Q$839-Q$837)/($N$839-$N$837)*($N838-$N$837)+Q$837</f>
        <v>2.4939005801830887</v>
      </c>
      <c r="R838">
        <f t="shared" si="643"/>
        <v>0</v>
      </c>
      <c r="S838" s="23">
        <f>(S$839-S$837)/($N$839-$N$837)*($N838-$N$837)+S$837</f>
        <v>0.79891198468589997</v>
      </c>
      <c r="T838">
        <f>$S838+測地線補正!$Q$26*(lattice!$N838/1000)^3+測地線補正!$P$26*(lattice!$N838/1000)^2+測地線補正!$O$26*(lattice!$N838/1000)+測地線補正!$N$26</f>
        <v>-0.47740864513296244</v>
      </c>
      <c r="U838">
        <v>0</v>
      </c>
      <c r="V838">
        <v>0</v>
      </c>
      <c r="W838">
        <v>0</v>
      </c>
      <c r="X838">
        <f>$Z$838-($Y$838+$Y$836)/2</f>
        <v>205.82489800795628</v>
      </c>
      <c r="Y838">
        <f>_xlfn.XLOOKUP($F838,設計座標!$E$13:$E$2301,設計座標!$L$13:$L$2301," ",0,1)</f>
        <v>0</v>
      </c>
      <c r="Z838">
        <f>SQRT(($M$838-$M$836)^2+($N$838-$N$836)^2)</f>
        <v>305.82489800795628</v>
      </c>
    </row>
    <row r="839" spans="1:28">
      <c r="A839" t="s">
        <v>797</v>
      </c>
      <c r="B839">
        <v>1</v>
      </c>
      <c r="C839" t="s">
        <v>805</v>
      </c>
      <c r="D839" t="s">
        <v>806</v>
      </c>
      <c r="F839" t="s">
        <v>142</v>
      </c>
      <c r="G839" t="s">
        <v>2513</v>
      </c>
      <c r="I839">
        <f>_xlfn.XLOOKUP($F839,設計座標!$E$13:$E$2301,設計座標!$G$13:$G$2301,"n/a",0,1)</f>
        <v>268.4700542090589</v>
      </c>
      <c r="J839">
        <f>_xlfn.XLOOKUP($F839,設計座標!$E$13:$E$2301,設計座標!$H$13:$H$2301,"n/a",0,1)</f>
        <v>-15000</v>
      </c>
      <c r="K839">
        <f>_xlfn.XLOOKUP($F839,設計座標!$E$13:$E$2301,設計座標!$I$13:$I$2301,"n/a",0,1)</f>
        <v>-4007.9967431499999</v>
      </c>
      <c r="L839">
        <f>_xlfn.XLOOKUP($F839,設計座標!$E$13:$E$2301,設計座標!$J$13:$J$2301,"n/a",0,1)</f>
        <v>-50</v>
      </c>
      <c r="M839" s="2">
        <f>_xlfn.XLOOKUP($F839,survey_data!$A$2:$A$833,survey_data!$B$2:$B$833,"n/a",0,1)</f>
        <v>-14997.39600832</v>
      </c>
      <c r="N839" s="2">
        <f>_xlfn.XLOOKUP($F839,survey_data!$A$2:$A$833,survey_data!$C$2:$C$833,"n/a",0,1)</f>
        <v>-4007.9967431499999</v>
      </c>
      <c r="O839" s="23">
        <f>_xlfn.XLOOKUP($F839,survey_data!$A$2:$A$833,survey_data!$D$2:$D$833,"n/a",0,1)</f>
        <v>-49.181179559999997</v>
      </c>
      <c r="P839" s="1">
        <f t="shared" si="629"/>
        <v>-50.419053395046063</v>
      </c>
      <c r="Q839" s="1">
        <f t="shared" si="646"/>
        <v>2.6039916800000356</v>
      </c>
      <c r="R839">
        <f t="shared" si="643"/>
        <v>0</v>
      </c>
      <c r="S839" s="23">
        <f t="shared" si="647"/>
        <v>0.8188204400000032</v>
      </c>
      <c r="T839">
        <f>$S839+測地線補正!$Q$26*(lattice!$N839/1000)^3+測地線補正!$P$26*(lattice!$N839/1000)^2+測地線補正!$O$26*(lattice!$N839/1000)+測地線補正!$N$26</f>
        <v>-0.41905339504606576</v>
      </c>
      <c r="U839">
        <f>-ATAN(($P$841-$P$839)/ABS($N$841-$N$839))</f>
        <v>-2.9763817295369273E-5</v>
      </c>
      <c r="V839">
        <v>0</v>
      </c>
      <c r="W839">
        <f>ATAN(($M$841-$M$839)/ABS($N$841-$N$839))</f>
        <v>4.1347103502971703E-4</v>
      </c>
      <c r="X839">
        <f>$Z$840-($Y$840+$Y$838)/2</f>
        <v>816.0076585569642</v>
      </c>
      <c r="Y839">
        <f>_xlfn.XLOOKUP($F839,設計座標!$E$13:$E$2301,設計座標!$L$13:$L$2301," ",0,1)</f>
        <v>200</v>
      </c>
      <c r="Z839">
        <f>SQRT(($M$840-$M$838)^2+($N$840-$N$838)^2)</f>
        <v>916.0076585569642</v>
      </c>
      <c r="AA839">
        <f>_xlfn.XLOOKUP($G839,magnet_list!$A$2:$A$592,magnet_list!$AJ$2:$AJ$592,"n/a",0,1)</f>
        <v>0.21244935000000001</v>
      </c>
      <c r="AB839">
        <f>_xlfn.XLOOKUP($G839,magnet_list!$A$2:$A$592,magnet_list!$L$2:$L$592,"n/a",0,1)</f>
        <v>20</v>
      </c>
    </row>
    <row r="840" spans="1:28">
      <c r="A840" t="s">
        <v>797</v>
      </c>
      <c r="B840">
        <v>1</v>
      </c>
      <c r="C840" t="s">
        <v>805</v>
      </c>
      <c r="D840" t="s">
        <v>1152</v>
      </c>
      <c r="E840" t="s">
        <v>804</v>
      </c>
      <c r="F840" t="s">
        <v>625</v>
      </c>
      <c r="G840" t="s">
        <v>2513</v>
      </c>
      <c r="I840">
        <f>_xlfn.XLOOKUP($F840,設計座標!$E$13:$E$2301,設計座標!$G$13:$G$2301,"n/a",0,1)</f>
        <v>268.54504520905891</v>
      </c>
      <c r="J840">
        <f>_xlfn.XLOOKUP($F840,設計座標!$E$13:$E$2301,設計座標!$H$13:$H$2301,"n/a",0,1)</f>
        <v>-15000</v>
      </c>
      <c r="K840">
        <f>_xlfn.XLOOKUP($F840,設計座標!$E$13:$E$2301,設計座標!$I$13:$I$2301,"n/a",0,1)</f>
        <v>-4082.9877431499995</v>
      </c>
      <c r="L840">
        <f>_xlfn.XLOOKUP($F840,設計座標!$E$13:$E$2301,設計座標!$J$13:$J$2301,"n/a",0,1)</f>
        <v>-50</v>
      </c>
      <c r="M840" s="2">
        <f t="shared" si="649"/>
        <v>-14997.365001711845</v>
      </c>
      <c r="N840" s="2">
        <f t="shared" si="650"/>
        <v>-4082.9877431499995</v>
      </c>
      <c r="O840" s="23">
        <f t="shared" si="651"/>
        <v>-49.182364051363649</v>
      </c>
      <c r="P840" s="1">
        <f t="shared" si="629"/>
        <v>-50.416820493784876</v>
      </c>
      <c r="Q840" s="1">
        <f>(Q$841-Q$839)/($N$841-$N$839)*($N840-$N$839)+Q$839</f>
        <v>2.6349982881548946</v>
      </c>
      <c r="R840">
        <f t="shared" si="643"/>
        <v>0</v>
      </c>
      <c r="S840" s="23">
        <f>(S$841-S$839)/($N$841-$N$839)*($N840-$N$839)+S$839</f>
        <v>0.8176359486363538</v>
      </c>
      <c r="T840">
        <f>$S840+測地線補正!$Q$26*(lattice!$N840/1000)^3+測地線補正!$P$26*(lattice!$N840/1000)^2+測地線補正!$O$26*(lattice!$N840/1000)+測地線補正!$N$26</f>
        <v>-0.41682049378487296</v>
      </c>
      <c r="U840">
        <f t="shared" ref="U840:U841" si="666">-ATAN(($P$841-$P$839)/ABS($N$841-$N$839))</f>
        <v>-2.9763817295369273E-5</v>
      </c>
      <c r="V840">
        <v>0</v>
      </c>
      <c r="W840">
        <f t="shared" ref="W840:W841" si="667">ATAN(($M$841-$M$839)/ABS($N$841-$N$839))</f>
        <v>4.1347103502971703E-4</v>
      </c>
      <c r="X840">
        <f>$Z$840-($Y$840+$Y$838)/2</f>
        <v>816.0076585569642</v>
      </c>
      <c r="Y840">
        <f>_xlfn.XLOOKUP($F840,設計座標!$E$13:$E$2301,設計座標!$L$13:$L$2301," ",0,1)</f>
        <v>200</v>
      </c>
      <c r="Z840">
        <f>SQRT(($M$840-$M$838)^2+($N$840-$N$838)^2)</f>
        <v>916.0076585569642</v>
      </c>
      <c r="AA840">
        <f>_xlfn.XLOOKUP($G840,magnet_list!$A$2:$A$592,magnet_list!$AJ$2:$AJ$592,"n/a",0,1)</f>
        <v>0.21244935000000001</v>
      </c>
      <c r="AB840">
        <f>_xlfn.XLOOKUP($G840,magnet_list!$A$2:$A$592,magnet_list!$L$2:$L$592,"n/a",0,1)</f>
        <v>20</v>
      </c>
    </row>
    <row r="841" spans="1:28">
      <c r="A841" t="s">
        <v>797</v>
      </c>
      <c r="B841">
        <v>1</v>
      </c>
      <c r="C841" t="s">
        <v>805</v>
      </c>
      <c r="D841" t="s">
        <v>806</v>
      </c>
      <c r="F841" t="s">
        <v>143</v>
      </c>
      <c r="G841" t="s">
        <v>2513</v>
      </c>
      <c r="I841">
        <f>_xlfn.XLOOKUP($F841,設計座標!$E$13:$E$2301,設計座標!$G$13:$G$2301,"n/a",0,1)</f>
        <v>268.6200164100689</v>
      </c>
      <c r="J841">
        <f>_xlfn.XLOOKUP($F841,設計座標!$E$13:$E$2301,設計座標!$H$13:$H$2301,"n/a",0,1)</f>
        <v>-15000</v>
      </c>
      <c r="K841">
        <f>_xlfn.XLOOKUP($F841,設計座標!$E$13:$E$2301,設計座標!$I$13:$I$2301,"n/a",0,1)</f>
        <v>-4157.9589441600001</v>
      </c>
      <c r="L841">
        <f>_xlfn.XLOOKUP($F841,設計座標!$E$13:$E$2301,設計座標!$J$13:$J$2301,"n/a",0,1)</f>
        <v>-50</v>
      </c>
      <c r="M841" s="2">
        <f>_xlfn.XLOOKUP($F841,survey_data!$A$2:$A$833,survey_data!$B$2:$B$833,"n/a",0,1)</f>
        <v>-14997.33400329</v>
      </c>
      <c r="N841" s="2">
        <f>_xlfn.XLOOKUP($F841,survey_data!$A$2:$A$833,survey_data!$C$2:$C$833,"n/a",0,1)</f>
        <v>-4157.9589441600001</v>
      </c>
      <c r="O841" s="23">
        <f>_xlfn.XLOOKUP($F841,survey_data!$A$2:$A$833,survey_data!$D$2:$D$833,"n/a",0,1)</f>
        <v>-49.18354823</v>
      </c>
      <c r="P841" s="1">
        <f t="shared" si="629"/>
        <v>-50.414589947492672</v>
      </c>
      <c r="Q841" s="1">
        <f t="shared" si="646"/>
        <v>2.6659967100003996</v>
      </c>
      <c r="R841">
        <f t="shared" si="643"/>
        <v>0</v>
      </c>
      <c r="S841" s="23">
        <f t="shared" si="647"/>
        <v>0.81645177000000047</v>
      </c>
      <c r="T841">
        <f>$S841+測地線補正!$Q$26*(lattice!$N841/1000)^3+測地線補正!$P$26*(lattice!$N841/1000)^2+測地線補正!$O$26*(lattice!$N841/1000)+測地線補正!$N$26</f>
        <v>-0.41458994749267042</v>
      </c>
      <c r="U841">
        <f t="shared" si="666"/>
        <v>-2.9763817295369273E-5</v>
      </c>
      <c r="V841">
        <v>0</v>
      </c>
      <c r="W841">
        <f t="shared" si="667"/>
        <v>4.1347103502971703E-4</v>
      </c>
      <c r="X841">
        <f>$Z$840-($Y$840+$Y$838)/2</f>
        <v>816.0076585569642</v>
      </c>
      <c r="Y841">
        <f>_xlfn.XLOOKUP($F841,設計座標!$E$13:$E$2301,設計座標!$L$13:$L$2301," ",0,1)</f>
        <v>200</v>
      </c>
      <c r="Z841">
        <f>SQRT(($M$840-$M$838)^2+($N$840-$N$838)^2)</f>
        <v>916.0076585569642</v>
      </c>
      <c r="AA841">
        <f>_xlfn.XLOOKUP($G841,magnet_list!$A$2:$A$592,magnet_list!$AJ$2:$AJ$592,"n/a",0,1)</f>
        <v>0.21244935000000001</v>
      </c>
      <c r="AB841">
        <f>_xlfn.XLOOKUP($G841,magnet_list!$A$2:$A$592,magnet_list!$L$2:$L$592,"n/a",0,1)</f>
        <v>20</v>
      </c>
    </row>
    <row r="842" spans="1:28">
      <c r="A842" t="s">
        <v>797</v>
      </c>
      <c r="B842">
        <v>1</v>
      </c>
      <c r="C842" t="s">
        <v>805</v>
      </c>
      <c r="D842" t="s">
        <v>1152</v>
      </c>
      <c r="E842" t="s">
        <v>804</v>
      </c>
      <c r="F842" t="s">
        <v>2032</v>
      </c>
      <c r="G842" t="s">
        <v>2514</v>
      </c>
      <c r="I842">
        <f>_xlfn.XLOOKUP($F842,設計座標!$E$13:$E$2301,設計座標!$G$13:$G$2301,"n/a",0,1)</f>
        <v>268.8763942090589</v>
      </c>
      <c r="J842">
        <f>_xlfn.XLOOKUP($F842,設計座標!$E$13:$E$2301,設計座標!$H$13:$H$2301,"n/a",0,1)</f>
        <v>-15000</v>
      </c>
      <c r="K842">
        <f>_xlfn.XLOOKUP($F842,設計座標!$E$13:$E$2301,設計座標!$I$13:$I$2301,"n/a",0,1)</f>
        <v>-4414.3367431499992</v>
      </c>
      <c r="L842">
        <f>_xlfn.XLOOKUP($F842,設計座標!$E$13:$E$2301,設計座標!$J$13:$J$2301,"n/a",0,1)</f>
        <v>-270</v>
      </c>
      <c r="M842" s="2">
        <f t="shared" si="649"/>
        <v>-14997.306465782856</v>
      </c>
      <c r="N842" s="2">
        <f t="shared" si="650"/>
        <v>-4414.3367431499992</v>
      </c>
      <c r="O842" s="23">
        <f t="shared" si="651"/>
        <v>-269.19619483587115</v>
      </c>
      <c r="P842" s="1">
        <f t="shared" si="629"/>
        <v>-270.41557260889454</v>
      </c>
      <c r="Q842" s="1">
        <f>(Q$907-Q$841)/($N$907-$N$841)*($N842-$N$841)+Q$841</f>
        <v>2.6935342171445718</v>
      </c>
      <c r="R842">
        <f t="shared" si="643"/>
        <v>0</v>
      </c>
      <c r="S842" s="23">
        <f t="shared" ref="S842:S906" si="668">(S$907-S$841)/($N$907-$N$841)*($N842-$N$841)+S$841</f>
        <v>0.80380516412886005</v>
      </c>
      <c r="T842">
        <f>$S842+測地線補正!$Q$26*(lattice!$N842/1000)^3+測地線補正!$P$26*(lattice!$N842/1000)^2+測地線補正!$O$26*(lattice!$N842/1000)+測地線補正!$N$26</f>
        <v>-0.41557260889452352</v>
      </c>
      <c r="U842">
        <v>0</v>
      </c>
      <c r="V842">
        <v>0</v>
      </c>
      <c r="W842">
        <v>0</v>
      </c>
      <c r="X842">
        <f>$Z$842-($Y$842+$Y$840)/2</f>
        <v>156.34900517046191</v>
      </c>
      <c r="Y842">
        <f>_xlfn.XLOOKUP($F842,設計座標!$E$13:$E$2301,設計座標!$L$13:$L$2301," ",0,1)</f>
        <v>150</v>
      </c>
      <c r="Z842">
        <f>SQRT(($M$842-$M$840)^2+($N$842-$N$840)^2)</f>
        <v>331.34900517046191</v>
      </c>
      <c r="AA842">
        <f>_xlfn.XLOOKUP($G842,magnet_list!$A$2:$A$592,magnet_list!$AJ$2:$AJ$592,"n/a",0,1)</f>
        <v>0.18992999999999999</v>
      </c>
      <c r="AB842">
        <f>_xlfn.XLOOKUP($G842,magnet_list!$A$2:$A$592,magnet_list!$L$2:$L$592,"n/a",0,1)</f>
        <v>35</v>
      </c>
    </row>
    <row r="843" spans="1:28">
      <c r="A843" t="s">
        <v>797</v>
      </c>
      <c r="B843">
        <v>1</v>
      </c>
      <c r="C843" t="s">
        <v>1152</v>
      </c>
      <c r="D843" t="s">
        <v>1152</v>
      </c>
      <c r="E843" t="s">
        <v>804</v>
      </c>
      <c r="F843" t="s">
        <v>2033</v>
      </c>
      <c r="G843" t="s">
        <v>2033</v>
      </c>
      <c r="I843">
        <f>_xlfn.XLOOKUP($F843,設計座標!$E$13:$E$2301,設計座標!$G$13:$G$2301,"n/a",0,1)</f>
        <v>269.16553756136892</v>
      </c>
      <c r="J843">
        <f>_xlfn.XLOOKUP($F843,設計座標!$E$13:$E$2301,設計座標!$H$13:$H$2301,"n/a",0,1)</f>
        <v>-15000</v>
      </c>
      <c r="K843">
        <f>_xlfn.XLOOKUP($F843,設計座標!$E$13:$E$2301,設計座標!$I$13:$I$2301,"n/a",0,1)</f>
        <v>-4703.4800954600641</v>
      </c>
      <c r="L843">
        <f>_xlfn.XLOOKUP($F843,設計座標!$E$13:$E$2301,設計座標!$J$13:$J$2301,"n/a",0,1)</f>
        <v>-270</v>
      </c>
      <c r="M843" s="2">
        <f t="shared" si="649"/>
        <v>-14997.27540893175</v>
      </c>
      <c r="N843" s="2">
        <f t="shared" si="650"/>
        <v>-4703.4800954600641</v>
      </c>
      <c r="O843" s="23">
        <f t="shared" si="651"/>
        <v>-269.21045770118684</v>
      </c>
      <c r="P843" s="1">
        <f t="shared" si="629"/>
        <v>-270.41670560288713</v>
      </c>
      <c r="Q843" s="1">
        <f t="shared" ref="Q843:Q906" si="669">(Q$907-Q$841)/($N$907-$N$841)*($N843-$N$841)+Q$841</f>
        <v>2.7245910682498384</v>
      </c>
      <c r="R843">
        <f t="shared" si="643"/>
        <v>0</v>
      </c>
      <c r="S843" s="23">
        <f t="shared" si="668"/>
        <v>0.78954229881317661</v>
      </c>
      <c r="T843">
        <f>$S843+測地線補正!$Q$26*(lattice!$N843/1000)^3+測地線補正!$P$26*(lattice!$N843/1000)^2+測地線補正!$O$26*(lattice!$N843/1000)+測地線補正!$N$26</f>
        <v>-0.41670560288715075</v>
      </c>
      <c r="U843">
        <v>0</v>
      </c>
      <c r="V843">
        <v>0</v>
      </c>
      <c r="W843">
        <v>0</v>
      </c>
      <c r="X843">
        <f>$Z$843-($Y$843+$Y$842)/2</f>
        <v>214.14335397797123</v>
      </c>
      <c r="Y843">
        <f>_xlfn.XLOOKUP($F843,設計座標!$E$13:$E$2301,設計座標!$L$13:$L$2301," ",0,1)</f>
        <v>0</v>
      </c>
      <c r="Z843">
        <f>SQRT(($M$843-$M$842)^2+($N$843-$N$842)^2)</f>
        <v>289.14335397797123</v>
      </c>
    </row>
    <row r="844" spans="1:28">
      <c r="A844" t="s">
        <v>797</v>
      </c>
      <c r="B844">
        <v>1</v>
      </c>
      <c r="C844" t="s">
        <v>805</v>
      </c>
      <c r="D844" t="s">
        <v>1152</v>
      </c>
      <c r="E844" t="s">
        <v>804</v>
      </c>
      <c r="F844" t="s">
        <v>3709</v>
      </c>
      <c r="G844" t="s">
        <v>3710</v>
      </c>
      <c r="I844">
        <f>_xlfn.XLOOKUP($F844,設計座標!$E$13:$E$2301,設計座標!$G$13:$G$2301,"n/a",0,1)</f>
        <v>269.39653756136892</v>
      </c>
      <c r="J844">
        <f>_xlfn.XLOOKUP($F844,設計座標!$E$13:$E$2301,設計座標!$H$13:$H$2301,"n/a",0,1)</f>
        <v>-15000</v>
      </c>
      <c r="K844">
        <f>_xlfn.XLOOKUP($F844,設計座標!$E$13:$E$2301,設計座標!$I$13:$I$2301,"n/a",0,1)</f>
        <v>-4934.4800954600641</v>
      </c>
      <c r="L844">
        <f>_xlfn.XLOOKUP($F844,設計座標!$E$13:$E$2301,設計座標!$J$13:$J$2301,"n/a",0,1)</f>
        <v>-270</v>
      </c>
      <c r="M844" s="2">
        <f t="shared" si="649"/>
        <v>-14997.250597250804</v>
      </c>
      <c r="N844" s="2">
        <f t="shared" si="650"/>
        <v>-4934.4800954600641</v>
      </c>
      <c r="O844" s="23">
        <f t="shared" si="651"/>
        <v>-269.22185247081097</v>
      </c>
      <c r="P844" s="1">
        <f t="shared" si="629"/>
        <v>-270.41762960302782</v>
      </c>
      <c r="Q844" s="1">
        <f t="shared" si="669"/>
        <v>2.7494027491963307</v>
      </c>
      <c r="R844">
        <f t="shared" si="643"/>
        <v>0</v>
      </c>
      <c r="S844" s="23">
        <f t="shared" si="668"/>
        <v>0.77814752918904317</v>
      </c>
      <c r="T844">
        <f>$S844+測地線補正!$Q$26*(lattice!$N844/1000)^3+測地線補正!$P$26*(lattice!$N844/1000)^2+測地線補正!$O$26*(lattice!$N844/1000)+測地線補正!$N$26</f>
        <v>-0.41762960302783458</v>
      </c>
      <c r="U844">
        <v>0</v>
      </c>
      <c r="V844">
        <v>0</v>
      </c>
      <c r="W844">
        <v>0</v>
      </c>
      <c r="X844">
        <f>$Z$844-($Y$844+$Y$843)/2</f>
        <v>156.00000133250975</v>
      </c>
      <c r="Y844">
        <f>_xlfn.XLOOKUP($F844,設計座標!$E$13:$E$2301,設計座標!$L$13:$L$2301," ",0,1)</f>
        <v>150</v>
      </c>
      <c r="Z844">
        <f>SQRT(($M$844-$M$843)^2+($N$844-$N$843)^2)</f>
        <v>231.00000133250975</v>
      </c>
      <c r="AA844">
        <f>_xlfn.XLOOKUP($G844,magnet_list!$A$2:$A$592,magnet_list!$AJ$2:$AJ$592,"n/a",0,1)</f>
        <v>0.18626200000000001</v>
      </c>
      <c r="AB844">
        <f>_xlfn.XLOOKUP($G844,magnet_list!$A$2:$A$592,magnet_list!$L$2:$L$592,"n/a",0,1)</f>
        <v>35</v>
      </c>
    </row>
    <row r="845" spans="1:28">
      <c r="A845" t="s">
        <v>797</v>
      </c>
      <c r="B845">
        <v>1</v>
      </c>
      <c r="C845" t="s">
        <v>805</v>
      </c>
      <c r="D845" t="s">
        <v>1152</v>
      </c>
      <c r="E845" t="s">
        <v>804</v>
      </c>
      <c r="F845" t="s">
        <v>2034</v>
      </c>
      <c r="G845" t="s">
        <v>2515</v>
      </c>
      <c r="I845">
        <f>_xlfn.XLOOKUP($F845,設計座標!$E$13:$E$2301,設計座標!$G$13:$G$2301,"n/a",0,1)</f>
        <v>269.6786705613689</v>
      </c>
      <c r="J845">
        <f>_xlfn.XLOOKUP($F845,設計座標!$E$13:$E$2301,設計座標!$H$13:$H$2301,"n/a",0,1)</f>
        <v>-15000</v>
      </c>
      <c r="K845">
        <f>_xlfn.XLOOKUP($F845,設計座標!$E$13:$E$2301,設計座標!$I$13:$I$2301,"n/a",0,1)</f>
        <v>-5216.613095460064</v>
      </c>
      <c r="L845">
        <f>_xlfn.XLOOKUP($F845,設計座標!$E$13:$E$2301,設計座標!$J$13:$J$2301,"n/a",0,1)</f>
        <v>-270</v>
      </c>
      <c r="M845" s="2">
        <f t="shared" si="649"/>
        <v>-14997.220293380758</v>
      </c>
      <c r="N845" s="2">
        <f t="shared" si="650"/>
        <v>-5216.613095460064</v>
      </c>
      <c r="O845" s="23">
        <f t="shared" si="651"/>
        <v>-269.23576952941858</v>
      </c>
      <c r="P845" s="1">
        <f t="shared" si="629"/>
        <v>-270.41878081724616</v>
      </c>
      <c r="Q845" s="1">
        <f t="shared" si="669"/>
        <v>2.7797066192416846</v>
      </c>
      <c r="R845">
        <f t="shared" si="643"/>
        <v>0</v>
      </c>
      <c r="S845" s="23">
        <f t="shared" si="668"/>
        <v>0.76423047058139959</v>
      </c>
      <c r="T845">
        <f>$S845+測地線補正!$Q$26*(lattice!$N845/1000)^3+測地線補正!$P$26*(lattice!$N845/1000)^2+測地線補正!$O$26*(lattice!$N845/1000)+測地線補正!$N$26</f>
        <v>-0.41878081724618643</v>
      </c>
      <c r="U845">
        <v>0</v>
      </c>
      <c r="V845">
        <v>0</v>
      </c>
      <c r="W845">
        <v>0</v>
      </c>
      <c r="X845">
        <f>$Z$845-($Y$845+$Y$844)/2</f>
        <v>132.13300162746725</v>
      </c>
      <c r="Y845">
        <f>_xlfn.XLOOKUP($F845,設計座標!$E$13:$E$2301,設計座標!$L$13:$L$2301," ",0,1)</f>
        <v>150</v>
      </c>
      <c r="Z845">
        <f>SQRT(($M$845-$M$844)^2+($N$845-$N$844)^2)</f>
        <v>282.13300162746725</v>
      </c>
      <c r="AA845">
        <f>_xlfn.XLOOKUP($G845,magnet_list!$A$2:$A$592,magnet_list!$AJ$2:$AJ$592,"n/a",0,1)</f>
        <v>0.18992999999999999</v>
      </c>
      <c r="AB845">
        <f>_xlfn.XLOOKUP($G845,magnet_list!$A$2:$A$592,magnet_list!$L$2:$L$592,"n/a",0,1)</f>
        <v>35</v>
      </c>
    </row>
    <row r="846" spans="1:28">
      <c r="A846" t="s">
        <v>797</v>
      </c>
      <c r="B846">
        <v>1</v>
      </c>
      <c r="C846" t="s">
        <v>2288</v>
      </c>
      <c r="D846" t="s">
        <v>1152</v>
      </c>
      <c r="E846" t="s">
        <v>804</v>
      </c>
      <c r="F846" t="s">
        <v>2322</v>
      </c>
      <c r="G846" t="s">
        <v>2322</v>
      </c>
      <c r="I846">
        <f>_xlfn.XLOOKUP($F846,設計座標!$E$13:$E$2301,設計座標!$G$13:$G$2301,"n/a",0,1)</f>
        <v>270.63853756136893</v>
      </c>
      <c r="J846">
        <f>_xlfn.XLOOKUP($F846,設計座標!$E$13:$E$2301,設計座標!$H$13:$H$2301,"n/a",0,1)</f>
        <v>-15000</v>
      </c>
      <c r="K846">
        <f>_xlfn.XLOOKUP($F846,設計座標!$E$13:$E$2301,設計座標!$I$13:$I$2301,"n/a",0,1)</f>
        <v>-6176.4800954600641</v>
      </c>
      <c r="L846">
        <f>_xlfn.XLOOKUP($F846,設計座標!$E$13:$E$2301,設計座標!$J$13:$J$2301,"n/a",0,1)</f>
        <v>-270</v>
      </c>
      <c r="M846" s="2">
        <f t="shared" si="649"/>
        <v>-14997.117194187014</v>
      </c>
      <c r="N846" s="2">
        <f t="shared" si="650"/>
        <v>-6176.4800954600641</v>
      </c>
      <c r="O846" s="23">
        <f t="shared" si="651"/>
        <v>-269.28311785554331</v>
      </c>
      <c r="P846" s="1">
        <f t="shared" si="629"/>
        <v>-270.42288399625261</v>
      </c>
      <c r="Q846" s="1">
        <f t="shared" si="669"/>
        <v>2.8828058129865624</v>
      </c>
      <c r="R846">
        <f t="shared" si="643"/>
        <v>0</v>
      </c>
      <c r="S846" s="23">
        <f t="shared" si="668"/>
        <v>0.71688214445668896</v>
      </c>
      <c r="T846">
        <f>$S846+測地線補正!$Q$26*(lattice!$N846/1000)^3+測地線補正!$P$26*(lattice!$N846/1000)^2+測地線補正!$O$26*(lattice!$N846/1000)+測地線補正!$N$26</f>
        <v>-0.42288399625262318</v>
      </c>
      <c r="U846">
        <v>0</v>
      </c>
      <c r="V846">
        <v>0</v>
      </c>
      <c r="W846">
        <v>0</v>
      </c>
      <c r="X846">
        <f>$Z$846-($Y$846+$Y$845)/2</f>
        <v>884.86700553693595</v>
      </c>
      <c r="Y846">
        <f>_xlfn.XLOOKUP($F846,設計座標!$E$13:$E$2301,設計座標!$L$13:$L$2301," ",0,1)</f>
        <v>0</v>
      </c>
      <c r="Z846">
        <f>SQRT(($M$846-$M$845)^2+($N$846-$N$845)^2)</f>
        <v>959.86700553693595</v>
      </c>
    </row>
    <row r="847" spans="1:28">
      <c r="A847" t="s">
        <v>797</v>
      </c>
      <c r="B847">
        <v>1</v>
      </c>
      <c r="C847" t="s">
        <v>1152</v>
      </c>
      <c r="D847" t="s">
        <v>1152</v>
      </c>
      <c r="E847" t="s">
        <v>804</v>
      </c>
      <c r="F847" t="s">
        <v>2035</v>
      </c>
      <c r="G847" t="s">
        <v>2035</v>
      </c>
      <c r="I847">
        <f>_xlfn.XLOOKUP($F847,設計座標!$E$13:$E$2301,設計座標!$G$13:$G$2301,"n/a",0,1)</f>
        <v>271.04653756136895</v>
      </c>
      <c r="J847">
        <f>_xlfn.XLOOKUP($F847,設計座標!$E$13:$E$2301,設計座標!$H$13:$H$2301,"n/a",0,1)</f>
        <v>-15000</v>
      </c>
      <c r="K847">
        <f>_xlfn.XLOOKUP($F847,設計座標!$E$13:$E$2301,設計座標!$I$13:$I$2301,"n/a",0,1)</f>
        <v>-6584.4800954600641</v>
      </c>
      <c r="L847">
        <f>_xlfn.XLOOKUP($F847,設計座標!$E$13:$E$2301,設計座標!$J$13:$J$2301,"n/a",0,1)</f>
        <v>-270</v>
      </c>
      <c r="M847" s="2">
        <f t="shared" si="649"/>
        <v>-14997.073370958329</v>
      </c>
      <c r="N847" s="2">
        <f t="shared" si="650"/>
        <v>-6584.4800954600641</v>
      </c>
      <c r="O847" s="23">
        <f t="shared" si="651"/>
        <v>-269.3032436824119</v>
      </c>
      <c r="P847" s="1">
        <f t="shared" si="629"/>
        <v>-270.42471529092916</v>
      </c>
      <c r="Q847" s="1">
        <f t="shared" si="669"/>
        <v>2.9266290416712759</v>
      </c>
      <c r="R847">
        <f t="shared" si="643"/>
        <v>0</v>
      </c>
      <c r="S847" s="23">
        <f t="shared" si="668"/>
        <v>0.69675631758808954</v>
      </c>
      <c r="T847">
        <f>$S847+測地線補正!$Q$26*(lattice!$N847/1000)^3+測地線補正!$P$26*(lattice!$N847/1000)^2+測地線補正!$O$26*(lattice!$N847/1000)+測地線補正!$N$26</f>
        <v>-0.42471529092918536</v>
      </c>
      <c r="U847">
        <v>0</v>
      </c>
      <c r="V847">
        <v>0</v>
      </c>
      <c r="W847">
        <v>0</v>
      </c>
      <c r="X847">
        <f>$Z$847-($Y$847+$Y$846)/2</f>
        <v>408.00000235352371</v>
      </c>
      <c r="Y847">
        <f>_xlfn.XLOOKUP($F847,設計座標!$E$13:$E$2301,設計座標!$L$13:$L$2301," ",0,1)</f>
        <v>0</v>
      </c>
      <c r="Z847">
        <f>SQRT(($M$847-$M$846)^2+($N$847-$N$846)^2)</f>
        <v>408.00000235352371</v>
      </c>
    </row>
    <row r="848" spans="1:28">
      <c r="A848" t="s">
        <v>797</v>
      </c>
      <c r="B848">
        <v>1</v>
      </c>
      <c r="C848" t="s">
        <v>1152</v>
      </c>
      <c r="D848" t="s">
        <v>1152</v>
      </c>
      <c r="E848" t="s">
        <v>804</v>
      </c>
      <c r="F848" t="s">
        <v>2036</v>
      </c>
      <c r="G848" t="s">
        <v>2036</v>
      </c>
      <c r="I848">
        <f>_xlfn.XLOOKUP($F848,設計座標!$E$13:$E$2301,設計座標!$G$13:$G$2301,"n/a",0,1)</f>
        <v>271.32403756136893</v>
      </c>
      <c r="J848">
        <f>_xlfn.XLOOKUP($F848,設計座標!$E$13:$E$2301,設計座標!$H$13:$H$2301,"n/a",0,1)</f>
        <v>-15000</v>
      </c>
      <c r="K848">
        <f>_xlfn.XLOOKUP($F848,設計座標!$E$13:$E$2301,設計座標!$I$13:$I$2301,"n/a",0,1)</f>
        <v>-6861.9800954600641</v>
      </c>
      <c r="L848">
        <f>_xlfn.XLOOKUP($F848,設計座標!$E$13:$E$2301,設計座標!$J$13:$J$2301,"n/a",0,1)</f>
        <v>-270</v>
      </c>
      <c r="M848" s="2">
        <f t="shared" si="649"/>
        <v>-14997.043564718231</v>
      </c>
      <c r="N848" s="2">
        <f t="shared" si="650"/>
        <v>-6861.9800954600641</v>
      </c>
      <c r="O848" s="23">
        <f t="shared" si="651"/>
        <v>-269.31693220436296</v>
      </c>
      <c r="P848" s="1">
        <f t="shared" si="629"/>
        <v>-270.4259905211548</v>
      </c>
      <c r="Q848" s="1">
        <f t="shared" si="669"/>
        <v>2.9564352817693349</v>
      </c>
      <c r="R848">
        <f t="shared" si="643"/>
        <v>0</v>
      </c>
      <c r="S848" s="23">
        <f t="shared" si="668"/>
        <v>0.68306779563702014</v>
      </c>
      <c r="T848">
        <f>$S848+測地線補正!$Q$26*(lattice!$N848/1000)^3+測地線補正!$P$26*(lattice!$N848/1000)^2+測地線補正!$O$26*(lattice!$N848/1000)+測地線補正!$N$26</f>
        <v>-0.42599052115482128</v>
      </c>
      <c r="U848">
        <v>0</v>
      </c>
      <c r="V848">
        <v>0</v>
      </c>
      <c r="W848">
        <v>0</v>
      </c>
      <c r="X848">
        <f>$Z$848-($Y$848+$Y$847)/2</f>
        <v>277.50000160074222</v>
      </c>
      <c r="Y848">
        <f>_xlfn.XLOOKUP($F848,設計座標!$E$13:$E$2301,設計座標!$L$13:$L$2301," ",0,1)</f>
        <v>0</v>
      </c>
      <c r="Z848">
        <f>SQRT(($M$848-$M$847)^2+($N$848-$N$847)^2)</f>
        <v>277.50000160074222</v>
      </c>
    </row>
    <row r="849" spans="1:30">
      <c r="A849" t="s">
        <v>797</v>
      </c>
      <c r="B849">
        <v>1</v>
      </c>
      <c r="C849" t="s">
        <v>3832</v>
      </c>
      <c r="D849" t="s">
        <v>1152</v>
      </c>
      <c r="E849" t="s">
        <v>804</v>
      </c>
      <c r="F849" t="s">
        <v>3866</v>
      </c>
      <c r="G849" t="s">
        <v>3866</v>
      </c>
      <c r="I849">
        <f>_xlfn.XLOOKUP($F849,設計座標!$E$13:$E$2301,設計座標!$G$13:$G$2301,"n/a",0,1)</f>
        <v>272.31478756136892</v>
      </c>
      <c r="J849">
        <f>_xlfn.XLOOKUP($F849,設計座標!$E$13:$E$2301,設計座標!$H$13:$H$2301,"n/a",0,1)</f>
        <v>-15000</v>
      </c>
      <c r="K849">
        <f>_xlfn.XLOOKUP($F849,設計座標!$E$13:$E$2301,設計座標!$I$13:$I$2301,"n/a",0,1)</f>
        <v>-7852.7300954600641</v>
      </c>
      <c r="L849">
        <f>_xlfn.XLOOKUP($F849,設計座標!$E$13:$E$2301,設計座標!$J$13:$J$2301,"n/a",0,1)</f>
        <v>-270</v>
      </c>
      <c r="M849" s="2">
        <f t="shared" si="649"/>
        <v>-14996.937148385339</v>
      </c>
      <c r="N849" s="2">
        <f t="shared" si="650"/>
        <v>-7852.7300954600641</v>
      </c>
      <c r="O849" s="23">
        <f t="shared" si="651"/>
        <v>-269.36580392732884</v>
      </c>
      <c r="P849" s="1">
        <f t="shared" si="629"/>
        <v>-270.43073920348684</v>
      </c>
      <c r="Q849" s="1">
        <f t="shared" si="669"/>
        <v>3.0628516146599725</v>
      </c>
      <c r="R849">
        <f t="shared" si="643"/>
        <v>0</v>
      </c>
      <c r="S849" s="23">
        <f t="shared" si="668"/>
        <v>0.63419607267117484</v>
      </c>
      <c r="T849">
        <f>$S849+測地線補正!$Q$26*(lattice!$N849/1000)^3+測地線補正!$P$26*(lattice!$N849/1000)^2+測地線補正!$O$26*(lattice!$N849/1000)+測地線補正!$N$26</f>
        <v>-0.43073920348681982</v>
      </c>
      <c r="U849">
        <v>0</v>
      </c>
      <c r="V849">
        <v>0</v>
      </c>
      <c r="W849">
        <v>0</v>
      </c>
      <c r="X849">
        <f>$Z$849-($Y$849+$Y$848)/2</f>
        <v>990.75000571508247</v>
      </c>
      <c r="Y849">
        <f>_xlfn.XLOOKUP($F849,設計座標!$E$13:$E$2301,設計座標!$L$13:$L$2301," ",0,1)</f>
        <v>0</v>
      </c>
      <c r="Z849">
        <f>SQRT(($M$849-$M$848)^2+($N$849-$N$848)^2)</f>
        <v>990.75000571508247</v>
      </c>
      <c r="AC849">
        <v>4</v>
      </c>
    </row>
    <row r="850" spans="1:30">
      <c r="A850" t="s">
        <v>797</v>
      </c>
      <c r="B850">
        <v>1</v>
      </c>
      <c r="C850" t="s">
        <v>804</v>
      </c>
      <c r="D850" t="s">
        <v>1152</v>
      </c>
      <c r="E850" t="s">
        <v>804</v>
      </c>
      <c r="F850" t="s">
        <v>1578</v>
      </c>
      <c r="G850" t="s">
        <v>2516</v>
      </c>
      <c r="I850">
        <f>_xlfn.XLOOKUP($F850,設計座標!$E$13:$E$2301,設計座標!$G$13:$G$2301,"n/a",0,1)</f>
        <v>272.70930796136895</v>
      </c>
      <c r="J850">
        <f>_xlfn.XLOOKUP($F850,設計座標!$E$13:$E$2301,設計座標!$H$13:$H$2301,"n/a",0,1)</f>
        <v>-15000</v>
      </c>
      <c r="K850">
        <f>_xlfn.XLOOKUP($F850,設計座標!$E$13:$E$2301,設計座標!$I$13:$I$2301,"n/a",0,1)</f>
        <v>-8247.2504954600645</v>
      </c>
      <c r="L850">
        <f>_xlfn.XLOOKUP($F850,設計座標!$E$13:$E$2301,設計座標!$J$13:$J$2301,"n/a",0,1)</f>
        <v>-270</v>
      </c>
      <c r="M850" s="2">
        <f t="shared" si="649"/>
        <v>-14996.894772998796</v>
      </c>
      <c r="N850" s="2">
        <f t="shared" si="650"/>
        <v>-8247.2504954600645</v>
      </c>
      <c r="O850" s="23">
        <f t="shared" si="651"/>
        <v>-269.38526483239383</v>
      </c>
      <c r="P850" s="1">
        <f t="shared" si="629"/>
        <v>-270.43271517095309</v>
      </c>
      <c r="Q850" s="1">
        <f t="shared" si="669"/>
        <v>3.1052270012040526</v>
      </c>
      <c r="R850">
        <f t="shared" si="643"/>
        <v>0</v>
      </c>
      <c r="S850" s="23">
        <f t="shared" si="668"/>
        <v>0.61473516760614888</v>
      </c>
      <c r="T850">
        <f>$S850+測地線補正!$Q$26*(lattice!$N850/1000)^3+測地線補正!$P$26*(lattice!$N850/1000)^2+測地線補正!$O$26*(lattice!$N850/1000)+測地線補正!$N$26</f>
        <v>-0.43271517095308409</v>
      </c>
      <c r="U850">
        <f>-ATAN(($P$856-$P$850)/ABS($N$856-$N$850))</f>
        <v>5.3628432025966106E-6</v>
      </c>
      <c r="V850">
        <v>0</v>
      </c>
      <c r="W850">
        <f>ATAN(($M$856-$M$850)/ABS($N$856-$N$850))</f>
        <v>1.0740987381408797E-4</v>
      </c>
      <c r="X850">
        <f>SQRT(($M$850-$M$849)^2+($N$850-$N$849)^2)</f>
        <v>394.52040227576782</v>
      </c>
      <c r="Y850">
        <f>_xlfn.XLOOKUP($F850,設計座標!$E$13:$E$2301,設計座標!$L$13:$L$2301," ",0,1)</f>
        <v>1889.4492</v>
      </c>
      <c r="Z850">
        <f>SQRT(($M$853-$M$852)^2+($N$853-$N$852)^2)</f>
        <v>245.13500141404691</v>
      </c>
    </row>
    <row r="851" spans="1:30">
      <c r="A851" t="s">
        <v>797</v>
      </c>
      <c r="B851">
        <v>1</v>
      </c>
      <c r="C851" t="s">
        <v>3855</v>
      </c>
      <c r="D851" t="s">
        <v>1152</v>
      </c>
      <c r="E851" t="s">
        <v>804</v>
      </c>
      <c r="F851" t="s">
        <v>2037</v>
      </c>
      <c r="G851" t="s">
        <v>2518</v>
      </c>
      <c r="I851">
        <f>_xlfn.XLOOKUP($F851,設計座標!$E$13:$E$2301,設計座標!$G$13:$G$2301,"n/a",0,1)</f>
        <v>272.90433756136895</v>
      </c>
      <c r="J851">
        <f>_xlfn.XLOOKUP($F851,設計座標!$E$13:$E$2301,設計座標!$H$13:$H$2301,"n/a",0,1)</f>
        <v>-15000</v>
      </c>
      <c r="K851">
        <f>_xlfn.XLOOKUP($F851,設計座標!$E$13:$E$2301,設計座標!$I$13:$I$2301,"n/a",0,1)</f>
        <v>-8442.2800954600643</v>
      </c>
      <c r="L851">
        <f>_xlfn.XLOOKUP($F851,設計座標!$E$13:$E$2301,設計座標!$J$13:$J$2301,"n/a",0,1)</f>
        <v>-270</v>
      </c>
      <c r="M851" s="2">
        <f t="shared" si="649"/>
        <v>-14996.87382489399</v>
      </c>
      <c r="N851" s="2">
        <f t="shared" si="650"/>
        <v>-8442.2800954600643</v>
      </c>
      <c r="O851" s="23">
        <f t="shared" si="651"/>
        <v>-269.39488525387389</v>
      </c>
      <c r="P851" s="1">
        <f t="shared" si="629"/>
        <v>-270.4337098459165</v>
      </c>
      <c r="Q851" s="1">
        <f t="shared" si="669"/>
        <v>3.1261751060106415</v>
      </c>
      <c r="R851">
        <f t="shared" si="643"/>
        <v>0</v>
      </c>
      <c r="S851" s="23">
        <f t="shared" si="668"/>
        <v>0.60511474612611893</v>
      </c>
      <c r="T851">
        <f>$S851+測地線補正!$Q$26*(lattice!$N851/1000)^3+測地線補正!$P$26*(lattice!$N851/1000)^2+測地線補正!$O$26*(lattice!$N851/1000)+測地線補正!$N$26</f>
        <v>-0.43370984591652018</v>
      </c>
      <c r="U851">
        <v>0</v>
      </c>
      <c r="V851">
        <v>0</v>
      </c>
      <c r="W851">
        <v>0</v>
      </c>
      <c r="X851" t="s">
        <v>3860</v>
      </c>
      <c r="Y851">
        <f>_xlfn.XLOOKUP($F851,設計座標!$E$13:$E$2301,設計座標!$L$13:$L$2301," ",0,1)</f>
        <v>427</v>
      </c>
      <c r="Z851">
        <f>SQRT(($M$851-$M$848)^2+($N$851-$N$848)^2)</f>
        <v>1580.3000091158667</v>
      </c>
      <c r="AA851">
        <f>_xlfn.XLOOKUP($G851,magnet_list!$A$2:$A$592,magnet_list!$AJ$2:$AJ$592,"n/a",0,1)</f>
        <v>0.50902654867256636</v>
      </c>
      <c r="AB851">
        <f>_xlfn.XLOOKUP($G851,magnet_list!$A$2:$A$592,magnet_list!$L$2:$L$592,"n/a",0,1)</f>
        <v>260</v>
      </c>
    </row>
    <row r="852" spans="1:30">
      <c r="A852" t="s">
        <v>797</v>
      </c>
      <c r="B852">
        <v>1</v>
      </c>
      <c r="C852" t="s">
        <v>3855</v>
      </c>
      <c r="D852" t="s">
        <v>1152</v>
      </c>
      <c r="E852" t="s">
        <v>804</v>
      </c>
      <c r="F852" t="s">
        <v>2038</v>
      </c>
      <c r="G852" t="s">
        <v>2519</v>
      </c>
      <c r="I852">
        <f>_xlfn.XLOOKUP($F852,設計座標!$E$13:$E$2301,設計座標!$G$13:$G$2301,"n/a",0,1)</f>
        <v>273.40889756136897</v>
      </c>
      <c r="J852">
        <f>_xlfn.XLOOKUP($F852,設計座標!$E$13:$E$2301,設計座標!$H$13:$H$2301,"n/a",0,1)</f>
        <v>-15000</v>
      </c>
      <c r="K852">
        <f>_xlfn.XLOOKUP($F852,設計座標!$E$13:$E$2301,設計座標!$I$13:$I$2301,"n/a",0,1)</f>
        <v>-8946.8400954600638</v>
      </c>
      <c r="L852">
        <f>_xlfn.XLOOKUP($F852,設計座標!$E$13:$E$2301,設計座標!$J$13:$J$2301,"n/a",0,1)</f>
        <v>-270</v>
      </c>
      <c r="M852" s="2">
        <f t="shared" si="649"/>
        <v>-14996.819630167849</v>
      </c>
      <c r="N852" s="2">
        <f t="shared" si="650"/>
        <v>-8946.8400954600638</v>
      </c>
      <c r="O852" s="23">
        <f t="shared" si="651"/>
        <v>-269.41977419310138</v>
      </c>
      <c r="P852" s="1">
        <f t="shared" si="629"/>
        <v>-270.43633795139141</v>
      </c>
      <c r="Q852" s="1">
        <f t="shared" si="669"/>
        <v>3.1803698321507374</v>
      </c>
      <c r="R852">
        <f t="shared" si="643"/>
        <v>0</v>
      </c>
      <c r="S852" s="23">
        <f t="shared" si="668"/>
        <v>0.58022580689861769</v>
      </c>
      <c r="T852">
        <f>$S852+測地線補正!$Q$26*(lattice!$N852/1000)^3+測地線補正!$P$26*(lattice!$N852/1000)^2+測地線補正!$O$26*(lattice!$N852/1000)+測地線補正!$N$26</f>
        <v>-0.43633795139141607</v>
      </c>
      <c r="U852">
        <v>0</v>
      </c>
      <c r="V852">
        <v>0</v>
      </c>
      <c r="W852">
        <v>0</v>
      </c>
      <c r="X852" t="s">
        <v>3860</v>
      </c>
      <c r="Y852">
        <f>_xlfn.XLOOKUP($F852,設計座標!$E$13:$E$2301,設計座標!$L$13:$L$2301," ",0,1)</f>
        <v>427</v>
      </c>
      <c r="Z852">
        <f>SQRT(($M$852-$M$851)^2+($N$852-$N$851)^2)</f>
        <v>504.56000291052385</v>
      </c>
      <c r="AA852">
        <f>_xlfn.XLOOKUP($G852,magnet_list!$A$2:$A$592,magnet_list!$AJ$2:$AJ$592,"n/a",0,1)</f>
        <v>0.50902654867256636</v>
      </c>
      <c r="AB852">
        <f>_xlfn.XLOOKUP($G852,magnet_list!$A$2:$A$592,magnet_list!$L$2:$L$592,"n/a",0,1)</f>
        <v>260</v>
      </c>
    </row>
    <row r="853" spans="1:30">
      <c r="A853" t="s">
        <v>797</v>
      </c>
      <c r="B853">
        <v>1</v>
      </c>
      <c r="C853" t="s">
        <v>804</v>
      </c>
      <c r="D853" t="s">
        <v>1152</v>
      </c>
      <c r="E853" t="s">
        <v>804</v>
      </c>
      <c r="F853" t="s">
        <v>1188</v>
      </c>
      <c r="G853" t="s">
        <v>2516</v>
      </c>
      <c r="I853">
        <f>_xlfn.XLOOKUP($F853,設計座標!$E$13:$E$2301,設計座標!$G$13:$G$2301,"n/a",0,1)</f>
        <v>273.65403256136892</v>
      </c>
      <c r="J853">
        <f>_xlfn.XLOOKUP($F853,設計座標!$E$13:$E$2301,設計座標!$H$13:$H$2301,"n/a",0,1)</f>
        <v>-15000</v>
      </c>
      <c r="K853">
        <f>_xlfn.XLOOKUP($F853,設計座標!$E$13:$E$2301,設計座標!$I$13:$I$2301,"n/a",0,1)</f>
        <v>-9191.975095460064</v>
      </c>
      <c r="L853">
        <f>_xlfn.XLOOKUP($F853,設計座標!$E$13:$E$2301,設計座標!$J$13:$J$2301,"n/a",0,1)</f>
        <v>-270</v>
      </c>
      <c r="M853" s="2">
        <f t="shared" si="649"/>
        <v>-14996.793300248331</v>
      </c>
      <c r="N853" s="2">
        <f t="shared" si="650"/>
        <v>-9191.975095460064</v>
      </c>
      <c r="O853" s="23">
        <f t="shared" si="651"/>
        <v>-269.4318662141049</v>
      </c>
      <c r="P853" s="1">
        <f t="shared" ref="P853:P917" si="670">$L853+$T853</f>
        <v>-270.43764328860959</v>
      </c>
      <c r="Q853" s="1">
        <f t="shared" si="669"/>
        <v>3.206699751669432</v>
      </c>
      <c r="R853">
        <f t="shared" si="643"/>
        <v>0</v>
      </c>
      <c r="S853" s="23">
        <f t="shared" si="668"/>
        <v>0.56813378589510266</v>
      </c>
      <c r="T853">
        <f>$S853+測地線補正!$Q$26*(lattice!$N853/1000)^3+測地線補正!$P$26*(lattice!$N853/1000)^2+測地線補正!$O$26*(lattice!$N853/1000)+測地線補正!$N$26</f>
        <v>-0.43764328860961288</v>
      </c>
      <c r="U853">
        <f>-ATAN(($P$856-$P$850)/ABS($N$856-$N$850))</f>
        <v>5.3628432025966106E-6</v>
      </c>
      <c r="V853">
        <v>0</v>
      </c>
      <c r="W853">
        <f>ATAN(($M$856-$M$850)/ABS($N$856-$N$850))</f>
        <v>1.0740987381408797E-4</v>
      </c>
      <c r="X853" t="s">
        <v>3860</v>
      </c>
      <c r="Y853">
        <f>_xlfn.XLOOKUP($F853,設計座標!$E$13:$E$2301,設計座標!$L$13:$L$2301," ",0,1)</f>
        <v>1889.4492</v>
      </c>
      <c r="Z853">
        <f>SQRT(($M$853-$M$852)^2+($N$853-$N$852)^2)</f>
        <v>245.13500141404691</v>
      </c>
    </row>
    <row r="854" spans="1:30">
      <c r="A854" t="s">
        <v>797</v>
      </c>
      <c r="B854">
        <v>1</v>
      </c>
      <c r="C854" t="s">
        <v>3855</v>
      </c>
      <c r="D854" t="s">
        <v>1152</v>
      </c>
      <c r="E854" t="s">
        <v>804</v>
      </c>
      <c r="F854" t="s">
        <v>2039</v>
      </c>
      <c r="G854" t="s">
        <v>2520</v>
      </c>
      <c r="I854">
        <f>_xlfn.XLOOKUP($F854,設計座標!$E$13:$E$2301,設計座標!$G$13:$G$2301,"n/a",0,1)</f>
        <v>273.913457561369</v>
      </c>
      <c r="J854">
        <f>_xlfn.XLOOKUP($F854,設計座標!$E$13:$E$2301,設計座標!$H$13:$H$2301,"n/a",0,1)</f>
        <v>-15000</v>
      </c>
      <c r="K854">
        <f>_xlfn.XLOOKUP($F854,設計座標!$E$13:$E$2301,設計座標!$I$13:$I$2301,"n/a",0,1)</f>
        <v>-9451.4000954600633</v>
      </c>
      <c r="L854">
        <f>_xlfn.XLOOKUP($F854,設計座標!$E$13:$E$2301,設計座標!$J$13:$J$2301,"n/a",0,1)</f>
        <v>-270</v>
      </c>
      <c r="M854" s="2">
        <f t="shared" si="649"/>
        <v>-14996.76543544171</v>
      </c>
      <c r="N854" s="2">
        <f t="shared" si="650"/>
        <v>-9451.4000954600633</v>
      </c>
      <c r="O854" s="23">
        <f t="shared" si="651"/>
        <v>-269.44466313232886</v>
      </c>
      <c r="P854" s="1">
        <f t="shared" si="670"/>
        <v>-270.43904500149375</v>
      </c>
      <c r="Q854" s="1">
        <f t="shared" si="669"/>
        <v>3.2345645582908333</v>
      </c>
      <c r="R854">
        <f t="shared" si="643"/>
        <v>0</v>
      </c>
      <c r="S854" s="23">
        <f t="shared" si="668"/>
        <v>0.55533686767111645</v>
      </c>
      <c r="T854">
        <f>$S854+測地線補正!$Q$26*(lattice!$N854/1000)^3+測地線補正!$P$26*(lattice!$N854/1000)^2+測地線補正!$O$26*(lattice!$N854/1000)+測地線補正!$N$26</f>
        <v>-0.43904500149373715</v>
      </c>
      <c r="U854">
        <v>0</v>
      </c>
      <c r="V854">
        <v>0</v>
      </c>
      <c r="W854">
        <v>0</v>
      </c>
      <c r="X854" t="s">
        <v>3860</v>
      </c>
      <c r="Y854">
        <f>_xlfn.XLOOKUP($F854,設計座標!$E$13:$E$2301,設計座標!$L$13:$L$2301," ",0,1)</f>
        <v>427</v>
      </c>
      <c r="Z854">
        <f>SQRT(($M$854-$M$853)^2+($N$854-$N$853)^2)</f>
        <v>259.42500149647697</v>
      </c>
      <c r="AA854">
        <f>_xlfn.XLOOKUP($G854,magnet_list!$A$2:$A$592,magnet_list!$AJ$2:$AJ$592,"n/a",0,1)</f>
        <v>0.50902654867256636</v>
      </c>
      <c r="AB854">
        <f>_xlfn.XLOOKUP($G854,magnet_list!$A$2:$A$592,magnet_list!$L$2:$L$592,"n/a",0,1)</f>
        <v>260</v>
      </c>
    </row>
    <row r="855" spans="1:30">
      <c r="A855" t="s">
        <v>797</v>
      </c>
      <c r="B855">
        <v>1</v>
      </c>
      <c r="C855" t="s">
        <v>3855</v>
      </c>
      <c r="D855" t="s">
        <v>1152</v>
      </c>
      <c r="E855" t="s">
        <v>804</v>
      </c>
      <c r="F855" t="s">
        <v>2040</v>
      </c>
      <c r="G855" t="s">
        <v>2521</v>
      </c>
      <c r="I855">
        <f>_xlfn.XLOOKUP($F855,設計座標!$E$13:$E$2301,設計座標!$G$13:$G$2301,"n/a",0,1)</f>
        <v>274.41801756136903</v>
      </c>
      <c r="J855">
        <f>_xlfn.XLOOKUP($F855,設計座標!$E$13:$E$2301,設計座標!$H$13:$H$2301,"n/a",0,1)</f>
        <v>-15000</v>
      </c>
      <c r="K855">
        <f>_xlfn.XLOOKUP($F855,設計座標!$E$13:$E$2301,設計座標!$I$13:$I$2301,"n/a",0,1)</f>
        <v>-9955.9600954600628</v>
      </c>
      <c r="L855">
        <f>_xlfn.XLOOKUP($F855,設計座標!$E$13:$E$2301,設計座標!$J$13:$J$2301,"n/a",0,1)</f>
        <v>-270</v>
      </c>
      <c r="M855" s="2">
        <f t="shared" si="649"/>
        <v>-14996.711240715569</v>
      </c>
      <c r="N855" s="2">
        <f t="shared" si="650"/>
        <v>-9955.9600954600628</v>
      </c>
      <c r="O855" s="23">
        <f t="shared" si="651"/>
        <v>-269.46955207155639</v>
      </c>
      <c r="P855" s="1">
        <f t="shared" si="670"/>
        <v>-270.44183089165386</v>
      </c>
      <c r="Q855" s="1">
        <f t="shared" si="669"/>
        <v>3.2887592844309292</v>
      </c>
      <c r="R855">
        <f t="shared" si="643"/>
        <v>0</v>
      </c>
      <c r="S855" s="23">
        <f t="shared" si="668"/>
        <v>0.53044792844361521</v>
      </c>
      <c r="T855">
        <f>$S855+測地線補正!$Q$26*(lattice!$N855/1000)^3+測地線補正!$P$26*(lattice!$N855/1000)^2+測地線補正!$O$26*(lattice!$N855/1000)+測地線補正!$N$26</f>
        <v>-0.44183089165386047</v>
      </c>
      <c r="U855">
        <v>0</v>
      </c>
      <c r="V855">
        <v>0</v>
      </c>
      <c r="W855">
        <v>0</v>
      </c>
      <c r="X855" t="s">
        <v>3860</v>
      </c>
      <c r="Y855">
        <f>_xlfn.XLOOKUP($F855,設計座標!$E$13:$E$2301,設計座標!$L$13:$L$2301," ",0,1)</f>
        <v>427</v>
      </c>
      <c r="Z855">
        <f>SQRT(($M$855-$M$854)^2+($N$855-$N$854)^2)</f>
        <v>504.56000291052385</v>
      </c>
      <c r="AA855">
        <f>_xlfn.XLOOKUP($G855,magnet_list!$A$2:$A$592,magnet_list!$AJ$2:$AJ$592,"n/a",0,1)</f>
        <v>0.50902654867256636</v>
      </c>
      <c r="AB855">
        <f>_xlfn.XLOOKUP($G855,magnet_list!$A$2:$A$592,magnet_list!$L$2:$L$592,"n/a",0,1)</f>
        <v>260</v>
      </c>
    </row>
    <row r="856" spans="1:30">
      <c r="A856" t="s">
        <v>797</v>
      </c>
      <c r="B856">
        <v>1</v>
      </c>
      <c r="C856" t="s">
        <v>804</v>
      </c>
      <c r="D856" t="s">
        <v>1152</v>
      </c>
      <c r="E856" t="s">
        <v>804</v>
      </c>
      <c r="F856" t="s">
        <v>1579</v>
      </c>
      <c r="G856" t="s">
        <v>2516</v>
      </c>
      <c r="I856">
        <f>_xlfn.XLOOKUP($F856,設計座標!$E$13:$E$2301,設計座標!$G$13:$G$2301,"n/a",0,1)</f>
        <v>274.59875716136889</v>
      </c>
      <c r="J856">
        <f>_xlfn.XLOOKUP($F856,設計座標!$E$13:$E$2301,設計座標!$H$13:$H$2301,"n/a",0,1)</f>
        <v>-15000</v>
      </c>
      <c r="K856">
        <f>_xlfn.XLOOKUP($F856,設計座標!$E$13:$E$2301,設計座標!$I$13:$I$2301,"n/a",0,1)</f>
        <v>-10136.699695460064</v>
      </c>
      <c r="L856">
        <f>_xlfn.XLOOKUP($F856,設計座標!$E$13:$E$2301,設計座標!$J$13:$J$2301,"n/a",0,1)</f>
        <v>-270</v>
      </c>
      <c r="M856" s="2">
        <f t="shared" si="649"/>
        <v>-14996.691827497865</v>
      </c>
      <c r="N856" s="2">
        <f t="shared" si="650"/>
        <v>-10136.699695460064</v>
      </c>
      <c r="O856" s="23">
        <f t="shared" si="651"/>
        <v>-269.47846759581597</v>
      </c>
      <c r="P856" s="1">
        <f t="shared" si="670"/>
        <v>-270.44284799075206</v>
      </c>
      <c r="Q856" s="1">
        <f t="shared" si="669"/>
        <v>3.308172502134811</v>
      </c>
      <c r="R856">
        <f t="shared" si="643"/>
        <v>0</v>
      </c>
      <c r="S856" s="23">
        <f t="shared" si="668"/>
        <v>0.52153240418405655</v>
      </c>
      <c r="T856">
        <f>$S856+測地線補正!$Q$26*(lattice!$N856/1000)^3+測地線補正!$P$26*(lattice!$N856/1000)^2+測地線補正!$O$26*(lattice!$N856/1000)+測地線補正!$N$26</f>
        <v>-0.44284799075206882</v>
      </c>
      <c r="U856">
        <f>-ATAN(($P$856-$P$850)/ABS($N$856-$N$850))</f>
        <v>5.3628432025966106E-6</v>
      </c>
      <c r="V856">
        <v>0</v>
      </c>
      <c r="W856">
        <f>ATAN(($M$856-$M$850)/ABS($N$856-$N$850))</f>
        <v>1.0740987381408797E-4</v>
      </c>
      <c r="X856" t="s">
        <v>3860</v>
      </c>
      <c r="Y856">
        <f>_xlfn.XLOOKUP($F856,設計座標!$E$13:$E$2301,設計座標!$L$13:$L$2301," ",0,1)</f>
        <v>1889.4492</v>
      </c>
      <c r="Z856">
        <f>SQRT(($M$853-$M$852)^2+($N$853-$N$852)^2)</f>
        <v>245.13500141404691</v>
      </c>
    </row>
    <row r="857" spans="1:30">
      <c r="A857" t="s">
        <v>797</v>
      </c>
      <c r="B857">
        <v>1</v>
      </c>
      <c r="C857" t="s">
        <v>1152</v>
      </c>
      <c r="D857" t="s">
        <v>1152</v>
      </c>
      <c r="E857" t="s">
        <v>804</v>
      </c>
      <c r="F857" t="s">
        <v>2041</v>
      </c>
      <c r="G857" t="s">
        <v>2041</v>
      </c>
      <c r="I857">
        <f>_xlfn.XLOOKUP($F857,設計座標!$E$13:$E$2301,設計座標!$G$13:$G$2301,"n/a",0,1)</f>
        <v>274.82918306136901</v>
      </c>
      <c r="J857">
        <f>_xlfn.XLOOKUP($F857,設計座標!$E$13:$E$2301,設計座標!$H$13:$H$2301,"n/a",0,1)</f>
        <v>-15000</v>
      </c>
      <c r="K857">
        <f>_xlfn.XLOOKUP($F857,設計座標!$E$13:$E$2301,設計座標!$I$13:$I$2301,"n/a",0,1)</f>
        <v>-10367.125595460062</v>
      </c>
      <c r="L857">
        <f>_xlfn.XLOOKUP($F857,設計座標!$E$13:$E$2301,設計座標!$J$13:$J$2301,"n/a",0,1)</f>
        <v>-270</v>
      </c>
      <c r="M857" s="2">
        <f t="shared" si="649"/>
        <v>-14996.667077480928</v>
      </c>
      <c r="N857" s="2">
        <f t="shared" si="650"/>
        <v>-10367.125595460062</v>
      </c>
      <c r="O857" s="23">
        <f t="shared" si="651"/>
        <v>-269.48983404623124</v>
      </c>
      <c r="P857" s="1">
        <f t="shared" si="670"/>
        <v>-270.44415933917179</v>
      </c>
      <c r="Q857" s="1">
        <f t="shared" si="669"/>
        <v>3.3329225190725094</v>
      </c>
      <c r="R857">
        <f t="shared" si="643"/>
        <v>0</v>
      </c>
      <c r="S857" s="23">
        <f t="shared" si="668"/>
        <v>0.51016595376875951</v>
      </c>
      <c r="T857">
        <f>$S857+測地線補正!$Q$26*(lattice!$N857/1000)^3+測地線補正!$P$26*(lattice!$N857/1000)^2+測地線補正!$O$26*(lattice!$N857/1000)+測地線補正!$N$26</f>
        <v>-0.44415933917176464</v>
      </c>
      <c r="U857">
        <v>0</v>
      </c>
      <c r="V857">
        <v>0</v>
      </c>
      <c r="W857">
        <v>0</v>
      </c>
      <c r="X857" t="s">
        <v>3860</v>
      </c>
      <c r="Y857">
        <f>_xlfn.XLOOKUP($F857,設計座標!$E$13:$E$2301,設計座標!$L$13:$L$2301," ",0,1)</f>
        <v>0</v>
      </c>
      <c r="Z857">
        <f>SQRT(($M$857-$M$855)^2+($N$857-$N$855)^2)</f>
        <v>411.16550237178291</v>
      </c>
    </row>
    <row r="858" spans="1:30">
      <c r="A858" t="s">
        <v>797</v>
      </c>
      <c r="B858">
        <v>1</v>
      </c>
      <c r="C858" t="s">
        <v>3855</v>
      </c>
      <c r="D858" t="s">
        <v>1152</v>
      </c>
      <c r="E858" t="s">
        <v>804</v>
      </c>
      <c r="F858" t="s">
        <v>2042</v>
      </c>
      <c r="G858" t="s">
        <v>2522</v>
      </c>
      <c r="I858">
        <f>_xlfn.XLOOKUP($F858,設計座標!$E$13:$E$2301,設計座標!$G$13:$G$2301,"n/a",0,1)</f>
        <v>274.97518256136902</v>
      </c>
      <c r="J858">
        <f>_xlfn.XLOOKUP($F858,設計座標!$E$13:$E$2301,設計座標!$H$13:$H$2301,"n/a",0,1)</f>
        <v>-15000</v>
      </c>
      <c r="K858">
        <f>_xlfn.XLOOKUP($F858,設計座標!$E$13:$E$2301,設計座標!$I$13:$I$2301,"n/a",0,1)</f>
        <v>-10513.125095460062</v>
      </c>
      <c r="L858">
        <f>_xlfn.XLOOKUP($F858,設計座標!$E$13:$E$2301,設計座標!$J$13:$J$2301,"n/a",0,1)</f>
        <v>-270</v>
      </c>
      <c r="M858" s="2">
        <f t="shared" si="649"/>
        <v>-14996.651395692996</v>
      </c>
      <c r="N858" s="2">
        <f t="shared" si="650"/>
        <v>-10513.125095460062</v>
      </c>
      <c r="O858" s="23">
        <f t="shared" si="651"/>
        <v>-269.49703591059375</v>
      </c>
      <c r="P858" s="1">
        <f t="shared" si="670"/>
        <v>-270.4449987089078</v>
      </c>
      <c r="Q858" s="1">
        <f t="shared" si="669"/>
        <v>3.3486043070047491</v>
      </c>
      <c r="R858">
        <f t="shared" si="643"/>
        <v>0</v>
      </c>
      <c r="S858" s="23">
        <f t="shared" si="668"/>
        <v>0.50296408940625437</v>
      </c>
      <c r="T858">
        <f>$S858+測地線補正!$Q$26*(lattice!$N858/1000)^3+測地線補正!$P$26*(lattice!$N858/1000)^2+測地線補正!$O$26*(lattice!$N858/1000)+測地線補正!$N$26</f>
        <v>-0.44499870890778115</v>
      </c>
      <c r="U858">
        <v>0</v>
      </c>
      <c r="V858">
        <v>0</v>
      </c>
      <c r="W858">
        <v>0</v>
      </c>
      <c r="X858">
        <f>SQRT(($M$858-$M$855)^2+($N$858-$N$855)^2)-($Y$858+$Y$855)/2</f>
        <v>130.16500321397223</v>
      </c>
      <c r="Y858">
        <f>_xlfn.XLOOKUP($F858,設計座標!$E$13:$E$2301,設計座標!$L$13:$L$2301," ",0,1)</f>
        <v>427</v>
      </c>
      <c r="Z858">
        <f>SQRT(($M$858-$M$857)^2+($N$858-$N$857)^2)</f>
        <v>145.99950084218932</v>
      </c>
      <c r="AA858">
        <f>_xlfn.XLOOKUP($G858,magnet_list!$A$2:$A$592,magnet_list!$AJ$2:$AJ$592,"n/a",0,1)</f>
        <v>0.50902654867256636</v>
      </c>
      <c r="AB858">
        <f>_xlfn.XLOOKUP($G858,magnet_list!$A$2:$A$592,magnet_list!$L$2:$L$592,"n/a",0,1)</f>
        <v>260</v>
      </c>
      <c r="AD858" t="s">
        <v>3867</v>
      </c>
    </row>
    <row r="859" spans="1:30">
      <c r="A859" t="s">
        <v>797</v>
      </c>
      <c r="B859">
        <v>1</v>
      </c>
      <c r="C859" t="s">
        <v>3857</v>
      </c>
      <c r="D859" t="s">
        <v>1152</v>
      </c>
      <c r="E859" t="s">
        <v>804</v>
      </c>
      <c r="F859" t="s">
        <v>2284</v>
      </c>
      <c r="G859" t="s">
        <v>2284</v>
      </c>
      <c r="I859">
        <f>_xlfn.XLOOKUP($F859,設計座標!$E$13:$E$2301,設計座標!$G$13:$G$2301,"n/a",0,1)</f>
        <v>274.99538256136901</v>
      </c>
      <c r="J859">
        <f>_xlfn.XLOOKUP($F859,設計座標!$E$13:$E$2301,設計座標!$H$13:$H$2301,"n/a",0,1)</f>
        <v>-15000</v>
      </c>
      <c r="K859">
        <f>_xlfn.XLOOKUP($F859,設計座標!$E$13:$E$2301,設計座標!$I$13:$I$2301,"n/a",0,1)</f>
        <v>-10533.325095460063</v>
      </c>
      <c r="L859">
        <f>_xlfn.XLOOKUP($F859,設計座標!$E$13:$E$2301,設計座標!$J$13:$J$2301,"n/a",0,1)</f>
        <v>-270</v>
      </c>
      <c r="M859" s="2">
        <f t="shared" si="649"/>
        <v>-14996.649226013536</v>
      </c>
      <c r="N859" s="2">
        <f t="shared" si="650"/>
        <v>-10533.325095460063</v>
      </c>
      <c r="O859" s="23">
        <f t="shared" si="651"/>
        <v>-269.49803233633577</v>
      </c>
      <c r="P859" s="1">
        <f t="shared" si="670"/>
        <v>-270.44511535973231</v>
      </c>
      <c r="Q859" s="1">
        <f t="shared" si="669"/>
        <v>3.3507739864641395</v>
      </c>
      <c r="R859">
        <f t="shared" si="643"/>
        <v>0</v>
      </c>
      <c r="S859" s="23">
        <f t="shared" si="668"/>
        <v>0.50196766366423062</v>
      </c>
      <c r="T859">
        <f>$S859+測地線補正!$Q$26*(lattice!$N859/1000)^3+測地線補正!$P$26*(lattice!$N859/1000)^2+測地線補正!$O$26*(lattice!$N859/1000)+測地線補正!$N$26</f>
        <v>-0.44511535973231742</v>
      </c>
      <c r="U859">
        <v>0</v>
      </c>
      <c r="V859">
        <v>0</v>
      </c>
      <c r="W859">
        <v>0</v>
      </c>
      <c r="X859" t="s">
        <v>3860</v>
      </c>
      <c r="Y859">
        <f>_xlfn.XLOOKUP($F859,設計座標!$E$13:$E$2301,設計座標!$L$13:$L$2301," ",0,1)</f>
        <v>305</v>
      </c>
      <c r="Z859">
        <f>SQRT(($M$859-$M$858)^2+($N$859-$N$858)^2)</f>
        <v>20.200000116523228</v>
      </c>
      <c r="AA859">
        <f>_xlfn.XLOOKUP($G859,magnet_list!$A$2:$A$592,magnet_list!$AJ$2:$AJ$592,"n/a",0,1)</f>
        <v>0.22205</v>
      </c>
      <c r="AB859">
        <f>_xlfn.XLOOKUP($G859,magnet_list!$A$2:$A$592,magnet_list!$L$2:$L$592,"n/a",0,1)</f>
        <v>70</v>
      </c>
    </row>
    <row r="860" spans="1:30">
      <c r="A860" t="s">
        <v>797</v>
      </c>
      <c r="B860">
        <v>1</v>
      </c>
      <c r="C860" t="s">
        <v>804</v>
      </c>
      <c r="D860" t="s">
        <v>1152</v>
      </c>
      <c r="E860" t="s">
        <v>804</v>
      </c>
      <c r="F860" t="s">
        <v>1580</v>
      </c>
      <c r="G860" t="s">
        <v>2517</v>
      </c>
      <c r="I860">
        <f>_xlfn.XLOOKUP($F860,設計座標!$E$13:$E$2301,設計座標!$G$13:$G$2301,"n/a",0,1)</f>
        <v>275.33731796136897</v>
      </c>
      <c r="J860">
        <f>_xlfn.XLOOKUP($F860,設計座標!$E$13:$E$2301,設計座標!$H$13:$H$2301,"n/a",0,1)</f>
        <v>-15000</v>
      </c>
      <c r="K860">
        <f>_xlfn.XLOOKUP($F860,設計座標!$E$13:$E$2301,設計座標!$I$13:$I$2301,"n/a",0,1)</f>
        <v>-10875.260495460065</v>
      </c>
      <c r="L860">
        <f>_xlfn.XLOOKUP($F860,設計座標!$E$13:$E$2301,設計座標!$J$13:$J$2301,"n/a",0,1)</f>
        <v>-270</v>
      </c>
      <c r="M860" s="2">
        <f t="shared" si="649"/>
        <v>-14996.612498775228</v>
      </c>
      <c r="N860" s="2">
        <f t="shared" si="650"/>
        <v>-10875.260495460065</v>
      </c>
      <c r="O860" s="23">
        <f t="shared" si="651"/>
        <v>-269.5148993281511</v>
      </c>
      <c r="P860" s="1">
        <f t="shared" si="670"/>
        <v>-270.44710907976855</v>
      </c>
      <c r="Q860" s="1">
        <f t="shared" si="669"/>
        <v>3.3875012247719805</v>
      </c>
      <c r="R860">
        <f t="shared" si="643"/>
        <v>0</v>
      </c>
      <c r="S860" s="23">
        <f t="shared" si="668"/>
        <v>0.48510067184892341</v>
      </c>
      <c r="T860">
        <f>$S860+測地線補正!$Q$26*(lattice!$N860/1000)^3+測地線補正!$P$26*(lattice!$N860/1000)^2+測地線補正!$O$26*(lattice!$N860/1000)+測地線補正!$N$26</f>
        <v>-0.4471090797685664</v>
      </c>
      <c r="U860">
        <f>-ATAN(($P$866-$P$860)/ABS($N$866-$N$860))</f>
        <v>6.1744444135148383E-6</v>
      </c>
      <c r="V860">
        <v>0</v>
      </c>
      <c r="W860">
        <f>ATAN(($M$866-$M$860)/ABS($N$866-$N$860))</f>
        <v>1.0740987381408797E-4</v>
      </c>
      <c r="X860" t="s">
        <v>3860</v>
      </c>
      <c r="Y860">
        <f>_xlfn.XLOOKUP($F860,設計座標!$E$13:$E$2301,設計座標!$L$13:$L$2301," ",0,1)</f>
        <v>1889.4492</v>
      </c>
      <c r="Z860">
        <f>SQRT(($M$863-$M$862)^2+($N$863-$N$862)^2)</f>
        <v>245.1350014140487</v>
      </c>
    </row>
    <row r="861" spans="1:30">
      <c r="A861" t="s">
        <v>797</v>
      </c>
      <c r="B861">
        <v>1</v>
      </c>
      <c r="C861" t="s">
        <v>3855</v>
      </c>
      <c r="D861" t="s">
        <v>1152</v>
      </c>
      <c r="E861" t="s">
        <v>804</v>
      </c>
      <c r="F861" t="s">
        <v>2043</v>
      </c>
      <c r="G861" t="s">
        <v>2523</v>
      </c>
      <c r="I861">
        <f>_xlfn.XLOOKUP($F861,設計座標!$E$13:$E$2301,設計座標!$G$13:$G$2301,"n/a",0,1)</f>
        <v>275.53234756136902</v>
      </c>
      <c r="J861">
        <f>_xlfn.XLOOKUP($F861,設計座標!$E$13:$E$2301,設計座標!$H$13:$H$2301,"n/a",0,1)</f>
        <v>-15000</v>
      </c>
      <c r="K861">
        <f>_xlfn.XLOOKUP($F861,設計座標!$E$13:$E$2301,設計座標!$I$13:$I$2301,"n/a",0,1)</f>
        <v>-11070.290095460063</v>
      </c>
      <c r="L861">
        <f>_xlfn.XLOOKUP($F861,設計座標!$E$13:$E$2301,設計座標!$J$13:$J$2301,"n/a",0,1)</f>
        <v>-270</v>
      </c>
      <c r="M861" s="2">
        <f t="shared" si="649"/>
        <v>-14996.591550670422</v>
      </c>
      <c r="N861" s="2">
        <f t="shared" si="650"/>
        <v>-11070.290095460063</v>
      </c>
      <c r="O861" s="23">
        <f t="shared" si="651"/>
        <v>-269.52451974963111</v>
      </c>
      <c r="P861" s="1">
        <f t="shared" si="670"/>
        <v>-270.44826239448844</v>
      </c>
      <c r="Q861" s="1">
        <f t="shared" si="669"/>
        <v>3.4084493295785689</v>
      </c>
      <c r="R861">
        <f t="shared" si="643"/>
        <v>0</v>
      </c>
      <c r="S861" s="23">
        <f t="shared" si="668"/>
        <v>0.47548025036889363</v>
      </c>
      <c r="T861">
        <f>$S861+測地線補正!$Q$26*(lattice!$N861/1000)^3+測地線補正!$P$26*(lattice!$N861/1000)^2+測地線補正!$O$26*(lattice!$N861/1000)+測地線補正!$N$26</f>
        <v>-0.44826239448841987</v>
      </c>
      <c r="U861">
        <v>0</v>
      </c>
      <c r="V861">
        <v>0</v>
      </c>
      <c r="W861">
        <v>0</v>
      </c>
      <c r="X861">
        <f>SQRT(($M$861-$M$858)^2+($N$861-$N$858)^2)-($Y$861+$Y$858)/2</f>
        <v>130.16500321397405</v>
      </c>
      <c r="Y861">
        <f>_xlfn.XLOOKUP($F861,設計座標!$E$13:$E$2301,設計座標!$L$13:$L$2301," ",0,1)</f>
        <v>427</v>
      </c>
      <c r="Z861">
        <f>SQRT(($M$861-$M$859)^2+($N$861-$N$859)^2)</f>
        <v>536.96500309745079</v>
      </c>
      <c r="AA861">
        <f>_xlfn.XLOOKUP($G861,magnet_list!$A$2:$A$592,magnet_list!$AJ$2:$AJ$592,"n/a",0,1)</f>
        <v>0.50902654867256636</v>
      </c>
      <c r="AB861">
        <f>_xlfn.XLOOKUP($G861,magnet_list!$A$2:$A$592,magnet_list!$L$2:$L$592,"n/a",0,1)</f>
        <v>260</v>
      </c>
      <c r="AD861" t="s">
        <v>3868</v>
      </c>
    </row>
    <row r="862" spans="1:30">
      <c r="A862" t="s">
        <v>797</v>
      </c>
      <c r="B862">
        <v>1</v>
      </c>
      <c r="C862" t="s">
        <v>3855</v>
      </c>
      <c r="D862" t="s">
        <v>1152</v>
      </c>
      <c r="E862" t="s">
        <v>804</v>
      </c>
      <c r="F862" t="s">
        <v>2044</v>
      </c>
      <c r="G862" t="s">
        <v>2524</v>
      </c>
      <c r="I862">
        <f>_xlfn.XLOOKUP($F862,設計座標!$E$13:$E$2301,設計座標!$G$13:$G$2301,"n/a",0,1)</f>
        <v>276.03690756136905</v>
      </c>
      <c r="J862">
        <f>_xlfn.XLOOKUP($F862,設計座標!$E$13:$E$2301,設計座標!$H$13:$H$2301,"n/a",0,1)</f>
        <v>-15000</v>
      </c>
      <c r="K862">
        <f>_xlfn.XLOOKUP($F862,設計座標!$E$13:$E$2301,設計座標!$I$13:$I$2301,"n/a",0,1)</f>
        <v>-11574.850095460062</v>
      </c>
      <c r="L862">
        <f>_xlfn.XLOOKUP($F862,設計座標!$E$13:$E$2301,設計座標!$J$13:$J$2301,"n/a",0,1)</f>
        <v>-270</v>
      </c>
      <c r="M862" s="2">
        <f t="shared" si="649"/>
        <v>-14996.537355944281</v>
      </c>
      <c r="N862" s="2">
        <f t="shared" si="650"/>
        <v>-11574.850095460062</v>
      </c>
      <c r="O862" s="23">
        <f t="shared" si="651"/>
        <v>-269.54940868885859</v>
      </c>
      <c r="P862" s="1">
        <f t="shared" si="670"/>
        <v>-270.45130053841035</v>
      </c>
      <c r="Q862" s="1">
        <f t="shared" si="669"/>
        <v>3.4626440557186648</v>
      </c>
      <c r="R862">
        <f t="shared" si="643"/>
        <v>0</v>
      </c>
      <c r="S862" s="23">
        <f t="shared" si="668"/>
        <v>0.45059131114139234</v>
      </c>
      <c r="T862">
        <f>$S862+測地線補正!$Q$26*(lattice!$N862/1000)^3+測地線補正!$P$26*(lattice!$N862/1000)^2+測地線補正!$O$26*(lattice!$N862/1000)+測地線補正!$N$26</f>
        <v>-0.4513005384103439</v>
      </c>
      <c r="U862">
        <v>0</v>
      </c>
      <c r="V862">
        <v>0</v>
      </c>
      <c r="W862">
        <v>0</v>
      </c>
      <c r="X862" t="s">
        <v>3860</v>
      </c>
      <c r="Y862">
        <f>_xlfn.XLOOKUP($F862,設計座標!$E$13:$E$2301,設計座標!$L$13:$L$2301," ",0,1)</f>
        <v>427</v>
      </c>
      <c r="Z862">
        <f>SQRT(($M$862-$M$861)^2+($N$862-$N$861)^2)</f>
        <v>504.56000291052385</v>
      </c>
      <c r="AA862">
        <f>_xlfn.XLOOKUP($G862,magnet_list!$A$2:$A$592,magnet_list!$AJ$2:$AJ$592,"n/a",0,1)</f>
        <v>0.50902654867256636</v>
      </c>
      <c r="AB862">
        <f>_xlfn.XLOOKUP($G862,magnet_list!$A$2:$A$592,magnet_list!$L$2:$L$592,"n/a",0,1)</f>
        <v>260</v>
      </c>
    </row>
    <row r="863" spans="1:30">
      <c r="A863" t="s">
        <v>797</v>
      </c>
      <c r="B863">
        <v>1</v>
      </c>
      <c r="C863" t="s">
        <v>804</v>
      </c>
      <c r="D863" t="s">
        <v>1152</v>
      </c>
      <c r="E863" t="s">
        <v>804</v>
      </c>
      <c r="F863" t="s">
        <v>1244</v>
      </c>
      <c r="G863" t="s">
        <v>2517</v>
      </c>
      <c r="I863">
        <f>_xlfn.XLOOKUP($F863,設計座標!$E$13:$E$2301,設計座標!$G$13:$G$2301,"n/a",0,1)</f>
        <v>276.28204256136894</v>
      </c>
      <c r="J863">
        <f>_xlfn.XLOOKUP($F863,設計座標!$E$13:$E$2301,設計座標!$H$13:$H$2301,"n/a",0,1)</f>
        <v>-15000</v>
      </c>
      <c r="K863">
        <f>_xlfn.XLOOKUP($F863,設計座標!$E$13:$E$2301,設計座標!$I$13:$I$2301,"n/a",0,1)</f>
        <v>-11819.985095460064</v>
      </c>
      <c r="L863">
        <f>_xlfn.XLOOKUP($F863,設計座標!$E$13:$E$2301,設計座標!$J$13:$J$2301,"n/a",0,1)</f>
        <v>-270</v>
      </c>
      <c r="M863" s="2">
        <f t="shared" si="649"/>
        <v>-14996.511026024762</v>
      </c>
      <c r="N863" s="2">
        <f t="shared" si="650"/>
        <v>-11819.985095460064</v>
      </c>
      <c r="O863" s="23">
        <f t="shared" si="651"/>
        <v>-269.56150070986212</v>
      </c>
      <c r="P863" s="1">
        <f t="shared" si="670"/>
        <v>-270.45280489177122</v>
      </c>
      <c r="Q863" s="1">
        <f t="shared" si="669"/>
        <v>3.4889739752373594</v>
      </c>
      <c r="R863">
        <f t="shared" si="643"/>
        <v>0</v>
      </c>
      <c r="S863" s="23">
        <f t="shared" si="668"/>
        <v>0.43849929013787725</v>
      </c>
      <c r="T863">
        <f>$S863+測地線補正!$Q$26*(lattice!$N863/1000)^3+測地線補正!$P$26*(lattice!$N863/1000)^2+測地線補正!$O$26*(lattice!$N863/1000)+測地線補正!$N$26</f>
        <v>-0.45280489177121486</v>
      </c>
      <c r="U863">
        <f>-ATAN(($P$866-$P$860)/ABS($N$866-$N$860))</f>
        <v>6.1744444135148383E-6</v>
      </c>
      <c r="V863">
        <v>0</v>
      </c>
      <c r="W863">
        <f>ATAN(($M$866-$M$860)/ABS($N$866-$N$860))</f>
        <v>1.0740987381408797E-4</v>
      </c>
      <c r="X863" t="s">
        <v>3860</v>
      </c>
      <c r="Y863">
        <f>_xlfn.XLOOKUP($F863,設計座標!$E$13:$E$2301,設計座標!$L$13:$L$2301," ",0,1)</f>
        <v>1889.4492</v>
      </c>
      <c r="Z863">
        <f>SQRT(($M$863-$M$862)^2+($N$863-$N$862)^2)</f>
        <v>245.1350014140487</v>
      </c>
    </row>
    <row r="864" spans="1:30">
      <c r="A864" t="s">
        <v>797</v>
      </c>
      <c r="B864">
        <v>1</v>
      </c>
      <c r="C864" t="s">
        <v>3855</v>
      </c>
      <c r="D864" t="s">
        <v>1152</v>
      </c>
      <c r="E864" t="s">
        <v>804</v>
      </c>
      <c r="F864" t="s">
        <v>2045</v>
      </c>
      <c r="G864" t="s">
        <v>2525</v>
      </c>
      <c r="I864">
        <f>_xlfn.XLOOKUP($F864,設計座標!$E$13:$E$2301,設計座標!$G$13:$G$2301,"n/a",0,1)</f>
        <v>276.54146756136907</v>
      </c>
      <c r="J864">
        <f>_xlfn.XLOOKUP($F864,設計座標!$E$13:$E$2301,設計座標!$H$13:$H$2301,"n/a",0,1)</f>
        <v>-15000</v>
      </c>
      <c r="K864">
        <f>_xlfn.XLOOKUP($F864,設計座標!$E$13:$E$2301,設計座標!$I$13:$I$2301,"n/a",0,1)</f>
        <v>-12079.410095460062</v>
      </c>
      <c r="L864">
        <f>_xlfn.XLOOKUP($F864,設計座標!$E$13:$E$2301,設計座標!$J$13:$J$2301,"n/a",0,1)</f>
        <v>-270</v>
      </c>
      <c r="M864" s="2">
        <f t="shared" si="649"/>
        <v>-14996.483161218141</v>
      </c>
      <c r="N864" s="2">
        <f t="shared" si="650"/>
        <v>-12079.410095460062</v>
      </c>
      <c r="O864" s="23">
        <f t="shared" si="651"/>
        <v>-269.57429762808613</v>
      </c>
      <c r="P864" s="1">
        <f t="shared" si="670"/>
        <v>-270.45441708230692</v>
      </c>
      <c r="Q864" s="1">
        <f t="shared" si="669"/>
        <v>3.5168387818587608</v>
      </c>
      <c r="R864">
        <f t="shared" si="643"/>
        <v>0</v>
      </c>
      <c r="S864" s="23">
        <f t="shared" si="668"/>
        <v>0.4257023719138911</v>
      </c>
      <c r="T864">
        <f>$S864+測地線補正!$Q$26*(lattice!$N864/1000)^3+測地線補正!$P$26*(lattice!$N864/1000)^2+測地線補正!$O$26*(lattice!$N864/1000)+測地線補正!$N$26</f>
        <v>-0.45441708230690003</v>
      </c>
      <c r="U864">
        <v>0</v>
      </c>
      <c r="V864">
        <v>0</v>
      </c>
      <c r="W864">
        <v>0</v>
      </c>
      <c r="X864" t="s">
        <v>3860</v>
      </c>
      <c r="Y864">
        <f>_xlfn.XLOOKUP($F864,設計座標!$E$13:$E$2301,設計座標!$L$13:$L$2301," ",0,1)</f>
        <v>427</v>
      </c>
      <c r="Z864">
        <f>SQRT(($M$864-$M$863)^2+($N$864-$N$863)^2)</f>
        <v>259.42500149647515</v>
      </c>
      <c r="AA864">
        <f>_xlfn.XLOOKUP($G864,magnet_list!$A$2:$A$592,magnet_list!$AJ$2:$AJ$592,"n/a",0,1)</f>
        <v>0.50902654867256636</v>
      </c>
      <c r="AB864">
        <f>_xlfn.XLOOKUP($G864,magnet_list!$A$2:$A$592,magnet_list!$L$2:$L$592,"n/a",0,1)</f>
        <v>260</v>
      </c>
    </row>
    <row r="865" spans="1:30">
      <c r="A865" t="s">
        <v>797</v>
      </c>
      <c r="B865">
        <v>1</v>
      </c>
      <c r="C865" t="s">
        <v>3855</v>
      </c>
      <c r="D865" t="s">
        <v>1152</v>
      </c>
      <c r="E865" t="s">
        <v>804</v>
      </c>
      <c r="F865" t="s">
        <v>2046</v>
      </c>
      <c r="G865" t="s">
        <v>2526</v>
      </c>
      <c r="I865">
        <f>_xlfn.XLOOKUP($F865,設計座標!$E$13:$E$2301,設計座標!$G$13:$G$2301,"n/a",0,1)</f>
        <v>277.0460275613691</v>
      </c>
      <c r="J865">
        <f>_xlfn.XLOOKUP($F865,設計座標!$E$13:$E$2301,設計座標!$H$13:$H$2301,"n/a",0,1)</f>
        <v>-15000</v>
      </c>
      <c r="K865">
        <f>_xlfn.XLOOKUP($F865,設計座標!$E$13:$E$2301,設計座標!$I$13:$I$2301,"n/a",0,1)</f>
        <v>-12583.970095460061</v>
      </c>
      <c r="L865">
        <f>_xlfn.XLOOKUP($F865,設計座標!$E$13:$E$2301,設計座標!$J$13:$J$2301,"n/a",0,1)</f>
        <v>-270</v>
      </c>
      <c r="M865" s="2">
        <f t="shared" si="649"/>
        <v>-14996.428966492002</v>
      </c>
      <c r="N865" s="2">
        <f t="shared" si="650"/>
        <v>-12583.970095460061</v>
      </c>
      <c r="O865" s="23">
        <f t="shared" si="651"/>
        <v>-269.59918656731361</v>
      </c>
      <c r="P865" s="1">
        <f t="shared" si="670"/>
        <v>-270.45761192160847</v>
      </c>
      <c r="Q865" s="1">
        <f t="shared" si="669"/>
        <v>3.5710335079988567</v>
      </c>
      <c r="R865">
        <f t="shared" si="643"/>
        <v>0</v>
      </c>
      <c r="S865" s="23">
        <f t="shared" si="668"/>
        <v>0.4008134326863898</v>
      </c>
      <c r="T865">
        <f>$S865+測地線補正!$Q$26*(lattice!$N865/1000)^3+測地線補正!$P$26*(lattice!$N865/1000)^2+測地線補正!$O$26*(lattice!$N865/1000)+測地線補正!$N$26</f>
        <v>-0.45761192160846642</v>
      </c>
      <c r="U865">
        <v>0</v>
      </c>
      <c r="V865">
        <v>0</v>
      </c>
      <c r="W865">
        <v>0</v>
      </c>
      <c r="X865" t="s">
        <v>3860</v>
      </c>
      <c r="Y865">
        <f>_xlfn.XLOOKUP($F865,設計座標!$E$13:$E$2301,設計座標!$L$13:$L$2301," ",0,1)</f>
        <v>427</v>
      </c>
      <c r="Z865">
        <f>SQRT(($M$865-$M$864)^2+($N$865-$N$864)^2)</f>
        <v>504.56000291052385</v>
      </c>
      <c r="AA865">
        <f>_xlfn.XLOOKUP($G865,magnet_list!$A$2:$A$592,magnet_list!$AJ$2:$AJ$592,"n/a",0,1)</f>
        <v>0.50902654867256636</v>
      </c>
      <c r="AB865">
        <f>_xlfn.XLOOKUP($G865,magnet_list!$A$2:$A$592,magnet_list!$L$2:$L$592,"n/a",0,1)</f>
        <v>260</v>
      </c>
    </row>
    <row r="866" spans="1:30">
      <c r="A866" t="s">
        <v>797</v>
      </c>
      <c r="B866">
        <v>1</v>
      </c>
      <c r="C866" t="s">
        <v>804</v>
      </c>
      <c r="D866" t="s">
        <v>1152</v>
      </c>
      <c r="E866" t="s">
        <v>804</v>
      </c>
      <c r="F866" t="s">
        <v>1581</v>
      </c>
      <c r="G866" t="s">
        <v>2517</v>
      </c>
      <c r="I866">
        <f>_xlfn.XLOOKUP($F866,設計座標!$E$13:$E$2301,設計座標!$G$13:$G$2301,"n/a",0,1)</f>
        <v>277.22676716136891</v>
      </c>
      <c r="J866">
        <f>_xlfn.XLOOKUP($F866,設計座標!$E$13:$E$2301,設計座標!$H$13:$H$2301,"n/a",0,1)</f>
        <v>-15000</v>
      </c>
      <c r="K866">
        <f>_xlfn.XLOOKUP($F866,設計座標!$E$13:$E$2301,設計座標!$I$13:$I$2301,"n/a",0,1)</f>
        <v>-12764.709695460064</v>
      </c>
      <c r="L866">
        <f>_xlfn.XLOOKUP($F866,設計座標!$E$13:$E$2301,設計座標!$J$13:$J$2301,"n/a",0,1)</f>
        <v>-270</v>
      </c>
      <c r="M866" s="2">
        <f t="shared" si="649"/>
        <v>-14996.409553274298</v>
      </c>
      <c r="N866" s="2">
        <f t="shared" si="650"/>
        <v>-12764.709695460064</v>
      </c>
      <c r="O866" s="23">
        <f t="shared" si="651"/>
        <v>-269.60810209157319</v>
      </c>
      <c r="P866" s="1">
        <f t="shared" si="670"/>
        <v>-270.45877537882626</v>
      </c>
      <c r="Q866" s="1">
        <f t="shared" si="669"/>
        <v>3.5904467257027388</v>
      </c>
      <c r="R866">
        <f t="shared" si="643"/>
        <v>0</v>
      </c>
      <c r="S866" s="23">
        <f t="shared" si="668"/>
        <v>0.39189790842683109</v>
      </c>
      <c r="T866">
        <f>$S866+測地線補正!$Q$26*(lattice!$N866/1000)^3+測地線補正!$P$26*(lattice!$N866/1000)^2+測地線補正!$O$26*(lattice!$N866/1000)+測地線補正!$N$26</f>
        <v>-0.45877537882624897</v>
      </c>
      <c r="U866">
        <f>-ATAN(($P$866-$P$860)/ABS($N$866-$N$860))</f>
        <v>6.1744444135148383E-6</v>
      </c>
      <c r="V866">
        <v>0</v>
      </c>
      <c r="W866">
        <f>ATAN(($M$866-$M$860)/ABS($N$866-$N$860))</f>
        <v>1.0740987381408797E-4</v>
      </c>
      <c r="X866" t="s">
        <v>3860</v>
      </c>
      <c r="Y866">
        <f>_xlfn.XLOOKUP($F866,設計座標!$E$13:$E$2301,設計座標!$L$13:$L$2301," ",0,1)</f>
        <v>1889.4492</v>
      </c>
      <c r="Z866">
        <f>SQRT(($M$863-$M$862)^2+($N$863-$N$862)^2)</f>
        <v>245.1350014140487</v>
      </c>
    </row>
    <row r="867" spans="1:30">
      <c r="A867" t="s">
        <v>797</v>
      </c>
      <c r="B867">
        <v>1</v>
      </c>
      <c r="C867" t="s">
        <v>1152</v>
      </c>
      <c r="D867" t="s">
        <v>1152</v>
      </c>
      <c r="E867" t="s">
        <v>804</v>
      </c>
      <c r="F867" t="s">
        <v>2047</v>
      </c>
      <c r="G867" t="s">
        <v>2047</v>
      </c>
      <c r="I867">
        <f>_xlfn.XLOOKUP($F867,設計座標!$E$13:$E$2301,設計座標!$G$13:$G$2301,"n/a",0,1)</f>
        <v>277.45080806136912</v>
      </c>
      <c r="J867">
        <f>_xlfn.XLOOKUP($F867,設計座標!$E$13:$E$2301,設計座標!$H$13:$H$2301,"n/a",0,1)</f>
        <v>-15000</v>
      </c>
      <c r="K867">
        <f>_xlfn.XLOOKUP($F867,設計座標!$E$13:$E$2301,設計座標!$I$13:$I$2301,"n/a",0,1)</f>
        <v>-12988.750595460062</v>
      </c>
      <c r="L867">
        <f>_xlfn.XLOOKUP($F867,設計座標!$E$13:$E$2301,設計座標!$J$13:$J$2301,"n/a",0,1)</f>
        <v>-270</v>
      </c>
      <c r="M867" s="2">
        <f t="shared" si="649"/>
        <v>-14996.385489069407</v>
      </c>
      <c r="N867" s="2">
        <f t="shared" si="650"/>
        <v>-12988.750595460062</v>
      </c>
      <c r="O867" s="23">
        <f t="shared" si="651"/>
        <v>-269.61915358266356</v>
      </c>
      <c r="P867" s="1">
        <f t="shared" si="670"/>
        <v>-270.46023149469579</v>
      </c>
      <c r="Q867" s="1">
        <f t="shared" si="669"/>
        <v>3.6145109305934957</v>
      </c>
      <c r="R867">
        <f t="shared" si="643"/>
        <v>0</v>
      </c>
      <c r="S867" s="23">
        <f t="shared" si="668"/>
        <v>0.38084641733642627</v>
      </c>
      <c r="T867">
        <f>$S867+測地線補正!$Q$26*(lattice!$N867/1000)^3+測地線補正!$P$26*(lattice!$N867/1000)^2+測地線補正!$O$26*(lattice!$N867/1000)+測地線補正!$N$26</f>
        <v>-0.46023149469576485</v>
      </c>
      <c r="U867">
        <v>0</v>
      </c>
      <c r="V867">
        <v>0</v>
      </c>
      <c r="W867">
        <v>0</v>
      </c>
      <c r="X867" t="s">
        <v>3860</v>
      </c>
      <c r="Y867">
        <f>_xlfn.XLOOKUP($F867,設計座標!$E$13:$E$2301,設計座標!$L$13:$L$2301," ",0,1)</f>
        <v>0</v>
      </c>
      <c r="Z867">
        <f>SQRT(($M$867-$M$865)^2+($N$867-$N$865)^2)</f>
        <v>404.78050233495298</v>
      </c>
    </row>
    <row r="868" spans="1:30">
      <c r="A868" t="s">
        <v>797</v>
      </c>
      <c r="B868">
        <v>1</v>
      </c>
      <c r="C868" t="s">
        <v>3855</v>
      </c>
      <c r="D868" t="s">
        <v>1152</v>
      </c>
      <c r="E868" t="s">
        <v>804</v>
      </c>
      <c r="F868" t="s">
        <v>2069</v>
      </c>
      <c r="G868" t="s">
        <v>2527</v>
      </c>
      <c r="I868">
        <f>_xlfn.XLOOKUP($F868,設計座標!$E$13:$E$2301,設計座標!$G$13:$G$2301,"n/a",0,1)</f>
        <v>277.59680756136908</v>
      </c>
      <c r="J868">
        <f>_xlfn.XLOOKUP($F868,設計座標!$E$13:$E$2301,設計座標!$H$13:$H$2301,"n/a",0,1)</f>
        <v>-15000</v>
      </c>
      <c r="K868">
        <f>_xlfn.XLOOKUP($F868,設計座標!$E$13:$E$2301,設計座標!$I$13:$I$2301,"n/a",0,1)</f>
        <v>-13134.750095460062</v>
      </c>
      <c r="L868">
        <f>_xlfn.XLOOKUP($F868,設計座標!$E$13:$E$2301,設計座標!$J$13:$J$2301,"n/a",0,1)</f>
        <v>-270</v>
      </c>
      <c r="M868" s="2">
        <f t="shared" si="649"/>
        <v>-14996.369807281475</v>
      </c>
      <c r="N868" s="2">
        <f t="shared" si="650"/>
        <v>-13134.750095460062</v>
      </c>
      <c r="O868" s="23">
        <f t="shared" si="651"/>
        <v>-269.62635544702607</v>
      </c>
      <c r="P868" s="1">
        <f t="shared" si="670"/>
        <v>-270.46118868199056</v>
      </c>
      <c r="Q868" s="1">
        <f t="shared" si="669"/>
        <v>3.6301927185257359</v>
      </c>
      <c r="R868">
        <f t="shared" si="643"/>
        <v>0</v>
      </c>
      <c r="S868" s="23">
        <f t="shared" si="668"/>
        <v>0.37364455297392118</v>
      </c>
      <c r="T868">
        <f>$S868+測地線補正!$Q$26*(lattice!$N868/1000)^3+測地線補正!$P$26*(lattice!$N868/1000)^2+測地線補正!$O$26*(lattice!$N868/1000)+測地線補正!$N$26</f>
        <v>-0.46118868199056284</v>
      </c>
      <c r="U868">
        <v>0</v>
      </c>
      <c r="V868">
        <v>0</v>
      </c>
      <c r="W868">
        <v>0</v>
      </c>
      <c r="X868">
        <f>SQRT(($M$868-$M$865)^2+($N$868-$N$865)^2)-($Y$868+$Y$865)/2</f>
        <v>123.78000317714236</v>
      </c>
      <c r="Y868">
        <f>_xlfn.XLOOKUP($F868,設計座標!$E$13:$E$2301,設計座標!$L$13:$L$2301," ",0,1)</f>
        <v>427</v>
      </c>
      <c r="Z868">
        <f>SQRT(($M$868-$M$867)^2+($N$868-$N$867)^2)</f>
        <v>145.99950084218932</v>
      </c>
      <c r="AA868">
        <f>_xlfn.XLOOKUP($G868,magnet_list!$A$2:$A$592,magnet_list!$AJ$2:$AJ$592,"n/a",0,1)</f>
        <v>0.50902654867256636</v>
      </c>
      <c r="AB868">
        <f>_xlfn.XLOOKUP($G868,magnet_list!$A$2:$A$592,magnet_list!$L$2:$L$592,"n/a",0,1)</f>
        <v>260</v>
      </c>
      <c r="AD868" t="s">
        <v>3869</v>
      </c>
    </row>
    <row r="869" spans="1:30">
      <c r="A869" t="s">
        <v>797</v>
      </c>
      <c r="B869">
        <v>1</v>
      </c>
      <c r="C869" t="s">
        <v>3857</v>
      </c>
      <c r="D869" t="s">
        <v>1152</v>
      </c>
      <c r="E869" t="s">
        <v>804</v>
      </c>
      <c r="F869" t="s">
        <v>2285</v>
      </c>
      <c r="G869" t="s">
        <v>2285</v>
      </c>
      <c r="I869">
        <f>_xlfn.XLOOKUP($F869,設計座標!$E$13:$E$2301,設計座標!$G$13:$G$2301,"n/a",0,1)</f>
        <v>277.61700756136906</v>
      </c>
      <c r="J869">
        <f>_xlfn.XLOOKUP($F869,設計座標!$E$13:$E$2301,設計座標!$H$13:$H$2301,"n/a",0,1)</f>
        <v>-15000</v>
      </c>
      <c r="K869">
        <f>_xlfn.XLOOKUP($F869,設計座標!$E$13:$E$2301,設計座標!$I$13:$I$2301,"n/a",0,1)</f>
        <v>-13154.950095460063</v>
      </c>
      <c r="L869">
        <f>_xlfn.XLOOKUP($F869,設計座標!$E$13:$E$2301,設計座標!$J$13:$J$2301,"n/a",0,1)</f>
        <v>-270</v>
      </c>
      <c r="M869" s="2">
        <f t="shared" si="649"/>
        <v>-14996.367637602016</v>
      </c>
      <c r="N869" s="2">
        <f t="shared" si="650"/>
        <v>-13154.950095460063</v>
      </c>
      <c r="O869" s="23">
        <f t="shared" si="651"/>
        <v>-269.62735187276809</v>
      </c>
      <c r="P869" s="1">
        <f t="shared" si="670"/>
        <v>-270.46132163007394</v>
      </c>
      <c r="Q869" s="1">
        <f t="shared" si="669"/>
        <v>3.6323623979851263</v>
      </c>
      <c r="R869">
        <f t="shared" si="643"/>
        <v>0</v>
      </c>
      <c r="S869" s="23">
        <f t="shared" si="668"/>
        <v>0.37264812723189733</v>
      </c>
      <c r="T869">
        <f>$S869+測地線補正!$Q$26*(lattice!$N869/1000)^3+測地線補正!$P$26*(lattice!$N869/1000)^2+測地線補正!$O$26*(lattice!$N869/1000)+測地線補正!$N$26</f>
        <v>-0.46132163007393312</v>
      </c>
      <c r="U869">
        <v>0</v>
      </c>
      <c r="V869">
        <v>0</v>
      </c>
      <c r="W869">
        <v>0</v>
      </c>
      <c r="X869" t="s">
        <v>3860</v>
      </c>
      <c r="Y869">
        <f>_xlfn.XLOOKUP($F869,設計座標!$E$13:$E$2301,設計座標!$L$13:$L$2301," ",0,1)</f>
        <v>305</v>
      </c>
      <c r="Z869">
        <f>SQRT(($M$869-$M$868)^2+($N$869-$N$868)^2)</f>
        <v>20.200000116523228</v>
      </c>
      <c r="AA869">
        <f>_xlfn.XLOOKUP($G869,magnet_list!$A$2:$A$592,magnet_list!$AJ$2:$AJ$592,"n/a",0,1)</f>
        <v>0.22205</v>
      </c>
      <c r="AB869">
        <f>_xlfn.XLOOKUP($G869,magnet_list!$A$2:$A$592,magnet_list!$L$2:$L$592,"n/a",0,1)</f>
        <v>70</v>
      </c>
    </row>
    <row r="870" spans="1:30">
      <c r="A870" t="s">
        <v>797</v>
      </c>
      <c r="B870">
        <v>1</v>
      </c>
      <c r="C870" t="s">
        <v>804</v>
      </c>
      <c r="D870" t="s">
        <v>1152</v>
      </c>
      <c r="E870" t="s">
        <v>804</v>
      </c>
      <c r="F870" t="s">
        <v>1832</v>
      </c>
      <c r="G870" t="s">
        <v>2528</v>
      </c>
      <c r="I870">
        <f>_xlfn.XLOOKUP($F870,設計座標!$E$13:$E$2301,設計座標!$G$13:$G$2301,"n/a",0,1)</f>
        <v>277.96534996136893</v>
      </c>
      <c r="J870">
        <f>_xlfn.XLOOKUP($F870,設計座標!$E$13:$E$2301,設計座標!$H$13:$H$2301,"n/a",0,1)</f>
        <v>-15000</v>
      </c>
      <c r="K870">
        <f>_xlfn.XLOOKUP($F870,設計座標!$E$13:$E$2301,設計座標!$I$13:$I$2301,"n/a",0,1)</f>
        <v>-13503.292495460066</v>
      </c>
      <c r="L870">
        <f>_xlfn.XLOOKUP($F870,設計座標!$E$13:$E$2301,設計座標!$J$13:$J$2301,"n/a",0,1)</f>
        <v>-270</v>
      </c>
      <c r="M870" s="2">
        <f t="shared" si="649"/>
        <v>-14996.330222188642</v>
      </c>
      <c r="N870" s="2">
        <f t="shared" si="650"/>
        <v>-13503.292495460066</v>
      </c>
      <c r="O870" s="23">
        <f t="shared" si="651"/>
        <v>-269.64453490912445</v>
      </c>
      <c r="P870" s="1">
        <f t="shared" si="670"/>
        <v>-270.46363395565533</v>
      </c>
      <c r="Q870" s="1">
        <f t="shared" si="669"/>
        <v>3.6697778113571413</v>
      </c>
      <c r="R870">
        <f t="shared" si="643"/>
        <v>0</v>
      </c>
      <c r="S870" s="23">
        <f t="shared" si="668"/>
        <v>0.35546509087554323</v>
      </c>
      <c r="T870">
        <f>$S870+測地線補正!$Q$26*(lattice!$N870/1000)^3+測地線補正!$P$26*(lattice!$N870/1000)^2+測地線補正!$O$26*(lattice!$N870/1000)+測地線補正!$N$26</f>
        <v>-0.46363395565535348</v>
      </c>
      <c r="U870">
        <f>-ATAN(($P$876-$P$870)/ABS($N$876-$N$870))</f>
        <v>6.9804299561390929E-6</v>
      </c>
      <c r="V870">
        <v>0</v>
      </c>
      <c r="W870">
        <f>ATAN(($M$876-$M$870)/ABS($N$876-$N$870))</f>
        <v>1.0740987381408797E-4</v>
      </c>
      <c r="X870" t="s">
        <v>3860</v>
      </c>
      <c r="Y870">
        <f>_xlfn.XLOOKUP($F870,設計座標!$E$13:$E$2301,設計座標!$L$13:$L$2301," ",0,1)</f>
        <v>1889.4492</v>
      </c>
      <c r="Z870">
        <f>SQRT(($M$873-$M$872)^2+($N$873-$N$872)^2)</f>
        <v>248.46800143327548</v>
      </c>
    </row>
    <row r="871" spans="1:30">
      <c r="A871" t="s">
        <v>797</v>
      </c>
      <c r="B871">
        <v>1</v>
      </c>
      <c r="C871" t="s">
        <v>3855</v>
      </c>
      <c r="D871" t="s">
        <v>1152</v>
      </c>
      <c r="E871" t="s">
        <v>804</v>
      </c>
      <c r="F871" t="s">
        <v>2048</v>
      </c>
      <c r="G871" t="s">
        <v>2529</v>
      </c>
      <c r="I871">
        <f>_xlfn.XLOOKUP($F871,設計座標!$E$13:$E$2301,設計座標!$G$13:$G$2301,"n/a",0,1)</f>
        <v>278.1603795613691</v>
      </c>
      <c r="J871">
        <f>_xlfn.XLOOKUP($F871,設計座標!$E$13:$E$2301,設計座標!$H$13:$H$2301,"n/a",0,1)</f>
        <v>-15000</v>
      </c>
      <c r="K871">
        <f>_xlfn.XLOOKUP($F871,設計座標!$E$13:$E$2301,設計座標!$I$13:$I$2301,"n/a",0,1)</f>
        <v>-13698.322095460062</v>
      </c>
      <c r="L871">
        <f>_xlfn.XLOOKUP($F871,設計座標!$E$13:$E$2301,設計座標!$J$13:$J$2301,"n/a",0,1)</f>
        <v>-270</v>
      </c>
      <c r="M871" s="2">
        <f t="shared" si="649"/>
        <v>-14996.309274083836</v>
      </c>
      <c r="N871" s="2">
        <f t="shared" si="650"/>
        <v>-13698.322095460062</v>
      </c>
      <c r="O871" s="23">
        <f t="shared" si="651"/>
        <v>-269.65415533060451</v>
      </c>
      <c r="P871" s="1">
        <f t="shared" si="670"/>
        <v>-270.46494481491305</v>
      </c>
      <c r="Q871" s="1">
        <f t="shared" si="669"/>
        <v>3.6907259161637294</v>
      </c>
      <c r="R871">
        <f t="shared" si="643"/>
        <v>0</v>
      </c>
      <c r="S871" s="23">
        <f t="shared" si="668"/>
        <v>0.34584466939551356</v>
      </c>
      <c r="T871">
        <f>$S871+測地線補正!$Q$26*(lattice!$N871/1000)^3+測地線補正!$P$26*(lattice!$N871/1000)^2+測地線補正!$O$26*(lattice!$N871/1000)+測地線補正!$N$26</f>
        <v>-0.4649448149130464</v>
      </c>
      <c r="U871">
        <v>0</v>
      </c>
      <c r="V871">
        <v>0</v>
      </c>
      <c r="W871">
        <v>0</v>
      </c>
      <c r="X871">
        <f>SQRT(($M$871-$M$868)^2+($N$871-$N$868)^2)-($Y$871+$Y$868)/2</f>
        <v>136.07200325093174</v>
      </c>
      <c r="Y871">
        <f>_xlfn.XLOOKUP($F871,設計座標!$E$13:$E$2301,設計座標!$L$13:$L$2301," ",0,1)</f>
        <v>428</v>
      </c>
      <c r="Z871">
        <f>SQRT(($M$871-$M$869)^2+($N$871-$N$869)^2)</f>
        <v>543.37200313440849</v>
      </c>
      <c r="AA871">
        <f>_xlfn.XLOOKUP($G871,magnet_list!$A$2:$A$592,magnet_list!$AJ$2:$AJ$592,"n/a",0,1)</f>
        <v>0.51205873564690307</v>
      </c>
      <c r="AB871">
        <f>_xlfn.XLOOKUP($G871,magnet_list!$A$2:$A$592,magnet_list!$L$2:$L$592,"n/a",0,1)</f>
        <v>200</v>
      </c>
      <c r="AD871" t="s">
        <v>3870</v>
      </c>
    </row>
    <row r="872" spans="1:30">
      <c r="A872" t="s">
        <v>797</v>
      </c>
      <c r="B872">
        <v>1</v>
      </c>
      <c r="C872" t="s">
        <v>3855</v>
      </c>
      <c r="D872" t="s">
        <v>1152</v>
      </c>
      <c r="E872" t="s">
        <v>804</v>
      </c>
      <c r="F872" t="s">
        <v>2049</v>
      </c>
      <c r="G872" t="s">
        <v>2530</v>
      </c>
      <c r="I872">
        <f>_xlfn.XLOOKUP($F872,設計座標!$E$13:$E$2301,設計座標!$G$13:$G$2301,"n/a",0,1)</f>
        <v>278.66160656136913</v>
      </c>
      <c r="J872">
        <f>_xlfn.XLOOKUP($F872,設計座標!$E$13:$E$2301,設計座標!$H$13:$H$2301,"n/a",0,1)</f>
        <v>-15000</v>
      </c>
      <c r="K872">
        <f>_xlfn.XLOOKUP($F872,設計座標!$E$13:$E$2301,設計座標!$I$13:$I$2301,"n/a",0,1)</f>
        <v>-14199.549095460063</v>
      </c>
      <c r="L872">
        <f>_xlfn.XLOOKUP($F872,設計座標!$E$13:$E$2301,設計座標!$J$13:$J$2301,"n/a",0,1)</f>
        <v>-270</v>
      </c>
      <c r="M872" s="2">
        <f t="shared" si="649"/>
        <v>-14996.255437354806</v>
      </c>
      <c r="N872" s="2">
        <f t="shared" si="650"/>
        <v>-14199.549095460063</v>
      </c>
      <c r="O872" s="23">
        <f t="shared" si="651"/>
        <v>-269.67887985958453</v>
      </c>
      <c r="P872" s="1">
        <f t="shared" si="670"/>
        <v>-270.46836714914917</v>
      </c>
      <c r="Q872" s="1">
        <f t="shared" si="669"/>
        <v>3.7445626451930263</v>
      </c>
      <c r="R872">
        <f t="shared" si="643"/>
        <v>0</v>
      </c>
      <c r="S872" s="23">
        <f t="shared" si="668"/>
        <v>0.32112014041544612</v>
      </c>
      <c r="T872">
        <f>$S872+測地線補正!$Q$26*(lattice!$N872/1000)^3+測地線補正!$P$26*(lattice!$N872/1000)^2+測地線補正!$O$26*(lattice!$N872/1000)+測地線補正!$N$26</f>
        <v>-0.4683671491491489</v>
      </c>
      <c r="U872">
        <v>0</v>
      </c>
      <c r="V872">
        <v>0</v>
      </c>
      <c r="W872">
        <v>0</v>
      </c>
      <c r="X872" t="s">
        <v>3860</v>
      </c>
      <c r="Y872">
        <f>_xlfn.XLOOKUP($F872,設計座標!$E$13:$E$2301,設計座標!$L$13:$L$2301," ",0,1)</f>
        <v>447</v>
      </c>
      <c r="Z872">
        <f>SQRT(($M$872-$M$871)^2+($N$872-$N$871)^2)</f>
        <v>501.22700289129892</v>
      </c>
      <c r="AA872">
        <f>_xlfn.XLOOKUP($G872,magnet_list!$A$2:$A$592,magnet_list!$AJ$2:$AJ$592,"n/a",0,1)</f>
        <v>0.51205873564690307</v>
      </c>
      <c r="AB872">
        <f>_xlfn.XLOOKUP($G872,magnet_list!$A$2:$A$592,magnet_list!$L$2:$L$592,"n/a",0,1)</f>
        <v>200</v>
      </c>
    </row>
    <row r="873" spans="1:30">
      <c r="A873" t="s">
        <v>797</v>
      </c>
      <c r="B873">
        <v>1</v>
      </c>
      <c r="C873" t="s">
        <v>804</v>
      </c>
      <c r="D873" t="s">
        <v>1152</v>
      </c>
      <c r="E873" t="s">
        <v>804</v>
      </c>
      <c r="F873" t="s">
        <v>1189</v>
      </c>
      <c r="G873" t="s">
        <v>2528</v>
      </c>
      <c r="I873">
        <f>_xlfn.XLOOKUP($F873,設計座標!$E$13:$E$2301,設計座標!$G$13:$G$2301,"n/a",0,1)</f>
        <v>278.9100745613689</v>
      </c>
      <c r="J873">
        <f>_xlfn.XLOOKUP($F873,設計座標!$E$13:$E$2301,設計座標!$H$13:$H$2301,"n/a",0,1)</f>
        <v>-15000</v>
      </c>
      <c r="K873">
        <f>_xlfn.XLOOKUP($F873,設計座標!$E$13:$E$2301,設計座標!$I$13:$I$2301,"n/a",0,1)</f>
        <v>-14448.017095460065</v>
      </c>
      <c r="L873">
        <f>_xlfn.XLOOKUP($F873,設計座標!$E$13:$E$2301,設計座標!$J$13:$J$2301,"n/a",0,1)</f>
        <v>-270</v>
      </c>
      <c r="M873" s="2">
        <f t="shared" si="649"/>
        <v>-14996.228749438178</v>
      </c>
      <c r="N873" s="2">
        <f t="shared" si="650"/>
        <v>-14448.017095460065</v>
      </c>
      <c r="O873" s="23">
        <f t="shared" si="651"/>
        <v>-269.69113629083552</v>
      </c>
      <c r="P873" s="1">
        <f t="shared" si="670"/>
        <v>-270.47009215675217</v>
      </c>
      <c r="Q873" s="1">
        <f t="shared" si="669"/>
        <v>3.7712505618225203</v>
      </c>
      <c r="R873">
        <f t="shared" si="643"/>
        <v>0</v>
      </c>
      <c r="S873" s="23">
        <f t="shared" si="668"/>
        <v>0.30886370916449712</v>
      </c>
      <c r="T873">
        <f>$S873+測地線補正!$Q$26*(lattice!$N873/1000)^3+測地線補正!$P$26*(lattice!$N873/1000)^2+測地線補正!$O$26*(lattice!$N873/1000)+測地線補正!$N$26</f>
        <v>-0.4700921567521491</v>
      </c>
      <c r="U873">
        <f>-ATAN(($P$876-$P$870)/ABS($N$876-$N$870))</f>
        <v>6.9804299561390929E-6</v>
      </c>
      <c r="V873">
        <v>0</v>
      </c>
      <c r="W873">
        <f>ATAN(($M$876-$M$870)/ABS($N$876-$N$870))</f>
        <v>1.0740987381408797E-4</v>
      </c>
      <c r="X873" t="s">
        <v>3860</v>
      </c>
      <c r="Y873">
        <f>_xlfn.XLOOKUP($F873,設計座標!$E$13:$E$2301,設計座標!$L$13:$L$2301," ",0,1)</f>
        <v>1889.4492</v>
      </c>
      <c r="Z873">
        <f>SQRT(($M$873-$M$872)^2+($N$873-$N$872)^2)</f>
        <v>248.46800143327548</v>
      </c>
    </row>
    <row r="874" spans="1:30">
      <c r="A874" t="s">
        <v>797</v>
      </c>
      <c r="B874">
        <v>1</v>
      </c>
      <c r="C874" t="s">
        <v>3855</v>
      </c>
      <c r="D874" t="s">
        <v>1152</v>
      </c>
      <c r="E874" t="s">
        <v>804</v>
      </c>
      <c r="F874" t="s">
        <v>2050</v>
      </c>
      <c r="G874" t="s">
        <v>2531</v>
      </c>
      <c r="I874">
        <f>_xlfn.XLOOKUP($F874,設計座標!$E$13:$E$2301,設計座標!$G$13:$G$2301,"n/a",0,1)</f>
        <v>279.17283256136915</v>
      </c>
      <c r="J874">
        <f>_xlfn.XLOOKUP($F874,設計座標!$E$13:$E$2301,設計座標!$H$13:$H$2301,"n/a",0,1)</f>
        <v>-15000</v>
      </c>
      <c r="K874">
        <f>_xlfn.XLOOKUP($F874,設計座標!$E$13:$E$2301,設計座標!$I$13:$I$2301,"n/a",0,1)</f>
        <v>-14710.775095460063</v>
      </c>
      <c r="L874">
        <f>_xlfn.XLOOKUP($F874,設計座標!$E$13:$E$2301,設計座標!$J$13:$J$2301,"n/a",0,1)</f>
        <v>-270</v>
      </c>
      <c r="M874" s="2">
        <f t="shared" si="649"/>
        <v>-14996.200526634446</v>
      </c>
      <c r="N874" s="2">
        <f t="shared" si="650"/>
        <v>-14710.775095460063</v>
      </c>
      <c r="O874" s="23">
        <f t="shared" si="651"/>
        <v>-269.70409761930694</v>
      </c>
      <c r="P874" s="1">
        <f t="shared" si="670"/>
        <v>-270.47193690013262</v>
      </c>
      <c r="Q874" s="1">
        <f t="shared" si="669"/>
        <v>3.799473365554721</v>
      </c>
      <c r="R874">
        <f t="shared" si="643"/>
        <v>0</v>
      </c>
      <c r="S874" s="23">
        <f t="shared" si="668"/>
        <v>0.29590238069307695</v>
      </c>
      <c r="T874">
        <f>$S874+測地線補正!$Q$26*(lattice!$N874/1000)^3+測地線補正!$P$26*(lattice!$N874/1000)^2+測地線補正!$O$26*(lattice!$N874/1000)+測地線補正!$N$26</f>
        <v>-0.47193690013263412</v>
      </c>
      <c r="U874">
        <v>0</v>
      </c>
      <c r="V874">
        <v>0</v>
      </c>
      <c r="W874">
        <v>0</v>
      </c>
      <c r="X874" t="s">
        <v>3860</v>
      </c>
      <c r="Y874">
        <f>_xlfn.XLOOKUP($F874,設計座標!$E$13:$E$2301,設計座標!$L$13:$L$2301," ",0,1)</f>
        <v>447</v>
      </c>
      <c r="Z874">
        <f>SQRT(($M$874-$M$873)^2+($N$874-$N$873)^2)</f>
        <v>262.75800151570189</v>
      </c>
      <c r="AA874">
        <f>_xlfn.XLOOKUP($G874,magnet_list!$A$2:$A$592,magnet_list!$AJ$2:$AJ$592,"n/a",0,1)</f>
        <v>0.51205873564690307</v>
      </c>
      <c r="AB874">
        <f>_xlfn.XLOOKUP($G874,magnet_list!$A$2:$A$592,magnet_list!$L$2:$L$592,"n/a",0,1)</f>
        <v>200</v>
      </c>
    </row>
    <row r="875" spans="1:30">
      <c r="A875" t="s">
        <v>797</v>
      </c>
      <c r="B875">
        <v>1</v>
      </c>
      <c r="C875" t="s">
        <v>3855</v>
      </c>
      <c r="D875" t="s">
        <v>1152</v>
      </c>
      <c r="E875" t="s">
        <v>804</v>
      </c>
      <c r="F875" t="s">
        <v>2051</v>
      </c>
      <c r="G875" t="s">
        <v>2532</v>
      </c>
      <c r="I875">
        <f>_xlfn.XLOOKUP($F875,設計座標!$E$13:$E$2301,設計座標!$G$13:$G$2301,"n/a",0,1)</f>
        <v>279.67405956136918</v>
      </c>
      <c r="J875">
        <f>_xlfn.XLOOKUP($F875,設計座標!$E$13:$E$2301,設計座標!$H$13:$H$2301,"n/a",0,1)</f>
        <v>-15000</v>
      </c>
      <c r="K875">
        <f>_xlfn.XLOOKUP($F875,設計座標!$E$13:$E$2301,設計座標!$I$13:$I$2301,"n/a",0,1)</f>
        <v>-15212.002095460064</v>
      </c>
      <c r="L875">
        <f>_xlfn.XLOOKUP($F875,設計座標!$E$13:$E$2301,設計座標!$J$13:$J$2301,"n/a",0,1)</f>
        <v>-270</v>
      </c>
      <c r="M875" s="2">
        <f t="shared" si="649"/>
        <v>-14996.146689905416</v>
      </c>
      <c r="N875" s="2">
        <f t="shared" si="650"/>
        <v>-15212.002095460064</v>
      </c>
      <c r="O875" s="23">
        <f t="shared" si="651"/>
        <v>-269.72882214828701</v>
      </c>
      <c r="P875" s="1">
        <f t="shared" si="670"/>
        <v>-270.47551432309086</v>
      </c>
      <c r="Q875" s="1">
        <f t="shared" si="669"/>
        <v>3.8533100945840175</v>
      </c>
      <c r="R875">
        <f t="shared" si="643"/>
        <v>0</v>
      </c>
      <c r="S875" s="23">
        <f t="shared" si="668"/>
        <v>0.27117785171300957</v>
      </c>
      <c r="T875">
        <f>$S875+測地線補正!$Q$26*(lattice!$N875/1000)^3+測地線補正!$P$26*(lattice!$N875/1000)^2+測地線補正!$O$26*(lattice!$N875/1000)+測地線補正!$N$26</f>
        <v>-0.4755143230908504</v>
      </c>
      <c r="U875">
        <v>0</v>
      </c>
      <c r="V875">
        <v>0</v>
      </c>
      <c r="W875">
        <v>0</v>
      </c>
      <c r="X875" t="s">
        <v>3860</v>
      </c>
      <c r="Y875">
        <f>_xlfn.XLOOKUP($F875,設計座標!$E$13:$E$2301,設計座標!$L$13:$L$2301," ",0,1)</f>
        <v>428</v>
      </c>
      <c r="Z875">
        <f>SQRT(($M$875-$M$874)^2+($N$875-$N$874)^2)</f>
        <v>501.22700289129892</v>
      </c>
      <c r="AA875">
        <f>_xlfn.XLOOKUP($G875,magnet_list!$A$2:$A$592,magnet_list!$AJ$2:$AJ$592,"n/a",0,1)</f>
        <v>0.51205873564690307</v>
      </c>
      <c r="AB875">
        <f>_xlfn.XLOOKUP($G875,magnet_list!$A$2:$A$592,magnet_list!$L$2:$L$592,"n/a",0,1)</f>
        <v>200</v>
      </c>
    </row>
    <row r="876" spans="1:30">
      <c r="A876" t="s">
        <v>797</v>
      </c>
      <c r="B876">
        <v>1</v>
      </c>
      <c r="C876" t="s">
        <v>804</v>
      </c>
      <c r="D876" t="s">
        <v>1152</v>
      </c>
      <c r="E876" t="s">
        <v>804</v>
      </c>
      <c r="F876" t="s">
        <v>1833</v>
      </c>
      <c r="G876" t="s">
        <v>2528</v>
      </c>
      <c r="I876">
        <f>_xlfn.XLOOKUP($F876,設計座標!$E$13:$E$2301,設計座標!$G$13:$G$2301,"n/a",0,1)</f>
        <v>279.85479916136887</v>
      </c>
      <c r="J876">
        <f>_xlfn.XLOOKUP($F876,設計座標!$E$13:$E$2301,設計座標!$H$13:$H$2301,"n/a",0,1)</f>
        <v>-15000</v>
      </c>
      <c r="K876">
        <f>_xlfn.XLOOKUP($F876,設計座標!$E$13:$E$2301,設計座標!$I$13:$I$2301,"n/a",0,1)</f>
        <v>-15392.741695460065</v>
      </c>
      <c r="L876">
        <f>_xlfn.XLOOKUP($F876,設計座標!$E$13:$E$2301,設計座標!$J$13:$J$2301,"n/a",0,1)</f>
        <v>-270</v>
      </c>
      <c r="M876" s="2">
        <f t="shared" si="649"/>
        <v>-14996.127276687712</v>
      </c>
      <c r="N876" s="2">
        <f t="shared" si="650"/>
        <v>-15392.741695460065</v>
      </c>
      <c r="O876" s="23">
        <f t="shared" si="651"/>
        <v>-269.73773767254653</v>
      </c>
      <c r="P876" s="1">
        <f t="shared" si="670"/>
        <v>-270.47682312345182</v>
      </c>
      <c r="Q876" s="1">
        <f t="shared" si="669"/>
        <v>3.8727233122878992</v>
      </c>
      <c r="R876">
        <f t="shared" ref="R876:R940" si="671">$N876-$K876</f>
        <v>0</v>
      </c>
      <c r="S876" s="23">
        <f t="shared" si="668"/>
        <v>0.26226232745345091</v>
      </c>
      <c r="T876">
        <f>$S876+測地線補正!$Q$26*(lattice!$N876/1000)^3+測地線補正!$P$26*(lattice!$N876/1000)^2+測地線補正!$O$26*(lattice!$N876/1000)+測地線補正!$N$26</f>
        <v>-0.47682312345180411</v>
      </c>
      <c r="U876">
        <f>-ATAN(($P$876-$P$870)/ABS($N$876-$N$870))</f>
        <v>6.9804299561390929E-6</v>
      </c>
      <c r="V876">
        <v>0</v>
      </c>
      <c r="W876">
        <f>ATAN(($M$876-$M$870)/ABS($N$876-$N$870))</f>
        <v>1.0740987381408797E-4</v>
      </c>
      <c r="X876" t="s">
        <v>3860</v>
      </c>
      <c r="Y876">
        <f>_xlfn.XLOOKUP($F876,設計座標!$E$13:$E$2301,設計座標!$L$13:$L$2301," ",0,1)</f>
        <v>1889.4492</v>
      </c>
      <c r="Z876">
        <f>SQRT(($M$873-$M$872)^2+($N$873-$N$872)^2)</f>
        <v>248.46800143327548</v>
      </c>
    </row>
    <row r="877" spans="1:30">
      <c r="A877" t="s">
        <v>797</v>
      </c>
      <c r="B877">
        <v>1</v>
      </c>
      <c r="C877" t="s">
        <v>1152</v>
      </c>
      <c r="D877" t="s">
        <v>1152</v>
      </c>
      <c r="E877" t="s">
        <v>804</v>
      </c>
      <c r="F877" t="s">
        <v>2052</v>
      </c>
      <c r="G877" t="s">
        <v>2052</v>
      </c>
      <c r="I877">
        <f>_xlfn.XLOOKUP($F877,設計座標!$E$13:$E$2301,設計座標!$G$13:$G$2301,"n/a",0,1)</f>
        <v>280.0702150613692</v>
      </c>
      <c r="J877">
        <f>_xlfn.XLOOKUP($F877,設計座標!$E$13:$E$2301,設計座標!$H$13:$H$2301,"n/a",0,1)</f>
        <v>-15000</v>
      </c>
      <c r="K877">
        <f>_xlfn.XLOOKUP($F877,設計座標!$E$13:$E$2301,設計座標!$I$13:$I$2301,"n/a",0,1)</f>
        <v>-15608.157595460065</v>
      </c>
      <c r="L877">
        <f>_xlfn.XLOOKUP($F877,設計座標!$E$13:$E$2301,設計座標!$J$13:$J$2301,"n/a",0,1)</f>
        <v>-270</v>
      </c>
      <c r="M877" s="2">
        <f t="shared" si="649"/>
        <v>-14996.104138892986</v>
      </c>
      <c r="N877" s="2">
        <f t="shared" si="650"/>
        <v>-15608.157595460065</v>
      </c>
      <c r="O877" s="23">
        <f t="shared" si="651"/>
        <v>-269.74836370957632</v>
      </c>
      <c r="P877" s="1">
        <f t="shared" si="670"/>
        <v>-270.4783960345892</v>
      </c>
      <c r="Q877" s="1">
        <f t="shared" si="669"/>
        <v>3.895861107013447</v>
      </c>
      <c r="R877">
        <f t="shared" si="671"/>
        <v>0</v>
      </c>
      <c r="S877" s="23">
        <f t="shared" si="668"/>
        <v>0.2516362904236874</v>
      </c>
      <c r="T877">
        <f>$S877+測地線補正!$Q$26*(lattice!$N877/1000)^3+測地線補正!$P$26*(lattice!$N877/1000)^2+測地線補正!$O$26*(lattice!$N877/1000)+測地線補正!$N$26</f>
        <v>-0.47839603458921676</v>
      </c>
      <c r="U877">
        <v>0</v>
      </c>
      <c r="V877">
        <v>0</v>
      </c>
      <c r="W877">
        <v>0</v>
      </c>
      <c r="X877" t="s">
        <v>3860</v>
      </c>
      <c r="Y877">
        <f>_xlfn.XLOOKUP($F877,設計座標!$E$13:$E$2301,設計座標!$L$13:$L$2301," ",0,1)</f>
        <v>0</v>
      </c>
      <c r="Z877">
        <f>SQRT(($M$877-$M$875)^2+($N$877-$N$875)^2)</f>
        <v>396.15550228520021</v>
      </c>
    </row>
    <row r="878" spans="1:30">
      <c r="A878" t="s">
        <v>797</v>
      </c>
      <c r="B878">
        <v>1</v>
      </c>
      <c r="C878" t="s">
        <v>3855</v>
      </c>
      <c r="D878" t="s">
        <v>1152</v>
      </c>
      <c r="E878" t="s">
        <v>804</v>
      </c>
      <c r="F878" t="s">
        <v>2053</v>
      </c>
      <c r="G878" t="s">
        <v>2533</v>
      </c>
      <c r="I878">
        <f>_xlfn.XLOOKUP($F878,設計座標!$E$13:$E$2301,設計座標!$G$13:$G$2301,"n/a",0,1)</f>
        <v>280.21621456136916</v>
      </c>
      <c r="J878">
        <f>_xlfn.XLOOKUP($F878,設計座標!$E$13:$E$2301,設計座標!$H$13:$H$2301,"n/a",0,1)</f>
        <v>-15000</v>
      </c>
      <c r="K878">
        <f>_xlfn.XLOOKUP($F878,設計座標!$E$13:$E$2301,設計座標!$I$13:$I$2301,"n/a",0,1)</f>
        <v>-15754.157095460065</v>
      </c>
      <c r="L878">
        <f>_xlfn.XLOOKUP($F878,設計座標!$E$13:$E$2301,設計座標!$J$13:$J$2301,"n/a",0,1)</f>
        <v>-270</v>
      </c>
      <c r="M878" s="2">
        <f t="shared" si="649"/>
        <v>-14996.088457105054</v>
      </c>
      <c r="N878" s="2">
        <f t="shared" si="650"/>
        <v>-15754.157095460065</v>
      </c>
      <c r="O878" s="23">
        <f t="shared" si="651"/>
        <v>-269.75556557393884</v>
      </c>
      <c r="P878" s="1">
        <f t="shared" si="670"/>
        <v>-270.4794701239183</v>
      </c>
      <c r="Q878" s="1">
        <f t="shared" si="669"/>
        <v>3.9115428949456872</v>
      </c>
      <c r="R878">
        <f t="shared" si="671"/>
        <v>0</v>
      </c>
      <c r="S878" s="23">
        <f t="shared" si="668"/>
        <v>0.24443442606118226</v>
      </c>
      <c r="T878">
        <f>$S878+測地線補正!$Q$26*(lattice!$N878/1000)^3+測地線補正!$P$26*(lattice!$N878/1000)^2+測地線補正!$O$26*(lattice!$N878/1000)+測地線補正!$N$26</f>
        <v>-0.47947012391829014</v>
      </c>
      <c r="U878">
        <v>0</v>
      </c>
      <c r="V878">
        <v>0</v>
      </c>
      <c r="W878">
        <v>0</v>
      </c>
      <c r="X878">
        <f>SQRT(($M$878-$M$875)^2+($N$878-$N$875)^2)-($Y$878+$Y$875)/2</f>
        <v>114.65500312738959</v>
      </c>
      <c r="Y878">
        <f>_xlfn.XLOOKUP($F878,設計座標!$E$13:$E$2301,設計座標!$L$13:$L$2301," ",0,1)</f>
        <v>427</v>
      </c>
      <c r="Z878">
        <f>SQRT(($M$878-$M$877)^2+($N$878-$N$877)^2)</f>
        <v>145.99950084218932</v>
      </c>
      <c r="AA878">
        <f>_xlfn.XLOOKUP($G878,magnet_list!$A$2:$A$592,magnet_list!$AJ$2:$AJ$592,"n/a",0,1)</f>
        <v>0.5016829898586288</v>
      </c>
      <c r="AB878">
        <f>_xlfn.XLOOKUP($G878,magnet_list!$A$2:$A$592,magnet_list!$L$2:$L$592,"n/a",0,1)</f>
        <v>200</v>
      </c>
      <c r="AD878" t="s">
        <v>3871</v>
      </c>
    </row>
    <row r="879" spans="1:30">
      <c r="A879" t="s">
        <v>797</v>
      </c>
      <c r="B879">
        <v>1</v>
      </c>
      <c r="C879" t="s">
        <v>3857</v>
      </c>
      <c r="D879" t="s">
        <v>1152</v>
      </c>
      <c r="E879" t="s">
        <v>804</v>
      </c>
      <c r="F879" t="s">
        <v>2286</v>
      </c>
      <c r="G879" t="s">
        <v>2286</v>
      </c>
      <c r="I879">
        <f>_xlfn.XLOOKUP($F879,設計座標!$E$13:$E$2301,設計座標!$G$13:$G$2301,"n/a",0,1)</f>
        <v>280.23641456136914</v>
      </c>
      <c r="J879">
        <f>_xlfn.XLOOKUP($F879,設計座標!$E$13:$E$2301,設計座標!$H$13:$H$2301,"n/a",0,1)</f>
        <v>-15000</v>
      </c>
      <c r="K879">
        <f>_xlfn.XLOOKUP($F879,設計座標!$E$13:$E$2301,設計座標!$I$13:$I$2301,"n/a",0,1)</f>
        <v>-15774.357095460065</v>
      </c>
      <c r="L879">
        <f>_xlfn.XLOOKUP($F879,設計座標!$E$13:$E$2301,設計座標!$J$13:$J$2301,"n/a",0,1)</f>
        <v>-270</v>
      </c>
      <c r="M879" s="2">
        <f t="shared" si="649"/>
        <v>-14996.086287425594</v>
      </c>
      <c r="N879" s="2">
        <f t="shared" si="650"/>
        <v>-15774.357095460065</v>
      </c>
      <c r="O879" s="23">
        <f t="shared" si="651"/>
        <v>-269.75656199968086</v>
      </c>
      <c r="P879" s="1">
        <f t="shared" si="670"/>
        <v>-270.47961924259465</v>
      </c>
      <c r="Q879" s="1">
        <f t="shared" si="669"/>
        <v>3.9137125744050771</v>
      </c>
      <c r="R879">
        <f t="shared" si="671"/>
        <v>0</v>
      </c>
      <c r="S879" s="23">
        <f t="shared" si="668"/>
        <v>0.24343800031915841</v>
      </c>
      <c r="T879">
        <f>$S879+測地線補正!$Q$26*(lattice!$N879/1000)^3+測地線補正!$P$26*(lattice!$N879/1000)^2+測地線補正!$O$26*(lattice!$N879/1000)+測地線補正!$N$26</f>
        <v>-0.47961924259463229</v>
      </c>
      <c r="U879">
        <v>0</v>
      </c>
      <c r="V879">
        <v>0</v>
      </c>
      <c r="W879">
        <v>0</v>
      </c>
      <c r="X879" t="s">
        <v>3860</v>
      </c>
      <c r="Y879">
        <f>_xlfn.XLOOKUP($F879,設計座標!$E$13:$E$2301,設計座標!$L$13:$L$2301," ",0,1)</f>
        <v>305</v>
      </c>
      <c r="Z879">
        <f>SQRT(($M$879-$M$878)^2+($N$879-$N$878)^2)</f>
        <v>20.200000116523228</v>
      </c>
      <c r="AA879">
        <f>_xlfn.XLOOKUP($G879,magnet_list!$A$2:$A$592,magnet_list!$AJ$2:$AJ$592,"n/a",0,1)</f>
        <v>0.22205</v>
      </c>
      <c r="AB879">
        <f>_xlfn.XLOOKUP($G879,magnet_list!$A$2:$A$592,magnet_list!$L$2:$L$592,"n/a",0,1)</f>
        <v>70</v>
      </c>
    </row>
    <row r="880" spans="1:30">
      <c r="A880" t="s">
        <v>797</v>
      </c>
      <c r="B880">
        <v>1</v>
      </c>
      <c r="C880" t="s">
        <v>804</v>
      </c>
      <c r="D880" t="s">
        <v>1152</v>
      </c>
      <c r="E880" t="s">
        <v>804</v>
      </c>
      <c r="F880" t="s">
        <v>1582</v>
      </c>
      <c r="G880" t="s">
        <v>2534</v>
      </c>
      <c r="I880">
        <f>_xlfn.XLOOKUP($F880,設計座標!$E$13:$E$2301,設計座標!$G$13:$G$2301,"n/a",0,1)</f>
        <v>280.56334096136897</v>
      </c>
      <c r="J880">
        <f>_xlfn.XLOOKUP($F880,設計座標!$E$13:$E$2301,設計座標!$H$13:$H$2301,"n/a",0,1)</f>
        <v>-15000</v>
      </c>
      <c r="K880">
        <f>_xlfn.XLOOKUP($F880,設計座標!$E$13:$E$2301,設計座標!$I$13:$I$2301,"n/a",0,1)</f>
        <v>-16101.283495460064</v>
      </c>
      <c r="L880">
        <f>_xlfn.XLOOKUP($F880,設計座標!$E$13:$E$2301,設計座標!$J$13:$J$2301,"n/a",0,1)</f>
        <v>-270</v>
      </c>
      <c r="M880" s="2">
        <f t="shared" si="649"/>
        <v>-14996.05117230209</v>
      </c>
      <c r="N880" s="2">
        <f t="shared" si="650"/>
        <v>-16101.283495460064</v>
      </c>
      <c r="O880" s="23">
        <f t="shared" si="651"/>
        <v>-269.77268862743864</v>
      </c>
      <c r="P880" s="1">
        <f t="shared" si="670"/>
        <v>-270.48204992563592</v>
      </c>
      <c r="Q880" s="1">
        <f t="shared" si="669"/>
        <v>3.9488276979106409</v>
      </c>
      <c r="R880">
        <f t="shared" si="671"/>
        <v>0</v>
      </c>
      <c r="S880" s="23">
        <f t="shared" si="668"/>
        <v>0.2273113725613779</v>
      </c>
      <c r="T880">
        <f>$S880+測地線補正!$Q$26*(lattice!$N880/1000)^3+測地線補正!$P$26*(lattice!$N880/1000)^2+測地線補正!$O$26*(lattice!$N880/1000)+測地線補正!$N$26</f>
        <v>-0.4820499256359424</v>
      </c>
      <c r="U880">
        <f>-ATAN(($P$886-$P$880)/ABS($N$886-$N$880))</f>
        <v>7.7716758408428394E-6</v>
      </c>
      <c r="V880">
        <v>0</v>
      </c>
      <c r="W880">
        <f>ATAN(($M$886-$M$880)/ABS($N$886-$N$880))</f>
        <v>1.0740987381408786E-4</v>
      </c>
      <c r="X880" t="s">
        <v>3860</v>
      </c>
      <c r="Y880">
        <f>_xlfn.XLOOKUP($F880,設計座標!$E$13:$E$2301,設計座標!$L$13:$L$2301," ",0,1)</f>
        <v>1889.4492</v>
      </c>
      <c r="Z880">
        <f>SQRT(($M$883-$M$882)^2+($N$883-$N$882)^2)</f>
        <v>248.46800143327363</v>
      </c>
    </row>
    <row r="881" spans="1:30">
      <c r="A881" t="s">
        <v>797</v>
      </c>
      <c r="B881">
        <v>1</v>
      </c>
      <c r="C881" t="s">
        <v>3855</v>
      </c>
      <c r="D881" t="s">
        <v>1152</v>
      </c>
      <c r="E881" t="s">
        <v>804</v>
      </c>
      <c r="F881" t="s">
        <v>2054</v>
      </c>
      <c r="G881" t="s">
        <v>2535</v>
      </c>
      <c r="I881">
        <f>_xlfn.XLOOKUP($F881,設計座標!$E$13:$E$2301,設計座標!$G$13:$G$2301,"n/a",0,1)</f>
        <v>280.75837056136913</v>
      </c>
      <c r="J881">
        <f>_xlfn.XLOOKUP($F881,設計座標!$E$13:$E$2301,設計座標!$H$13:$H$2301,"n/a",0,1)</f>
        <v>-15000</v>
      </c>
      <c r="K881">
        <f>_xlfn.XLOOKUP($F881,設計座標!$E$13:$E$2301,設計座標!$I$13:$I$2301,"n/a",0,1)</f>
        <v>-16296.313095460064</v>
      </c>
      <c r="L881">
        <f>_xlfn.XLOOKUP($F881,設計座標!$E$13:$E$2301,設計座標!$J$13:$J$2301,"n/a",0,1)</f>
        <v>-270</v>
      </c>
      <c r="M881" s="2">
        <f t="shared" ref="M881:M908" si="672">$J881+$Q881</f>
        <v>-14996.030224197282</v>
      </c>
      <c r="N881" s="2">
        <f t="shared" ref="N881:N908" si="673">$K881</f>
        <v>-16296.313095460064</v>
      </c>
      <c r="O881" s="23">
        <f t="shared" ref="O881:O908" si="674">$L881+$S881</f>
        <v>-269.78230904891865</v>
      </c>
      <c r="P881" s="1">
        <f t="shared" si="670"/>
        <v>-270.48351545072103</v>
      </c>
      <c r="Q881" s="1">
        <f t="shared" si="669"/>
        <v>3.9697758027172299</v>
      </c>
      <c r="R881">
        <f t="shared" si="671"/>
        <v>0</v>
      </c>
      <c r="S881" s="23">
        <f t="shared" si="668"/>
        <v>0.21769095108134806</v>
      </c>
      <c r="T881">
        <f>$S881+測地線補正!$Q$26*(lattice!$N881/1000)^3+測地線補正!$P$26*(lattice!$N881/1000)^2+測地線補正!$O$26*(lattice!$N881/1000)+測地線補正!$N$26</f>
        <v>-0.4835154507210434</v>
      </c>
      <c r="U881">
        <v>0</v>
      </c>
      <c r="V881">
        <v>0</v>
      </c>
      <c r="W881">
        <v>0</v>
      </c>
      <c r="X881">
        <f>SQRT(($M$881-$M$878)^2+($N$881-$N$878)^2)-($Y$881+$Y$878)/2</f>
        <v>114.65600312739377</v>
      </c>
      <c r="Y881">
        <f>_xlfn.XLOOKUP($F881,設計座標!$E$13:$E$2301,設計座標!$L$13:$L$2301," ",0,1)</f>
        <v>428</v>
      </c>
      <c r="Z881">
        <f>SQRT(($M$881-$M$879)^2+($N$881-$N$879)^2)</f>
        <v>521.9560030108704</v>
      </c>
      <c r="AA881">
        <f>_xlfn.XLOOKUP($G881,magnet_list!$A$2:$A$592,magnet_list!$AJ$2:$AJ$592,"n/a",0,1)</f>
        <v>0.51205873564690307</v>
      </c>
      <c r="AB881">
        <f>_xlfn.XLOOKUP($G881,magnet_list!$A$2:$A$592,magnet_list!$L$2:$L$592,"n/a",0,1)</f>
        <v>200</v>
      </c>
      <c r="AD881" t="s">
        <v>3872</v>
      </c>
    </row>
    <row r="882" spans="1:30">
      <c r="A882" t="s">
        <v>797</v>
      </c>
      <c r="B882">
        <v>1</v>
      </c>
      <c r="C882" t="s">
        <v>3855</v>
      </c>
      <c r="D882" t="s">
        <v>1152</v>
      </c>
      <c r="E882" t="s">
        <v>804</v>
      </c>
      <c r="F882" t="s">
        <v>2055</v>
      </c>
      <c r="G882" t="s">
        <v>2536</v>
      </c>
      <c r="I882">
        <f>_xlfn.XLOOKUP($F882,設計座標!$E$13:$E$2301,設計座標!$G$13:$G$2301,"n/a",0,1)</f>
        <v>281.25959756136911</v>
      </c>
      <c r="J882">
        <f>_xlfn.XLOOKUP($F882,設計座標!$E$13:$E$2301,設計座標!$H$13:$H$2301,"n/a",0,1)</f>
        <v>-15000</v>
      </c>
      <c r="K882">
        <f>_xlfn.XLOOKUP($F882,設計座標!$E$13:$E$2301,設計座標!$I$13:$I$2301,"n/a",0,1)</f>
        <v>-16797.540095460063</v>
      </c>
      <c r="L882">
        <f>_xlfn.XLOOKUP($F882,設計座標!$E$13:$E$2301,設計座標!$J$13:$J$2301,"n/a",0,1)</f>
        <v>-270</v>
      </c>
      <c r="M882" s="2">
        <f t="shared" si="672"/>
        <v>-14995.976387468254</v>
      </c>
      <c r="N882" s="2">
        <f t="shared" si="673"/>
        <v>-16797.540095460063</v>
      </c>
      <c r="O882" s="23">
        <f t="shared" si="674"/>
        <v>-269.80703357789872</v>
      </c>
      <c r="P882" s="1">
        <f t="shared" si="670"/>
        <v>-270.48733490782519</v>
      </c>
      <c r="Q882" s="1">
        <f t="shared" si="669"/>
        <v>4.0236125317465268</v>
      </c>
      <c r="R882">
        <f t="shared" si="671"/>
        <v>0</v>
      </c>
      <c r="S882" s="23">
        <f t="shared" si="668"/>
        <v>0.19296642210128079</v>
      </c>
      <c r="T882">
        <f>$S882+測地線補正!$Q$26*(lattice!$N882/1000)^3+測地線補正!$P$26*(lattice!$N882/1000)^2+測地線補正!$O$26*(lattice!$N882/1000)+測地線補正!$N$26</f>
        <v>-0.48733490782521272</v>
      </c>
      <c r="U882">
        <v>0</v>
      </c>
      <c r="V882">
        <v>0</v>
      </c>
      <c r="W882">
        <v>0</v>
      </c>
      <c r="X882" t="s">
        <v>3860</v>
      </c>
      <c r="Y882">
        <f>_xlfn.XLOOKUP($F882,設計座標!$E$13:$E$2301,設計座標!$L$13:$L$2301," ",0,1)</f>
        <v>447</v>
      </c>
      <c r="Z882">
        <f>SQRT(($M$882-$M$881)^2+($N$882-$N$881)^2)</f>
        <v>501.2270028912971</v>
      </c>
      <c r="AA882">
        <f>_xlfn.XLOOKUP($G882,magnet_list!$A$2:$A$592,magnet_list!$AJ$2:$AJ$592,"n/a",0,1)</f>
        <v>0.51205873564690307</v>
      </c>
      <c r="AB882">
        <f>_xlfn.XLOOKUP($G882,magnet_list!$A$2:$A$592,magnet_list!$L$2:$L$592,"n/a",0,1)</f>
        <v>200</v>
      </c>
    </row>
    <row r="883" spans="1:30">
      <c r="A883" t="s">
        <v>797</v>
      </c>
      <c r="B883">
        <v>1</v>
      </c>
      <c r="C883" t="s">
        <v>804</v>
      </c>
      <c r="D883" t="s">
        <v>1152</v>
      </c>
      <c r="E883" t="s">
        <v>804</v>
      </c>
      <c r="F883" t="s">
        <v>1245</v>
      </c>
      <c r="G883" t="s">
        <v>2534</v>
      </c>
      <c r="I883">
        <f>_xlfn.XLOOKUP($F883,設計座標!$E$13:$E$2301,設計座標!$G$13:$G$2301,"n/a",0,1)</f>
        <v>281.50806556136894</v>
      </c>
      <c r="J883">
        <f>_xlfn.XLOOKUP($F883,設計座標!$E$13:$E$2301,設計座標!$H$13:$H$2301,"n/a",0,1)</f>
        <v>-15000</v>
      </c>
      <c r="K883">
        <f>_xlfn.XLOOKUP($F883,設計座標!$E$13:$E$2301,設計座標!$I$13:$I$2301,"n/a",0,1)</f>
        <v>-17046.008095460063</v>
      </c>
      <c r="L883">
        <f>_xlfn.XLOOKUP($F883,設計座標!$E$13:$E$2301,設計座標!$J$13:$J$2301,"n/a",0,1)</f>
        <v>-270</v>
      </c>
      <c r="M883" s="2">
        <f t="shared" si="672"/>
        <v>-14995.949699551624</v>
      </c>
      <c r="N883" s="2">
        <f t="shared" si="673"/>
        <v>-17046.008095460063</v>
      </c>
      <c r="O883" s="23">
        <f t="shared" si="674"/>
        <v>-269.81929000914965</v>
      </c>
      <c r="P883" s="1">
        <f t="shared" si="670"/>
        <v>-270.48925657999604</v>
      </c>
      <c r="Q883" s="1">
        <f t="shared" si="669"/>
        <v>4.0503004483760208</v>
      </c>
      <c r="R883">
        <f t="shared" si="671"/>
        <v>0</v>
      </c>
      <c r="S883" s="23">
        <f t="shared" si="668"/>
        <v>0.18070999085033179</v>
      </c>
      <c r="T883">
        <f>$S883+測地線補正!$Q$26*(lattice!$N883/1000)^3+測地線補正!$P$26*(lattice!$N883/1000)^2+測地線補正!$O$26*(lattice!$N883/1000)+測地線補正!$N$26</f>
        <v>-0.48925657999604955</v>
      </c>
      <c r="U883">
        <f>-ATAN(($P$886-$P$880)/ABS($N$886-$N$880))</f>
        <v>7.7716758408428394E-6</v>
      </c>
      <c r="V883">
        <v>0</v>
      </c>
      <c r="W883">
        <f>ATAN(($M$886-$M$880)/ABS($N$886-$N$880))</f>
        <v>1.0740987381408786E-4</v>
      </c>
      <c r="X883" t="s">
        <v>3860</v>
      </c>
      <c r="Y883">
        <f>_xlfn.XLOOKUP($F883,設計座標!$E$13:$E$2301,設計座標!$L$13:$L$2301," ",0,1)</f>
        <v>1889.4492</v>
      </c>
      <c r="Z883">
        <f>SQRT(($M$883-$M$882)^2+($N$883-$N$882)^2)</f>
        <v>248.46800143327363</v>
      </c>
    </row>
    <row r="884" spans="1:30">
      <c r="A884" t="s">
        <v>797</v>
      </c>
      <c r="B884">
        <v>1</v>
      </c>
      <c r="C884" t="s">
        <v>3855</v>
      </c>
      <c r="D884" t="s">
        <v>1152</v>
      </c>
      <c r="E884" t="s">
        <v>804</v>
      </c>
      <c r="F884" t="s">
        <v>2056</v>
      </c>
      <c r="G884" t="s">
        <v>2537</v>
      </c>
      <c r="I884">
        <f>_xlfn.XLOOKUP($F884,設計座標!$E$13:$E$2301,設計座標!$G$13:$G$2301,"n/a",0,1)</f>
        <v>281.77082356136913</v>
      </c>
      <c r="J884">
        <f>_xlfn.XLOOKUP($F884,設計座標!$E$13:$E$2301,設計座標!$H$13:$H$2301,"n/a",0,1)</f>
        <v>-15000</v>
      </c>
      <c r="K884">
        <f>_xlfn.XLOOKUP($F884,設計座標!$E$13:$E$2301,設計座標!$I$13:$I$2301,"n/a",0,1)</f>
        <v>-17308.766095460061</v>
      </c>
      <c r="L884">
        <f>_xlfn.XLOOKUP($F884,設計座標!$E$13:$E$2301,設計座標!$J$13:$J$2301,"n/a",0,1)</f>
        <v>-270</v>
      </c>
      <c r="M884" s="2">
        <f t="shared" si="672"/>
        <v>-14995.921476747892</v>
      </c>
      <c r="N884" s="2">
        <f t="shared" si="673"/>
        <v>-17308.766095460061</v>
      </c>
      <c r="O884" s="23">
        <f t="shared" si="674"/>
        <v>-269.83225133762107</v>
      </c>
      <c r="P884" s="1">
        <f t="shared" si="670"/>
        <v>-270.49130915655201</v>
      </c>
      <c r="Q884" s="1">
        <f t="shared" si="669"/>
        <v>4.0785232521082211</v>
      </c>
      <c r="R884">
        <f t="shared" si="671"/>
        <v>0</v>
      </c>
      <c r="S884" s="23">
        <f t="shared" si="668"/>
        <v>0.16774866237891162</v>
      </c>
      <c r="T884">
        <f>$S884+測地線補正!$Q$26*(lattice!$N884/1000)^3+測地線補正!$P$26*(lattice!$N884/1000)^2+測地線補正!$O$26*(lattice!$N884/1000)+測地線補正!$N$26</f>
        <v>-0.49130915655200691</v>
      </c>
      <c r="U884">
        <v>0</v>
      </c>
      <c r="V884">
        <v>0</v>
      </c>
      <c r="W884">
        <v>0</v>
      </c>
      <c r="X884" t="s">
        <v>3860</v>
      </c>
      <c r="Y884">
        <f>_xlfn.XLOOKUP($F884,設計座標!$E$13:$E$2301,設計座標!$L$13:$L$2301," ",0,1)</f>
        <v>447</v>
      </c>
      <c r="Z884">
        <f>SQRT(($M$884-$M$883)^2+($N$884-$N$883)^2)</f>
        <v>262.75800151570189</v>
      </c>
      <c r="AA884">
        <f>_xlfn.XLOOKUP($G884,magnet_list!$A$2:$A$592,magnet_list!$AJ$2:$AJ$592,"n/a",0,1)</f>
        <v>0.51205873564690307</v>
      </c>
      <c r="AB884">
        <f>_xlfn.XLOOKUP($G884,magnet_list!$A$2:$A$592,magnet_list!$L$2:$L$592,"n/a",0,1)</f>
        <v>200</v>
      </c>
    </row>
    <row r="885" spans="1:30">
      <c r="A885" t="s">
        <v>797</v>
      </c>
      <c r="B885">
        <v>1</v>
      </c>
      <c r="C885" t="s">
        <v>3855</v>
      </c>
      <c r="D885" t="s">
        <v>1152</v>
      </c>
      <c r="E885" t="s">
        <v>804</v>
      </c>
      <c r="F885" t="s">
        <v>2057</v>
      </c>
      <c r="G885" t="s">
        <v>2538</v>
      </c>
      <c r="I885">
        <f>_xlfn.XLOOKUP($F885,設計座標!$E$13:$E$2301,設計座標!$G$13:$G$2301,"n/a",0,1)</f>
        <v>282.2720505613691</v>
      </c>
      <c r="J885">
        <f>_xlfn.XLOOKUP($F885,設計座標!$E$13:$E$2301,設計座標!$H$13:$H$2301,"n/a",0,1)</f>
        <v>-15000</v>
      </c>
      <c r="K885">
        <f>_xlfn.XLOOKUP($F885,設計座標!$E$13:$E$2301,設計座標!$I$13:$I$2301,"n/a",0,1)</f>
        <v>-17809.99309546006</v>
      </c>
      <c r="L885">
        <f>_xlfn.XLOOKUP($F885,設計座標!$E$13:$E$2301,設計座標!$J$13:$J$2301,"n/a",0,1)</f>
        <v>-270</v>
      </c>
      <c r="M885" s="2">
        <f t="shared" si="672"/>
        <v>-14995.867640018863</v>
      </c>
      <c r="N885" s="2">
        <f t="shared" si="673"/>
        <v>-17809.99309546006</v>
      </c>
      <c r="O885" s="23">
        <f t="shared" si="674"/>
        <v>-269.85697586660115</v>
      </c>
      <c r="P885" s="1">
        <f t="shared" si="670"/>
        <v>-270.49528262909575</v>
      </c>
      <c r="Q885" s="1">
        <f t="shared" si="669"/>
        <v>4.1323599811375171</v>
      </c>
      <c r="R885">
        <f t="shared" si="671"/>
        <v>0</v>
      </c>
      <c r="S885" s="23">
        <f t="shared" si="668"/>
        <v>0.14302413339884434</v>
      </c>
      <c r="T885">
        <f>$S885+測地線補正!$Q$26*(lattice!$N885/1000)^3+測地線補正!$P$26*(lattice!$N885/1000)^2+測地線補正!$O$26*(lattice!$N885/1000)+測地線補正!$N$26</f>
        <v>-0.49528262909576948</v>
      </c>
      <c r="U885">
        <v>0</v>
      </c>
      <c r="V885">
        <v>0</v>
      </c>
      <c r="W885">
        <v>0</v>
      </c>
      <c r="X885" t="s">
        <v>3860</v>
      </c>
      <c r="Y885">
        <f>_xlfn.XLOOKUP($F885,設計座標!$E$13:$E$2301,設計座標!$L$13:$L$2301," ",0,1)</f>
        <v>428</v>
      </c>
      <c r="Z885">
        <f>SQRT(($M$885-$M$884)^2+($N$885-$N$884)^2)</f>
        <v>501.2270028912971</v>
      </c>
      <c r="AA885">
        <f>_xlfn.XLOOKUP($G885,magnet_list!$A$2:$A$592,magnet_list!$AJ$2:$AJ$592,"n/a",0,1)</f>
        <v>0.51205873564690307</v>
      </c>
      <c r="AB885">
        <f>_xlfn.XLOOKUP($G885,magnet_list!$A$2:$A$592,magnet_list!$L$2:$L$592,"n/a",0,1)</f>
        <v>200</v>
      </c>
    </row>
    <row r="886" spans="1:30">
      <c r="A886" t="s">
        <v>797</v>
      </c>
      <c r="B886">
        <v>1</v>
      </c>
      <c r="C886" t="s">
        <v>804</v>
      </c>
      <c r="D886" t="s">
        <v>1152</v>
      </c>
      <c r="E886" t="s">
        <v>804</v>
      </c>
      <c r="F886" t="s">
        <v>1583</v>
      </c>
      <c r="G886" t="s">
        <v>2534</v>
      </c>
      <c r="I886">
        <f>_xlfn.XLOOKUP($F886,設計座標!$E$13:$E$2301,設計座標!$G$13:$G$2301,"n/a",0,1)</f>
        <v>282.45279016136897</v>
      </c>
      <c r="J886">
        <f>_xlfn.XLOOKUP($F886,設計座標!$E$13:$E$2301,設計座標!$H$13:$H$2301,"n/a",0,1)</f>
        <v>-15000</v>
      </c>
      <c r="K886">
        <f>_xlfn.XLOOKUP($F886,設計座標!$E$13:$E$2301,設計座標!$I$13:$I$2301,"n/a",0,1)</f>
        <v>-17990.732695460065</v>
      </c>
      <c r="L886">
        <f>_xlfn.XLOOKUP($F886,設計座標!$E$13:$E$2301,設計座標!$J$13:$J$2301,"n/a",0,1)</f>
        <v>-270</v>
      </c>
      <c r="M886" s="2">
        <f t="shared" si="672"/>
        <v>-14995.848226801159</v>
      </c>
      <c r="N886" s="2">
        <f t="shared" si="673"/>
        <v>-17990.732695460065</v>
      </c>
      <c r="O886" s="23">
        <f t="shared" si="674"/>
        <v>-269.86589139086072</v>
      </c>
      <c r="P886" s="1">
        <f t="shared" si="670"/>
        <v>-270.49673411233636</v>
      </c>
      <c r="Q886" s="1">
        <f t="shared" si="669"/>
        <v>4.1517731988413997</v>
      </c>
      <c r="R886">
        <f t="shared" si="671"/>
        <v>0</v>
      </c>
      <c r="S886" s="23">
        <f t="shared" si="668"/>
        <v>0.13410860913928557</v>
      </c>
      <c r="T886">
        <f>$S886+測地線補正!$Q$26*(lattice!$N886/1000)^3+測地線補正!$P$26*(lattice!$N886/1000)^2+測地線補正!$O$26*(lattice!$N886/1000)+測地線補正!$N$26</f>
        <v>-0.49673411233638332</v>
      </c>
      <c r="U886">
        <f>-ATAN(($P$886-$P$880)/ABS($N$886-$N$880))</f>
        <v>7.7716758408428394E-6</v>
      </c>
      <c r="V886">
        <v>0</v>
      </c>
      <c r="W886">
        <f>ATAN(($M$886-$M$880)/ABS($N$886-$N$880))</f>
        <v>1.0740987381408786E-4</v>
      </c>
      <c r="X886" t="s">
        <v>3860</v>
      </c>
      <c r="Y886">
        <f>_xlfn.XLOOKUP($F886,設計座標!$E$13:$E$2301,設計座標!$L$13:$L$2301," ",0,1)</f>
        <v>1889.4492</v>
      </c>
      <c r="Z886">
        <f>SQRT(($M$883-$M$882)^2+($N$883-$N$882)^2)</f>
        <v>248.46800143327363</v>
      </c>
    </row>
    <row r="887" spans="1:30">
      <c r="A887" t="s">
        <v>797</v>
      </c>
      <c r="B887">
        <v>1</v>
      </c>
      <c r="C887" t="s">
        <v>1152</v>
      </c>
      <c r="D887" t="s">
        <v>1152</v>
      </c>
      <c r="E887" t="s">
        <v>804</v>
      </c>
      <c r="F887" t="s">
        <v>2058</v>
      </c>
      <c r="G887" t="s">
        <v>2058</v>
      </c>
      <c r="I887">
        <f>_xlfn.XLOOKUP($F887,設計座標!$E$13:$E$2301,設計座標!$G$13:$G$2301,"n/a",0,1)</f>
        <v>282.66820606136912</v>
      </c>
      <c r="J887">
        <f>_xlfn.XLOOKUP($F887,設計座標!$E$13:$E$2301,設計座標!$H$13:$H$2301,"n/a",0,1)</f>
        <v>-15000</v>
      </c>
      <c r="K887">
        <f>_xlfn.XLOOKUP($F887,設計座標!$E$13:$E$2301,設計座標!$I$13:$I$2301,"n/a",0,1)</f>
        <v>-18206.148595460061</v>
      </c>
      <c r="L887">
        <f>_xlfn.XLOOKUP($F887,設計座標!$E$13:$E$2301,設計座標!$J$13:$J$2301,"n/a",0,1)</f>
        <v>-270</v>
      </c>
      <c r="M887" s="2">
        <f t="shared" si="672"/>
        <v>-14995.825089006434</v>
      </c>
      <c r="N887" s="2">
        <f t="shared" si="673"/>
        <v>-18206.148595460061</v>
      </c>
      <c r="O887" s="23">
        <f t="shared" si="674"/>
        <v>-269.87651742789046</v>
      </c>
      <c r="P887" s="1">
        <f t="shared" si="670"/>
        <v>-270.49847699093129</v>
      </c>
      <c r="Q887" s="1">
        <f t="shared" si="669"/>
        <v>4.1749109935669466</v>
      </c>
      <c r="R887">
        <f t="shared" si="671"/>
        <v>0</v>
      </c>
      <c r="S887" s="23">
        <f t="shared" si="668"/>
        <v>0.12348257210952218</v>
      </c>
      <c r="T887">
        <f>$S887+測地線補正!$Q$26*(lattice!$N887/1000)^3+測地線補正!$P$26*(lattice!$N887/1000)^2+測地線補正!$O$26*(lattice!$N887/1000)+測地線補正!$N$26</f>
        <v>-0.4984769909312764</v>
      </c>
      <c r="U887">
        <v>0</v>
      </c>
      <c r="V887">
        <v>0</v>
      </c>
      <c r="W887">
        <v>0</v>
      </c>
      <c r="X887" t="s">
        <v>3860</v>
      </c>
      <c r="Y887">
        <f>_xlfn.XLOOKUP($F887,設計座標!$E$13:$E$2301,設計座標!$L$13:$L$2301," ",0,1)</f>
        <v>0</v>
      </c>
      <c r="Z887">
        <f>SQRT(($M$887-$M$885)^2+($N$887-$N$885)^2)</f>
        <v>396.15550228520021</v>
      </c>
    </row>
    <row r="888" spans="1:30">
      <c r="A888" t="s">
        <v>797</v>
      </c>
      <c r="B888">
        <v>1</v>
      </c>
      <c r="C888" t="s">
        <v>3855</v>
      </c>
      <c r="D888" t="s">
        <v>1152</v>
      </c>
      <c r="E888" t="s">
        <v>804</v>
      </c>
      <c r="F888" t="s">
        <v>2059</v>
      </c>
      <c r="G888" t="s">
        <v>2539</v>
      </c>
      <c r="I888">
        <f>_xlfn.XLOOKUP($F888,設計座標!$E$13:$E$2301,設計座標!$G$13:$G$2301,"n/a",0,1)</f>
        <v>282.81420556136908</v>
      </c>
      <c r="J888">
        <f>_xlfn.XLOOKUP($F888,設計座標!$E$13:$E$2301,設計座標!$H$13:$H$2301,"n/a",0,1)</f>
        <v>-15000</v>
      </c>
      <c r="K888">
        <f>_xlfn.XLOOKUP($F888,設計座標!$E$13:$E$2301,設計座標!$I$13:$I$2301,"n/a",0,1)</f>
        <v>-18352.148095460059</v>
      </c>
      <c r="L888">
        <f>_xlfn.XLOOKUP($F888,設計座標!$E$13:$E$2301,設計座標!$J$13:$J$2301,"n/a",0,1)</f>
        <v>-270</v>
      </c>
      <c r="M888" s="2">
        <f t="shared" si="672"/>
        <v>-14995.809407218501</v>
      </c>
      <c r="N888" s="2">
        <f t="shared" si="673"/>
        <v>-18352.148095460059</v>
      </c>
      <c r="O888" s="23">
        <f t="shared" si="674"/>
        <v>-269.88371929225298</v>
      </c>
      <c r="P888" s="1">
        <f t="shared" si="670"/>
        <v>-270.49966622098879</v>
      </c>
      <c r="Q888" s="1">
        <f t="shared" si="669"/>
        <v>4.1905927814991868</v>
      </c>
      <c r="R888">
        <f t="shared" si="671"/>
        <v>0</v>
      </c>
      <c r="S888" s="23">
        <f t="shared" si="668"/>
        <v>0.11628070774701715</v>
      </c>
      <c r="T888">
        <f>$S888+測地線補正!$Q$26*(lattice!$N888/1000)^3+測地線補正!$P$26*(lattice!$N888/1000)^2+測地線補正!$O$26*(lattice!$N888/1000)+測地線補正!$N$26</f>
        <v>-0.49966622098877866</v>
      </c>
      <c r="U888">
        <v>0</v>
      </c>
      <c r="V888">
        <v>0</v>
      </c>
      <c r="W888">
        <v>0</v>
      </c>
      <c r="X888">
        <f>SQRT(($M$888-$M$885)^2+($N$888-$N$885)^2)-($Y$888+$Y$885)/2</f>
        <v>114.65500312738777</v>
      </c>
      <c r="Y888">
        <f>_xlfn.XLOOKUP($F888,設計座標!$E$13:$E$2301,設計座標!$L$13:$L$2301," ",0,1)</f>
        <v>427</v>
      </c>
      <c r="Z888">
        <f>SQRT(($M$888-$M$887)^2+($N$888-$N$887)^2)</f>
        <v>145.9995008421875</v>
      </c>
      <c r="AA888">
        <f>_xlfn.XLOOKUP($G888,magnet_list!$A$2:$A$592,magnet_list!$AJ$2:$AJ$592,"n/a",0,1)</f>
        <v>0.5016829898586288</v>
      </c>
      <c r="AB888">
        <f>_xlfn.XLOOKUP($G888,magnet_list!$A$2:$A$592,magnet_list!$L$2:$L$592,"n/a",0,1)</f>
        <v>200</v>
      </c>
      <c r="AD888" t="s">
        <v>3873</v>
      </c>
    </row>
    <row r="889" spans="1:30">
      <c r="A889" t="s">
        <v>797</v>
      </c>
      <c r="B889">
        <v>1</v>
      </c>
      <c r="C889" t="s">
        <v>3857</v>
      </c>
      <c r="D889" t="s">
        <v>1152</v>
      </c>
      <c r="E889" t="s">
        <v>804</v>
      </c>
      <c r="F889" t="s">
        <v>3875</v>
      </c>
      <c r="G889" t="s">
        <v>3875</v>
      </c>
      <c r="I889">
        <f>_xlfn.XLOOKUP($F889,設計座標!$E$13:$E$2301,設計座標!$G$13:$G$2301,"n/a",0,1)</f>
        <v>282.83440556136907</v>
      </c>
      <c r="J889">
        <f>_xlfn.XLOOKUP($F889,設計座標!$E$13:$E$2301,設計座標!$H$13:$H$2301,"n/a",0,1)</f>
        <v>-15000</v>
      </c>
      <c r="K889">
        <f>_xlfn.XLOOKUP($F889,設計座標!$E$13:$E$2301,設計座標!$I$13:$I$2301,"n/a",0,1)</f>
        <v>-18372.34809546006</v>
      </c>
      <c r="L889">
        <f>_xlfn.XLOOKUP($F889,設計座標!$E$13:$E$2301,設計座標!$J$13:$J$2301,"n/a",0,1)</f>
        <v>-270</v>
      </c>
      <c r="M889" s="2">
        <f t="shared" si="672"/>
        <v>-14995.807237539042</v>
      </c>
      <c r="N889" s="2">
        <f t="shared" si="673"/>
        <v>-18372.34809546006</v>
      </c>
      <c r="O889" s="23">
        <f t="shared" si="674"/>
        <v>-269.88471571799499</v>
      </c>
      <c r="P889" s="1">
        <f t="shared" si="670"/>
        <v>-270.49983126659902</v>
      </c>
      <c r="Q889" s="1">
        <f t="shared" si="669"/>
        <v>4.1927624609585763</v>
      </c>
      <c r="R889">
        <f t="shared" si="671"/>
        <v>0</v>
      </c>
      <c r="S889" s="23">
        <f t="shared" si="668"/>
        <v>0.1152842820049933</v>
      </c>
      <c r="T889">
        <f>$S889+測地線補正!$Q$26*(lattice!$N889/1000)^3+測地線補正!$P$26*(lattice!$N889/1000)^2+測地線補正!$O$26*(lattice!$N889/1000)+測地線補正!$N$26</f>
        <v>-0.49983126659900246</v>
      </c>
      <c r="U889">
        <v>0</v>
      </c>
      <c r="V889">
        <v>0</v>
      </c>
      <c r="W889">
        <v>0</v>
      </c>
      <c r="X889" t="s">
        <v>3860</v>
      </c>
      <c r="Y889">
        <f>_xlfn.XLOOKUP($F889,設計座標!$E$13:$E$2301,設計座標!$L$13:$L$2301," ",0,1)</f>
        <v>305</v>
      </c>
      <c r="AA889">
        <f>_xlfn.XLOOKUP($G$889,magnet_list!$A$2:$A$592,magnet_list!$AJ$2:$AJ$592,"n/a",0,1)</f>
        <v>0.22205</v>
      </c>
      <c r="AB889">
        <f>_xlfn.XLOOKUP($G$889,magnet_list!$A$2:$A$592,magnet_list!$L$2:$L$592,"n/a",0,1)</f>
        <v>70</v>
      </c>
    </row>
    <row r="890" spans="1:30">
      <c r="A890" t="s">
        <v>797</v>
      </c>
      <c r="B890">
        <v>1</v>
      </c>
      <c r="C890" t="s">
        <v>804</v>
      </c>
      <c r="D890" t="s">
        <v>1152</v>
      </c>
      <c r="E890" t="s">
        <v>804</v>
      </c>
      <c r="F890" t="s">
        <v>1584</v>
      </c>
      <c r="G890" t="s">
        <v>2540</v>
      </c>
      <c r="I890">
        <f>_xlfn.XLOOKUP($F890,設計座標!$E$13:$E$2301,設計座標!$G$13:$G$2301,"n/a",0,1)</f>
        <v>283.16133196136889</v>
      </c>
      <c r="J890">
        <f>_xlfn.XLOOKUP($F890,設計座標!$E$13:$E$2301,設計座標!$H$13:$H$2301,"n/a",0,1)</f>
        <v>-15000</v>
      </c>
      <c r="K890">
        <f>_xlfn.XLOOKUP($F890,設計座標!$E$13:$E$2301,設計座標!$I$13:$I$2301,"n/a",0,1)</f>
        <v>-18699.274495460064</v>
      </c>
      <c r="L890">
        <f>_xlfn.XLOOKUP($F890,設計座標!$E$13:$E$2301,設計座標!$J$13:$J$2301,"n/a",0,1)</f>
        <v>-270</v>
      </c>
      <c r="M890" s="2">
        <f t="shared" si="672"/>
        <v>-14995.772122415536</v>
      </c>
      <c r="N890" s="2">
        <f t="shared" si="673"/>
        <v>-18699.274495460064</v>
      </c>
      <c r="O890" s="23">
        <f t="shared" si="674"/>
        <v>-269.90084234575278</v>
      </c>
      <c r="P890" s="1">
        <f t="shared" si="670"/>
        <v>-270.50251959869888</v>
      </c>
      <c r="Q890" s="1">
        <f t="shared" si="669"/>
        <v>4.2278775844641414</v>
      </c>
      <c r="R890">
        <f t="shared" si="671"/>
        <v>0</v>
      </c>
      <c r="S890" s="23">
        <f t="shared" si="668"/>
        <v>9.9157654247212568E-2</v>
      </c>
      <c r="T890">
        <f>$S890+測地線補正!$Q$26*(lattice!$N890/1000)^3+測地線補正!$P$26*(lattice!$N890/1000)^2+測地線補正!$O$26*(lattice!$N890/1000)+測地線補正!$N$26</f>
        <v>-0.50251959869889085</v>
      </c>
      <c r="U890">
        <f>-ATAN(($P$896-$P$890)/ABS($N$896-$N$890))</f>
        <v>8.5574270460126145E-6</v>
      </c>
      <c r="V890">
        <v>0</v>
      </c>
      <c r="W890">
        <f>ATAN(($M$896-$M$890)/ABS($N$896-$N$890))</f>
        <v>1.0740987381408775E-4</v>
      </c>
      <c r="X890" t="s">
        <v>3860</v>
      </c>
      <c r="Y890">
        <f>_xlfn.XLOOKUP($F890,設計座標!$E$13:$E$2301,設計座標!$L$13:$L$2301," ",0,1)</f>
        <v>1889.4492</v>
      </c>
      <c r="Z890">
        <f>SQRT(($M$893-$M$892)^2+($N$893-$N$892)^2)</f>
        <v>248.4680014332809</v>
      </c>
    </row>
    <row r="891" spans="1:30">
      <c r="A891" t="s">
        <v>797</v>
      </c>
      <c r="B891">
        <v>1</v>
      </c>
      <c r="C891" t="s">
        <v>3855</v>
      </c>
      <c r="D891" t="s">
        <v>1152</v>
      </c>
      <c r="E891" t="s">
        <v>804</v>
      </c>
      <c r="F891" t="s">
        <v>2060</v>
      </c>
      <c r="G891" t="s">
        <v>2541</v>
      </c>
      <c r="I891">
        <f>_xlfn.XLOOKUP($F891,設計座標!$E$13:$E$2301,設計座標!$G$13:$G$2301,"n/a",0,1)</f>
        <v>283.35636156136906</v>
      </c>
      <c r="J891">
        <f>_xlfn.XLOOKUP($F891,設計座標!$E$13:$E$2301,設計座標!$H$13:$H$2301,"n/a",0,1)</f>
        <v>-15000</v>
      </c>
      <c r="K891">
        <f>_xlfn.XLOOKUP($F891,設計座標!$E$13:$E$2301,設計座標!$I$13:$I$2301,"n/a",0,1)</f>
        <v>-18894.304095460058</v>
      </c>
      <c r="L891">
        <f>_xlfn.XLOOKUP($F891,設計座標!$E$13:$E$2301,設計座標!$J$13:$J$2301,"n/a",0,1)</f>
        <v>-270</v>
      </c>
      <c r="M891" s="2">
        <f t="shared" si="672"/>
        <v>-14995.75117431073</v>
      </c>
      <c r="N891" s="2">
        <f t="shared" si="673"/>
        <v>-18894.304095460058</v>
      </c>
      <c r="O891" s="23">
        <f t="shared" si="674"/>
        <v>-269.91046276723284</v>
      </c>
      <c r="P891" s="1">
        <f t="shared" si="670"/>
        <v>-270.50413871798622</v>
      </c>
      <c r="Q891" s="1">
        <f t="shared" si="669"/>
        <v>4.2488256892707295</v>
      </c>
      <c r="R891">
        <f t="shared" si="671"/>
        <v>0</v>
      </c>
      <c r="S891" s="23">
        <f t="shared" si="668"/>
        <v>8.953723276718295E-2</v>
      </c>
      <c r="T891">
        <f>$S891+測地線補正!$Q$26*(lattice!$N891/1000)^3+測地線補正!$P$26*(lattice!$N891/1000)^2+測地線補正!$O$26*(lattice!$N891/1000)+測地線補正!$N$26</f>
        <v>-0.50413871798624432</v>
      </c>
      <c r="U891">
        <v>0</v>
      </c>
      <c r="V891">
        <v>0</v>
      </c>
      <c r="W891">
        <v>0</v>
      </c>
      <c r="X891">
        <f>SQRT(($M$891-$M$888)^2+($N$891-$N$888)^2)-($Y$891+$Y$888)/2</f>
        <v>114.65600312739377</v>
      </c>
      <c r="Y891">
        <f>_xlfn.XLOOKUP($F891,設計座標!$E$13:$E$2301,設計座標!$L$13:$L$2301," ",0,1)</f>
        <v>428</v>
      </c>
      <c r="Z891">
        <f>SQRT(($M$891-$M$888)^2+($N$891-$N$888)^2)</f>
        <v>542.15600312739377</v>
      </c>
      <c r="AA891">
        <f>_xlfn.XLOOKUP($G891,magnet_list!$A$2:$A$592,magnet_list!$AJ$2:$AJ$592,"n/a",0,1)</f>
        <v>0.51205873564690307</v>
      </c>
      <c r="AB891">
        <f>_xlfn.XLOOKUP($G891,magnet_list!$A$2:$A$592,magnet_list!$L$2:$L$592,"n/a",0,1)</f>
        <v>200</v>
      </c>
      <c r="AD891" t="s">
        <v>3874</v>
      </c>
    </row>
    <row r="892" spans="1:30">
      <c r="A892" t="s">
        <v>797</v>
      </c>
      <c r="B892">
        <v>1</v>
      </c>
      <c r="C892" t="s">
        <v>3855</v>
      </c>
      <c r="D892" t="s">
        <v>1152</v>
      </c>
      <c r="E892" t="s">
        <v>804</v>
      </c>
      <c r="F892" t="s">
        <v>2061</v>
      </c>
      <c r="G892" t="s">
        <v>2542</v>
      </c>
      <c r="I892">
        <f>_xlfn.XLOOKUP($F892,設計座標!$E$13:$E$2301,設計座標!$G$13:$G$2301,"n/a",0,1)</f>
        <v>283.85758856136903</v>
      </c>
      <c r="J892">
        <f>_xlfn.XLOOKUP($F892,設計座標!$E$13:$E$2301,設計座標!$H$13:$H$2301,"n/a",0,1)</f>
        <v>-15000</v>
      </c>
      <c r="K892">
        <f>_xlfn.XLOOKUP($F892,設計座標!$E$13:$E$2301,設計座標!$I$13:$I$2301,"n/a",0,1)</f>
        <v>-19395.531095460057</v>
      </c>
      <c r="L892">
        <f>_xlfn.XLOOKUP($F892,設計座標!$E$13:$E$2301,設計座標!$J$13:$J$2301,"n/a",0,1)</f>
        <v>-270</v>
      </c>
      <c r="M892" s="2">
        <f t="shared" si="672"/>
        <v>-14995.6973375817</v>
      </c>
      <c r="N892" s="2">
        <f t="shared" si="673"/>
        <v>-19395.531095460057</v>
      </c>
      <c r="O892" s="23">
        <f t="shared" si="674"/>
        <v>-269.93518729621286</v>
      </c>
      <c r="P892" s="1">
        <f t="shared" si="670"/>
        <v>-270.50835254387675</v>
      </c>
      <c r="Q892" s="1">
        <f t="shared" si="669"/>
        <v>4.3026624183000264</v>
      </c>
      <c r="R892">
        <f t="shared" si="671"/>
        <v>0</v>
      </c>
      <c r="S892" s="23">
        <f t="shared" si="668"/>
        <v>6.4812703787115566E-2</v>
      </c>
      <c r="T892">
        <f>$S892+測地線補正!$Q$26*(lattice!$N892/1000)^3+測地線補正!$P$26*(lattice!$N892/1000)^2+測地線補正!$O$26*(lattice!$N892/1000)+測地線補正!$N$26</f>
        <v>-0.50835254387673168</v>
      </c>
      <c r="U892">
        <v>0</v>
      </c>
      <c r="V892">
        <v>0</v>
      </c>
      <c r="W892">
        <v>0</v>
      </c>
      <c r="X892" t="s">
        <v>3860</v>
      </c>
      <c r="Y892">
        <f>_xlfn.XLOOKUP($F892,設計座標!$E$13:$E$2301,設計座標!$L$13:$L$2301," ",0,1)</f>
        <v>447</v>
      </c>
      <c r="Z892">
        <f>SQRT(($M$892-$M$891)^2+($N$892-$N$891)^2)</f>
        <v>501.2270028912971</v>
      </c>
      <c r="AA892">
        <f>_xlfn.XLOOKUP($G892,magnet_list!$A$2:$A$592,magnet_list!$AJ$2:$AJ$592,"n/a",0,1)</f>
        <v>0.51205873564690307</v>
      </c>
      <c r="AB892">
        <f>_xlfn.XLOOKUP($G892,magnet_list!$A$2:$A$592,magnet_list!$L$2:$L$592,"n/a",0,1)</f>
        <v>200</v>
      </c>
    </row>
    <row r="893" spans="1:30">
      <c r="A893" t="s">
        <v>797</v>
      </c>
      <c r="B893">
        <v>1</v>
      </c>
      <c r="C893" t="s">
        <v>804</v>
      </c>
      <c r="D893" t="s">
        <v>1152</v>
      </c>
      <c r="E893" t="s">
        <v>804</v>
      </c>
      <c r="F893" t="s">
        <v>1299</v>
      </c>
      <c r="G893" t="s">
        <v>2540</v>
      </c>
      <c r="I893">
        <f>_xlfn.XLOOKUP($F893,設計座標!$E$13:$E$2301,設計座標!$G$13:$G$2301,"n/a",0,1)</f>
        <v>284.10605656136892</v>
      </c>
      <c r="J893">
        <f>_xlfn.XLOOKUP($F893,設計座標!$E$13:$E$2301,設計座標!$H$13:$H$2301,"n/a",0,1)</f>
        <v>-15000</v>
      </c>
      <c r="K893">
        <f>_xlfn.XLOOKUP($F893,設計座標!$E$13:$E$2301,設計座標!$I$13:$I$2301,"n/a",0,1)</f>
        <v>-19643.999095460065</v>
      </c>
      <c r="L893">
        <f>_xlfn.XLOOKUP($F893,設計座標!$E$13:$E$2301,設計座標!$J$13:$J$2301,"n/a",0,1)</f>
        <v>-270</v>
      </c>
      <c r="M893" s="2">
        <f t="shared" si="672"/>
        <v>-14995.670649665071</v>
      </c>
      <c r="N893" s="2">
        <f t="shared" si="673"/>
        <v>-19643.999095460065</v>
      </c>
      <c r="O893" s="23">
        <f t="shared" si="674"/>
        <v>-269.94744372746385</v>
      </c>
      <c r="P893" s="1">
        <f t="shared" si="670"/>
        <v>-270.51046951536335</v>
      </c>
      <c r="Q893" s="1">
        <f t="shared" si="669"/>
        <v>4.3293503349295204</v>
      </c>
      <c r="R893">
        <f t="shared" si="671"/>
        <v>0</v>
      </c>
      <c r="S893" s="23">
        <f t="shared" si="668"/>
        <v>5.2556272536166238E-2</v>
      </c>
      <c r="T893">
        <f>$S893+測地線補正!$Q$26*(lattice!$N893/1000)^3+測地線補正!$P$26*(lattice!$N893/1000)^2+測地線補正!$O$26*(lattice!$N893/1000)+測地線補正!$N$26</f>
        <v>-0.5104695153633656</v>
      </c>
      <c r="U893">
        <f>-ATAN(($P$896-$P$890)/ABS($N$896-$N$890))</f>
        <v>8.5574270460126145E-6</v>
      </c>
      <c r="V893">
        <v>0</v>
      </c>
      <c r="W893">
        <f>ATAN(($M$896-$M$890)/ABS($N$896-$N$890))</f>
        <v>1.0740987381408775E-4</v>
      </c>
      <c r="X893" t="s">
        <v>3860</v>
      </c>
      <c r="Y893">
        <f>_xlfn.XLOOKUP($F893,設計座標!$E$13:$E$2301,設計座標!$L$13:$L$2301," ",0,1)</f>
        <v>1889.4492</v>
      </c>
      <c r="Z893">
        <f>SQRT(($M$893-$M$892)^2+($N$893-$N$892)^2)</f>
        <v>248.4680014332809</v>
      </c>
    </row>
    <row r="894" spans="1:30">
      <c r="A894" t="s">
        <v>797</v>
      </c>
      <c r="B894">
        <v>1</v>
      </c>
      <c r="C894" t="s">
        <v>3855</v>
      </c>
      <c r="D894" t="s">
        <v>1152</v>
      </c>
      <c r="E894" t="s">
        <v>804</v>
      </c>
      <c r="F894" t="s">
        <v>2062</v>
      </c>
      <c r="G894" t="s">
        <v>2543</v>
      </c>
      <c r="I894">
        <f>_xlfn.XLOOKUP($F894,設計座標!$E$13:$E$2301,設計座標!$G$13:$G$2301,"n/a",0,1)</f>
        <v>284.36881456136905</v>
      </c>
      <c r="J894">
        <f>_xlfn.XLOOKUP($F894,設計座標!$E$13:$E$2301,設計座標!$H$13:$H$2301,"n/a",0,1)</f>
        <v>-15000</v>
      </c>
      <c r="K894">
        <f>_xlfn.XLOOKUP($F894,設計座標!$E$13:$E$2301,設計座標!$I$13:$I$2301,"n/a",0,1)</f>
        <v>-19906.757095460056</v>
      </c>
      <c r="L894">
        <f>_xlfn.XLOOKUP($F894,設計座標!$E$13:$E$2301,設計座標!$J$13:$J$2301,"n/a",0,1)</f>
        <v>-270</v>
      </c>
      <c r="M894" s="2">
        <f t="shared" si="672"/>
        <v>-14995.642426861339</v>
      </c>
      <c r="N894" s="2">
        <f t="shared" si="673"/>
        <v>-19906.757095460056</v>
      </c>
      <c r="O894" s="23">
        <f t="shared" si="674"/>
        <v>-269.96040505593527</v>
      </c>
      <c r="P894" s="1">
        <f t="shared" si="670"/>
        <v>-270.51272848132379</v>
      </c>
      <c r="Q894" s="1">
        <f t="shared" si="669"/>
        <v>4.3575731386617207</v>
      </c>
      <c r="R894">
        <f t="shared" si="671"/>
        <v>0</v>
      </c>
      <c r="S894" s="23">
        <f t="shared" si="668"/>
        <v>3.9594944064746507E-2</v>
      </c>
      <c r="T894">
        <f>$S894+測地線補正!$Q$26*(lattice!$N894/1000)^3+測地線補正!$P$26*(lattice!$N894/1000)^2+測地線補正!$O$26*(lattice!$N894/1000)+測地線補正!$N$26</f>
        <v>-0.51272848132378446</v>
      </c>
      <c r="U894">
        <v>0</v>
      </c>
      <c r="V894">
        <v>0</v>
      </c>
      <c r="W894">
        <v>0</v>
      </c>
      <c r="X894" t="s">
        <v>3860</v>
      </c>
      <c r="Y894">
        <f>_xlfn.XLOOKUP($F894,設計座標!$E$13:$E$2301,設計座標!$L$13:$L$2301," ",0,1)</f>
        <v>447</v>
      </c>
      <c r="Z894">
        <f>SQRT(($M$894-$M$893)^2+($N$894-$N$893)^2)</f>
        <v>262.75800151569462</v>
      </c>
      <c r="AA894">
        <f>_xlfn.XLOOKUP($G894,magnet_list!$A$2:$A$592,magnet_list!$AJ$2:$AJ$592,"n/a",0,1)</f>
        <v>0.51205873564690307</v>
      </c>
      <c r="AB894">
        <f>_xlfn.XLOOKUP($G894,magnet_list!$A$2:$A$592,magnet_list!$L$2:$L$592,"n/a",0,1)</f>
        <v>200</v>
      </c>
    </row>
    <row r="895" spans="1:30">
      <c r="A895" t="s">
        <v>797</v>
      </c>
      <c r="B895">
        <v>1</v>
      </c>
      <c r="C895" t="s">
        <v>3855</v>
      </c>
      <c r="D895" t="s">
        <v>1152</v>
      </c>
      <c r="E895" t="s">
        <v>804</v>
      </c>
      <c r="F895" t="s">
        <v>2063</v>
      </c>
      <c r="G895" t="s">
        <v>2544</v>
      </c>
      <c r="I895">
        <f>_xlfn.XLOOKUP($F895,設計座標!$E$13:$E$2301,設計座標!$G$13:$G$2301,"n/a",0,1)</f>
        <v>284.87004156136902</v>
      </c>
      <c r="J895">
        <f>_xlfn.XLOOKUP($F895,設計座標!$E$13:$E$2301,設計座標!$H$13:$H$2301,"n/a",0,1)</f>
        <v>-15000</v>
      </c>
      <c r="K895">
        <f>_xlfn.XLOOKUP($F895,設計座標!$E$13:$E$2301,設計座標!$I$13:$I$2301,"n/a",0,1)</f>
        <v>-20407.984095460055</v>
      </c>
      <c r="L895">
        <f>_xlfn.XLOOKUP($F895,設計座標!$E$13:$E$2301,設計座標!$J$13:$J$2301,"n/a",0,1)</f>
        <v>-270</v>
      </c>
      <c r="M895" s="2">
        <f t="shared" si="672"/>
        <v>-14995.588590132309</v>
      </c>
      <c r="N895" s="2">
        <f t="shared" si="673"/>
        <v>-20407.984095460055</v>
      </c>
      <c r="O895" s="23">
        <f t="shared" si="674"/>
        <v>-269.98512958491534</v>
      </c>
      <c r="P895" s="1">
        <f t="shared" si="670"/>
        <v>-270.51709524937132</v>
      </c>
      <c r="Q895" s="1">
        <f t="shared" si="669"/>
        <v>4.4114098676910167</v>
      </c>
      <c r="R895">
        <f t="shared" si="671"/>
        <v>0</v>
      </c>
      <c r="S895" s="23">
        <f t="shared" si="668"/>
        <v>1.4870415084679234E-2</v>
      </c>
      <c r="T895">
        <f>$S895+測地線補正!$Q$26*(lattice!$N895/1000)^3+測地線補正!$P$26*(lattice!$N895/1000)^2+測地線補正!$O$26*(lattice!$N895/1000)+測地線補正!$N$26</f>
        <v>-0.51709524937134432</v>
      </c>
      <c r="U895">
        <v>0</v>
      </c>
      <c r="V895">
        <v>0</v>
      </c>
      <c r="W895">
        <v>0</v>
      </c>
      <c r="X895" t="s">
        <v>3860</v>
      </c>
      <c r="Y895">
        <f>_xlfn.XLOOKUP($F895,設計座標!$E$13:$E$2301,設計座標!$L$13:$L$2301," ",0,1)</f>
        <v>428</v>
      </c>
      <c r="Z895">
        <f>SQRT(($M$895-$M$894)^2+($N$895-$N$894)^2)</f>
        <v>501.2270028912971</v>
      </c>
      <c r="AA895">
        <f>_xlfn.XLOOKUP($G895,magnet_list!$A$2:$A$592,magnet_list!$AJ$2:$AJ$592,"n/a",0,1)</f>
        <v>0.51205873564690307</v>
      </c>
      <c r="AB895">
        <f>_xlfn.XLOOKUP($G895,magnet_list!$A$2:$A$592,magnet_list!$L$2:$L$592,"n/a",0,1)</f>
        <v>200</v>
      </c>
    </row>
    <row r="896" spans="1:30">
      <c r="A896" t="s">
        <v>797</v>
      </c>
      <c r="B896">
        <v>1</v>
      </c>
      <c r="C896" t="s">
        <v>804</v>
      </c>
      <c r="D896" t="s">
        <v>1152</v>
      </c>
      <c r="E896" t="s">
        <v>804</v>
      </c>
      <c r="F896" t="s">
        <v>1585</v>
      </c>
      <c r="G896" t="s">
        <v>2540</v>
      </c>
      <c r="I896">
        <f>_xlfn.XLOOKUP($F896,設計座標!$E$13:$E$2301,設計座標!$G$13:$G$2301,"n/a",0,1)</f>
        <v>285.05078116136895</v>
      </c>
      <c r="J896">
        <f>_xlfn.XLOOKUP($F896,設計座標!$E$13:$E$2301,設計座標!$H$13:$H$2301,"n/a",0,1)</f>
        <v>-15000</v>
      </c>
      <c r="K896">
        <f>_xlfn.XLOOKUP($F896,設計座標!$E$13:$E$2301,設計座標!$I$13:$I$2301,"n/a",0,1)</f>
        <v>-20588.723695460067</v>
      </c>
      <c r="L896">
        <f>_xlfn.XLOOKUP($F896,設計座標!$E$13:$E$2301,設計座標!$J$13:$J$2301,"n/a",0,1)</f>
        <v>-270</v>
      </c>
      <c r="M896" s="2">
        <f t="shared" si="672"/>
        <v>-14995.569176914605</v>
      </c>
      <c r="N896" s="2">
        <f t="shared" si="673"/>
        <v>-20588.723695460067</v>
      </c>
      <c r="O896" s="23">
        <f t="shared" si="674"/>
        <v>-269.99404510917486</v>
      </c>
      <c r="P896" s="1">
        <f t="shared" si="670"/>
        <v>-270.51868842238542</v>
      </c>
      <c r="Q896" s="1">
        <f t="shared" si="669"/>
        <v>4.4308230853949002</v>
      </c>
      <c r="R896">
        <f t="shared" si="671"/>
        <v>0</v>
      </c>
      <c r="S896" s="23">
        <f t="shared" si="668"/>
        <v>5.9548908251200183E-3</v>
      </c>
      <c r="T896">
        <f>$S896+測地線補正!$Q$26*(lattice!$N896/1000)^3+測地線補正!$P$26*(lattice!$N896/1000)^2+測地線補正!$O$26*(lattice!$N896/1000)+測地線補正!$N$26</f>
        <v>-0.518688422385433</v>
      </c>
      <c r="U896">
        <f>-ATAN(($P$896-$P$890)/ABS($N$896-$N$890))</f>
        <v>8.5574270460126145E-6</v>
      </c>
      <c r="V896">
        <v>0</v>
      </c>
      <c r="W896">
        <f>ATAN(($M$896-$M$890)/ABS($N$896-$N$890))</f>
        <v>1.0740987381408775E-4</v>
      </c>
      <c r="X896" t="s">
        <v>3860</v>
      </c>
      <c r="Y896">
        <f>_xlfn.XLOOKUP($F896,設計座標!$E$13:$E$2301,設計座標!$L$13:$L$2301," ",0,1)</f>
        <v>1889.4492</v>
      </c>
      <c r="Z896">
        <f>SQRT(($M$893-$M$892)^2+($N$893-$N$892)^2)</f>
        <v>248.4680014332809</v>
      </c>
    </row>
    <row r="897" spans="1:30">
      <c r="A897" t="s">
        <v>797</v>
      </c>
      <c r="B897">
        <v>1</v>
      </c>
      <c r="C897" t="s">
        <v>3855</v>
      </c>
      <c r="D897" t="s">
        <v>1152</v>
      </c>
      <c r="E897" t="s">
        <v>804</v>
      </c>
      <c r="F897" t="s">
        <v>2064</v>
      </c>
      <c r="G897" t="s">
        <v>2545</v>
      </c>
      <c r="I897">
        <f>_xlfn.XLOOKUP($F897,設計座標!$E$13:$E$2301,設計座標!$G$13:$G$2301,"n/a",0,1)</f>
        <v>285.412196561369</v>
      </c>
      <c r="J897">
        <f>_xlfn.XLOOKUP($F897,設計座標!$E$13:$E$2301,設計座標!$H$13:$H$2301,"n/a",0,1)</f>
        <v>-15000</v>
      </c>
      <c r="K897">
        <f>_xlfn.XLOOKUP($F897,設計座標!$E$13:$E$2301,設計座標!$I$13:$I$2301,"n/a",0,1)</f>
        <v>-20950.139095460054</v>
      </c>
      <c r="L897">
        <f>_xlfn.XLOOKUP($F897,設計座標!$E$13:$E$2301,設計座標!$J$13:$J$2301,"n/a",0,1)</f>
        <v>-270</v>
      </c>
      <c r="M897" s="2">
        <f t="shared" si="672"/>
        <v>-14995.530357331947</v>
      </c>
      <c r="N897" s="2">
        <f t="shared" si="673"/>
        <v>-20950.139095460054</v>
      </c>
      <c r="O897" s="23">
        <f t="shared" si="674"/>
        <v>-270.01187301056717</v>
      </c>
      <c r="P897" s="1">
        <f t="shared" si="670"/>
        <v>-270.5219036533619</v>
      </c>
      <c r="Q897" s="1">
        <f t="shared" si="669"/>
        <v>4.4696426680526864</v>
      </c>
      <c r="R897">
        <f t="shared" si="671"/>
        <v>0</v>
      </c>
      <c r="S897" s="23">
        <f t="shared" si="668"/>
        <v>-1.1873010567147957E-2</v>
      </c>
      <c r="T897">
        <f>$S897+測地線補正!$Q$26*(lattice!$N897/1000)^3+測地線補正!$P$26*(lattice!$N897/1000)^2+測地線補正!$O$26*(lattice!$N897/1000)+測地線補正!$N$26</f>
        <v>-0.52190365336192868</v>
      </c>
      <c r="U897">
        <v>0</v>
      </c>
      <c r="V897">
        <v>0</v>
      </c>
      <c r="W897">
        <v>0</v>
      </c>
      <c r="X897">
        <f>SQRT(($M$897-$M$895)^2+($N$897-$N$895)^2)-($Y$897+$Y$895)/2</f>
        <v>114.65500312738777</v>
      </c>
      <c r="Y897">
        <f>_xlfn.XLOOKUP($F897,設計座標!$E$13:$E$2301,設計座標!$L$13:$L$2301," ",0,1)</f>
        <v>427</v>
      </c>
      <c r="Z897">
        <f>SQRT(($M$897-$M$895)^2+($N$897-$N$895)^2)</f>
        <v>542.15500312738777</v>
      </c>
      <c r="AA897">
        <f>_xlfn.XLOOKUP($G897,magnet_list!$A$2:$A$592,magnet_list!$AJ$2:$AJ$592,"n/a",0,1)</f>
        <v>0.5016829898586288</v>
      </c>
      <c r="AB897">
        <f>_xlfn.XLOOKUP($G897,magnet_list!$A$2:$A$592,magnet_list!$L$2:$L$592,"n/a",0,1)</f>
        <v>200</v>
      </c>
      <c r="AD897" t="s">
        <v>3876</v>
      </c>
    </row>
    <row r="898" spans="1:30">
      <c r="A898" t="s">
        <v>797</v>
      </c>
      <c r="B898">
        <v>1</v>
      </c>
      <c r="C898" t="s">
        <v>804</v>
      </c>
      <c r="D898" t="s">
        <v>1152</v>
      </c>
      <c r="E898" t="s">
        <v>804</v>
      </c>
      <c r="F898" t="s">
        <v>1586</v>
      </c>
      <c r="G898" t="s">
        <v>2546</v>
      </c>
      <c r="I898">
        <f>_xlfn.XLOOKUP($F898,設計座標!$E$13:$E$2301,設計座標!$G$13:$G$2301,"n/a",0,1)</f>
        <v>285.75932296136892</v>
      </c>
      <c r="J898">
        <f>_xlfn.XLOOKUP($F898,設計座標!$E$13:$E$2301,設計座標!$H$13:$H$2301,"n/a",0,1)</f>
        <v>-15000</v>
      </c>
      <c r="K898">
        <f>_xlfn.XLOOKUP($F898,設計座標!$E$13:$E$2301,設計座標!$I$13:$I$2301,"n/a",0,1)</f>
        <v>-21297.265495460062</v>
      </c>
      <c r="L898">
        <f>_xlfn.XLOOKUP($F898,設計座標!$E$13:$E$2301,設計座標!$J$13:$J$2301,"n/a",0,1)</f>
        <v>-270</v>
      </c>
      <c r="M898" s="2">
        <f t="shared" si="672"/>
        <v>-14995.493072528983</v>
      </c>
      <c r="N898" s="2">
        <f t="shared" si="673"/>
        <v>-21297.265495460062</v>
      </c>
      <c r="O898" s="23">
        <f t="shared" si="674"/>
        <v>-270.02899606406697</v>
      </c>
      <c r="P898" s="1">
        <f t="shared" si="670"/>
        <v>-270.52502869971619</v>
      </c>
      <c r="Q898" s="1">
        <f t="shared" si="669"/>
        <v>4.5069274710176419</v>
      </c>
      <c r="R898">
        <f t="shared" si="671"/>
        <v>0</v>
      </c>
      <c r="S898" s="23">
        <f t="shared" si="668"/>
        <v>-2.8996064066952765E-2</v>
      </c>
      <c r="T898">
        <f>$S898+測地線補正!$Q$26*(lattice!$N898/1000)^3+測地線補正!$P$26*(lattice!$N898/1000)^2+測地線補正!$O$26*(lattice!$N898/1000)+測地線補正!$N$26</f>
        <v>-0.52502869971616795</v>
      </c>
      <c r="U898">
        <f>-ATAN(($P$904-$P$898)/ABS($N$904-$N$898))</f>
        <v>9.3376835716175829E-6</v>
      </c>
      <c r="V898">
        <v>0</v>
      </c>
      <c r="W898">
        <f>ATAN(($M$904-$M$898)/ABS($N$904-$N$898))</f>
        <v>1.0740987381505047E-4</v>
      </c>
      <c r="X898" t="s">
        <v>3860</v>
      </c>
      <c r="Y898">
        <f>_xlfn.XLOOKUP($F898,設計座標!$E$13:$E$2301,設計座標!$L$13:$L$2301," ",0,1)</f>
        <v>1889.4492</v>
      </c>
      <c r="Z898">
        <f>SQRT(($M$901-$M$900)^2+($N$901-$N$900)^2)</f>
        <v>263.30200151885253</v>
      </c>
    </row>
    <row r="899" spans="1:30">
      <c r="A899" t="s">
        <v>797</v>
      </c>
      <c r="B899">
        <v>1</v>
      </c>
      <c r="C899" t="s">
        <v>3855</v>
      </c>
      <c r="D899" t="s">
        <v>1152</v>
      </c>
      <c r="E899" t="s">
        <v>804</v>
      </c>
      <c r="F899" t="s">
        <v>2065</v>
      </c>
      <c r="G899" t="s">
        <v>2547</v>
      </c>
      <c r="I899">
        <f>_xlfn.XLOOKUP($F899,設計座標!$E$13:$E$2301,設計座標!$G$13:$G$2301,"n/a",0,1)</f>
        <v>285.95435256136898</v>
      </c>
      <c r="J899">
        <f>_xlfn.XLOOKUP($F899,設計座標!$E$13:$E$2301,設計座標!$H$13:$H$2301,"n/a",0,1)</f>
        <v>-15000</v>
      </c>
      <c r="K899">
        <f>_xlfn.XLOOKUP($F899,設計座標!$E$13:$E$2301,設計座標!$I$13:$I$2301,"n/a",0,1)</f>
        <v>-21492.295095460053</v>
      </c>
      <c r="L899">
        <f>_xlfn.XLOOKUP($F899,設計座標!$E$13:$E$2301,設計座標!$J$13:$J$2301,"n/a",0,1)</f>
        <v>-270</v>
      </c>
      <c r="M899" s="2">
        <f t="shared" si="672"/>
        <v>-14995.472124424175</v>
      </c>
      <c r="N899" s="2">
        <f t="shared" si="673"/>
        <v>-21492.295095460053</v>
      </c>
      <c r="O899" s="23">
        <f t="shared" si="674"/>
        <v>-270.03861648554698</v>
      </c>
      <c r="P899" s="1">
        <f t="shared" si="670"/>
        <v>-270.52680034158061</v>
      </c>
      <c r="Q899" s="1">
        <f t="shared" si="669"/>
        <v>4.5278755758242291</v>
      </c>
      <c r="R899">
        <f t="shared" si="671"/>
        <v>0</v>
      </c>
      <c r="S899" s="23">
        <f t="shared" si="668"/>
        <v>-3.8616485546982271E-2</v>
      </c>
      <c r="T899">
        <f>$S899+測地線補正!$Q$26*(lattice!$N899/1000)^3+測地線補正!$P$26*(lattice!$N899/1000)^2+測地線補正!$O$26*(lattice!$N899/1000)+測地線補正!$N$26</f>
        <v>-0.52680034158061806</v>
      </c>
      <c r="U899">
        <v>0</v>
      </c>
      <c r="V899">
        <v>0</v>
      </c>
      <c r="W899">
        <v>0</v>
      </c>
      <c r="X899">
        <f>SQRT(($M$899-$M$897)^2+($N$899-$N$897)^2)-($Y$899+$Y$897)/2</f>
        <v>114.65600312739377</v>
      </c>
      <c r="Y899">
        <f>_xlfn.XLOOKUP($F899,設計座標!$E$13:$E$2301,設計座標!$L$13:$L$2301," ",0,1)</f>
        <v>428</v>
      </c>
      <c r="Z899">
        <f>SQRT(($M$899-$M$897)^2+($N$899-$N$897)^2)</f>
        <v>542.15600312739377</v>
      </c>
      <c r="AA899">
        <f>_xlfn.XLOOKUP($G899,magnet_list!$A$2:$A$592,magnet_list!$AJ$2:$AJ$592,"n/a",0,1)</f>
        <v>0.51205873564690307</v>
      </c>
      <c r="AB899">
        <f>_xlfn.XLOOKUP($G899,magnet_list!$A$2:$A$592,magnet_list!$L$2:$L$592,"n/a",0,1)</f>
        <v>200</v>
      </c>
      <c r="AD899" t="s">
        <v>3877</v>
      </c>
    </row>
    <row r="900" spans="1:30">
      <c r="A900" t="s">
        <v>797</v>
      </c>
      <c r="B900">
        <v>1</v>
      </c>
      <c r="C900" t="s">
        <v>3855</v>
      </c>
      <c r="D900" t="s">
        <v>1152</v>
      </c>
      <c r="E900" t="s">
        <v>804</v>
      </c>
      <c r="F900" t="s">
        <v>2066</v>
      </c>
      <c r="G900" t="s">
        <v>2548</v>
      </c>
      <c r="I900">
        <f>_xlfn.XLOOKUP($F900,設計座標!$E$13:$E$2301,設計座標!$G$13:$G$2301,"n/a",0,1)</f>
        <v>286.440745561369</v>
      </c>
      <c r="J900">
        <f>_xlfn.XLOOKUP($F900,設計座標!$E$13:$E$2301,設計座標!$H$13:$H$2301,"n/a",0,1)</f>
        <v>-15000</v>
      </c>
      <c r="K900">
        <f>_xlfn.XLOOKUP($F900,設計座標!$E$13:$E$2301,設計座標!$I$13:$I$2301,"n/a",0,1)</f>
        <v>-21978.688095460053</v>
      </c>
      <c r="L900">
        <f>_xlfn.XLOOKUP($F900,設計座標!$E$13:$E$2301,設計座標!$J$13:$J$2301,"n/a",0,1)</f>
        <v>-270</v>
      </c>
      <c r="M900" s="2">
        <f t="shared" si="672"/>
        <v>-14995.41988101322</v>
      </c>
      <c r="N900" s="2">
        <f t="shared" si="673"/>
        <v>-21978.688095460053</v>
      </c>
      <c r="O900" s="23">
        <f t="shared" si="674"/>
        <v>-270.06260928287077</v>
      </c>
      <c r="P900" s="1">
        <f t="shared" si="670"/>
        <v>-270.5312684015575</v>
      </c>
      <c r="Q900" s="1">
        <f t="shared" si="669"/>
        <v>4.5801189867792385</v>
      </c>
      <c r="R900">
        <f t="shared" si="671"/>
        <v>0</v>
      </c>
      <c r="S900" s="23">
        <f t="shared" si="668"/>
        <v>-6.2609282870753513E-2</v>
      </c>
      <c r="T900">
        <f>$S900+測地線補正!$Q$26*(lattice!$N900/1000)^3+測地線補正!$P$26*(lattice!$N900/1000)^2+測地線補正!$O$26*(lattice!$N900/1000)+測地線補正!$N$26</f>
        <v>-0.5312684015575041</v>
      </c>
      <c r="U900">
        <v>0</v>
      </c>
      <c r="V900">
        <v>0</v>
      </c>
      <c r="W900">
        <v>0</v>
      </c>
      <c r="X900" t="s">
        <v>3860</v>
      </c>
      <c r="Y900">
        <f>_xlfn.XLOOKUP($F900,設計座標!$E$13:$E$2301,設計座標!$L$13:$L$2301," ",0,1)</f>
        <v>447</v>
      </c>
      <c r="Z900">
        <f>SQRT(($M$900-$M$899)^2+($N$900-$N$899)^2)</f>
        <v>486.39300280572911</v>
      </c>
      <c r="AA900">
        <f>_xlfn.XLOOKUP($G900,magnet_list!$A$2:$A$592,magnet_list!$AJ$2:$AJ$592,"n/a",0,1)</f>
        <v>0.51205873564690307</v>
      </c>
      <c r="AB900">
        <f>_xlfn.XLOOKUP($G900,magnet_list!$A$2:$A$592,magnet_list!$L$2:$L$592,"n/a",0,1)</f>
        <v>200</v>
      </c>
    </row>
    <row r="901" spans="1:30">
      <c r="A901" t="s">
        <v>797</v>
      </c>
      <c r="B901">
        <v>1</v>
      </c>
      <c r="C901" t="s">
        <v>804</v>
      </c>
      <c r="D901" t="s">
        <v>1152</v>
      </c>
      <c r="E901" t="s">
        <v>804</v>
      </c>
      <c r="F901" t="s">
        <v>1353</v>
      </c>
      <c r="G901" t="s">
        <v>2546</v>
      </c>
      <c r="I901">
        <f>_xlfn.XLOOKUP($F901,設計座標!$E$13:$E$2301,設計座標!$G$13:$G$2301,"n/a",0,1)</f>
        <v>286.70404756136895</v>
      </c>
      <c r="J901">
        <f>_xlfn.XLOOKUP($F901,設計座標!$E$13:$E$2301,設計座標!$H$13:$H$2301,"n/a",0,1)</f>
        <v>-15000</v>
      </c>
      <c r="K901">
        <f>_xlfn.XLOOKUP($F901,設計座標!$E$13:$E$2301,設計座標!$I$13:$I$2301,"n/a",0,1)</f>
        <v>-22241.990095460063</v>
      </c>
      <c r="L901">
        <f>_xlfn.XLOOKUP($F901,設計座標!$E$13:$E$2301,設計座標!$J$13:$J$2301,"n/a",0,1)</f>
        <v>-270</v>
      </c>
      <c r="M901" s="2">
        <f t="shared" si="672"/>
        <v>-14995.391599778517</v>
      </c>
      <c r="N901" s="2">
        <f t="shared" si="673"/>
        <v>-22241.990095460063</v>
      </c>
      <c r="O901" s="23">
        <f t="shared" si="674"/>
        <v>-270.07559744577799</v>
      </c>
      <c r="P901" s="1">
        <f t="shared" si="670"/>
        <v>-270.53371668772604</v>
      </c>
      <c r="Q901" s="1">
        <f t="shared" si="669"/>
        <v>4.6084002214830209</v>
      </c>
      <c r="R901">
        <f t="shared" si="671"/>
        <v>0</v>
      </c>
      <c r="S901" s="23">
        <f t="shared" si="668"/>
        <v>-7.5597445777999095E-2</v>
      </c>
      <c r="T901">
        <f>$S901+測地線補正!$Q$26*(lattice!$N901/1000)^3+測地線補正!$P$26*(lattice!$N901/1000)^2+測地線補正!$O$26*(lattice!$N901/1000)+測地線補正!$N$26</f>
        <v>-0.53371668772606529</v>
      </c>
      <c r="U901">
        <f>-ATAN(($P$904-$P$898)/ABS($N$904-$N$898))</f>
        <v>9.3376835716175829E-6</v>
      </c>
      <c r="V901">
        <v>0</v>
      </c>
      <c r="W901">
        <f>ATAN(($M$904-$M$898)/ABS($N$904-$N$898))</f>
        <v>1.0740987381505047E-4</v>
      </c>
      <c r="X901" t="s">
        <v>3860</v>
      </c>
      <c r="Y901">
        <f>_xlfn.XLOOKUP($F901,設計座標!$E$13:$E$2301,設計座標!$L$13:$L$2301," ",0,1)</f>
        <v>1889.4492</v>
      </c>
      <c r="Z901">
        <f>SQRT(($M$901-$M$900)^2+($N$901-$N$900)^2)</f>
        <v>263.30200151885253</v>
      </c>
    </row>
    <row r="902" spans="1:30">
      <c r="A902" t="s">
        <v>797</v>
      </c>
      <c r="B902">
        <v>1</v>
      </c>
      <c r="C902" t="s">
        <v>3855</v>
      </c>
      <c r="D902" t="s">
        <v>1152</v>
      </c>
      <c r="E902" t="s">
        <v>804</v>
      </c>
      <c r="F902" t="s">
        <v>2067</v>
      </c>
      <c r="G902" t="s">
        <v>2549</v>
      </c>
      <c r="I902">
        <f>_xlfn.XLOOKUP($F902,設計座標!$E$13:$E$2301,設計座標!$G$13:$G$2301,"n/a",0,1)</f>
        <v>286.93713956136901</v>
      </c>
      <c r="J902">
        <f>_xlfn.XLOOKUP($F902,設計座標!$E$13:$E$2301,設計座標!$H$13:$H$2301,"n/a",0,1)</f>
        <v>-15000</v>
      </c>
      <c r="K902">
        <f>_xlfn.XLOOKUP($F902,設計座標!$E$13:$E$2301,設計座標!$I$13:$I$2301,"n/a",0,1)</f>
        <v>-22475.082095460053</v>
      </c>
      <c r="L902">
        <f>_xlfn.XLOOKUP($F902,設計座標!$E$13:$E$2301,設計座標!$J$13:$J$2301,"n/a",0,1)</f>
        <v>-270</v>
      </c>
      <c r="M902" s="2">
        <f t="shared" si="672"/>
        <v>-14995.366563396114</v>
      </c>
      <c r="N902" s="2">
        <f t="shared" si="673"/>
        <v>-22475.082095460053</v>
      </c>
      <c r="O902" s="23">
        <f t="shared" si="674"/>
        <v>-270.08709540959285</v>
      </c>
      <c r="P902" s="1">
        <f t="shared" si="670"/>
        <v>-270.53590138361216</v>
      </c>
      <c r="Q902" s="1">
        <f t="shared" si="669"/>
        <v>4.6334366038863957</v>
      </c>
      <c r="R902">
        <f t="shared" si="671"/>
        <v>0</v>
      </c>
      <c r="S902" s="23">
        <f t="shared" si="668"/>
        <v>-8.7095409592840678E-2</v>
      </c>
      <c r="T902">
        <f>$S902+測地線補正!$Q$26*(lattice!$N902/1000)^3+測地線補正!$P$26*(lattice!$N902/1000)^2+測地線補正!$O$26*(lattice!$N902/1000)+測地線補正!$N$26</f>
        <v>-0.53590138361215789</v>
      </c>
      <c r="U902">
        <v>0</v>
      </c>
      <c r="V902">
        <v>0</v>
      </c>
      <c r="W902">
        <v>0</v>
      </c>
      <c r="X902" t="s">
        <v>3860</v>
      </c>
      <c r="Y902">
        <f>_xlfn.XLOOKUP($F902,設計座標!$E$13:$E$2301,設計座標!$L$13:$L$2301," ",0,1)</f>
        <v>447</v>
      </c>
      <c r="Z902">
        <f>SQRT(($M$902-$M$901)^2+($N$902-$N$901)^2)</f>
        <v>233.092001344567</v>
      </c>
      <c r="AA902">
        <f>_xlfn.XLOOKUP($G902,magnet_list!$A$2:$A$592,magnet_list!$AJ$2:$AJ$592,"n/a",0,1)</f>
        <v>0.51205873564690307</v>
      </c>
      <c r="AB902">
        <f>_xlfn.XLOOKUP($G902,magnet_list!$A$2:$A$592,magnet_list!$L$2:$L$592,"n/a",0,1)</f>
        <v>200</v>
      </c>
    </row>
    <row r="903" spans="1:30">
      <c r="A903" t="s">
        <v>797</v>
      </c>
      <c r="B903">
        <v>1</v>
      </c>
      <c r="C903" t="s">
        <v>3855</v>
      </c>
      <c r="D903" t="s">
        <v>1152</v>
      </c>
      <c r="E903" t="s">
        <v>804</v>
      </c>
      <c r="F903" t="s">
        <v>2068</v>
      </c>
      <c r="G903" t="s">
        <v>2550</v>
      </c>
      <c r="I903">
        <f>_xlfn.XLOOKUP($F903,設計座標!$E$13:$E$2301,設計座標!$G$13:$G$2301,"n/a",0,1)</f>
        <v>287.43353256136902</v>
      </c>
      <c r="J903">
        <f>_xlfn.XLOOKUP($F903,設計座標!$E$13:$E$2301,設計座標!$H$13:$H$2301,"n/a",0,1)</f>
        <v>-15000</v>
      </c>
      <c r="K903">
        <f>_xlfn.XLOOKUP($F903,設計座標!$E$13:$E$2301,設計座標!$I$13:$I$2301,"n/a",0,1)</f>
        <v>-22971.475095460053</v>
      </c>
      <c r="L903">
        <f>_xlfn.XLOOKUP($F903,設計座標!$E$13:$E$2301,設計座標!$J$13:$J$2301,"n/a",0,1)</f>
        <v>-270</v>
      </c>
      <c r="M903" s="2">
        <f t="shared" si="672"/>
        <v>-14995.313245886417</v>
      </c>
      <c r="N903" s="2">
        <f t="shared" si="673"/>
        <v>-22971.475095460053</v>
      </c>
      <c r="O903" s="23">
        <f t="shared" si="674"/>
        <v>-270.11158148698689</v>
      </c>
      <c r="P903" s="1">
        <f t="shared" si="670"/>
        <v>-270.54060805237623</v>
      </c>
      <c r="Q903" s="1">
        <f t="shared" si="669"/>
        <v>4.6867541135836781</v>
      </c>
      <c r="R903">
        <f t="shared" si="671"/>
        <v>0</v>
      </c>
      <c r="S903" s="23">
        <f t="shared" si="668"/>
        <v>-0.11158148698692072</v>
      </c>
      <c r="T903">
        <f>$S903+測地線補正!$Q$26*(lattice!$N903/1000)^3+測地線補正!$P$26*(lattice!$N903/1000)^2+測地線補正!$O$26*(lattice!$N903/1000)+測地線補正!$N$26</f>
        <v>-0.54060805237620557</v>
      </c>
      <c r="U903">
        <v>0</v>
      </c>
      <c r="V903">
        <v>0</v>
      </c>
      <c r="W903">
        <v>0</v>
      </c>
      <c r="X903" t="s">
        <v>3860</v>
      </c>
      <c r="Y903">
        <f>_xlfn.XLOOKUP($F903,設計座標!$E$13:$E$2301,設計座標!$L$13:$L$2301," ",0,1)</f>
        <v>473</v>
      </c>
      <c r="Z903">
        <f>SQRT(($M$903-$M$902)^2+($N$903-$N$902)^2)</f>
        <v>496.39300286341353</v>
      </c>
      <c r="AA903">
        <f>_xlfn.XLOOKUP($G903,magnet_list!$A$2:$A$592,magnet_list!$AJ$2:$AJ$592,"n/a",0,1)</f>
        <v>0.51205873564690307</v>
      </c>
      <c r="AB903">
        <f>_xlfn.XLOOKUP($G903,magnet_list!$A$2:$A$592,magnet_list!$L$2:$L$592,"n/a",0,1)</f>
        <v>200</v>
      </c>
    </row>
    <row r="904" spans="1:30">
      <c r="A904" t="s">
        <v>797</v>
      </c>
      <c r="B904">
        <v>1</v>
      </c>
      <c r="C904" t="s">
        <v>804</v>
      </c>
      <c r="D904" t="s">
        <v>1152</v>
      </c>
      <c r="E904" t="s">
        <v>804</v>
      </c>
      <c r="F904" t="s">
        <v>1587</v>
      </c>
      <c r="G904" t="s">
        <v>2546</v>
      </c>
      <c r="I904">
        <f>_xlfn.XLOOKUP($F904,設計座標!$E$13:$E$2301,設計座標!$G$13:$G$2301,"n/a",0,1)</f>
        <v>287.64877216136898</v>
      </c>
      <c r="J904">
        <f>_xlfn.XLOOKUP($F904,設計座標!$E$13:$E$2301,設計座標!$H$13:$H$2301,"n/a",0,1)</f>
        <v>-15000</v>
      </c>
      <c r="K904">
        <f>_xlfn.XLOOKUP($F904,設計座標!$E$13:$E$2301,設計座標!$I$13:$I$2301,"n/a",0,1)</f>
        <v>-23186.714695460065</v>
      </c>
      <c r="L904">
        <f>_xlfn.XLOOKUP($F904,設計座標!$E$13:$E$2301,設計座標!$J$13:$J$2301,"n/a",0,1)</f>
        <v>-270</v>
      </c>
      <c r="M904" s="2">
        <f t="shared" si="672"/>
        <v>-14995.290127028051</v>
      </c>
      <c r="N904" s="2">
        <f t="shared" si="673"/>
        <v>-23186.714695460065</v>
      </c>
      <c r="O904" s="23">
        <f t="shared" si="674"/>
        <v>-270.12219882748906</v>
      </c>
      <c r="P904" s="1">
        <f t="shared" si="670"/>
        <v>-270.54267177847095</v>
      </c>
      <c r="Q904" s="1">
        <f t="shared" si="669"/>
        <v>4.7098729719483998</v>
      </c>
      <c r="R904">
        <f t="shared" si="671"/>
        <v>0</v>
      </c>
      <c r="S904" s="23">
        <f t="shared" si="668"/>
        <v>-0.12219882748904531</v>
      </c>
      <c r="T904">
        <f>$S904+測地線補正!$Q$26*(lattice!$N904/1000)^3+測地線補正!$P$26*(lattice!$N904/1000)^2+測地線補正!$O$26*(lattice!$N904/1000)+測地線補正!$N$26</f>
        <v>-0.54267177847092241</v>
      </c>
      <c r="U904">
        <f>-ATAN(($P$904-$P$898)/ABS($N$904-$N$898))</f>
        <v>9.3376835716175829E-6</v>
      </c>
      <c r="V904">
        <v>0</v>
      </c>
      <c r="W904">
        <f>ATAN(($M$904-$M$898)/ABS($N$904-$N$898))</f>
        <v>1.0740987381505047E-4</v>
      </c>
      <c r="X904" t="s">
        <v>3860</v>
      </c>
      <c r="Y904">
        <f>_xlfn.XLOOKUP($F904,設計座標!$E$13:$E$2301,設計座標!$L$13:$L$2301," ",0,1)</f>
        <v>1889.4492</v>
      </c>
      <c r="Z904">
        <f>SQRT(($M$901-$M$900)^2+($N$901-$N$900)^2)</f>
        <v>263.30200151885253</v>
      </c>
    </row>
    <row r="905" spans="1:30">
      <c r="A905" t="s">
        <v>797</v>
      </c>
      <c r="B905">
        <v>1</v>
      </c>
      <c r="C905" t="s">
        <v>2288</v>
      </c>
      <c r="D905" t="s">
        <v>1152</v>
      </c>
      <c r="E905" t="s">
        <v>804</v>
      </c>
      <c r="F905" t="s">
        <v>2336</v>
      </c>
      <c r="G905" t="s">
        <v>2336</v>
      </c>
      <c r="I905">
        <f>_xlfn.XLOOKUP($F905,設計座標!$E$13:$E$2301,設計座標!$G$13:$G$2301,"n/a",0,1)</f>
        <v>287.93831256136895</v>
      </c>
      <c r="J905">
        <f>_xlfn.XLOOKUP($F905,設計座標!$E$13:$E$2301,設計座標!$H$13:$H$2301,"n/a",0,1)</f>
        <v>-15000</v>
      </c>
      <c r="K905">
        <f>_xlfn.XLOOKUP($F905,設計座標!$E$13:$E$2301,設計座標!$I$13:$I$2301,"n/a",0,1)</f>
        <v>-23476.255095460067</v>
      </c>
      <c r="L905">
        <f>_xlfn.XLOOKUP($F905,設計座標!$E$13:$E$2301,設計座標!$J$13:$J$2301,"n/a",0,1)</f>
        <v>-270</v>
      </c>
      <c r="M905" s="2">
        <f t="shared" si="672"/>
        <v>-14995.259027530105</v>
      </c>
      <c r="N905" s="2">
        <f t="shared" si="673"/>
        <v>-23476.255095460067</v>
      </c>
      <c r="O905" s="23">
        <f t="shared" si="674"/>
        <v>-270.13648127837598</v>
      </c>
      <c r="P905" s="1">
        <f t="shared" si="670"/>
        <v>-270.54546971602258</v>
      </c>
      <c r="Q905" s="1">
        <f t="shared" si="669"/>
        <v>4.7409724698961053</v>
      </c>
      <c r="R905">
        <f t="shared" si="671"/>
        <v>0</v>
      </c>
      <c r="S905" s="23">
        <f t="shared" si="668"/>
        <v>-0.13648127837596946</v>
      </c>
      <c r="T905">
        <f>$S905+測地線補正!$Q$26*(lattice!$N905/1000)^3+測地線補正!$P$26*(lattice!$N905/1000)^2+測地線補正!$O$26*(lattice!$N905/1000)+測地線補正!$N$26</f>
        <v>-0.5454697160225902</v>
      </c>
      <c r="U905">
        <v>0</v>
      </c>
      <c r="V905">
        <v>0</v>
      </c>
      <c r="W905">
        <v>0</v>
      </c>
      <c r="X905">
        <f>SQRT(($M$905-$M$903)^2+($N$905-$N$903)^2)-($Y$905+$Y$903)/2</f>
        <v>268.28000291180678</v>
      </c>
      <c r="Y905">
        <f>_xlfn.XLOOKUP($F905,設計座標!$E$13:$E$2301,設計座標!$L$13:$L$2301," ",0,1)</f>
        <v>0</v>
      </c>
      <c r="Z905">
        <f>SQRT(($M$905-$M$903)^2+($N$905-$N$903)^2)</f>
        <v>504.78000291180678</v>
      </c>
      <c r="AD905" t="s">
        <v>3878</v>
      </c>
    </row>
    <row r="906" spans="1:30">
      <c r="A906" t="s">
        <v>797</v>
      </c>
      <c r="B906">
        <v>1</v>
      </c>
      <c r="C906" t="s">
        <v>1152</v>
      </c>
      <c r="D906" t="s">
        <v>1152</v>
      </c>
      <c r="E906" t="s">
        <v>804</v>
      </c>
      <c r="F906" t="s">
        <v>2070</v>
      </c>
      <c r="G906" t="s">
        <v>2070</v>
      </c>
      <c r="I906">
        <f>_xlfn.XLOOKUP($F906,設計座標!$E$13:$E$2301,設計座標!$G$13:$G$2301,"n/a",0,1)</f>
        <v>288.13081256136894</v>
      </c>
      <c r="J906">
        <f>_xlfn.XLOOKUP($F906,設計座標!$E$13:$E$2301,設計座標!$H$13:$H$2301,"n/a",0,1)</f>
        <v>-15000</v>
      </c>
      <c r="K906">
        <f>_xlfn.XLOOKUP($F906,設計座標!$E$13:$E$2301,設計座標!$I$13:$I$2301,"n/a",0,1)</f>
        <v>-23668.755095460067</v>
      </c>
      <c r="L906">
        <f>_xlfn.XLOOKUP($F906,設計座標!$E$13:$E$2301,設計座標!$J$13:$J$2301,"n/a",0,1)</f>
        <v>-270</v>
      </c>
      <c r="M906" s="2">
        <f t="shared" si="672"/>
        <v>-14995.238351129316</v>
      </c>
      <c r="N906" s="2">
        <f t="shared" si="673"/>
        <v>-23668.755095460067</v>
      </c>
      <c r="O906" s="23">
        <f t="shared" si="674"/>
        <v>-270.14597691972943</v>
      </c>
      <c r="P906" s="1">
        <f t="shared" si="670"/>
        <v>-270.54734375556978</v>
      </c>
      <c r="Q906" s="1">
        <f t="shared" si="669"/>
        <v>4.7616488706848479</v>
      </c>
      <c r="R906">
        <f t="shared" si="671"/>
        <v>0</v>
      </c>
      <c r="S906" s="23">
        <f t="shared" si="668"/>
        <v>-0.14597691972941407</v>
      </c>
      <c r="T906">
        <f>$S906+測地線補正!$Q$26*(lattice!$N906/1000)^3+測地線補正!$P$26*(lattice!$N906/1000)^2+測地線補正!$O$26*(lattice!$N906/1000)+測地線補正!$N$26</f>
        <v>-0.54734375556978632</v>
      </c>
      <c r="U906">
        <v>0</v>
      </c>
      <c r="V906">
        <v>0</v>
      </c>
      <c r="W906">
        <v>0</v>
      </c>
      <c r="X906">
        <f>$Z$906-($Y$906+$Y$905)/2</f>
        <v>192.50000111042479</v>
      </c>
      <c r="Y906">
        <f>_xlfn.XLOOKUP($F906,設計座標!$E$13:$E$2301,設計座標!$L$13:$L$2301," ",0,1)</f>
        <v>0</v>
      </c>
      <c r="Z906">
        <f>SQRT(($M$906-$M$905)^2+($N$906-$N$905)^2)</f>
        <v>192.50000111042479</v>
      </c>
    </row>
    <row r="907" spans="1:30">
      <c r="A907" t="s">
        <v>797</v>
      </c>
      <c r="B907">
        <v>1</v>
      </c>
      <c r="C907" t="s">
        <v>805</v>
      </c>
      <c r="D907" t="s">
        <v>806</v>
      </c>
      <c r="F907" t="s">
        <v>144</v>
      </c>
      <c r="G907" t="s">
        <v>2551</v>
      </c>
      <c r="I907">
        <f>_xlfn.XLOOKUP($F907,設計座標!$E$13:$E$2301,設計座標!$G$13:$G$2301,"n/a",0,1)</f>
        <v>288.31595931308885</v>
      </c>
      <c r="J907">
        <f>_xlfn.XLOOKUP($F907,設計座標!$E$13:$E$2301,設計座標!$H$13:$H$2301,"n/a",0,1)</f>
        <v>-15000</v>
      </c>
      <c r="K907">
        <f>_xlfn.XLOOKUP($F907,設計座標!$E$13:$E$2301,設計座標!$I$13:$I$2301,"n/a",0,1)</f>
        <v>-23853.901847180001</v>
      </c>
      <c r="L907">
        <f>_xlfn.XLOOKUP($F907,設計座標!$E$13:$E$2301,設計座標!$J$13:$J$2301,"n/a",0,1)</f>
        <v>15</v>
      </c>
      <c r="M907" s="2">
        <f>_xlfn.XLOOKUP($F907,survey_data!$A$2:$A$833,survey_data!$B$2:$B$833,"n/a",0,1)</f>
        <v>-14995.218464539999</v>
      </c>
      <c r="N907" s="2">
        <f>_xlfn.XLOOKUP($F907,survey_data!$A$2:$A$833,survey_data!$C$2:$C$833,"n/a",0,1)</f>
        <v>-23853.901847180001</v>
      </c>
      <c r="O907" s="23">
        <f>_xlfn.XLOOKUP($F907,survey_data!$A$2:$A$833,survey_data!$D$2:$D$833,"n/a",0,1)</f>
        <v>14.84489016</v>
      </c>
      <c r="P907" s="1">
        <f t="shared" si="670"/>
        <v>14.450843368676633</v>
      </c>
      <c r="Q907" s="1">
        <f t="shared" ref="Q907:Q940" si="675">$M907-$J907</f>
        <v>4.7815354600006685</v>
      </c>
      <c r="R907">
        <f t="shared" si="671"/>
        <v>0</v>
      </c>
      <c r="S907" s="23">
        <f t="shared" ref="S907:S940" si="676">$O907-$L907</f>
        <v>-0.15510983999999972</v>
      </c>
      <c r="T907">
        <f>$S907+測地線補正!$Q$26*(lattice!$N907/1000)^3+測地線補正!$P$26*(lattice!$N907/1000)^2+測地線補正!$O$26*(lattice!$N907/1000)+測地線補正!$N$26</f>
        <v>-0.54915663132336601</v>
      </c>
      <c r="U907">
        <f>-ATAN(($P$909-$P$907)/ABS($N$909-$N$907))</f>
        <v>1.3108596131237269E-4</v>
      </c>
      <c r="V907">
        <v>0</v>
      </c>
      <c r="W907">
        <f>ATAN(($M$909-$M$907)/ABS($N$909-$N$907))</f>
        <v>-1.9432183069253064E-4</v>
      </c>
      <c r="X907">
        <f>$Z$908-($Y$908+$Y$906)/2</f>
        <v>175.14775179731521</v>
      </c>
      <c r="Y907">
        <f>_xlfn.XLOOKUP($F907,設計座標!$E$13:$E$2301,設計座標!$L$13:$L$2301," ",0,1)</f>
        <v>160</v>
      </c>
      <c r="Z907">
        <f>SQRT(($M$908-$M$906)^2+($N$908-$N$906)^2)</f>
        <v>255.14775179731521</v>
      </c>
      <c r="AA907">
        <f>_xlfn.XLOOKUP($G907,magnet_list!$A$2:$A$592,magnet_list!$AJ$2:$AJ$592,"n/a",0,1)</f>
        <v>0.18096930014326709</v>
      </c>
      <c r="AB907">
        <f>_xlfn.XLOOKUP($G907,magnet_list!$A$2:$A$592,magnet_list!$L$2:$L$592,"n/a",0,1)</f>
        <v>68</v>
      </c>
    </row>
    <row r="908" spans="1:30">
      <c r="A908" t="s">
        <v>797</v>
      </c>
      <c r="B908">
        <v>1</v>
      </c>
      <c r="C908" t="s">
        <v>805</v>
      </c>
      <c r="D908" t="s">
        <v>1152</v>
      </c>
      <c r="E908" t="s">
        <v>804</v>
      </c>
      <c r="F908" t="s">
        <v>626</v>
      </c>
      <c r="G908" t="s">
        <v>2551</v>
      </c>
      <c r="I908">
        <f>_xlfn.XLOOKUP($F908,設計座標!$E$13:$E$2301,設計座標!$G$13:$G$2301,"n/a",0,1)</f>
        <v>288.38596031308884</v>
      </c>
      <c r="J908">
        <f>_xlfn.XLOOKUP($F908,設計座標!$E$13:$E$2301,設計座標!$H$13:$H$2301,"n/a",0,1)</f>
        <v>-15000</v>
      </c>
      <c r="K908">
        <f>_xlfn.XLOOKUP($F908,設計座標!$E$13:$E$2301,設計座標!$I$13:$I$2301,"n/a",0,1)</f>
        <v>-23923.902847180001</v>
      </c>
      <c r="L908">
        <f>_xlfn.XLOOKUP($F908,設計座標!$E$13:$E$2301,設計座標!$J$13:$J$2301,"n/a",0,1)</f>
        <v>15</v>
      </c>
      <c r="M908" s="2">
        <f t="shared" si="672"/>
        <v>-14995.232067262641</v>
      </c>
      <c r="N908" s="2">
        <f t="shared" si="673"/>
        <v>-23923.902847180001</v>
      </c>
      <c r="O908" s="23">
        <f t="shared" si="674"/>
        <v>14.832949811464358</v>
      </c>
      <c r="P908" s="1">
        <f t="shared" si="670"/>
        <v>14.441667949724454</v>
      </c>
      <c r="Q908" s="1">
        <f>(Q$909-Q$907)/($N$909-$N$907)*($N908-$N$907)+Q$907</f>
        <v>4.7679327373591436</v>
      </c>
      <c r="R908">
        <f t="shared" si="671"/>
        <v>0</v>
      </c>
      <c r="S908" s="23">
        <f>(S$909-S$907)/($N$909-$N$907)*($N908-$N$907)+S$907</f>
        <v>-0.16705018853564146</v>
      </c>
      <c r="T908">
        <f>$S908+測地線補正!$Q$26*(lattice!$N908/1000)^3+測地線補正!$P$26*(lattice!$N908/1000)^2+測地線補正!$O$26*(lattice!$N908/1000)+測地線補正!$N$26</f>
        <v>-0.55833205027554544</v>
      </c>
      <c r="U908">
        <f t="shared" ref="U908:U909" si="677">-ATAN(($P$909-$P$907)/ABS($N$909-$N$907))</f>
        <v>1.3108596131237269E-4</v>
      </c>
      <c r="V908">
        <v>0</v>
      </c>
      <c r="W908">
        <f t="shared" ref="W908:W909" si="678">ATAN(($M$909-$M$907)/ABS($N$909-$N$907))</f>
        <v>-1.9432183069253064E-4</v>
      </c>
      <c r="X908">
        <f>$Z$908-($Y$908+$Y$906)/2</f>
        <v>175.14775179731521</v>
      </c>
      <c r="Y908">
        <f>_xlfn.XLOOKUP($F908,設計座標!$E$13:$E$2301,設計座標!$L$13:$L$2301," ",0,1)</f>
        <v>160</v>
      </c>
      <c r="Z908">
        <f>SQRT(($M$908-$M$906)^2+($N$908-$N$906)^2)</f>
        <v>255.14775179731521</v>
      </c>
      <c r="AA908">
        <f>_xlfn.XLOOKUP($G908,magnet_list!$A$2:$A$592,magnet_list!$AJ$2:$AJ$592,"n/a",0,1)</f>
        <v>0.18096930014326709</v>
      </c>
      <c r="AB908">
        <f>_xlfn.XLOOKUP($G908,magnet_list!$A$2:$A$592,magnet_list!$L$2:$L$592,"n/a",0,1)</f>
        <v>68</v>
      </c>
    </row>
    <row r="909" spans="1:30">
      <c r="A909" t="s">
        <v>797</v>
      </c>
      <c r="B909">
        <v>1</v>
      </c>
      <c r="C909" t="s">
        <v>805</v>
      </c>
      <c r="D909" t="s">
        <v>806</v>
      </c>
      <c r="F909" t="s">
        <v>145</v>
      </c>
      <c r="G909" t="s">
        <v>2551</v>
      </c>
      <c r="I909">
        <f>_xlfn.XLOOKUP($F909,設計座標!$E$13:$E$2301,設計座標!$G$13:$G$2301,"n/a",0,1)</f>
        <v>288.45592222698883</v>
      </c>
      <c r="J909">
        <f>_xlfn.XLOOKUP($F909,設計座標!$E$13:$E$2301,設計座標!$H$13:$H$2301,"n/a",0,1)</f>
        <v>-15000</v>
      </c>
      <c r="K909">
        <f>_xlfn.XLOOKUP($F909,設計座標!$E$13:$E$2301,設計座標!$I$13:$I$2301,"n/a",0,1)</f>
        <v>-23993.86476108</v>
      </c>
      <c r="L909">
        <f>_xlfn.XLOOKUP($F909,設計座標!$E$13:$E$2301,設計座標!$J$13:$J$2301,"n/a",0,1)</f>
        <v>15</v>
      </c>
      <c r="M909" s="2">
        <f>_xlfn.XLOOKUP($F909,survey_data!$A$2:$A$833,survey_data!$B$2:$B$833,"n/a",0,1)</f>
        <v>-14995.24566239</v>
      </c>
      <c r="N909" s="2">
        <f>_xlfn.XLOOKUP($F909,survey_data!$A$2:$A$833,survey_data!$C$2:$C$833,"n/a",0,1)</f>
        <v>-23993.86476108</v>
      </c>
      <c r="O909" s="23">
        <f>_xlfn.XLOOKUP($F909,survey_data!$A$2:$A$833,survey_data!$D$2:$D$833,"n/a",0,1)</f>
        <v>14.82101613</v>
      </c>
      <c r="P909" s="1">
        <f t="shared" si="670"/>
        <v>14.432496195454881</v>
      </c>
      <c r="Q909" s="1">
        <f t="shared" si="675"/>
        <v>4.7543376100002206</v>
      </c>
      <c r="R909">
        <f t="shared" si="671"/>
        <v>0</v>
      </c>
      <c r="S909" s="23">
        <f t="shared" si="676"/>
        <v>-0.17898386999999971</v>
      </c>
      <c r="T909">
        <f>$S909+測地線補正!$Q$26*(lattice!$N909/1000)^3+測地線補正!$P$26*(lattice!$N909/1000)^2+測地線補正!$O$26*(lattice!$N909/1000)+測地線補正!$N$26</f>
        <v>-0.56750380454511928</v>
      </c>
      <c r="U909">
        <f t="shared" si="677"/>
        <v>1.3108596131237269E-4</v>
      </c>
      <c r="V909">
        <v>0</v>
      </c>
      <c r="W909">
        <f t="shared" si="678"/>
        <v>-1.9432183069253064E-4</v>
      </c>
      <c r="X909">
        <f>$Z$908-($Y$908+$Y$906)/2</f>
        <v>175.14775179731521</v>
      </c>
      <c r="Y909">
        <f>_xlfn.XLOOKUP($F909,設計座標!$E$13:$E$2301,設計座標!$L$13:$L$2301," ",0,1)</f>
        <v>160</v>
      </c>
      <c r="Z909">
        <f>SQRT(($M$908-$M$906)^2+($N$908-$N$906)^2)</f>
        <v>255.14775179731521</v>
      </c>
      <c r="AA909">
        <f>_xlfn.XLOOKUP($G909,magnet_list!$A$2:$A$592,magnet_list!$AJ$2:$AJ$592,"n/a",0,1)</f>
        <v>0.18096930014326709</v>
      </c>
      <c r="AB909">
        <f>_xlfn.XLOOKUP($G909,magnet_list!$A$2:$A$592,magnet_list!$L$2:$L$592,"n/a",0,1)</f>
        <v>68</v>
      </c>
    </row>
    <row r="910" spans="1:30">
      <c r="A910" t="s">
        <v>797</v>
      </c>
      <c r="B910">
        <v>1</v>
      </c>
      <c r="C910" t="s">
        <v>805</v>
      </c>
      <c r="D910" t="s">
        <v>806</v>
      </c>
      <c r="F910" t="s">
        <v>146</v>
      </c>
      <c r="G910" t="s">
        <v>2552</v>
      </c>
      <c r="I910">
        <f>_xlfn.XLOOKUP($F910,設計座標!$E$13:$E$2301,設計座標!$G$13:$G$2301,"n/a",0,1)</f>
        <v>288.65485945271882</v>
      </c>
      <c r="J910">
        <f>_xlfn.XLOOKUP($F910,設計座標!$E$13:$E$2301,設計座標!$H$13:$H$2301,"n/a",0,1)</f>
        <v>-15000</v>
      </c>
      <c r="K910">
        <f>_xlfn.XLOOKUP($F910,設計座標!$E$13:$E$2301,設計座標!$I$13:$I$2301,"n/a",0,1)</f>
        <v>-24192.801986809998</v>
      </c>
      <c r="L910">
        <f>_xlfn.XLOOKUP($F910,設計座標!$E$13:$E$2301,設計座標!$J$13:$J$2301,"n/a",0,1)</f>
        <v>15</v>
      </c>
      <c r="M910" s="2">
        <f>_xlfn.XLOOKUP($F910,survey_data!$A$2:$A$833,survey_data!$B$2:$B$833,"n/a",0,1)</f>
        <v>-14995.25387353</v>
      </c>
      <c r="N910" s="2">
        <f>_xlfn.XLOOKUP($F910,survey_data!$A$2:$A$833,survey_data!$C$2:$C$833,"n/a",0,1)</f>
        <v>-24192.801986809998</v>
      </c>
      <c r="O910" s="23">
        <f>_xlfn.XLOOKUP($F910,survey_data!$A$2:$A$833,survey_data!$D$2:$D$833,"n/a",0,1)</f>
        <v>14.751330100000001</v>
      </c>
      <c r="P910" s="1">
        <f t="shared" si="670"/>
        <v>14.370655760515085</v>
      </c>
      <c r="Q910" s="1">
        <f t="shared" si="675"/>
        <v>4.7461264699995809</v>
      </c>
      <c r="R910">
        <f t="shared" si="671"/>
        <v>0</v>
      </c>
      <c r="S910" s="23">
        <f t="shared" si="676"/>
        <v>-0.24866989999999944</v>
      </c>
      <c r="T910">
        <f>$S910+測地線補正!$Q$26*(lattice!$N910/1000)^3+測地線補正!$P$26*(lattice!$N910/1000)^2+測地線補正!$O$26*(lattice!$N910/1000)+測地線補正!$N$26</f>
        <v>-0.6293442394849158</v>
      </c>
      <c r="U910">
        <f>-ATAN(($P$912-$P$910)/ABS($N$912-$N$910))</f>
        <v>-3.3408684305632886E-5</v>
      </c>
      <c r="V910">
        <v>0</v>
      </c>
      <c r="W910">
        <f>ATAN(($M$912-$M$910)/ABS($N$912-$N$910))</f>
        <v>4.5110387128353659E-4</v>
      </c>
      <c r="X910">
        <f>$Z$911-($Y$911+$Y$908)/2</f>
        <v>178.89013977073887</v>
      </c>
      <c r="Y910">
        <f>_xlfn.XLOOKUP($F910,設計座標!$E$13:$E$2301,設計座標!$L$13:$L$2301," ",0,1)</f>
        <v>160</v>
      </c>
      <c r="Z910">
        <f>SQRT(($M$911-$M$908)^2+($N$911-$N$908)^2)</f>
        <v>338.89013977073887</v>
      </c>
      <c r="AA910">
        <f>_xlfn.XLOOKUP($G910,magnet_list!$A$2:$A$592,magnet_list!$AJ$2:$AJ$592,"n/a",0,1)</f>
        <v>0.18096930014326709</v>
      </c>
      <c r="AB910">
        <f>_xlfn.XLOOKUP($G910,magnet_list!$A$2:$A$592,magnet_list!$L$2:$L$592,"n/a",0,1)</f>
        <v>68</v>
      </c>
    </row>
    <row r="911" spans="1:30">
      <c r="A911" t="s">
        <v>797</v>
      </c>
      <c r="B911">
        <v>1</v>
      </c>
      <c r="C911" t="s">
        <v>805</v>
      </c>
      <c r="D911" t="s">
        <v>1152</v>
      </c>
      <c r="E911" t="s">
        <v>804</v>
      </c>
      <c r="F911" t="s">
        <v>627</v>
      </c>
      <c r="G911" t="s">
        <v>2552</v>
      </c>
      <c r="I911">
        <f>_xlfn.XLOOKUP($F911,設計座標!$E$13:$E$2301,設計座標!$G$13:$G$2301,"n/a",0,1)</f>
        <v>288.72485045271884</v>
      </c>
      <c r="J911">
        <f>_xlfn.XLOOKUP($F911,設計座標!$E$13:$E$2301,設計座標!$H$13:$H$2301,"n/a",0,1)</f>
        <v>-15000</v>
      </c>
      <c r="K911">
        <f>_xlfn.XLOOKUP($F911,設計座標!$E$13:$E$2301,設計座標!$I$13:$I$2301,"n/a",0,1)</f>
        <v>-24262.792986809996</v>
      </c>
      <c r="L911">
        <f>_xlfn.XLOOKUP($F911,設計座標!$E$13:$E$2301,設計座標!$J$13:$J$2301,"n/a",0,1)</f>
        <v>15</v>
      </c>
      <c r="M911" s="2">
        <f t="shared" ref="M911" si="679">$J911+$Q911</f>
        <v>-14995.222300316804</v>
      </c>
      <c r="N911" s="2">
        <f t="shared" ref="N911" si="680">$K911</f>
        <v>-24262.792986809996</v>
      </c>
      <c r="O911" s="23">
        <f t="shared" ref="O911" si="681">$L911+$S911</f>
        <v>14.750911664988495</v>
      </c>
      <c r="P911" s="1">
        <f t="shared" si="670"/>
        <v>14.372994796531561</v>
      </c>
      <c r="Q911" s="1">
        <f>(Q$912-Q$910)/($N$912-$N$910)*($N911-$N$910)+Q$910</f>
        <v>4.7776996831962464</v>
      </c>
      <c r="R911">
        <f t="shared" si="671"/>
        <v>0</v>
      </c>
      <c r="S911" s="23">
        <f>(S$912-S$910)/($N$912-$N$910)*($N911-$N$910)+S$910</f>
        <v>-0.24908833501150571</v>
      </c>
      <c r="T911">
        <f>$S911+測地線補正!$Q$26*(lattice!$N911/1000)^3+測地線補正!$P$26*(lattice!$N911/1000)^2+測地線補正!$O$26*(lattice!$N911/1000)+測地線補正!$N$26</f>
        <v>-0.62700520346843913</v>
      </c>
      <c r="U911">
        <f t="shared" ref="U911:U912" si="682">-ATAN(($P$912-$P$910)/ABS($N$912-$N$910))</f>
        <v>-3.3408684305632886E-5</v>
      </c>
      <c r="V911">
        <v>0</v>
      </c>
      <c r="W911">
        <f t="shared" ref="W911:W912" si="683">ATAN(($M$912-$M$910)/ABS($N$912-$N$910))</f>
        <v>4.5110387128353659E-4</v>
      </c>
      <c r="X911">
        <f>$Z$911-($Y$911+$Y$908)/2</f>
        <v>178.89013977073887</v>
      </c>
      <c r="Y911">
        <f>_xlfn.XLOOKUP($F911,設計座標!$E$13:$E$2301,設計座標!$L$13:$L$2301," ",0,1)</f>
        <v>160</v>
      </c>
      <c r="Z911">
        <f>SQRT(($M$911-$M$908)^2+($N$911-$N$908)^2)</f>
        <v>338.89013977073887</v>
      </c>
      <c r="AA911">
        <f>_xlfn.XLOOKUP($G911,magnet_list!$A$2:$A$592,magnet_list!$AJ$2:$AJ$592,"n/a",0,1)</f>
        <v>0.18096930014326709</v>
      </c>
      <c r="AB911">
        <f>_xlfn.XLOOKUP($G911,magnet_list!$A$2:$A$592,magnet_list!$L$2:$L$592,"n/a",0,1)</f>
        <v>68</v>
      </c>
    </row>
    <row r="912" spans="1:30">
      <c r="A912" t="s">
        <v>797</v>
      </c>
      <c r="B912">
        <v>1</v>
      </c>
      <c r="C912" t="s">
        <v>805</v>
      </c>
      <c r="D912" t="s">
        <v>806</v>
      </c>
      <c r="F912" t="s">
        <v>147</v>
      </c>
      <c r="G912" t="s">
        <v>2552</v>
      </c>
      <c r="I912">
        <f>_xlfn.XLOOKUP($F912,設計座標!$E$13:$E$2301,設計座標!$G$13:$G$2301,"n/a",0,1)</f>
        <v>288.79482137664883</v>
      </c>
      <c r="J912">
        <f>_xlfn.XLOOKUP($F912,設計座標!$E$13:$E$2301,設計座標!$H$13:$H$2301,"n/a",0,1)</f>
        <v>-15000</v>
      </c>
      <c r="K912">
        <f>_xlfn.XLOOKUP($F912,設計座標!$E$13:$E$2301,設計座標!$I$13:$I$2301,"n/a",0,1)</f>
        <v>-24332.763910739999</v>
      </c>
      <c r="L912">
        <f>_xlfn.XLOOKUP($F912,設計座標!$E$13:$E$2301,設計座標!$J$13:$J$2301,"n/a",0,1)</f>
        <v>15</v>
      </c>
      <c r="M912" s="2">
        <f>_xlfn.XLOOKUP($F912,survey_data!$A$2:$A$833,survey_data!$B$2:$B$833,"n/a",0,1)</f>
        <v>-14995.190736160001</v>
      </c>
      <c r="N912" s="2">
        <f>_xlfn.XLOOKUP($F912,survey_data!$A$2:$A$833,survey_data!$C$2:$C$833,"n/a",0,1)</f>
        <v>-24332.763910739999</v>
      </c>
      <c r="O912" s="23">
        <f>_xlfn.XLOOKUP($F912,survey_data!$A$2:$A$833,survey_data!$D$2:$D$833,"n/a",0,1)</f>
        <v>14.750493349999999</v>
      </c>
      <c r="P912" s="1">
        <f t="shared" si="670"/>
        <v>14.375331704248211</v>
      </c>
      <c r="Q912" s="1">
        <f t="shared" si="675"/>
        <v>4.809263839999403</v>
      </c>
      <c r="R912">
        <f t="shared" si="671"/>
        <v>0</v>
      </c>
      <c r="S912" s="23">
        <f t="shared" si="676"/>
        <v>-0.24950665000000072</v>
      </c>
      <c r="T912">
        <f>$S912+測地線補正!$Q$26*(lattice!$N912/1000)^3+測地線補正!$P$26*(lattice!$N912/1000)^2+測地線補正!$O$26*(lattice!$N912/1000)+測地線補正!$N$26</f>
        <v>-0.62466829575178884</v>
      </c>
      <c r="U912">
        <f t="shared" si="682"/>
        <v>-3.3408684305632886E-5</v>
      </c>
      <c r="V912">
        <v>0</v>
      </c>
      <c r="W912">
        <f t="shared" si="683"/>
        <v>4.5110387128353659E-4</v>
      </c>
      <c r="X912">
        <f>$Z$911-($Y$911+$Y$908)/2</f>
        <v>178.89013977073887</v>
      </c>
      <c r="Y912">
        <f>_xlfn.XLOOKUP($F912,設計座標!$E$13:$E$2301,設計座標!$L$13:$L$2301," ",0,1)</f>
        <v>160</v>
      </c>
      <c r="Z912">
        <f>SQRT(($M$911-$M$908)^2+($N$911-$N$908)^2)</f>
        <v>338.89013977073887</v>
      </c>
      <c r="AA912">
        <f>_xlfn.XLOOKUP($G912,magnet_list!$A$2:$A$592,magnet_list!$AJ$2:$AJ$592,"n/a",0,1)</f>
        <v>0.18096930014326709</v>
      </c>
      <c r="AB912">
        <f>_xlfn.XLOOKUP($G912,magnet_list!$A$2:$A$592,magnet_list!$L$2:$L$592,"n/a",0,1)</f>
        <v>68</v>
      </c>
    </row>
    <row r="913" spans="1:29">
      <c r="A913" t="s">
        <v>797</v>
      </c>
      <c r="B913">
        <v>1</v>
      </c>
      <c r="C913" t="s">
        <v>805</v>
      </c>
      <c r="D913" t="s">
        <v>806</v>
      </c>
      <c r="F913" t="s">
        <v>148</v>
      </c>
      <c r="G913" t="s">
        <v>2553</v>
      </c>
      <c r="I913">
        <f>_xlfn.XLOOKUP($F913,設計座標!$E$13:$E$2301,設計座標!$G$13:$G$2301,"n/a",0,1)</f>
        <v>288.99531909130883</v>
      </c>
      <c r="J913">
        <f>_xlfn.XLOOKUP($F913,設計座標!$E$13:$E$2301,設計座標!$H$13:$H$2301,"n/a",0,1)</f>
        <v>-15000</v>
      </c>
      <c r="K913">
        <f>_xlfn.XLOOKUP($F913,設計座標!$E$13:$E$2301,設計座標!$I$13:$I$2301,"n/a",0,1)</f>
        <v>-24533.261625399999</v>
      </c>
      <c r="L913">
        <f>_xlfn.XLOOKUP($F913,設計座標!$E$13:$E$2301,設計座標!$J$13:$J$2301,"n/a",0,1)</f>
        <v>15</v>
      </c>
      <c r="M913" s="2">
        <f>_xlfn.XLOOKUP($F913,survey_data!$A$2:$A$833,survey_data!$B$2:$B$833,"n/a",0,1)</f>
        <v>-14995.208892950001</v>
      </c>
      <c r="N913" s="2">
        <f>_xlfn.XLOOKUP($F913,survey_data!$A$2:$A$833,survey_data!$C$2:$C$833,"n/a",0,1)</f>
        <v>-24533.261625399999</v>
      </c>
      <c r="O913" s="23">
        <f>_xlfn.XLOOKUP($F913,survey_data!$A$2:$A$833,survey_data!$D$2:$D$833,"n/a",0,1)</f>
        <v>14.80181397</v>
      </c>
      <c r="P913" s="1">
        <f t="shared" si="670"/>
        <v>14.43453919123273</v>
      </c>
      <c r="Q913" s="1">
        <f t="shared" si="675"/>
        <v>4.7911070499994821</v>
      </c>
      <c r="R913">
        <f t="shared" si="671"/>
        <v>0</v>
      </c>
      <c r="S913" s="23">
        <f t="shared" si="676"/>
        <v>-0.19818603000000046</v>
      </c>
      <c r="T913">
        <f>$S913+測地線補正!$Q$26*(lattice!$N913/1000)^3+測地線補正!$P$26*(lattice!$N913/1000)^2+測地線補正!$O$26*(lattice!$N913/1000)+測地線補正!$N$26</f>
        <v>-0.56546080876727067</v>
      </c>
      <c r="U913">
        <f>-ATAN(($P$915-$P$913)/ABS($N$915-$N$913))</f>
        <v>2.7668196772362361E-5</v>
      </c>
      <c r="V913">
        <v>0</v>
      </c>
      <c r="W913">
        <f>ATAN(($M$915-$M$913)/ABS($N$915-$N$913))</f>
        <v>-1.1486684971424345E-4</v>
      </c>
      <c r="X913">
        <f>$Z$914-($Y$914+$Y$911)/2</f>
        <v>180.50163863223446</v>
      </c>
      <c r="Y913">
        <f>_xlfn.XLOOKUP($F913,設計座標!$E$13:$E$2301,設計座標!$L$13:$L$2301," ",0,1)</f>
        <v>160</v>
      </c>
      <c r="Z913">
        <f>SQRT(($M$914-$M$911)^2+($N$914-$N$911)^2)</f>
        <v>340.50163863223446</v>
      </c>
      <c r="AA913">
        <f>_xlfn.XLOOKUP($G913,magnet_list!$A$2:$A$592,magnet_list!$AJ$2:$AJ$592,"n/a",0,1)</f>
        <v>0.18096930014326709</v>
      </c>
      <c r="AB913">
        <f>_xlfn.XLOOKUP($G913,magnet_list!$A$2:$A$592,magnet_list!$L$2:$L$592,"n/a",0,1)</f>
        <v>68</v>
      </c>
    </row>
    <row r="914" spans="1:29">
      <c r="A914" t="s">
        <v>797</v>
      </c>
      <c r="B914">
        <v>1</v>
      </c>
      <c r="C914" t="s">
        <v>805</v>
      </c>
      <c r="D914" t="s">
        <v>1152</v>
      </c>
      <c r="E914" t="s">
        <v>804</v>
      </c>
      <c r="F914" t="s">
        <v>628</v>
      </c>
      <c r="G914" t="s">
        <v>2553</v>
      </c>
      <c r="I914">
        <f>_xlfn.XLOOKUP($F914,設計座標!$E$13:$E$2301,設計座標!$G$13:$G$2301,"n/a",0,1)</f>
        <v>289.06535209130885</v>
      </c>
      <c r="J914">
        <f>_xlfn.XLOOKUP($F914,設計座標!$E$13:$E$2301,設計座標!$H$13:$H$2301,"n/a",0,1)</f>
        <v>-15000</v>
      </c>
      <c r="K914">
        <f>_xlfn.XLOOKUP($F914,設計座標!$E$13:$E$2301,設計座標!$I$13:$I$2301,"n/a",0,1)</f>
        <v>-24603.294625399998</v>
      </c>
      <c r="L914">
        <f>_xlfn.XLOOKUP($F914,設計座標!$E$13:$E$2301,設計座標!$J$13:$J$2301,"n/a",0,1)</f>
        <v>15</v>
      </c>
      <c r="M914" s="2">
        <f t="shared" ref="M914" si="684">$J914+$Q914</f>
        <v>-14995.216937420122</v>
      </c>
      <c r="N914" s="2">
        <f t="shared" ref="N914" si="685">$K914</f>
        <v>-24603.294625399998</v>
      </c>
      <c r="O914" s="23">
        <f t="shared" ref="O914" si="686">$L914+$S914</f>
        <v>14.797124979924588</v>
      </c>
      <c r="P914" s="1">
        <f t="shared" si="670"/>
        <v>14.43260223259842</v>
      </c>
      <c r="Q914" s="1">
        <f>(Q$915-Q$913)/($N$915-$N$913)*($N914-$N$913)+Q$913</f>
        <v>4.7830625798780639</v>
      </c>
      <c r="R914">
        <f t="shared" si="671"/>
        <v>0</v>
      </c>
      <c r="S914" s="23">
        <f>(S$915-S$913)/($N$915-$N$913)*($N914-$N$913)+S$913</f>
        <v>-0.20287502007541219</v>
      </c>
      <c r="T914">
        <f>$S914+測地線補正!$Q$26*(lattice!$N914/1000)^3+測地線補正!$P$26*(lattice!$N914/1000)^2+測地線補正!$O$26*(lattice!$N914/1000)+測地線補正!$N$26</f>
        <v>-0.56739776740157932</v>
      </c>
      <c r="U914">
        <f t="shared" ref="U914:U915" si="687">-ATAN(($P$915-$P$913)/ABS($N$915-$N$913))</f>
        <v>2.7668196772362361E-5</v>
      </c>
      <c r="V914">
        <v>0</v>
      </c>
      <c r="W914">
        <f t="shared" ref="W914:W915" si="688">ATAN(($M$915-$M$913)/ABS($N$915-$N$913))</f>
        <v>-1.1486684971424345E-4</v>
      </c>
      <c r="X914">
        <f>$Z$914-($Y$914+$Y$911)/2</f>
        <v>180.50163863223446</v>
      </c>
      <c r="Y914">
        <f>_xlfn.XLOOKUP($F914,設計座標!$E$13:$E$2301,設計座標!$L$13:$L$2301," ",0,1)</f>
        <v>160</v>
      </c>
      <c r="Z914">
        <f>SQRT(($M$914-$M$911)^2+($N$914-$N$911)^2)</f>
        <v>340.50163863223446</v>
      </c>
      <c r="AA914">
        <f>_xlfn.XLOOKUP($G914,magnet_list!$A$2:$A$592,magnet_list!$AJ$2:$AJ$592,"n/a",0,1)</f>
        <v>0.18096930014326709</v>
      </c>
      <c r="AB914">
        <f>_xlfn.XLOOKUP($G914,magnet_list!$A$2:$A$592,magnet_list!$L$2:$L$592,"n/a",0,1)</f>
        <v>68</v>
      </c>
    </row>
    <row r="915" spans="1:29">
      <c r="A915" t="s">
        <v>797</v>
      </c>
      <c r="B915">
        <v>1</v>
      </c>
      <c r="C915" t="s">
        <v>805</v>
      </c>
      <c r="D915" t="s">
        <v>806</v>
      </c>
      <c r="F915" t="s">
        <v>149</v>
      </c>
      <c r="G915" t="s">
        <v>2553</v>
      </c>
      <c r="I915">
        <f>_xlfn.XLOOKUP($F915,設計座標!$E$13:$E$2301,設計座標!$G$13:$G$2301,"n/a",0,1)</f>
        <v>289.13528845555885</v>
      </c>
      <c r="J915">
        <f>_xlfn.XLOOKUP($F915,設計座標!$E$13:$E$2301,設計座標!$H$13:$H$2301,"n/a",0,1)</f>
        <v>-15000</v>
      </c>
      <c r="K915">
        <f>_xlfn.XLOOKUP($F915,設計座標!$E$13:$E$2301,設計座標!$I$13:$I$2301,"n/a",0,1)</f>
        <v>-24673.230989650001</v>
      </c>
      <c r="L915">
        <f>_xlfn.XLOOKUP($F915,設計座標!$E$13:$E$2301,設計座標!$J$13:$J$2301,"n/a",0,1)</f>
        <v>15</v>
      </c>
      <c r="M915" s="2">
        <f>_xlfn.XLOOKUP($F915,survey_data!$A$2:$A$833,survey_data!$B$2:$B$833,"n/a",0,1)</f>
        <v>-14995.224970789999</v>
      </c>
      <c r="N915" s="2">
        <f>_xlfn.XLOOKUP($F915,survey_data!$A$2:$A$833,survey_data!$C$2:$C$833,"n/a",0,1)</f>
        <v>-24673.230989650001</v>
      </c>
      <c r="O915" s="23">
        <f>_xlfn.XLOOKUP($F915,survey_data!$A$2:$A$833,survey_data!$D$2:$D$833,"n/a",0,1)</f>
        <v>14.79244246</v>
      </c>
      <c r="P915" s="1">
        <f t="shared" si="670"/>
        <v>14.43066649131957</v>
      </c>
      <c r="Q915" s="1">
        <f t="shared" si="675"/>
        <v>4.7750292100008664</v>
      </c>
      <c r="R915">
        <f t="shared" si="671"/>
        <v>0</v>
      </c>
      <c r="S915" s="23">
        <f t="shared" si="676"/>
        <v>-0.20755753999999982</v>
      </c>
      <c r="T915">
        <f>$S915+測地線補正!$Q$26*(lattice!$N915/1000)^3+測地線補正!$P$26*(lattice!$N915/1000)^2+測地線補正!$O$26*(lattice!$N915/1000)+測地線補正!$N$26</f>
        <v>-0.56933350868042987</v>
      </c>
      <c r="U915">
        <f t="shared" si="687"/>
        <v>2.7668196772362361E-5</v>
      </c>
      <c r="V915">
        <v>0</v>
      </c>
      <c r="W915">
        <f t="shared" si="688"/>
        <v>-1.1486684971424345E-4</v>
      </c>
      <c r="X915">
        <f>$Z$914-($Y$914+$Y$911)/2</f>
        <v>180.50163863223446</v>
      </c>
      <c r="Y915">
        <f>_xlfn.XLOOKUP($F915,設計座標!$E$13:$E$2301,設計座標!$L$13:$L$2301," ",0,1)</f>
        <v>160</v>
      </c>
      <c r="Z915">
        <f>SQRT(($M$914-$M$911)^2+($N$914-$N$911)^2)</f>
        <v>340.50163863223446</v>
      </c>
      <c r="AA915">
        <f>_xlfn.XLOOKUP($G915,magnet_list!$A$2:$A$592,magnet_list!$AJ$2:$AJ$592,"n/a",0,1)</f>
        <v>0.18096930014326709</v>
      </c>
      <c r="AB915">
        <f>_xlfn.XLOOKUP($G915,magnet_list!$A$2:$A$592,magnet_list!$L$2:$L$592,"n/a",0,1)</f>
        <v>68</v>
      </c>
    </row>
    <row r="916" spans="1:29">
      <c r="A916" t="s">
        <v>797</v>
      </c>
      <c r="B916">
        <v>1</v>
      </c>
      <c r="C916" t="s">
        <v>805</v>
      </c>
      <c r="D916" t="s">
        <v>806</v>
      </c>
      <c r="F916" t="s">
        <v>150</v>
      </c>
      <c r="G916" t="s">
        <v>2554</v>
      </c>
      <c r="I916">
        <f>_xlfn.XLOOKUP($F916,設計座標!$E$13:$E$2301,設計座標!$G$13:$G$2301,"n/a",0,1)</f>
        <v>289.33533733844882</v>
      </c>
      <c r="J916">
        <f>_xlfn.XLOOKUP($F916,設計座標!$E$13:$E$2301,設計座標!$H$13:$H$2301,"n/a",0,1)</f>
        <v>-15000</v>
      </c>
      <c r="K916">
        <f>_xlfn.XLOOKUP($F916,設計座標!$E$13:$E$2301,設計座標!$I$13:$I$2301,"n/a",0,1)</f>
        <v>-24873.279872539999</v>
      </c>
      <c r="L916">
        <f>_xlfn.XLOOKUP($F916,設計座標!$E$13:$E$2301,設計座標!$J$13:$J$2301,"n/a",0,1)</f>
        <v>15</v>
      </c>
      <c r="M916" s="2">
        <f>_xlfn.XLOOKUP($F916,survey_data!$A$2:$A$833,survey_data!$B$2:$B$833,"n/a",0,1)</f>
        <v>-14995.153256039999</v>
      </c>
      <c r="N916" s="2">
        <f>_xlfn.XLOOKUP($F916,survey_data!$A$2:$A$833,survey_data!$C$2:$C$833,"n/a",0,1)</f>
        <v>-24873.279872539999</v>
      </c>
      <c r="O916" s="23">
        <f>_xlfn.XLOOKUP($F916,survey_data!$A$2:$A$833,survey_data!$D$2:$D$833,"n/a",0,1)</f>
        <v>14.76750476</v>
      </c>
      <c r="P916" s="1">
        <f t="shared" si="670"/>
        <v>14.413577763607137</v>
      </c>
      <c r="Q916" s="1">
        <f t="shared" si="675"/>
        <v>4.846743960000822</v>
      </c>
      <c r="R916">
        <f t="shared" si="671"/>
        <v>0</v>
      </c>
      <c r="S916" s="23">
        <f t="shared" si="676"/>
        <v>-0.23249524000000044</v>
      </c>
      <c r="T916">
        <f>$S916+測地線補正!$Q$26*(lattice!$N916/1000)^3+測地線補正!$P$26*(lattice!$N916/1000)^2+測地線補正!$O$26*(lattice!$N916/1000)+測地線補正!$N$26</f>
        <v>-0.58642223639286351</v>
      </c>
      <c r="U916">
        <f>-ATAN(($P$918-$P$916)/ABS($N$918-$N$916))</f>
        <v>-3.2182306819102493E-4</v>
      </c>
      <c r="V916">
        <v>0</v>
      </c>
      <c r="W916">
        <f>ATAN(($M$918-$M$916)/ABS($N$918-$N$916))</f>
        <v>-1.1848103482724157E-4</v>
      </c>
      <c r="X916">
        <f>$Z$917-($Y$917+$Y$914)/2</f>
        <v>179.97575165197384</v>
      </c>
      <c r="Y916">
        <f>_xlfn.XLOOKUP($F916,設計座標!$E$13:$E$2301,設計座標!$L$13:$L$2301," ",0,1)</f>
        <v>160</v>
      </c>
      <c r="Z916">
        <f>SQRT(($M$917-$M$914)^2+($N$917-$N$914)^2)</f>
        <v>339.97575165197384</v>
      </c>
      <c r="AA916">
        <f>_xlfn.XLOOKUP($G916,magnet_list!$A$2:$A$592,magnet_list!$AJ$2:$AJ$592,"n/a",0,1)</f>
        <v>0.18096930014326709</v>
      </c>
      <c r="AB916">
        <f>_xlfn.XLOOKUP($G916,magnet_list!$A$2:$A$592,magnet_list!$L$2:$L$592,"n/a",0,1)</f>
        <v>68</v>
      </c>
    </row>
    <row r="917" spans="1:29">
      <c r="A917" t="s">
        <v>797</v>
      </c>
      <c r="B917">
        <v>1</v>
      </c>
      <c r="C917" t="s">
        <v>805</v>
      </c>
      <c r="D917" t="s">
        <v>1152</v>
      </c>
      <c r="E917" t="s">
        <v>804</v>
      </c>
      <c r="F917" t="s">
        <v>629</v>
      </c>
      <c r="G917" t="s">
        <v>2554</v>
      </c>
      <c r="I917">
        <f>_xlfn.XLOOKUP($F917,設計座標!$E$13:$E$2301,設計座標!$G$13:$G$2301,"n/a",0,1)</f>
        <v>289.40532783844884</v>
      </c>
      <c r="J917">
        <f>_xlfn.XLOOKUP($F917,設計座標!$E$13:$E$2301,設計座標!$H$13:$H$2301,"n/a",0,1)</f>
        <v>-15000</v>
      </c>
      <c r="K917">
        <f>_xlfn.XLOOKUP($F917,設計座標!$E$13:$E$2301,設計座標!$I$13:$I$2301,"n/a",0,1)</f>
        <v>-24943.270372539999</v>
      </c>
      <c r="L917">
        <f>_xlfn.XLOOKUP($F917,設計座標!$E$13:$E$2301,設計座標!$J$13:$J$2301,"n/a",0,1)</f>
        <v>15</v>
      </c>
      <c r="M917" s="2">
        <f t="shared" ref="M917" si="689">$J917+$Q917</f>
        <v>-14995.161548586906</v>
      </c>
      <c r="N917" s="2">
        <f t="shared" ref="N917" si="690">$K917</f>
        <v>-24943.270372539999</v>
      </c>
      <c r="O917" s="23">
        <f t="shared" ref="O917" si="691">$L917+$S917</f>
        <v>14.78728675779495</v>
      </c>
      <c r="P917" s="1">
        <f t="shared" si="670"/>
        <v>14.436103049439515</v>
      </c>
      <c r="Q917" s="1">
        <f>(Q$918-Q$916)/($N$918-$N$916)*($N917-$N$916)+Q$916</f>
        <v>4.8384514130939431</v>
      </c>
      <c r="R917">
        <f t="shared" si="671"/>
        <v>0</v>
      </c>
      <c r="S917" s="23">
        <f>(S$918-S$916)/($N$918-$N$916)*($N917-$N$916)+S$916</f>
        <v>-0.21271324220504975</v>
      </c>
      <c r="T917">
        <f>$S917+測地線補正!$Q$26*(lattice!$N917/1000)^3+測地線補正!$P$26*(lattice!$N917/1000)^2+測地線補正!$O$26*(lattice!$N917/1000)+測地線補正!$N$26</f>
        <v>-0.56389695056048583</v>
      </c>
      <c r="U917">
        <f t="shared" ref="U917:U918" si="692">-ATAN(($P$918-$P$916)/ABS($N$918-$N$916))</f>
        <v>-3.2182306819102493E-4</v>
      </c>
      <c r="V917">
        <v>0</v>
      </c>
      <c r="W917">
        <f t="shared" ref="W917:W918" si="693">ATAN(($M$918-$M$916)/ABS($N$918-$N$916))</f>
        <v>-1.1848103482724157E-4</v>
      </c>
      <c r="X917">
        <f>$Z$917-($Y$917+$Y$914)/2</f>
        <v>179.97575165197384</v>
      </c>
      <c r="Y917">
        <f>_xlfn.XLOOKUP($F917,設計座標!$E$13:$E$2301,設計座標!$L$13:$L$2301," ",0,1)</f>
        <v>160</v>
      </c>
      <c r="Z917">
        <f>SQRT(($M$917-$M$914)^2+($N$917-$N$914)^2)</f>
        <v>339.97575165197384</v>
      </c>
      <c r="AA917">
        <f>_xlfn.XLOOKUP($G917,magnet_list!$A$2:$A$592,magnet_list!$AJ$2:$AJ$592,"n/a",0,1)</f>
        <v>0.18096930014326709</v>
      </c>
      <c r="AB917">
        <f>_xlfn.XLOOKUP($G917,magnet_list!$A$2:$A$592,magnet_list!$L$2:$L$592,"n/a",0,1)</f>
        <v>68</v>
      </c>
    </row>
    <row r="918" spans="1:29">
      <c r="A918" t="s">
        <v>797</v>
      </c>
      <c r="B918">
        <v>1</v>
      </c>
      <c r="C918" t="s">
        <v>805</v>
      </c>
      <c r="D918" t="s">
        <v>806</v>
      </c>
      <c r="F918" t="s">
        <v>151</v>
      </c>
      <c r="G918" t="s">
        <v>2554</v>
      </c>
      <c r="I918">
        <f>_xlfn.XLOOKUP($F918,設計座標!$E$13:$E$2301,設計座標!$G$13:$G$2301,"n/a",0,1)</f>
        <v>289.47531509900887</v>
      </c>
      <c r="J918">
        <f>_xlfn.XLOOKUP($F918,設計座標!$E$13:$E$2301,設計座標!$H$13:$H$2301,"n/a",0,1)</f>
        <v>-15000</v>
      </c>
      <c r="K918">
        <f>_xlfn.XLOOKUP($F918,設計座標!$E$13:$E$2301,設計座標!$I$13:$I$2301,"n/a",0,1)</f>
        <v>-25013.257633099998</v>
      </c>
      <c r="L918">
        <f>_xlfn.XLOOKUP($F918,設計座標!$E$13:$E$2301,設計座標!$J$13:$J$2301,"n/a",0,1)</f>
        <v>15</v>
      </c>
      <c r="M918" s="2">
        <f>_xlfn.XLOOKUP($F918,survey_data!$A$2:$A$833,survey_data!$B$2:$B$833,"n/a",0,1)</f>
        <v>-14995.169840750001</v>
      </c>
      <c r="N918" s="2">
        <f>_xlfn.XLOOKUP($F918,survey_data!$A$2:$A$833,survey_data!$C$2:$C$833,"n/a",0,1)</f>
        <v>-25013.257633099998</v>
      </c>
      <c r="O918" s="23">
        <f>_xlfn.XLOOKUP($F918,survey_data!$A$2:$A$833,survey_data!$D$2:$D$833,"n/a",0,1)</f>
        <v>14.80706784</v>
      </c>
      <c r="P918" s="1">
        <f t="shared" ref="P918:P984" si="694">$L918+$T918</f>
        <v>14.458625837544275</v>
      </c>
      <c r="Q918" s="1">
        <f t="shared" si="675"/>
        <v>4.8301592499992694</v>
      </c>
      <c r="R918">
        <f t="shared" si="671"/>
        <v>0</v>
      </c>
      <c r="S918" s="23">
        <f t="shared" si="676"/>
        <v>-0.1929321599999998</v>
      </c>
      <c r="T918">
        <f>$S918+測地線補正!$Q$26*(lattice!$N918/1000)^3+測地線補正!$P$26*(lattice!$N918/1000)^2+測地線補正!$O$26*(lattice!$N918/1000)+測地線補正!$N$26</f>
        <v>-0.54137416245572501</v>
      </c>
      <c r="U918">
        <f t="shared" si="692"/>
        <v>-3.2182306819102493E-4</v>
      </c>
      <c r="V918">
        <v>0</v>
      </c>
      <c r="W918">
        <f t="shared" si="693"/>
        <v>-1.1848103482724157E-4</v>
      </c>
      <c r="X918">
        <f>$Z$917-($Y$917+$Y$914)/2</f>
        <v>179.97575165197384</v>
      </c>
      <c r="Y918">
        <f>_xlfn.XLOOKUP($F918,設計座標!$E$13:$E$2301,設計座標!$L$13:$L$2301," ",0,1)</f>
        <v>160</v>
      </c>
      <c r="Z918">
        <f>SQRT(($M$917-$M$914)^2+($N$917-$N$914)^2)</f>
        <v>339.97575165197384</v>
      </c>
      <c r="AA918">
        <f>_xlfn.XLOOKUP($G918,magnet_list!$A$2:$A$592,magnet_list!$AJ$2:$AJ$592,"n/a",0,1)</f>
        <v>0.18096930014326709</v>
      </c>
      <c r="AB918">
        <f>_xlfn.XLOOKUP($G918,magnet_list!$A$2:$A$592,magnet_list!$L$2:$L$592,"n/a",0,1)</f>
        <v>68</v>
      </c>
    </row>
    <row r="919" spans="1:29">
      <c r="A919" t="s">
        <v>797</v>
      </c>
      <c r="B919">
        <v>1</v>
      </c>
      <c r="C919" t="s">
        <v>805</v>
      </c>
      <c r="D919" t="s">
        <v>806</v>
      </c>
      <c r="F919" t="s">
        <v>152</v>
      </c>
      <c r="G919" t="s">
        <v>2555</v>
      </c>
      <c r="I919">
        <f>_xlfn.XLOOKUP($F919,設計座標!$E$13:$E$2301,設計座標!$G$13:$G$2301,"n/a",0,1)</f>
        <v>289.73496594527887</v>
      </c>
      <c r="J919">
        <f>_xlfn.XLOOKUP($F919,設計座標!$E$13:$E$2301,設計座標!$H$13:$H$2301,"n/a",0,1)</f>
        <v>-15000</v>
      </c>
      <c r="K919">
        <f>_xlfn.XLOOKUP($F919,設計座標!$E$13:$E$2301,設計座標!$I$13:$I$2301,"n/a",0,1)</f>
        <v>-25272.908479369999</v>
      </c>
      <c r="L919">
        <f>_xlfn.XLOOKUP($F919,設計座標!$E$13:$E$2301,設計座標!$J$13:$J$2301,"n/a",0,1)</f>
        <v>15</v>
      </c>
      <c r="M919" s="2">
        <f>_xlfn.XLOOKUP($F919,survey_data!$A$2:$A$833,survey_data!$B$2:$B$833,"n/a",0,1)</f>
        <v>-14995.144126499999</v>
      </c>
      <c r="N919" s="2">
        <f>_xlfn.XLOOKUP($F919,survey_data!$A$2:$A$833,survey_data!$C$2:$C$833,"n/a",0,1)</f>
        <v>-25272.908479369999</v>
      </c>
      <c r="O919" s="23">
        <f>_xlfn.XLOOKUP($F919,survey_data!$A$2:$A$833,survey_data!$D$2:$D$833,"n/a",0,1)</f>
        <v>14.788359010000001</v>
      </c>
      <c r="P919" s="1">
        <f t="shared" si="694"/>
        <v>14.450075953607078</v>
      </c>
      <c r="Q919" s="1">
        <f t="shared" si="675"/>
        <v>4.8558735000005981</v>
      </c>
      <c r="R919">
        <f t="shared" si="671"/>
        <v>0</v>
      </c>
      <c r="S919" s="23">
        <f t="shared" si="676"/>
        <v>-0.21164098999999936</v>
      </c>
      <c r="T919">
        <f>$S919+測地線補正!$Q$26*(lattice!$N919/1000)^3+測地線補正!$P$26*(lattice!$N919/1000)^2+測地線補正!$O$26*(lattice!$N919/1000)+測地線補正!$N$26</f>
        <v>-0.54992404639292303</v>
      </c>
      <c r="U919">
        <f>-ATAN(($P$921-$P$919)/ABS($N$921-$N$919))</f>
        <v>-1.0901253139841159E-4</v>
      </c>
      <c r="V919">
        <v>0</v>
      </c>
      <c r="W919">
        <f>ATAN(($M$921-$M$919)/ABS($N$921-$N$919))</f>
        <v>3.307930445303962E-4</v>
      </c>
      <c r="X919">
        <f>$Z$920-($Y$920+$Y$917)/2</f>
        <v>219.63810861245929</v>
      </c>
      <c r="Y919">
        <f>_xlfn.XLOOKUP($F919,設計座標!$E$13:$E$2301,設計座標!$L$13:$L$2301," ",0,1)</f>
        <v>180</v>
      </c>
      <c r="Z919">
        <f>SQRT(($M$920-$M$917)^2+($N$920-$N$917)^2)</f>
        <v>389.63810861245929</v>
      </c>
      <c r="AA919">
        <f>_xlfn.XLOOKUP($G919,magnet_list!$A$2:$A$592,magnet_list!$AJ$2:$AJ$592,"n/a",0,1)</f>
        <v>0.25330944625407159</v>
      </c>
      <c r="AB919">
        <f>_xlfn.XLOOKUP($G919,magnet_list!$A$2:$A$592,magnet_list!$L$2:$L$592,"n/a",0,1)</f>
        <v>76</v>
      </c>
    </row>
    <row r="920" spans="1:29">
      <c r="A920" t="s">
        <v>797</v>
      </c>
      <c r="B920">
        <v>1</v>
      </c>
      <c r="C920" t="s">
        <v>805</v>
      </c>
      <c r="D920" t="s">
        <v>1152</v>
      </c>
      <c r="E920" t="s">
        <v>804</v>
      </c>
      <c r="F920" t="s">
        <v>1876</v>
      </c>
      <c r="G920" t="s">
        <v>2555</v>
      </c>
      <c r="I920">
        <f>_xlfn.XLOOKUP($F920,設計座標!$E$13:$E$2301,設計座標!$G$13:$G$2301,"n/a",0,1)</f>
        <v>289.79496594527888</v>
      </c>
      <c r="J920">
        <f>_xlfn.XLOOKUP($F920,設計座標!$E$13:$E$2301,設計座標!$H$13:$H$2301,"n/a",0,1)</f>
        <v>-15000</v>
      </c>
      <c r="K920">
        <f>_xlfn.XLOOKUP($F920,設計座標!$E$13:$E$2301,設計座標!$I$13:$I$2301,"n/a",0,1)</f>
        <v>-25332.908479369999</v>
      </c>
      <c r="L920">
        <f>_xlfn.XLOOKUP($F920,設計座標!$E$13:$E$2301,設計座標!$J$13:$J$2301,"n/a",0,1)</f>
        <v>15</v>
      </c>
      <c r="M920" s="2">
        <f t="shared" ref="M920" si="695">$J920+$Q920</f>
        <v>-14995.124278916604</v>
      </c>
      <c r="N920" s="2">
        <f t="shared" ref="N920" si="696">$K920</f>
        <v>-25332.908479369999</v>
      </c>
      <c r="O920" s="23">
        <f t="shared" ref="O920" si="697">$L920+$S920</f>
        <v>14.792555618333186</v>
      </c>
      <c r="P920" s="1">
        <f t="shared" si="694"/>
        <v>14.456617239850443</v>
      </c>
      <c r="Q920" s="1">
        <f>(Q$921-Q$919)/($N$921-$N$919)*($N920-$N$919)+Q$919</f>
        <v>4.875721083396356</v>
      </c>
      <c r="R920">
        <f t="shared" si="671"/>
        <v>0</v>
      </c>
      <c r="S920" s="23">
        <f>(S$921-S$919)/($N$921-$N$919)*($N920-$N$919)+S$919</f>
        <v>-0.20744438166681373</v>
      </c>
      <c r="T920">
        <f>$S920+測地線補正!$Q$26*(lattice!$N920/1000)^3+測地線補正!$P$26*(lattice!$N920/1000)^2+測地線補正!$O$26*(lattice!$N920/1000)+測地線補正!$N$26</f>
        <v>-0.54338276014955755</v>
      </c>
      <c r="U920">
        <f t="shared" ref="U920:U921" si="698">-ATAN(($P$921-$P$919)/ABS($N$921-$N$919))</f>
        <v>-1.0901253139841159E-4</v>
      </c>
      <c r="V920">
        <v>0</v>
      </c>
      <c r="W920">
        <f t="shared" ref="W920:W921" si="699">ATAN(($M$921-$M$919)/ABS($N$921-$N$919))</f>
        <v>3.307930445303962E-4</v>
      </c>
      <c r="X920">
        <f>$Z$920-($Y$920+$Y$917)/2</f>
        <v>219.63810861245929</v>
      </c>
      <c r="Y920">
        <f>_xlfn.XLOOKUP($F920,設計座標!$E$13:$E$2301,設計座標!$L$13:$L$2301," ",0,1)</f>
        <v>180</v>
      </c>
      <c r="Z920">
        <f>SQRT(($M$920-$M$917)^2+($N$920-$N$917)^2)</f>
        <v>389.63810861245929</v>
      </c>
      <c r="AA920">
        <f>_xlfn.XLOOKUP($G920,magnet_list!$A$2:$A$592,magnet_list!$AJ$2:$AJ$592,"n/a",0,1)</f>
        <v>0.25330944625407159</v>
      </c>
      <c r="AB920">
        <f>_xlfn.XLOOKUP($G920,magnet_list!$A$2:$A$592,magnet_list!$L$2:$L$592,"n/a",0,1)</f>
        <v>76</v>
      </c>
    </row>
    <row r="921" spans="1:29">
      <c r="A921" t="s">
        <v>797</v>
      </c>
      <c r="B921">
        <v>1</v>
      </c>
      <c r="C921" t="s">
        <v>805</v>
      </c>
      <c r="D921" t="s">
        <v>806</v>
      </c>
      <c r="F921" t="s">
        <v>153</v>
      </c>
      <c r="G921" t="s">
        <v>2555</v>
      </c>
      <c r="I921">
        <f>_xlfn.XLOOKUP($F921,設計座標!$E$13:$E$2301,設計座標!$G$13:$G$2301,"n/a",0,1)</f>
        <v>289.85498515126886</v>
      </c>
      <c r="J921">
        <f>_xlfn.XLOOKUP($F921,設計座標!$E$13:$E$2301,設計座標!$H$13:$H$2301,"n/a",0,1)</f>
        <v>-15000</v>
      </c>
      <c r="K921">
        <f>_xlfn.XLOOKUP($F921,設計座標!$E$13:$E$2301,設計座標!$I$13:$I$2301,"n/a",0,1)</f>
        <v>-25392.927685359999</v>
      </c>
      <c r="L921">
        <f>_xlfn.XLOOKUP($F921,設計座標!$E$13:$E$2301,設計座標!$J$13:$J$2301,"n/a",0,1)</f>
        <v>15</v>
      </c>
      <c r="M921" s="2">
        <f>_xlfn.XLOOKUP($F921,survey_data!$A$2:$A$833,survey_data!$B$2:$B$833,"n/a",0,1)</f>
        <v>-14995.10442498</v>
      </c>
      <c r="N921" s="2">
        <f>_xlfn.XLOOKUP($F921,survey_data!$A$2:$A$833,survey_data!$C$2:$C$833,"n/a",0,1)</f>
        <v>-25392.927685359999</v>
      </c>
      <c r="O921" s="23">
        <f>_xlfn.XLOOKUP($F921,survey_data!$A$2:$A$833,survey_data!$D$2:$D$833,"n/a",0,1)</f>
        <v>14.79675357</v>
      </c>
      <c r="P921" s="1">
        <f t="shared" si="694"/>
        <v>14.463159551120302</v>
      </c>
      <c r="Q921" s="1">
        <f t="shared" si="675"/>
        <v>4.8955750200002512</v>
      </c>
      <c r="R921">
        <f t="shared" si="671"/>
        <v>0</v>
      </c>
      <c r="S921" s="23">
        <f t="shared" si="676"/>
        <v>-0.20324643000000009</v>
      </c>
      <c r="T921">
        <f>$S921+測地線補正!$Q$26*(lattice!$N921/1000)^3+測地線補正!$P$26*(lattice!$N921/1000)^2+測地線補正!$O$26*(lattice!$N921/1000)+測地線補正!$N$26</f>
        <v>-0.53684044887969673</v>
      </c>
      <c r="U921">
        <f t="shared" si="698"/>
        <v>-1.0901253139841159E-4</v>
      </c>
      <c r="V921">
        <v>0</v>
      </c>
      <c r="W921">
        <f t="shared" si="699"/>
        <v>3.307930445303962E-4</v>
      </c>
      <c r="X921">
        <f>$Z$920-($Y$920+$Y$917)/2</f>
        <v>219.63810861245929</v>
      </c>
      <c r="Y921">
        <f>_xlfn.XLOOKUP($F921,設計座標!$E$13:$E$2301,設計座標!$L$13:$L$2301," ",0,1)</f>
        <v>180</v>
      </c>
      <c r="Z921">
        <f>SQRT(($M$920-$M$917)^2+($N$920-$N$917)^2)</f>
        <v>389.63810861245929</v>
      </c>
      <c r="AA921">
        <f>_xlfn.XLOOKUP($G921,magnet_list!$A$2:$A$592,magnet_list!$AJ$2:$AJ$592,"n/a",0,1)</f>
        <v>0.25330944625407159</v>
      </c>
      <c r="AB921">
        <f>_xlfn.XLOOKUP($G921,magnet_list!$A$2:$A$592,magnet_list!$L$2:$L$592,"n/a",0,1)</f>
        <v>76</v>
      </c>
    </row>
    <row r="922" spans="1:29">
      <c r="A922" t="s">
        <v>797</v>
      </c>
      <c r="B922">
        <v>1</v>
      </c>
      <c r="C922" t="s">
        <v>805</v>
      </c>
      <c r="D922" t="s">
        <v>806</v>
      </c>
      <c r="F922" t="s">
        <v>154</v>
      </c>
      <c r="G922" t="s">
        <v>2556</v>
      </c>
      <c r="I922">
        <f>_xlfn.XLOOKUP($F922,設計座標!$E$13:$E$2301,設計座標!$G$13:$G$2301,"n/a",0,1)</f>
        <v>290.04027491587885</v>
      </c>
      <c r="J922">
        <f>_xlfn.XLOOKUP($F922,設計座標!$E$13:$E$2301,設計座標!$H$13:$H$2301,"n/a",0,1)</f>
        <v>-15000</v>
      </c>
      <c r="K922">
        <f>_xlfn.XLOOKUP($F922,設計座標!$E$13:$E$2301,設計座標!$I$13:$I$2301,"n/a",0,1)</f>
        <v>-25578.217449970001</v>
      </c>
      <c r="L922">
        <f>_xlfn.XLOOKUP($F922,設計座標!$E$13:$E$2301,設計座標!$J$13:$J$2301,"n/a",0,1)</f>
        <v>15</v>
      </c>
      <c r="M922" s="2">
        <f>_xlfn.XLOOKUP($F922,survey_data!$A$2:$A$833,survey_data!$B$2:$B$833,"n/a",0,1)</f>
        <v>-14995.07717891</v>
      </c>
      <c r="N922" s="2">
        <f>_xlfn.XLOOKUP($F922,survey_data!$A$2:$A$833,survey_data!$C$2:$C$833,"n/a",0,1)</f>
        <v>-25578.217449970001</v>
      </c>
      <c r="O922" s="23">
        <f>_xlfn.XLOOKUP($F922,survey_data!$A$2:$A$833,survey_data!$D$2:$D$833,"n/a",0,1)</f>
        <v>14.79679449</v>
      </c>
      <c r="P922" s="1">
        <f t="shared" si="694"/>
        <v>14.47043117599766</v>
      </c>
      <c r="Q922" s="1">
        <f t="shared" si="675"/>
        <v>4.9228210900000704</v>
      </c>
      <c r="R922">
        <f t="shared" si="671"/>
        <v>0</v>
      </c>
      <c r="S922" s="23">
        <f t="shared" si="676"/>
        <v>-0.20320551000000009</v>
      </c>
      <c r="T922">
        <f>$S922+測地線補正!$Q$26*(lattice!$N922/1000)^3+測地線補正!$P$26*(lattice!$N922/1000)^2+測地線補正!$O$26*(lattice!$N922/1000)+測地線補正!$N$26</f>
        <v>-0.52956882400234007</v>
      </c>
      <c r="U922">
        <f>-ATAN(($P$924-$P$922)/ABS($N$924-$N$922))</f>
        <v>4.5211778248740908E-5</v>
      </c>
      <c r="V922">
        <v>0</v>
      </c>
      <c r="W922">
        <f>ATAN(($M$924-$M$922)/ABS($N$924-$N$922))</f>
        <v>5.0576552854551837E-4</v>
      </c>
      <c r="X922">
        <f>$Z$923-($Y$923+$Y$920)/2</f>
        <v>125.30898042263209</v>
      </c>
      <c r="Y922">
        <f>_xlfn.XLOOKUP($F922,設計座標!$E$13:$E$2301,設計座標!$L$13:$L$2301," ",0,1)</f>
        <v>180</v>
      </c>
      <c r="Z922">
        <f>SQRT(($M$923-$M$920)^2+($N$923-$N$920)^2)</f>
        <v>305.30898042263209</v>
      </c>
      <c r="AA922">
        <f>_xlfn.XLOOKUP($G922,magnet_list!$A$2:$A$592,magnet_list!$AJ$2:$AJ$592,"n/a",0,1)</f>
        <v>0.25330944625407159</v>
      </c>
      <c r="AB922">
        <f>_xlfn.XLOOKUP($G922,magnet_list!$A$2:$A$592,magnet_list!$L$2:$L$592,"n/a",0,1)</f>
        <v>76</v>
      </c>
    </row>
    <row r="923" spans="1:29">
      <c r="A923" t="s">
        <v>797</v>
      </c>
      <c r="B923">
        <v>1</v>
      </c>
      <c r="C923" t="s">
        <v>805</v>
      </c>
      <c r="D923" t="s">
        <v>1152</v>
      </c>
      <c r="E923" t="s">
        <v>804</v>
      </c>
      <c r="F923" t="s">
        <v>1877</v>
      </c>
      <c r="G923" t="s">
        <v>2556</v>
      </c>
      <c r="I923">
        <f>_xlfn.XLOOKUP($F923,設計座標!$E$13:$E$2301,設計座標!$G$13:$G$2301,"n/a",0,1)</f>
        <v>290.10027491587886</v>
      </c>
      <c r="J923">
        <f>_xlfn.XLOOKUP($F923,設計座標!$E$13:$E$2301,設計座標!$H$13:$H$2301,"n/a",0,1)</f>
        <v>-15000</v>
      </c>
      <c r="K923">
        <f>_xlfn.XLOOKUP($F923,設計座標!$E$13:$E$2301,設計座標!$I$13:$I$2301,"n/a",0,1)</f>
        <v>-25638.217449970001</v>
      </c>
      <c r="L923">
        <f>_xlfn.XLOOKUP($F923,設計座標!$E$13:$E$2301,設計座標!$J$13:$J$2301,"n/a",0,1)</f>
        <v>15</v>
      </c>
      <c r="M923" s="2">
        <f t="shared" ref="M923:M927" si="700">$J923+$Q923</f>
        <v>-14995.0468329757</v>
      </c>
      <c r="N923" s="2">
        <f t="shared" ref="N923:N927" si="701">$K923</f>
        <v>-25638.217449970001</v>
      </c>
      <c r="O923" s="23">
        <f t="shared" ref="O923:O927" si="702">$L923+$S923</f>
        <v>14.791743073679202</v>
      </c>
      <c r="P923" s="1">
        <f t="shared" si="694"/>
        <v>14.467719003261966</v>
      </c>
      <c r="Q923" s="1">
        <f>(Q$924-Q$922)/($N$924-$N$922)*($N923-$N$922)+Q$922</f>
        <v>4.9531670243002859</v>
      </c>
      <c r="R923">
        <f t="shared" si="671"/>
        <v>0</v>
      </c>
      <c r="S923" s="23">
        <f>(S$924-S$922)/($N$924-$N$922)*($N923-$N$922)+S$922</f>
        <v>-0.20825692632079754</v>
      </c>
      <c r="T923">
        <f>$S923+測地線補正!$Q$26*(lattice!$N923/1000)^3+測地線補正!$P$26*(lattice!$N923/1000)^2+測地線補正!$O$26*(lattice!$N923/1000)+測地線補正!$N$26</f>
        <v>-0.53228099673803364</v>
      </c>
      <c r="U923">
        <f t="shared" ref="U923:U924" si="703">-ATAN(($P$924-$P$922)/ABS($N$924-$N$922))</f>
        <v>4.5211778248740908E-5</v>
      </c>
      <c r="V923">
        <v>0</v>
      </c>
      <c r="W923">
        <f t="shared" ref="W923:W924" si="704">ATAN(($M$924-$M$922)/ABS($N$924-$N$922))</f>
        <v>5.0576552854551837E-4</v>
      </c>
      <c r="X923">
        <f>$Z$923-($Y$923+$Y$920)/2</f>
        <v>125.30898042263209</v>
      </c>
      <c r="Y923">
        <f>_xlfn.XLOOKUP($F923,設計座標!$E$13:$E$2301,設計座標!$L$13:$L$2301," ",0,1)</f>
        <v>180</v>
      </c>
      <c r="Z923">
        <f>SQRT(($M$923-$M$920)^2+($N$923-$N$920)^2)</f>
        <v>305.30898042263209</v>
      </c>
      <c r="AA923">
        <f>_xlfn.XLOOKUP($G923,magnet_list!$A$2:$A$592,magnet_list!$AJ$2:$AJ$592,"n/a",0,1)</f>
        <v>0.25330944625407159</v>
      </c>
      <c r="AB923">
        <f>_xlfn.XLOOKUP($G923,magnet_list!$A$2:$A$592,magnet_list!$L$2:$L$592,"n/a",0,1)</f>
        <v>76</v>
      </c>
    </row>
    <row r="924" spans="1:29">
      <c r="A924" t="s">
        <v>797</v>
      </c>
      <c r="B924">
        <v>1</v>
      </c>
      <c r="C924" t="s">
        <v>805</v>
      </c>
      <c r="D924" t="s">
        <v>806</v>
      </c>
      <c r="F924" t="s">
        <v>155</v>
      </c>
      <c r="G924" t="s">
        <v>2556</v>
      </c>
      <c r="I924">
        <f>_xlfn.XLOOKUP($F924,設計座標!$E$13:$E$2301,設計座標!$G$13:$G$2301,"n/a",0,1)</f>
        <v>290.16030255990887</v>
      </c>
      <c r="J924">
        <f>_xlfn.XLOOKUP($F924,設計座標!$E$13:$E$2301,設計座標!$H$13:$H$2301,"n/a",0,1)</f>
        <v>-15000</v>
      </c>
      <c r="K924">
        <f>_xlfn.XLOOKUP($F924,設計座標!$E$13:$E$2301,設計座標!$I$13:$I$2301,"n/a",0,1)</f>
        <v>-25698.245094000002</v>
      </c>
      <c r="L924">
        <f>_xlfn.XLOOKUP($F924,設計座標!$E$13:$E$2301,設計座標!$J$13:$J$2301,"n/a",0,1)</f>
        <v>15</v>
      </c>
      <c r="M924" s="2">
        <f>_xlfn.XLOOKUP($F924,survey_data!$A$2:$A$833,survey_data!$B$2:$B$833,"n/a",0,1)</f>
        <v>-14995.016473060001</v>
      </c>
      <c r="N924" s="2">
        <f>_xlfn.XLOOKUP($F924,survey_data!$A$2:$A$833,survey_data!$C$2:$C$833,"n/a",0,1)</f>
        <v>-25698.245094000002</v>
      </c>
      <c r="O924" s="23">
        <f>_xlfn.XLOOKUP($F924,survey_data!$A$2:$A$833,survey_data!$D$2:$D$833,"n/a",0,1)</f>
        <v>14.78668933</v>
      </c>
      <c r="P924" s="1">
        <f t="shared" si="694"/>
        <v>14.46500451276836</v>
      </c>
      <c r="Q924" s="1">
        <f t="shared" si="675"/>
        <v>4.9835269399991375</v>
      </c>
      <c r="R924">
        <f t="shared" si="671"/>
        <v>0</v>
      </c>
      <c r="S924" s="23">
        <f t="shared" si="676"/>
        <v>-0.21331067000000026</v>
      </c>
      <c r="T924">
        <f>$S924+測地線補正!$Q$26*(lattice!$N924/1000)^3+測地線補正!$P$26*(lattice!$N924/1000)^2+測地線補正!$O$26*(lattice!$N924/1000)+測地線補正!$N$26</f>
        <v>-0.53499548723164048</v>
      </c>
      <c r="U924">
        <f t="shared" si="703"/>
        <v>4.5211778248740908E-5</v>
      </c>
      <c r="V924">
        <v>0</v>
      </c>
      <c r="W924">
        <f t="shared" si="704"/>
        <v>5.0576552854551837E-4</v>
      </c>
      <c r="X924">
        <f>$Z$923-($Y$923+$Y$920)/2</f>
        <v>125.30898042263209</v>
      </c>
      <c r="Y924">
        <f>_xlfn.XLOOKUP($F924,設計座標!$E$13:$E$2301,設計座標!$L$13:$L$2301," ",0,1)</f>
        <v>180</v>
      </c>
      <c r="Z924">
        <f>SQRT(($M$923-$M$920)^2+($N$923-$N$920)^2)</f>
        <v>305.30898042263209</v>
      </c>
      <c r="AA924">
        <f>_xlfn.XLOOKUP($G924,magnet_list!$A$2:$A$592,magnet_list!$AJ$2:$AJ$592,"n/a",0,1)</f>
        <v>0.25330944625407159</v>
      </c>
      <c r="AB924">
        <f>_xlfn.XLOOKUP($G924,magnet_list!$A$2:$A$592,magnet_list!$L$2:$L$592,"n/a",0,1)</f>
        <v>76</v>
      </c>
    </row>
    <row r="925" spans="1:29">
      <c r="A925" t="s">
        <v>797</v>
      </c>
      <c r="B925">
        <v>1</v>
      </c>
      <c r="C925" t="s">
        <v>2288</v>
      </c>
      <c r="D925" t="s">
        <v>1152</v>
      </c>
      <c r="E925" t="s">
        <v>804</v>
      </c>
      <c r="F925" t="s">
        <v>3704</v>
      </c>
      <c r="G925" t="s">
        <v>3704</v>
      </c>
      <c r="I925">
        <f>_xlfn.XLOOKUP($F925,設計座標!$E$13:$E$2301,設計座標!$G$13:$G$2301,"n/a",0,1)</f>
        <v>290.39081226136892</v>
      </c>
      <c r="J925">
        <f>_xlfn.XLOOKUP($F925,設計座標!$E$13:$E$2301,設計座標!$H$13:$H$2301,"n/a",0,1)</f>
        <v>-15000</v>
      </c>
      <c r="K925">
        <f>_xlfn.XLOOKUP($F925,設計座標!$E$13:$E$2301,設計座標!$I$13:$I$2301,"n/a",0,1)</f>
        <v>-25928.754795460067</v>
      </c>
      <c r="L925">
        <f>_xlfn.XLOOKUP($F925,設計座標!$E$13:$E$2301,設計座標!$J$13:$J$2301,"n/a",0,1)</f>
        <v>-270</v>
      </c>
      <c r="M925" s="2">
        <f t="shared" si="700"/>
        <v>-14995.054860244758</v>
      </c>
      <c r="N925" s="2">
        <f t="shared" si="701"/>
        <v>-25928.754795460067</v>
      </c>
      <c r="O925" s="23">
        <f t="shared" si="702"/>
        <v>-270.18628048048953</v>
      </c>
      <c r="P925" s="1">
        <f t="shared" si="694"/>
        <v>-270.49899235285756</v>
      </c>
      <c r="Q925" s="1">
        <f>(Q$926-Q$924)/($N$926-$N$924)*($N925-$N$924)+Q$924</f>
        <v>4.9451397552417848</v>
      </c>
      <c r="R925">
        <f t="shared" si="671"/>
        <v>0</v>
      </c>
      <c r="S925" s="23">
        <f>(S$926-S$924)/($N$926-$N$924)*($N925-$N$924)+S$924</f>
        <v>-0.18628048048954451</v>
      </c>
      <c r="T925">
        <f>$S925+測地線補正!$Q$26*(lattice!$N925/1000)^3+測地線補正!$P$26*(lattice!$N925/1000)^2+測地線補正!$O$26*(lattice!$N925/1000)+測地線補正!$N$26</f>
        <v>-0.49899235285757748</v>
      </c>
      <c r="U925">
        <v>0</v>
      </c>
      <c r="V925">
        <v>0</v>
      </c>
      <c r="W925">
        <v>0</v>
      </c>
      <c r="X925">
        <f>$Z$925-($Y$925+$Y$923)/2</f>
        <v>162.53734560095836</v>
      </c>
      <c r="Y925">
        <f>_xlfn.XLOOKUP($F925,設計座標!$E$13:$E$2301,設計座標!$L$13:$L$2301," ",0,1)</f>
        <v>76</v>
      </c>
      <c r="Z925">
        <f>SQRT(($M$925-$M$923)^2+($N$925-$N$923)^2)</f>
        <v>290.53734560095836</v>
      </c>
      <c r="AC925">
        <f>_xlfn.XLOOKUP($F925,設計座標!$E$14:$E$2301,設計座標!$M$14:$M$2301,"n/a",0,1)</f>
        <v>74.75</v>
      </c>
    </row>
    <row r="926" spans="1:29">
      <c r="A926" t="s">
        <v>797</v>
      </c>
      <c r="B926">
        <v>1</v>
      </c>
      <c r="C926" t="s">
        <v>805</v>
      </c>
      <c r="D926" t="s">
        <v>806</v>
      </c>
      <c r="F926" t="s">
        <v>156</v>
      </c>
      <c r="G926" t="s">
        <v>2557</v>
      </c>
      <c r="I926">
        <f>_xlfn.XLOOKUP($F926,設計座標!$E$13:$E$2301,設計座標!$G$13:$G$2301,"n/a",0,1)</f>
        <v>290.54049251593887</v>
      </c>
      <c r="J926">
        <f>_xlfn.XLOOKUP($F926,設計座標!$E$13:$E$2301,設計座標!$H$13:$H$2301,"n/a",0,1)</f>
        <v>-15000</v>
      </c>
      <c r="K926">
        <f>_xlfn.XLOOKUP($F926,設計座標!$E$13:$E$2301,設計座標!$I$13:$I$2301,"n/a",0,1)</f>
        <v>-26078.435050029999</v>
      </c>
      <c r="L926">
        <f>_xlfn.XLOOKUP($F926,設計座標!$E$13:$E$2301,設計座標!$J$13:$J$2301,"n/a",0,1)</f>
        <v>15</v>
      </c>
      <c r="M926" s="2">
        <f>_xlfn.XLOOKUP($F926,survey_data!$A$2:$A$833,survey_data!$B$2:$B$833,"n/a",0,1)</f>
        <v>-14995.079786759999</v>
      </c>
      <c r="N926" s="2">
        <f>_xlfn.XLOOKUP($F926,survey_data!$A$2:$A$833,survey_data!$C$2:$C$833,"n/a",0,1)</f>
        <v>-26078.435050029999</v>
      </c>
      <c r="O926" s="23">
        <f>_xlfn.XLOOKUP($F926,survey_data!$A$2:$A$833,survey_data!$D$2:$D$833,"n/a",0,1)</f>
        <v>14.831271429999999</v>
      </c>
      <c r="P926" s="1">
        <f t="shared" si="694"/>
        <v>14.524377661299232</v>
      </c>
      <c r="Q926" s="1">
        <f t="shared" si="675"/>
        <v>4.9202132400005212</v>
      </c>
      <c r="R926">
        <f t="shared" si="671"/>
        <v>0</v>
      </c>
      <c r="S926" s="23">
        <f t="shared" si="676"/>
        <v>-0.16872857000000074</v>
      </c>
      <c r="T926">
        <f>$S926+測地線補正!$Q$26*(lattice!$N926/1000)^3+測地線補正!$P$26*(lattice!$N926/1000)^2+測地線補正!$O$26*(lattice!$N926/1000)+測地線補正!$N$26</f>
        <v>-0.47562233870076864</v>
      </c>
      <c r="U926">
        <f>-ATAN(($P$928-$P$926)/ABS($N$928-$N$926))</f>
        <v>-1.9203736638574878E-5</v>
      </c>
      <c r="V926">
        <v>0</v>
      </c>
      <c r="W926">
        <f>ATAN(($M$928-$M$926)/ABS($N$928-$N$926))</f>
        <v>2.6519496031416386E-4</v>
      </c>
      <c r="X926">
        <f>$Z$927-($Y$927+$Y$925)/2</f>
        <v>81.680254763719745</v>
      </c>
      <c r="Y926">
        <f>_xlfn.XLOOKUP($F926,設計座標!$E$13:$E$2301,設計座標!$L$13:$L$2301," ",0,1)</f>
        <v>180</v>
      </c>
      <c r="Z926">
        <f>SQRT(($M$927-$M$925)^2+($N$927-$N$925)^2)</f>
        <v>209.68025476371974</v>
      </c>
      <c r="AA926">
        <f>_xlfn.XLOOKUP($G926,magnet_list!$A$2:$A$592,magnet_list!$AJ$2:$AJ$592,"n/a",0,1)</f>
        <v>0.25330944625407159</v>
      </c>
      <c r="AB926">
        <f>_xlfn.XLOOKUP($G926,magnet_list!$A$2:$A$592,magnet_list!$L$2:$L$592,"n/a",0,1)</f>
        <v>76</v>
      </c>
    </row>
    <row r="927" spans="1:29">
      <c r="A927" t="s">
        <v>797</v>
      </c>
      <c r="B927">
        <v>1</v>
      </c>
      <c r="C927" t="s">
        <v>805</v>
      </c>
      <c r="D927" t="s">
        <v>1152</v>
      </c>
      <c r="E927" t="s">
        <v>804</v>
      </c>
      <c r="F927" t="s">
        <v>1878</v>
      </c>
      <c r="G927" t="s">
        <v>2557</v>
      </c>
      <c r="I927">
        <f>_xlfn.XLOOKUP($F927,設計座標!$E$13:$E$2301,設計座標!$G$13:$G$2301,"n/a",0,1)</f>
        <v>290.60049251593887</v>
      </c>
      <c r="J927">
        <f>_xlfn.XLOOKUP($F927,設計座標!$E$13:$E$2301,設計座標!$H$13:$H$2301,"n/a",0,1)</f>
        <v>-15000</v>
      </c>
      <c r="K927">
        <f>_xlfn.XLOOKUP($F927,設計座標!$E$13:$E$2301,設計座標!$I$13:$I$2301,"n/a",0,1)</f>
        <v>-26138.435050029999</v>
      </c>
      <c r="L927">
        <f>_xlfn.XLOOKUP($F927,設計座標!$E$13:$E$2301,設計座標!$J$13:$J$2301,"n/a",0,1)</f>
        <v>15</v>
      </c>
      <c r="M927" s="2">
        <f t="shared" si="700"/>
        <v>-14995.063875062007</v>
      </c>
      <c r="N927" s="2">
        <f t="shared" si="701"/>
        <v>-26138.435050029999</v>
      </c>
      <c r="O927" s="23">
        <f t="shared" si="702"/>
        <v>14.8300938370769</v>
      </c>
      <c r="P927" s="1">
        <f t="shared" si="694"/>
        <v>14.525530418214748</v>
      </c>
      <c r="Q927" s="1">
        <f>(Q$928-Q$926)/($N$928-$N$926)*($N927-$N$926)+Q$926</f>
        <v>4.9361249379923855</v>
      </c>
      <c r="R927">
        <f t="shared" si="671"/>
        <v>0</v>
      </c>
      <c r="S927" s="23">
        <f>(S$928-S$926)/($N$928-$N$926)*($N927-$N$926)+S$926</f>
        <v>-0.16990616292309937</v>
      </c>
      <c r="T927">
        <f>$S927+測地線補正!$Q$26*(lattice!$N927/1000)^3+測地線補正!$P$26*(lattice!$N927/1000)^2+測地線補正!$O$26*(lattice!$N927/1000)+測地線補正!$N$26</f>
        <v>-0.47446958178525223</v>
      </c>
      <c r="U927">
        <f t="shared" ref="U927:U928" si="705">-ATAN(($P$928-$P$926)/ABS($N$928-$N$926))</f>
        <v>-1.9203736638574878E-5</v>
      </c>
      <c r="V927">
        <v>0</v>
      </c>
      <c r="W927">
        <f t="shared" ref="W927:W928" si="706">ATAN(($M$928-$M$926)/ABS($N$928-$N$926))</f>
        <v>2.6519496031416386E-4</v>
      </c>
      <c r="X927">
        <f>$Z$927-($Y$927+$Y$925)/2</f>
        <v>81.680254763719745</v>
      </c>
      <c r="Y927">
        <f>_xlfn.XLOOKUP($F927,設計座標!$E$13:$E$2301,設計座標!$L$13:$L$2301," ",0,1)</f>
        <v>180</v>
      </c>
      <c r="Z927">
        <f>SQRT(($M$927-$M$925)^2+($N$927-$N$925)^2)</f>
        <v>209.68025476371974</v>
      </c>
      <c r="AA927">
        <f>_xlfn.XLOOKUP($G927,magnet_list!$A$2:$A$592,magnet_list!$AJ$2:$AJ$592,"n/a",0,1)</f>
        <v>0.25330944625407159</v>
      </c>
      <c r="AB927">
        <f>_xlfn.XLOOKUP($G927,magnet_list!$A$2:$A$592,magnet_list!$L$2:$L$592,"n/a",0,1)</f>
        <v>76</v>
      </c>
    </row>
    <row r="928" spans="1:29">
      <c r="A928" t="s">
        <v>797</v>
      </c>
      <c r="B928">
        <v>1</v>
      </c>
      <c r="C928" t="s">
        <v>805</v>
      </c>
      <c r="D928" t="s">
        <v>806</v>
      </c>
      <c r="F928" t="s">
        <v>157</v>
      </c>
      <c r="G928" t="s">
        <v>2557</v>
      </c>
      <c r="I928">
        <f>_xlfn.XLOOKUP($F928,設計座標!$E$13:$E$2301,設計座標!$G$13:$G$2301,"n/a",0,1)</f>
        <v>290.66046266625887</v>
      </c>
      <c r="J928">
        <f>_xlfn.XLOOKUP($F928,設計座標!$E$13:$E$2301,設計座標!$H$13:$H$2301,"n/a",0,1)</f>
        <v>-15000</v>
      </c>
      <c r="K928">
        <f>_xlfn.XLOOKUP($F928,設計座標!$E$13:$E$2301,設計座標!$I$13:$I$2301,"n/a",0,1)</f>
        <v>-26198.40520035</v>
      </c>
      <c r="L928">
        <f>_xlfn.XLOOKUP($F928,設計座標!$E$13:$E$2301,設計座標!$J$13:$J$2301,"n/a",0,1)</f>
        <v>15</v>
      </c>
      <c r="M928" s="2">
        <f>_xlfn.XLOOKUP($F928,survey_data!$A$2:$A$833,survey_data!$B$2:$B$833,"n/a",0,1)</f>
        <v>-14995.047971280001</v>
      </c>
      <c r="N928" s="2">
        <f>_xlfn.XLOOKUP($F928,survey_data!$A$2:$A$833,survey_data!$C$2:$C$833,"n/a",0,1)</f>
        <v>-26198.40520035</v>
      </c>
      <c r="O928" s="23">
        <f>_xlfn.XLOOKUP($F928,survey_data!$A$2:$A$833,survey_data!$D$2:$D$833,"n/a",0,1)</f>
        <v>14.828916830000001</v>
      </c>
      <c r="P928" s="1">
        <f t="shared" si="694"/>
        <v>14.52668153647075</v>
      </c>
      <c r="Q928" s="1">
        <f t="shared" si="675"/>
        <v>4.9520287199993618</v>
      </c>
      <c r="R928">
        <f t="shared" si="671"/>
        <v>0</v>
      </c>
      <c r="S928" s="23">
        <f t="shared" si="676"/>
        <v>-0.17108316999999928</v>
      </c>
      <c r="T928">
        <f>$S928+測地線補正!$Q$26*(lattice!$N928/1000)^3+測地線補正!$P$26*(lattice!$N928/1000)^2+測地線補正!$O$26*(lattice!$N928/1000)+測地線補正!$N$26</f>
        <v>-0.47331846352924867</v>
      </c>
      <c r="U928">
        <f t="shared" si="705"/>
        <v>-1.9203736638574878E-5</v>
      </c>
      <c r="V928">
        <v>0</v>
      </c>
      <c r="W928">
        <f t="shared" si="706"/>
        <v>2.6519496031416386E-4</v>
      </c>
      <c r="X928">
        <f>$Z$927-($Y$927+$Y$925)/2</f>
        <v>81.680254763719745</v>
      </c>
      <c r="Y928">
        <f>_xlfn.XLOOKUP($F928,設計座標!$E$13:$E$2301,設計座標!$L$13:$L$2301," ",0,1)</f>
        <v>180</v>
      </c>
      <c r="Z928">
        <f>SQRT(($M$927-$M$925)^2+($N$927-$N$925)^2)</f>
        <v>209.68025476371974</v>
      </c>
      <c r="AA928">
        <f>_xlfn.XLOOKUP($G928,magnet_list!$A$2:$A$592,magnet_list!$AJ$2:$AJ$592,"n/a",0,1)</f>
        <v>0.25330944625407159</v>
      </c>
      <c r="AB928">
        <f>_xlfn.XLOOKUP($G928,magnet_list!$A$2:$A$592,magnet_list!$L$2:$L$592,"n/a",0,1)</f>
        <v>76</v>
      </c>
    </row>
    <row r="929" spans="1:28">
      <c r="A929" t="s">
        <v>797</v>
      </c>
      <c r="B929">
        <v>1</v>
      </c>
      <c r="C929" t="s">
        <v>805</v>
      </c>
      <c r="D929" t="s">
        <v>806</v>
      </c>
      <c r="F929" t="s">
        <v>158</v>
      </c>
      <c r="G929" t="s">
        <v>2558</v>
      </c>
      <c r="I929">
        <f>_xlfn.XLOOKUP($F929,設計座標!$E$13:$E$2301,設計座標!$G$13:$G$2301,"n/a",0,1)</f>
        <v>290.84531819284888</v>
      </c>
      <c r="J929">
        <f>_xlfn.XLOOKUP($F929,設計座標!$E$13:$E$2301,設計座標!$H$13:$H$2301,"n/a",0,1)</f>
        <v>-15000</v>
      </c>
      <c r="K929">
        <f>_xlfn.XLOOKUP($F929,設計座標!$E$13:$E$2301,設計座標!$I$13:$I$2301,"n/a",0,1)</f>
        <v>-26383.26072694</v>
      </c>
      <c r="L929">
        <f>_xlfn.XLOOKUP($F929,設計座標!$E$13:$E$2301,設計座標!$J$13:$J$2301,"n/a",0,1)</f>
        <v>15</v>
      </c>
      <c r="M929" s="2">
        <f>_xlfn.XLOOKUP($F929,survey_data!$A$2:$A$833,survey_data!$B$2:$B$833,"n/a",0,1)</f>
        <v>-14995.03475845</v>
      </c>
      <c r="N929" s="2">
        <f>_xlfn.XLOOKUP($F929,survey_data!$A$2:$A$833,survey_data!$C$2:$C$833,"n/a",0,1)</f>
        <v>-26383.26072694</v>
      </c>
      <c r="O929" s="23">
        <f>_xlfn.XLOOKUP($F929,survey_data!$A$2:$A$833,survey_data!$D$2:$D$833,"n/a",0,1)</f>
        <v>14.80013113</v>
      </c>
      <c r="P929" s="1">
        <f t="shared" si="694"/>
        <v>14.505065488728919</v>
      </c>
      <c r="Q929" s="1">
        <f t="shared" si="675"/>
        <v>4.9652415500004281</v>
      </c>
      <c r="R929">
        <f t="shared" si="671"/>
        <v>0</v>
      </c>
      <c r="S929" s="23">
        <f t="shared" si="676"/>
        <v>-0.19986886999999953</v>
      </c>
      <c r="T929">
        <f>$S929+測地線補正!$Q$26*(lattice!$N929/1000)^3+測地線補正!$P$26*(lattice!$N929/1000)^2+測地線補正!$O$26*(lattice!$N929/1000)+測地線補正!$N$26</f>
        <v>-0.49493451127108201</v>
      </c>
      <c r="U929">
        <f>-ATAN(($P$931-$P$929)/ABS($N$931-$N$929))</f>
        <v>-2.4384224279987756E-5</v>
      </c>
      <c r="V929">
        <v>0</v>
      </c>
      <c r="W929">
        <f>ATAN(($M$931-$M$929)/ABS($N$931-$N$929))</f>
        <v>3.3669631026388066E-4</v>
      </c>
      <c r="X929">
        <f>$Z$930-($Y$930+$Y$927)/2</f>
        <v>124.82568089966423</v>
      </c>
      <c r="Y929">
        <f>_xlfn.XLOOKUP($F929,設計座標!$E$13:$E$2301,設計座標!$L$13:$L$2301," ",0,1)</f>
        <v>180</v>
      </c>
      <c r="Z929">
        <f>SQRT(($M$930-$M$927)^2+($N$930-$N$927)^2)</f>
        <v>304.82568089966423</v>
      </c>
      <c r="AA929">
        <f>_xlfn.XLOOKUP($G929,magnet_list!$A$2:$A$592,magnet_list!$AJ$2:$AJ$592,"n/a",0,1)</f>
        <v>0.25330944625407159</v>
      </c>
      <c r="AB929">
        <f>_xlfn.XLOOKUP($G929,magnet_list!$A$2:$A$592,magnet_list!$L$2:$L$592,"n/a",0,1)</f>
        <v>76</v>
      </c>
    </row>
    <row r="930" spans="1:28">
      <c r="A930" t="s">
        <v>797</v>
      </c>
      <c r="B930">
        <v>1</v>
      </c>
      <c r="C930" t="s">
        <v>805</v>
      </c>
      <c r="D930" t="s">
        <v>1152</v>
      </c>
      <c r="E930" t="s">
        <v>804</v>
      </c>
      <c r="F930" t="s">
        <v>1879</v>
      </c>
      <c r="G930" t="s">
        <v>2558</v>
      </c>
      <c r="I930">
        <f>_xlfn.XLOOKUP($F930,設計座標!$E$13:$E$2301,設計座標!$G$13:$G$2301,"n/a",0,1)</f>
        <v>290.90531819284888</v>
      </c>
      <c r="J930">
        <f>_xlfn.XLOOKUP($F930,設計座標!$E$13:$E$2301,設計座標!$H$13:$H$2301,"n/a",0,1)</f>
        <v>-15000</v>
      </c>
      <c r="K930">
        <f>_xlfn.XLOOKUP($F930,設計座標!$E$13:$E$2301,設計座標!$I$13:$I$2301,"n/a",0,1)</f>
        <v>-26443.26072694</v>
      </c>
      <c r="L930">
        <f>_xlfn.XLOOKUP($F930,設計座標!$E$13:$E$2301,設計座標!$J$13:$J$2301,"n/a",0,1)</f>
        <v>15</v>
      </c>
      <c r="M930" s="2">
        <f t="shared" ref="M930" si="707">$J930+$Q930</f>
        <v>-14995.01455667062</v>
      </c>
      <c r="N930" s="2">
        <f t="shared" ref="N930" si="708">$K930</f>
        <v>-26443.26072694</v>
      </c>
      <c r="O930" s="23">
        <f t="shared" ref="O930:O933" si="709">$L930+$S930</f>
        <v>14.799269779830869</v>
      </c>
      <c r="P930" s="1">
        <f t="shared" si="694"/>
        <v>14.506529074665686</v>
      </c>
      <c r="Q930" s="1">
        <f>(Q$931-Q$929)/($N$931-$N$929)*($N930-$N$929)+Q$929</f>
        <v>4.985443329379649</v>
      </c>
      <c r="R930">
        <f t="shared" si="671"/>
        <v>0</v>
      </c>
      <c r="S930" s="23">
        <f>(S$931-S$929)/($N$931-$N$929)*($N930-$N$929)+S$929</f>
        <v>-0.20073022016913056</v>
      </c>
      <c r="T930">
        <f>$S930+測地線補正!$Q$26*(lattice!$N930/1000)^3+測地線補正!$P$26*(lattice!$N930/1000)^2+測地線補正!$O$26*(lattice!$N930/1000)+測地線補正!$N$26</f>
        <v>-0.49347092533431502</v>
      </c>
      <c r="U930">
        <f t="shared" ref="U930:U931" si="710">-ATAN(($P$931-$P$929)/ABS($N$931-$N$929))</f>
        <v>-2.4384224279987756E-5</v>
      </c>
      <c r="V930">
        <v>0</v>
      </c>
      <c r="W930">
        <f t="shared" ref="W930:W931" si="711">ATAN(($M$931-$M$929)/ABS($N$931-$N$929))</f>
        <v>3.3669631026388066E-4</v>
      </c>
      <c r="X930">
        <f>$Z$930-($Y$930+$Y$927)/2</f>
        <v>124.82568089966423</v>
      </c>
      <c r="Y930">
        <f>_xlfn.XLOOKUP($F930,設計座標!$E$13:$E$2301,設計座標!$L$13:$L$2301," ",0,1)</f>
        <v>180</v>
      </c>
      <c r="Z930">
        <f>SQRT(($M$930-$M$927)^2+($N$930-$N$927)^2)</f>
        <v>304.82568089966423</v>
      </c>
      <c r="AA930">
        <f>_xlfn.XLOOKUP($G930,magnet_list!$A$2:$A$592,magnet_list!$AJ$2:$AJ$592,"n/a",0,1)</f>
        <v>0.25330944625407159</v>
      </c>
      <c r="AB930">
        <f>_xlfn.XLOOKUP($G930,magnet_list!$A$2:$A$592,magnet_list!$L$2:$L$592,"n/a",0,1)</f>
        <v>76</v>
      </c>
    </row>
    <row r="931" spans="1:28">
      <c r="A931" t="s">
        <v>797</v>
      </c>
      <c r="B931">
        <v>1</v>
      </c>
      <c r="C931" t="s">
        <v>805</v>
      </c>
      <c r="D931" t="s">
        <v>806</v>
      </c>
      <c r="F931" t="s">
        <v>159</v>
      </c>
      <c r="G931" t="s">
        <v>2558</v>
      </c>
      <c r="I931">
        <f>_xlfn.XLOOKUP($F931,設計座標!$E$13:$E$2301,設計座標!$G$13:$G$2301,"n/a",0,1)</f>
        <v>290.96531190005891</v>
      </c>
      <c r="J931">
        <f>_xlfn.XLOOKUP($F931,設計座標!$E$13:$E$2301,設計座標!$H$13:$H$2301,"n/a",0,1)</f>
        <v>-15000</v>
      </c>
      <c r="K931">
        <f>_xlfn.XLOOKUP($F931,設計座標!$E$13:$E$2301,設計座標!$I$13:$I$2301,"n/a",0,1)</f>
        <v>-26503.25443415</v>
      </c>
      <c r="L931">
        <f>_xlfn.XLOOKUP($F931,設計座標!$E$13:$E$2301,設計座標!$J$13:$J$2301,"n/a",0,1)</f>
        <v>15</v>
      </c>
      <c r="M931" s="2">
        <f>_xlfn.XLOOKUP($F931,survey_data!$A$2:$A$833,survey_data!$B$2:$B$833,"n/a",0,1)</f>
        <v>-14994.99435701</v>
      </c>
      <c r="N931" s="2">
        <f>_xlfn.XLOOKUP($F931,survey_data!$A$2:$A$833,survey_data!$C$2:$C$833,"n/a",0,1)</f>
        <v>-26503.25443415</v>
      </c>
      <c r="O931" s="23">
        <f>_xlfn.XLOOKUP($F931,survey_data!$A$2:$A$833,survey_data!$D$2:$D$833,"n/a",0,1)</f>
        <v>14.798408520000001</v>
      </c>
      <c r="P931" s="1">
        <f t="shared" si="694"/>
        <v>14.507991442198295</v>
      </c>
      <c r="Q931" s="1">
        <f t="shared" si="675"/>
        <v>5.0056429899996147</v>
      </c>
      <c r="R931">
        <f t="shared" si="671"/>
        <v>0</v>
      </c>
      <c r="S931" s="23">
        <f t="shared" si="676"/>
        <v>-0.20159147999999938</v>
      </c>
      <c r="T931">
        <f>$S931+測地線補正!$Q$26*(lattice!$N931/1000)^3+測地線補正!$P$26*(lattice!$N931/1000)^2+測地線補正!$O$26*(lattice!$N931/1000)+測地線補正!$N$26</f>
        <v>-0.49200855780170571</v>
      </c>
      <c r="U931">
        <f t="shared" si="710"/>
        <v>-2.4384224279987756E-5</v>
      </c>
      <c r="V931">
        <v>0</v>
      </c>
      <c r="W931">
        <f t="shared" si="711"/>
        <v>3.3669631026388066E-4</v>
      </c>
      <c r="X931">
        <f>$Z$930-($Y$930+$Y$927)/2</f>
        <v>124.82568089966423</v>
      </c>
      <c r="Y931">
        <f>_xlfn.XLOOKUP($F931,設計座標!$E$13:$E$2301,設計座標!$L$13:$L$2301," ",0,1)</f>
        <v>180</v>
      </c>
      <c r="Z931">
        <f>SQRT(($M$930-$M$927)^2+($N$930-$N$927)^2)</f>
        <v>304.82568089966423</v>
      </c>
      <c r="AA931">
        <f>_xlfn.XLOOKUP($G931,magnet_list!$A$2:$A$592,magnet_list!$AJ$2:$AJ$592,"n/a",0,1)</f>
        <v>0.25330944625407159</v>
      </c>
      <c r="AB931">
        <f>_xlfn.XLOOKUP($G931,magnet_list!$A$2:$A$592,magnet_list!$L$2:$L$592,"n/a",0,1)</f>
        <v>76</v>
      </c>
    </row>
    <row r="932" spans="1:28">
      <c r="A932" t="s">
        <v>797</v>
      </c>
      <c r="B932">
        <v>1</v>
      </c>
      <c r="C932" t="s">
        <v>805</v>
      </c>
      <c r="D932" t="s">
        <v>806</v>
      </c>
      <c r="F932" t="s">
        <v>160</v>
      </c>
      <c r="G932" t="s">
        <v>2559</v>
      </c>
      <c r="I932">
        <f>_xlfn.XLOOKUP($F932,設計座標!$E$13:$E$2301,設計座標!$G$13:$G$2301,"n/a",0,1)</f>
        <v>291.22644994539888</v>
      </c>
      <c r="J932">
        <f>_xlfn.XLOOKUP($F932,設計座標!$E$13:$E$2301,設計座標!$H$13:$H$2301,"n/a",0,1)</f>
        <v>-15000</v>
      </c>
      <c r="K932">
        <f>_xlfn.XLOOKUP($F932,設計座標!$E$13:$E$2301,設計座標!$I$13:$I$2301,"n/a",0,1)</f>
        <v>-26764.392479490001</v>
      </c>
      <c r="L932">
        <f>_xlfn.XLOOKUP($F932,設計座標!$E$13:$E$2301,設計座標!$J$13:$J$2301,"n/a",0,1)</f>
        <v>15</v>
      </c>
      <c r="M932" s="2">
        <f>_xlfn.XLOOKUP($F932,survey_data!$A$2:$A$833,survey_data!$B$2:$B$833,"n/a",0,1)</f>
        <v>-14995.02177438</v>
      </c>
      <c r="N932" s="2">
        <f>_xlfn.XLOOKUP($F932,survey_data!$A$2:$A$833,survey_data!$C$2:$C$833,"n/a",0,1)</f>
        <v>-26764.392479490001</v>
      </c>
      <c r="O932" s="23">
        <f>_xlfn.XLOOKUP($F932,survey_data!$A$2:$A$833,survey_data!$D$2:$D$833,"n/a",0,1)</f>
        <v>14.84244614</v>
      </c>
      <c r="P932" s="1">
        <f t="shared" si="694"/>
        <v>14.562130847361312</v>
      </c>
      <c r="Q932" s="1">
        <f t="shared" si="675"/>
        <v>4.9782256199996482</v>
      </c>
      <c r="R932">
        <f t="shared" si="671"/>
        <v>0</v>
      </c>
      <c r="S932" s="23">
        <f t="shared" si="676"/>
        <v>-0.15755386000000016</v>
      </c>
      <c r="T932">
        <f>$S932+測地線補正!$Q$26*(lattice!$N932/1000)^3+測地線補正!$P$26*(lattice!$N932/1000)^2+測地線補正!$O$26*(lattice!$N932/1000)+測地線補正!$N$26</f>
        <v>-0.43786915263868864</v>
      </c>
      <c r="U932">
        <f>-ATAN(($P$934-$P$932)/ABS($N$934-$N$932))</f>
        <v>-3.7596671459284663E-4</v>
      </c>
      <c r="V932">
        <v>0</v>
      </c>
      <c r="W932">
        <f>ATAN(($M$934-$M$932)/ABS($N$934-$N$932))</f>
        <v>-2.0963233270518221E-4</v>
      </c>
      <c r="X932">
        <f>$Z$933-($Y$933+$Y$930)/2</f>
        <v>221.13325316267509</v>
      </c>
      <c r="Y932">
        <f>_xlfn.XLOOKUP($F932,設計座標!$E$13:$E$2301,設計座標!$L$13:$L$2301," ",0,1)</f>
        <v>160</v>
      </c>
      <c r="Z932">
        <f>SQRT(($M$933-$M$930)^2+($N$933-$N$930)^2)</f>
        <v>391.13325316267509</v>
      </c>
      <c r="AA932">
        <f>_xlfn.XLOOKUP($G932,magnet_list!$A$2:$A$592,magnet_list!$AJ$2:$AJ$592,"n/a",0,1)</f>
        <v>0.18096930014326709</v>
      </c>
      <c r="AB932">
        <f>_xlfn.XLOOKUP($G932,magnet_list!$A$2:$A$592,magnet_list!$L$2:$L$592,"n/a",0,1)</f>
        <v>68</v>
      </c>
    </row>
    <row r="933" spans="1:28">
      <c r="A933" t="s">
        <v>797</v>
      </c>
      <c r="B933">
        <v>1</v>
      </c>
      <c r="C933" t="s">
        <v>805</v>
      </c>
      <c r="D933" t="s">
        <v>1152</v>
      </c>
      <c r="E933" t="s">
        <v>804</v>
      </c>
      <c r="F933" t="s">
        <v>630</v>
      </c>
      <c r="G933" t="s">
        <v>2559</v>
      </c>
      <c r="I933">
        <f>_xlfn.XLOOKUP($F933,設計座標!$E$13:$E$2301,設計座標!$G$13:$G$2301,"n/a",0,1)</f>
        <v>291.29645144539887</v>
      </c>
      <c r="J933">
        <f>_xlfn.XLOOKUP($F933,設計座標!$E$13:$E$2301,設計座標!$H$13:$H$2301,"n/a",0,1)</f>
        <v>-15000</v>
      </c>
      <c r="K933">
        <f>_xlfn.XLOOKUP($F933,設計座標!$E$13:$E$2301,設計座標!$I$13:$I$2301,"n/a",0,1)</f>
        <v>-26834.393979490003</v>
      </c>
      <c r="L933">
        <f>_xlfn.XLOOKUP($F933,設計座標!$E$13:$E$2301,設計座標!$J$13:$J$2301,"n/a",0,1)</f>
        <v>15</v>
      </c>
      <c r="M933" s="2">
        <f t="shared" ref="M933" si="712">$J933+$Q933</f>
        <v>-14995.036448957953</v>
      </c>
      <c r="N933" s="2">
        <f t="shared" ref="N933" si="713">$K933</f>
        <v>-26834.393979490003</v>
      </c>
      <c r="O933" s="23">
        <f t="shared" si="709"/>
        <v>14.866060608802695</v>
      </c>
      <c r="P933" s="1">
        <f t="shared" si="694"/>
        <v>14.588449806470155</v>
      </c>
      <c r="Q933" s="1">
        <f>(Q$934-Q$932)/($N$934-$N$932)*($N933-$N$932)+Q$932</f>
        <v>4.9635510420468245</v>
      </c>
      <c r="R933">
        <f t="shared" si="671"/>
        <v>0</v>
      </c>
      <c r="S933" s="23">
        <f>(S$934-S$932)/($N$934-$N$932)*($N933-$N$932)+S$932</f>
        <v>-0.13393939119730489</v>
      </c>
      <c r="T933">
        <f>$S933+測地線補正!$Q$26*(lattice!$N933/1000)^3+測地線補正!$P$26*(lattice!$N933/1000)^2+測地線補正!$O$26*(lattice!$N933/1000)+測地線補正!$N$26</f>
        <v>-0.41155019352984468</v>
      </c>
      <c r="U933">
        <f t="shared" ref="U933:U934" si="714">-ATAN(($P$934-$P$932)/ABS($N$934-$N$932))</f>
        <v>-3.7596671459284663E-4</v>
      </c>
      <c r="V933">
        <v>0</v>
      </c>
      <c r="W933">
        <f t="shared" ref="W933:W934" si="715">ATAN(($M$934-$M$932)/ABS($N$934-$N$932))</f>
        <v>-2.0963233270518221E-4</v>
      </c>
      <c r="X933">
        <f>$Z$933-($Y$933+$Y$930)/2</f>
        <v>221.13325316267509</v>
      </c>
      <c r="Y933">
        <f>_xlfn.XLOOKUP($F933,設計座標!$E$13:$E$2301,設計座標!$L$13:$L$2301," ",0,1)</f>
        <v>160</v>
      </c>
      <c r="Z933">
        <f>SQRT(($M$933-$M$930)^2+($N$933-$N$930)^2)</f>
        <v>391.13325316267509</v>
      </c>
      <c r="AA933">
        <f>_xlfn.XLOOKUP($G933,magnet_list!$A$2:$A$592,magnet_list!$AJ$2:$AJ$592,"n/a",0,1)</f>
        <v>0.18096930014326709</v>
      </c>
      <c r="AB933">
        <f>_xlfn.XLOOKUP($G933,magnet_list!$A$2:$A$592,magnet_list!$L$2:$L$592,"n/a",0,1)</f>
        <v>68</v>
      </c>
    </row>
    <row r="934" spans="1:28">
      <c r="A934" t="s">
        <v>797</v>
      </c>
      <c r="B934">
        <v>1</v>
      </c>
      <c r="C934" t="s">
        <v>805</v>
      </c>
      <c r="D934" t="s">
        <v>806</v>
      </c>
      <c r="F934" t="s">
        <v>161</v>
      </c>
      <c r="G934" t="s">
        <v>2559</v>
      </c>
      <c r="I934">
        <f>_xlfn.XLOOKUP($F934,設計座標!$E$13:$E$2301,設計座標!$G$13:$G$2301,"n/a",0,1)</f>
        <v>291.36643421781889</v>
      </c>
      <c r="J934">
        <f>_xlfn.XLOOKUP($F934,設計座標!$E$13:$E$2301,設計座標!$H$13:$H$2301,"n/a",0,1)</f>
        <v>-15000</v>
      </c>
      <c r="K934">
        <f>_xlfn.XLOOKUP($F934,設計座標!$E$13:$E$2301,設計座標!$I$13:$I$2301,"n/a",0,1)</f>
        <v>-26904.37675191</v>
      </c>
      <c r="L934">
        <f>_xlfn.XLOOKUP($F934,設計座標!$E$13:$E$2301,設計座標!$J$13:$J$2301,"n/a",0,1)</f>
        <v>15</v>
      </c>
      <c r="M934" s="2">
        <f>_xlfn.XLOOKUP($F934,survey_data!$A$2:$A$833,survey_data!$B$2:$B$833,"n/a",0,1)</f>
        <v>-14995.05111961</v>
      </c>
      <c r="N934" s="2">
        <f>_xlfn.XLOOKUP($F934,survey_data!$A$2:$A$833,survey_data!$C$2:$C$833,"n/a",0,1)</f>
        <v>-26904.37675191</v>
      </c>
      <c r="O934" s="23">
        <f>_xlfn.XLOOKUP($F934,survey_data!$A$2:$A$833,survey_data!$D$2:$D$833,"n/a",0,1)</f>
        <v>14.889668759999999</v>
      </c>
      <c r="P934" s="1">
        <f t="shared" si="694"/>
        <v>14.614760276837469</v>
      </c>
      <c r="Q934" s="1">
        <f t="shared" si="675"/>
        <v>4.9488803900003404</v>
      </c>
      <c r="R934">
        <f t="shared" si="671"/>
        <v>0</v>
      </c>
      <c r="S934" s="23">
        <f t="shared" si="676"/>
        <v>-0.11033124000000072</v>
      </c>
      <c r="T934">
        <f>$S934+測地線補正!$Q$26*(lattice!$N934/1000)^3+測地線補正!$P$26*(lattice!$N934/1000)^2+測地線補正!$O$26*(lattice!$N934/1000)+測地線補正!$N$26</f>
        <v>-0.38523972316253041</v>
      </c>
      <c r="U934">
        <f t="shared" si="714"/>
        <v>-3.7596671459284663E-4</v>
      </c>
      <c r="V934">
        <v>0</v>
      </c>
      <c r="W934">
        <f t="shared" si="715"/>
        <v>-2.0963233270518221E-4</v>
      </c>
      <c r="X934">
        <f>$Z$933-($Y$933+$Y$930)/2</f>
        <v>221.13325316267509</v>
      </c>
      <c r="Y934">
        <f>_xlfn.XLOOKUP($F934,設計座標!$E$13:$E$2301,設計座標!$L$13:$L$2301," ",0,1)</f>
        <v>160</v>
      </c>
      <c r="Z934">
        <f>SQRT(($M$933-$M$930)^2+($N$933-$N$930)^2)</f>
        <v>391.13325316267509</v>
      </c>
      <c r="AA934">
        <f>_xlfn.XLOOKUP($G934,magnet_list!$A$2:$A$592,magnet_list!$AJ$2:$AJ$592,"n/a",0,1)</f>
        <v>0.18096930014326709</v>
      </c>
      <c r="AB934">
        <f>_xlfn.XLOOKUP($G934,magnet_list!$A$2:$A$592,magnet_list!$L$2:$L$592,"n/a",0,1)</f>
        <v>68</v>
      </c>
    </row>
    <row r="935" spans="1:28">
      <c r="A935" t="s">
        <v>797</v>
      </c>
      <c r="B935">
        <v>1</v>
      </c>
      <c r="C935" t="s">
        <v>805</v>
      </c>
      <c r="D935" t="s">
        <v>806</v>
      </c>
      <c r="F935" t="s">
        <v>162</v>
      </c>
      <c r="G935" t="s">
        <v>2560</v>
      </c>
      <c r="I935">
        <f>_xlfn.XLOOKUP($F935,設計座標!$E$13:$E$2301,設計座標!$G$13:$G$2301,"n/a",0,1)</f>
        <v>291.56459949813888</v>
      </c>
      <c r="J935">
        <f>_xlfn.XLOOKUP($F935,設計座標!$E$13:$E$2301,設計座標!$H$13:$H$2301,"n/a",0,1)</f>
        <v>-15000</v>
      </c>
      <c r="K935">
        <f>_xlfn.XLOOKUP($F935,設計座標!$E$13:$E$2301,設計座標!$I$13:$I$2301,"n/a",0,1)</f>
        <v>-27102.542032230001</v>
      </c>
      <c r="L935">
        <f>_xlfn.XLOOKUP($F935,設計座標!$E$13:$E$2301,設計座標!$J$13:$J$2301,"n/a",0,1)</f>
        <v>15</v>
      </c>
      <c r="M935" s="2">
        <f>_xlfn.XLOOKUP($F935,survey_data!$A$2:$A$833,survey_data!$B$2:$B$833,"n/a",0,1)</f>
        <v>-14994.96884197</v>
      </c>
      <c r="N935" s="2">
        <f>_xlfn.XLOOKUP($F935,survey_data!$A$2:$A$833,survey_data!$C$2:$C$833,"n/a",0,1)</f>
        <v>-27102.542032230001</v>
      </c>
      <c r="O935" s="23">
        <f>_xlfn.XLOOKUP($F935,survey_data!$A$2:$A$833,survey_data!$D$2:$D$833,"n/a",0,1)</f>
        <v>14.800955220000001</v>
      </c>
      <c r="P935" s="1">
        <f t="shared" si="694"/>
        <v>14.533690853850594</v>
      </c>
      <c r="Q935" s="1">
        <f t="shared" si="675"/>
        <v>5.0311580300003698</v>
      </c>
      <c r="R935">
        <f t="shared" si="671"/>
        <v>0</v>
      </c>
      <c r="S935" s="23">
        <f t="shared" si="676"/>
        <v>-0.19904477999999948</v>
      </c>
      <c r="T935">
        <f>$S935+測地線補正!$Q$26*(lattice!$N935/1000)^3+測地線補正!$P$26*(lattice!$N935/1000)^2+測地線補正!$O$26*(lattice!$N935/1000)+測地線補正!$N$26</f>
        <v>-0.46630914614940666</v>
      </c>
      <c r="U935">
        <f>-ATAN(($P$937-$P$935)/ABS($N$937-$N$935))</f>
        <v>-2.56999643641657E-4</v>
      </c>
      <c r="V935">
        <v>0</v>
      </c>
      <c r="W935">
        <f>ATAN(($M$937-$M$935)/ABS($N$937-$N$935))</f>
        <v>-1.052536272136985E-4</v>
      </c>
      <c r="X935">
        <f>$Z$936-($Y$936+$Y$933)/2</f>
        <v>178.14805810564377</v>
      </c>
      <c r="Y935">
        <f>_xlfn.XLOOKUP($F935,設計座標!$E$13:$E$2301,設計座標!$L$13:$L$2301," ",0,1)</f>
        <v>160</v>
      </c>
      <c r="Z935">
        <f>SQRT(($M$936-$M$933)^2+($N$936-$N$933)^2)</f>
        <v>338.14805810564377</v>
      </c>
      <c r="AA935">
        <f>_xlfn.XLOOKUP($G935,magnet_list!$A$2:$A$592,magnet_list!$AJ$2:$AJ$592,"n/a",0,1)</f>
        <v>0.18096930014326709</v>
      </c>
      <c r="AB935">
        <f>_xlfn.XLOOKUP($G935,magnet_list!$A$2:$A$592,magnet_list!$L$2:$L$592,"n/a",0,1)</f>
        <v>68</v>
      </c>
    </row>
    <row r="936" spans="1:28">
      <c r="A936" t="s">
        <v>797</v>
      </c>
      <c r="B936">
        <v>1</v>
      </c>
      <c r="C936" t="s">
        <v>805</v>
      </c>
      <c r="D936" t="s">
        <v>1152</v>
      </c>
      <c r="E936" t="s">
        <v>804</v>
      </c>
      <c r="F936" t="s">
        <v>631</v>
      </c>
      <c r="G936" t="s">
        <v>2560</v>
      </c>
      <c r="I936">
        <f>_xlfn.XLOOKUP($F936,設計座標!$E$13:$E$2301,設計座標!$G$13:$G$2301,"n/a",0,1)</f>
        <v>291.63459949813887</v>
      </c>
      <c r="J936">
        <f>_xlfn.XLOOKUP($F936,設計座標!$E$13:$E$2301,設計座標!$H$13:$H$2301,"n/a",0,1)</f>
        <v>-15000</v>
      </c>
      <c r="K936">
        <f>_xlfn.XLOOKUP($F936,設計座標!$E$13:$E$2301,設計座標!$I$13:$I$2301,"n/a",0,1)</f>
        <v>-27172.542032230001</v>
      </c>
      <c r="L936">
        <f>_xlfn.XLOOKUP($F936,設計座標!$E$13:$E$2301,設計座標!$J$13:$J$2301,"n/a",0,1)</f>
        <v>15</v>
      </c>
      <c r="M936" s="2">
        <f t="shared" ref="M936" si="716">$J936+$Q936</f>
        <v>-14994.976209723933</v>
      </c>
      <c r="N936" s="2">
        <f t="shared" ref="N936" si="717">$K936</f>
        <v>-27172.542032230001</v>
      </c>
      <c r="O936" s="23">
        <f t="shared" ref="O936" si="718">$L936+$S936</f>
        <v>14.816248479181136</v>
      </c>
      <c r="P936" s="1">
        <f t="shared" si="694"/>
        <v>14.551681552540982</v>
      </c>
      <c r="Q936" s="1">
        <f>(Q$937-Q$935)/($N$937-$N$935)*($N936-$N$935)+Q$935</f>
        <v>5.0237902760682038</v>
      </c>
      <c r="R936">
        <f t="shared" si="671"/>
        <v>0</v>
      </c>
      <c r="S936" s="23">
        <f>(S$937-S$935)/($N$937-$N$935)*($N936-$N$935)+S$935</f>
        <v>-0.1837515208188647</v>
      </c>
      <c r="T936">
        <f>$S936+測地線補正!$Q$26*(lattice!$N936/1000)^3+測地線補正!$P$26*(lattice!$N936/1000)^2+測地線補正!$O$26*(lattice!$N936/1000)+測地線補正!$N$26</f>
        <v>-0.44831844745901783</v>
      </c>
      <c r="U936">
        <f t="shared" ref="U936:U937" si="719">-ATAN(($P$937-$P$935)/ABS($N$937-$N$935))</f>
        <v>-2.56999643641657E-4</v>
      </c>
      <c r="V936">
        <v>0</v>
      </c>
      <c r="W936">
        <f t="shared" ref="W936:W937" si="720">ATAN(($M$937-$M$935)/ABS($N$937-$N$935))</f>
        <v>-1.052536272136985E-4</v>
      </c>
      <c r="X936">
        <f>$Z$936-($Y$936+$Y$933)/2</f>
        <v>178.14805810564377</v>
      </c>
      <c r="Y936">
        <f>_xlfn.XLOOKUP($F936,設計座標!$E$13:$E$2301,設計座標!$L$13:$L$2301," ",0,1)</f>
        <v>160</v>
      </c>
      <c r="Z936">
        <f>SQRT(($M$936-$M$933)^2+($N$936-$N$933)^2)</f>
        <v>338.14805810564377</v>
      </c>
      <c r="AA936">
        <f>_xlfn.XLOOKUP($G936,magnet_list!$A$2:$A$592,magnet_list!$AJ$2:$AJ$592,"n/a",0,1)</f>
        <v>0.18096930014326709</v>
      </c>
      <c r="AB936">
        <f>_xlfn.XLOOKUP($G936,magnet_list!$A$2:$A$592,magnet_list!$L$2:$L$592,"n/a",0,1)</f>
        <v>68</v>
      </c>
    </row>
    <row r="937" spans="1:28">
      <c r="A937" t="s">
        <v>797</v>
      </c>
      <c r="B937">
        <v>1</v>
      </c>
      <c r="C937" t="s">
        <v>805</v>
      </c>
      <c r="D937" t="s">
        <v>806</v>
      </c>
      <c r="F937" t="s">
        <v>163</v>
      </c>
      <c r="G937" t="s">
        <v>2560</v>
      </c>
      <c r="I937">
        <f>_xlfn.XLOOKUP($F937,設計座標!$E$13:$E$2301,設計座標!$G$13:$G$2301,"n/a",0,1)</f>
        <v>291.70458536214886</v>
      </c>
      <c r="J937">
        <f>_xlfn.XLOOKUP($F937,設計座標!$E$13:$E$2301,設計座標!$H$13:$H$2301,"n/a",0,1)</f>
        <v>-15000</v>
      </c>
      <c r="K937">
        <f>_xlfn.XLOOKUP($F937,設計座標!$E$13:$E$2301,設計座標!$I$13:$I$2301,"n/a",0,1)</f>
        <v>-27242.527896240001</v>
      </c>
      <c r="L937">
        <f>_xlfn.XLOOKUP($F937,設計座標!$E$13:$E$2301,設計座標!$J$13:$J$2301,"n/a",0,1)</f>
        <v>15</v>
      </c>
      <c r="M937" s="2">
        <f>_xlfn.XLOOKUP($F937,survey_data!$A$2:$A$833,survey_data!$B$2:$B$833,"n/a",0,1)</f>
        <v>-14994.98357599</v>
      </c>
      <c r="N937" s="2">
        <f>_xlfn.XLOOKUP($F937,survey_data!$A$2:$A$833,survey_data!$C$2:$C$833,"n/a",0,1)</f>
        <v>-27242.527896240001</v>
      </c>
      <c r="O937" s="23">
        <f>_xlfn.XLOOKUP($F937,survey_data!$A$2:$A$833,survey_data!$D$2:$D$833,"n/a",0,1)</f>
        <v>14.831538650000001</v>
      </c>
      <c r="P937" s="1">
        <f t="shared" si="694"/>
        <v>14.569667171808097</v>
      </c>
      <c r="Q937" s="1">
        <f t="shared" si="675"/>
        <v>5.0164240100002644</v>
      </c>
      <c r="R937">
        <f t="shared" si="671"/>
        <v>0</v>
      </c>
      <c r="S937" s="23">
        <f t="shared" si="676"/>
        <v>-0.1684613499999994</v>
      </c>
      <c r="T937">
        <f>$S937+測地線補正!$Q$26*(lattice!$N937/1000)^3+測地線補正!$P$26*(lattice!$N937/1000)^2+測地線補正!$O$26*(lattice!$N937/1000)+測地線補正!$N$26</f>
        <v>-0.43033282819190277</v>
      </c>
      <c r="U937">
        <f t="shared" si="719"/>
        <v>-2.56999643641657E-4</v>
      </c>
      <c r="V937">
        <v>0</v>
      </c>
      <c r="W937">
        <f t="shared" si="720"/>
        <v>-1.052536272136985E-4</v>
      </c>
      <c r="X937">
        <f>$Z$936-($Y$936+$Y$933)/2</f>
        <v>178.14805810564377</v>
      </c>
      <c r="Y937">
        <f>_xlfn.XLOOKUP($F937,設計座標!$E$13:$E$2301,設計座標!$L$13:$L$2301," ",0,1)</f>
        <v>160</v>
      </c>
      <c r="Z937">
        <f>SQRT(($M$936-$M$933)^2+($N$936-$N$933)^2)</f>
        <v>338.14805810564377</v>
      </c>
      <c r="AA937">
        <f>_xlfn.XLOOKUP($G937,magnet_list!$A$2:$A$592,magnet_list!$AJ$2:$AJ$592,"n/a",0,1)</f>
        <v>0.18096930014326709</v>
      </c>
      <c r="AB937">
        <f>_xlfn.XLOOKUP($G937,magnet_list!$A$2:$A$592,magnet_list!$L$2:$L$592,"n/a",0,1)</f>
        <v>68</v>
      </c>
    </row>
    <row r="938" spans="1:28">
      <c r="A938" t="s">
        <v>797</v>
      </c>
      <c r="B938">
        <v>1</v>
      </c>
      <c r="C938" t="s">
        <v>805</v>
      </c>
      <c r="D938" t="s">
        <v>806</v>
      </c>
      <c r="F938" t="s">
        <v>164</v>
      </c>
      <c r="G938" t="s">
        <v>2561</v>
      </c>
      <c r="I938">
        <f>_xlfn.XLOOKUP($F938,設計座標!$E$13:$E$2301,設計座標!$G$13:$G$2301,"n/a",0,1)</f>
        <v>291.90418268395888</v>
      </c>
      <c r="J938">
        <f>_xlfn.XLOOKUP($F938,設計座標!$E$13:$E$2301,設計座標!$H$13:$H$2301,"n/a",0,1)</f>
        <v>-15000</v>
      </c>
      <c r="K938">
        <f>_xlfn.XLOOKUP($F938,設計座標!$E$13:$E$2301,設計座標!$I$13:$I$2301,"n/a",0,1)</f>
        <v>-27442.125218050001</v>
      </c>
      <c r="L938">
        <f>_xlfn.XLOOKUP($F938,設計座標!$E$13:$E$2301,設計座標!$J$13:$J$2301,"n/a",0,1)</f>
        <v>15</v>
      </c>
      <c r="M938" s="2">
        <f>_xlfn.XLOOKUP($F938,survey_data!$A$2:$A$833,survey_data!$B$2:$B$833,"n/a",0,1)</f>
        <v>-14994.93877388</v>
      </c>
      <c r="N938" s="2">
        <f>_xlfn.XLOOKUP($F938,survey_data!$A$2:$A$833,survey_data!$C$2:$C$833,"n/a",0,1)</f>
        <v>-27442.125218050001</v>
      </c>
      <c r="O938" s="23">
        <f>_xlfn.XLOOKUP($F938,survey_data!$A$2:$A$833,survey_data!$D$2:$D$833,"n/a",0,1)</f>
        <v>14.785776459999999</v>
      </c>
      <c r="P938" s="1">
        <f t="shared" si="694"/>
        <v>14.531584368607371</v>
      </c>
      <c r="Q938" s="1">
        <f t="shared" si="675"/>
        <v>5.0612261200003559</v>
      </c>
      <c r="R938">
        <f t="shared" si="671"/>
        <v>0</v>
      </c>
      <c r="S938" s="23">
        <f t="shared" si="676"/>
        <v>-0.21422354000000077</v>
      </c>
      <c r="T938">
        <f>$S938+測地線補正!$Q$26*(lattice!$N938/1000)^3+測地線補正!$P$26*(lattice!$N938/1000)^2+測地線補正!$O$26*(lattice!$N938/1000)+測地線補正!$N$26</f>
        <v>-0.46841563139262832</v>
      </c>
      <c r="U938">
        <f>-ATAN(($P$940-$P$938)/ABS($N$940-$N$938))</f>
        <v>-2.170949633363132E-4</v>
      </c>
      <c r="V938">
        <v>0</v>
      </c>
      <c r="W938">
        <f>ATAN(($M$940-$M$938)/ABS($N$940-$N$938))</f>
        <v>-1.1503338647949562E-4</v>
      </c>
      <c r="X938">
        <f>$Z$939-($Y$939+$Y$936)/2</f>
        <v>179.57468709136674</v>
      </c>
      <c r="Y938">
        <f>_xlfn.XLOOKUP($F938,設計座標!$E$13:$E$2301,設計座標!$L$13:$L$2301," ",0,1)</f>
        <v>160</v>
      </c>
      <c r="Z938">
        <f>SQRT(($M$939-$M$936)^2+($N$939-$N$936)^2)</f>
        <v>339.57468709136674</v>
      </c>
      <c r="AA938">
        <f>_xlfn.XLOOKUP($G938,magnet_list!$A$2:$A$592,magnet_list!$AJ$2:$AJ$592,"n/a",0,1)</f>
        <v>0.18096930014326709</v>
      </c>
      <c r="AB938">
        <f>_xlfn.XLOOKUP($G938,magnet_list!$A$2:$A$592,magnet_list!$L$2:$L$592,"n/a",0,1)</f>
        <v>68</v>
      </c>
    </row>
    <row r="939" spans="1:28">
      <c r="A939" t="s">
        <v>797</v>
      </c>
      <c r="B939">
        <v>1</v>
      </c>
      <c r="C939" t="s">
        <v>805</v>
      </c>
      <c r="D939" t="s">
        <v>1152</v>
      </c>
      <c r="E939" t="s">
        <v>804</v>
      </c>
      <c r="F939" t="s">
        <v>632</v>
      </c>
      <c r="G939" t="s">
        <v>2561</v>
      </c>
      <c r="I939">
        <f>_xlfn.XLOOKUP($F939,設計座標!$E$13:$E$2301,設計座標!$G$13:$G$2301,"n/a",0,1)</f>
        <v>291.97417418395889</v>
      </c>
      <c r="J939">
        <f>_xlfn.XLOOKUP($F939,設計座標!$E$13:$E$2301,設計座標!$H$13:$H$2301,"n/a",0,1)</f>
        <v>-15000</v>
      </c>
      <c r="K939">
        <f>_xlfn.XLOOKUP($F939,設計座標!$E$13:$E$2301,設計座標!$I$13:$I$2301,"n/a",0,1)</f>
        <v>-27512.116718050002</v>
      </c>
      <c r="L939">
        <f>_xlfn.XLOOKUP($F939,設計座標!$E$13:$E$2301,設計座標!$J$13:$J$2301,"n/a",0,1)</f>
        <v>15</v>
      </c>
      <c r="M939" s="2">
        <f t="shared" ref="M939" si="721">$J939+$Q939</f>
        <v>-14994.946825239305</v>
      </c>
      <c r="N939" s="2">
        <f t="shared" ref="N939" si="722">$K939</f>
        <v>-27512.116718050002</v>
      </c>
      <c r="O939" s="23">
        <f t="shared" ref="O939" si="723">$L939+$S939</f>
        <v>14.798281887864391</v>
      </c>
      <c r="P939" s="1">
        <f t="shared" si="694"/>
        <v>14.546779893424489</v>
      </c>
      <c r="Q939" s="1">
        <f>(Q$940-Q$938)/($N$940-$N$938)*($N939-$N$938)+Q$938</f>
        <v>5.0531747606950628</v>
      </c>
      <c r="R939">
        <f t="shared" si="671"/>
        <v>0</v>
      </c>
      <c r="S939" s="23">
        <f>(S$940-S$938)/($N$940-$N$938)*($N939-$N$938)+S$938</f>
        <v>-0.20171811213560881</v>
      </c>
      <c r="T939">
        <f>$S939+測地線補正!$Q$26*(lattice!$N939/1000)^3+測地線補正!$P$26*(lattice!$N939/1000)^2+測地線補正!$O$26*(lattice!$N939/1000)+測地線補正!$N$26</f>
        <v>-0.45322010657551115</v>
      </c>
      <c r="U939">
        <f t="shared" ref="U939:U940" si="724">-ATAN(($P$940-$P$938)/ABS($N$940-$N$938))</f>
        <v>-2.170949633363132E-4</v>
      </c>
      <c r="V939">
        <v>0</v>
      </c>
      <c r="W939">
        <f t="shared" ref="W939:W940" si="725">ATAN(($M$940-$M$938)/ABS($N$940-$N$938))</f>
        <v>-1.1503338647949562E-4</v>
      </c>
      <c r="X939">
        <f>$Z$939-($Y$939+$Y$936)/2</f>
        <v>179.57468709136674</v>
      </c>
      <c r="Y939">
        <f>_xlfn.XLOOKUP($F939,設計座標!$E$13:$E$2301,設計座標!$L$13:$L$2301," ",0,1)</f>
        <v>160</v>
      </c>
      <c r="Z939">
        <f>SQRT(($M$939-$M$936)^2+($N$939-$N$936)^2)</f>
        <v>339.57468709136674</v>
      </c>
      <c r="AA939">
        <f>_xlfn.XLOOKUP($G939,magnet_list!$A$2:$A$592,magnet_list!$AJ$2:$AJ$592,"n/a",0,1)</f>
        <v>0.18096930014326709</v>
      </c>
      <c r="AB939">
        <f>_xlfn.XLOOKUP($G939,magnet_list!$A$2:$A$592,magnet_list!$L$2:$L$592,"n/a",0,1)</f>
        <v>68</v>
      </c>
    </row>
    <row r="940" spans="1:28">
      <c r="A940" t="s">
        <v>797</v>
      </c>
      <c r="B940">
        <v>1</v>
      </c>
      <c r="C940" t="s">
        <v>805</v>
      </c>
      <c r="D940" t="s">
        <v>806</v>
      </c>
      <c r="F940" t="s">
        <v>165</v>
      </c>
      <c r="G940" t="s">
        <v>2561</v>
      </c>
      <c r="I940">
        <f>_xlfn.XLOOKUP($F940,設計座標!$E$13:$E$2301,設計座標!$G$13:$G$2301,"n/a",0,1)</f>
        <v>292.04415787221888</v>
      </c>
      <c r="J940">
        <f>_xlfn.XLOOKUP($F940,設計座標!$E$13:$E$2301,設計座標!$H$13:$H$2301,"n/a",0,1)</f>
        <v>-15000</v>
      </c>
      <c r="K940">
        <f>_xlfn.XLOOKUP($F940,設計座標!$E$13:$E$2301,設計座標!$I$13:$I$2301,"n/a",0,1)</f>
        <v>-27582.100406310001</v>
      </c>
      <c r="L940">
        <f>_xlfn.XLOOKUP($F940,設計座標!$E$13:$E$2301,設計座標!$J$13:$J$2301,"n/a",0,1)</f>
        <v>15</v>
      </c>
      <c r="M940" s="2">
        <f>_xlfn.XLOOKUP($F940,survey_data!$A$2:$A$833,survey_data!$B$2:$B$833,"n/a",0,1)</f>
        <v>-14994.954875699999</v>
      </c>
      <c r="N940" s="2">
        <f>_xlfn.XLOOKUP($F940,survey_data!$A$2:$A$833,survey_data!$C$2:$C$833,"n/a",0,1)</f>
        <v>-27582.100406310001</v>
      </c>
      <c r="O940" s="23">
        <f>_xlfn.XLOOKUP($F940,survey_data!$A$2:$A$833,survey_data!$D$2:$D$833,"n/a",0,1)</f>
        <v>14.810785920000001</v>
      </c>
      <c r="P940" s="1">
        <f t="shared" si="694"/>
        <v>14.561972277448065</v>
      </c>
      <c r="Q940" s="1">
        <f t="shared" si="675"/>
        <v>5.0451243000006798</v>
      </c>
      <c r="R940">
        <f t="shared" si="671"/>
        <v>0</v>
      </c>
      <c r="S940" s="23">
        <f t="shared" si="676"/>
        <v>-0.18921407999999929</v>
      </c>
      <c r="T940">
        <f>$S940+測地線補正!$Q$26*(lattice!$N940/1000)^3+測地線補正!$P$26*(lattice!$N940/1000)^2+測地線補正!$O$26*(lattice!$N940/1000)+測地線補正!$N$26</f>
        <v>-0.43802772255193489</v>
      </c>
      <c r="U940">
        <f t="shared" si="724"/>
        <v>-2.170949633363132E-4</v>
      </c>
      <c r="V940">
        <v>0</v>
      </c>
      <c r="W940">
        <f t="shared" si="725"/>
        <v>-1.1503338647949562E-4</v>
      </c>
      <c r="X940">
        <f>$Z$939-($Y$939+$Y$936)/2</f>
        <v>179.57468709136674</v>
      </c>
      <c r="Y940">
        <f>_xlfn.XLOOKUP($F940,設計座標!$E$13:$E$2301,設計座標!$L$13:$L$2301," ",0,1)</f>
        <v>160</v>
      </c>
      <c r="Z940">
        <f>SQRT(($M$939-$M$936)^2+($N$939-$N$936)^2)</f>
        <v>339.57468709136674</v>
      </c>
      <c r="AA940">
        <f>_xlfn.XLOOKUP($G940,magnet_list!$A$2:$A$592,magnet_list!$AJ$2:$AJ$592,"n/a",0,1)</f>
        <v>0.18096930014326709</v>
      </c>
      <c r="AB940">
        <f>_xlfn.XLOOKUP($G940,magnet_list!$A$2:$A$592,magnet_list!$L$2:$L$592,"n/a",0,1)</f>
        <v>68</v>
      </c>
    </row>
    <row r="941" spans="1:28">
      <c r="A941" t="s">
        <v>797</v>
      </c>
      <c r="B941">
        <v>1</v>
      </c>
      <c r="C941" t="s">
        <v>805</v>
      </c>
      <c r="D941" t="s">
        <v>806</v>
      </c>
      <c r="F941" t="s">
        <v>166</v>
      </c>
      <c r="G941" t="s">
        <v>2562</v>
      </c>
      <c r="I941">
        <f>_xlfn.XLOOKUP($F941,設計座標!$E$13:$E$2301,設計座標!$G$13:$G$2301,"n/a",0,1)</f>
        <v>292.24465878503889</v>
      </c>
      <c r="J941">
        <f>_xlfn.XLOOKUP($F941,設計座標!$E$13:$E$2301,設計座標!$H$13:$H$2301,"n/a",0,1)</f>
        <v>-15000</v>
      </c>
      <c r="K941">
        <f>_xlfn.XLOOKUP($F941,設計座標!$E$13:$E$2301,設計座標!$I$13:$I$2301,"n/a",0,1)</f>
        <v>-27782.601319130001</v>
      </c>
      <c r="L941">
        <f>_xlfn.XLOOKUP($F941,設計座標!$E$13:$E$2301,設計座標!$J$13:$J$2301,"n/a",0,1)</f>
        <v>15</v>
      </c>
      <c r="M941" s="2">
        <f>_xlfn.XLOOKUP($F941,survey_data!$A$2:$A$833,survey_data!$B$2:$B$833,"n/a",0,1)</f>
        <v>-14994.896744199999</v>
      </c>
      <c r="N941" s="2">
        <f>_xlfn.XLOOKUP($F941,survey_data!$A$2:$A$833,survey_data!$C$2:$C$833,"n/a",0,1)</f>
        <v>-27782.601319130001</v>
      </c>
      <c r="O941" s="23">
        <f>_xlfn.XLOOKUP($F941,survey_data!$A$2:$A$833,survey_data!$D$2:$D$833,"n/a",0,1)</f>
        <v>14.82231659</v>
      </c>
      <c r="P941" s="1">
        <f t="shared" si="694"/>
        <v>14.581196988866433</v>
      </c>
      <c r="Q941" s="1">
        <f t="shared" ref="Q941:Q1007" si="726">$M941-$J941</f>
        <v>5.1032558000006247</v>
      </c>
      <c r="R941">
        <f t="shared" ref="R941:R1007" si="727">$N941-$K941</f>
        <v>0</v>
      </c>
      <c r="S941" s="23">
        <f t="shared" ref="S941:S1007" si="728">$O941-$L941</f>
        <v>-0.17768341000000021</v>
      </c>
      <c r="T941">
        <f>$S941+測地線補正!$Q$26*(lattice!$N941/1000)^3+測地線補正!$P$26*(lattice!$N941/1000)^2+測地線補正!$O$26*(lattice!$N941/1000)+測地線補正!$N$26</f>
        <v>-0.4188030111335681</v>
      </c>
      <c r="U941">
        <f>-ATAN(($P$943-$P$941)/ABS($N$943-$N$941))</f>
        <v>-2.1034765338684099E-4</v>
      </c>
      <c r="V941">
        <v>0</v>
      </c>
      <c r="W941">
        <f>ATAN(($M$943-$M$941)/ABS($N$943-$N$941))</f>
        <v>-9.2927788312864828E-5</v>
      </c>
      <c r="X941">
        <f>$Z$942-($Y$942+$Y$939)/2</f>
        <v>180.48260386852928</v>
      </c>
      <c r="Y941">
        <f>_xlfn.XLOOKUP($F941,設計座標!$E$13:$E$2301,設計座標!$L$13:$L$2301," ",0,1)</f>
        <v>160</v>
      </c>
      <c r="Z941">
        <f>SQRT(($M$942-$M$939)^2+($N$942-$N$939)^2)</f>
        <v>340.48260386852928</v>
      </c>
      <c r="AA941">
        <f>_xlfn.XLOOKUP($G941,magnet_list!$A$2:$A$592,magnet_list!$AJ$2:$AJ$592,"n/a",0,1)</f>
        <v>0.18096930014326709</v>
      </c>
      <c r="AB941">
        <f>_xlfn.XLOOKUP($G941,magnet_list!$A$2:$A$592,magnet_list!$L$2:$L$592,"n/a",0,1)</f>
        <v>68</v>
      </c>
    </row>
    <row r="942" spans="1:28">
      <c r="A942" t="s">
        <v>797</v>
      </c>
      <c r="B942">
        <v>1</v>
      </c>
      <c r="C942" t="s">
        <v>805</v>
      </c>
      <c r="D942" t="s">
        <v>1152</v>
      </c>
      <c r="E942" t="s">
        <v>804</v>
      </c>
      <c r="F942" t="s">
        <v>633</v>
      </c>
      <c r="G942" t="s">
        <v>2562</v>
      </c>
      <c r="I942">
        <f>_xlfn.XLOOKUP($F942,設計座標!$E$13:$E$2301,設計座標!$G$13:$G$2301,"n/a",0,1)</f>
        <v>292.31465678503889</v>
      </c>
      <c r="J942">
        <f>_xlfn.XLOOKUP($F942,設計座標!$E$13:$E$2301,設計座標!$H$13:$H$2301,"n/a",0,1)</f>
        <v>-15000</v>
      </c>
      <c r="K942">
        <f>_xlfn.XLOOKUP($F942,設計座標!$E$13:$E$2301,設計座標!$I$13:$I$2301,"n/a",0,1)</f>
        <v>-27852.59931913</v>
      </c>
      <c r="L942">
        <f>_xlfn.XLOOKUP($F942,設計座標!$E$13:$E$2301,設計座標!$J$13:$J$2301,"n/a",0,1)</f>
        <v>15</v>
      </c>
      <c r="M942" s="2">
        <f t="shared" ref="M942:M946" si="729">$J942+$Q942</f>
        <v>-14994.903248959345</v>
      </c>
      <c r="N942" s="2">
        <f t="shared" ref="N942:N946" si="730">$K942</f>
        <v>-27852.59931913</v>
      </c>
      <c r="O942" s="23">
        <f t="shared" ref="O942:O946" si="731">$L942+$S942</f>
        <v>14.834357907918655</v>
      </c>
      <c r="P942" s="1">
        <f t="shared" si="694"/>
        <v>14.595921625895818</v>
      </c>
      <c r="Q942" s="1">
        <f>(Q$943-Q$941)/($N$943-$N$941)*($N942-$N$941)+Q$941</f>
        <v>5.0967510406555769</v>
      </c>
      <c r="R942">
        <f t="shared" si="727"/>
        <v>0</v>
      </c>
      <c r="S942" s="23">
        <f>(S$943-S$941)/($N$943-$N$941)*($N942-$N$941)+S$941</f>
        <v>-0.16564209208134498</v>
      </c>
      <c r="T942">
        <f>$S942+測地線補正!$Q$26*(lattice!$N942/1000)^3+測地線補正!$P$26*(lattice!$N942/1000)^2+測地線補正!$O$26*(lattice!$N942/1000)+測地線補正!$N$26</f>
        <v>-0.40407837410418179</v>
      </c>
      <c r="U942">
        <f t="shared" ref="U942:U943" si="732">-ATAN(($P$943-$P$941)/ABS($N$943-$N$941))</f>
        <v>-2.1034765338684099E-4</v>
      </c>
      <c r="V942">
        <v>0</v>
      </c>
      <c r="W942">
        <f t="shared" ref="W942:W943" si="733">ATAN(($M$943-$M$941)/ABS($N$943-$N$941))</f>
        <v>-9.2927788312864828E-5</v>
      </c>
      <c r="X942">
        <f>$Z$942-($Y$942+$Y$939)/2</f>
        <v>180.48260386852928</v>
      </c>
      <c r="Y942">
        <f>_xlfn.XLOOKUP($F942,設計座標!$E$13:$E$2301,設計座標!$L$13:$L$2301," ",0,1)</f>
        <v>160</v>
      </c>
      <c r="Z942">
        <f>SQRT(($M$942-$M$939)^2+($N$942-$N$939)^2)</f>
        <v>340.48260386852928</v>
      </c>
      <c r="AA942">
        <f>_xlfn.XLOOKUP($G942,magnet_list!$A$2:$A$592,magnet_list!$AJ$2:$AJ$592,"n/a",0,1)</f>
        <v>0.18096930014326709</v>
      </c>
      <c r="AB942">
        <f>_xlfn.XLOOKUP($G942,magnet_list!$A$2:$A$592,magnet_list!$L$2:$L$592,"n/a",0,1)</f>
        <v>68</v>
      </c>
    </row>
    <row r="943" spans="1:28">
      <c r="A943" t="s">
        <v>797</v>
      </c>
      <c r="B943">
        <v>1</v>
      </c>
      <c r="C943" t="s">
        <v>805</v>
      </c>
      <c r="D943" t="s">
        <v>806</v>
      </c>
      <c r="F943" t="s">
        <v>167</v>
      </c>
      <c r="G943" t="s">
        <v>2562</v>
      </c>
      <c r="I943">
        <f>_xlfn.XLOOKUP($F943,設計座標!$E$13:$E$2301,設計座標!$G$13:$G$2301,"n/a",0,1)</f>
        <v>292.38463370749889</v>
      </c>
      <c r="J943">
        <f>_xlfn.XLOOKUP($F943,設計座標!$E$13:$E$2301,設計座標!$H$13:$H$2301,"n/a",0,1)</f>
        <v>-15000</v>
      </c>
      <c r="K943">
        <f>_xlfn.XLOOKUP($F943,設計座標!$E$13:$E$2301,設計座標!$I$13:$I$2301,"n/a",0,1)</f>
        <v>-27922.576241589999</v>
      </c>
      <c r="L943">
        <f>_xlfn.XLOOKUP($F943,設計座標!$E$13:$E$2301,設計座標!$J$13:$J$2301,"n/a",0,1)</f>
        <v>15</v>
      </c>
      <c r="M943" s="2">
        <f>_xlfn.XLOOKUP($F943,survey_data!$A$2:$A$833,survey_data!$B$2:$B$833,"n/a",0,1)</f>
        <v>-14994.90975176</v>
      </c>
      <c r="N943" s="2">
        <f>_xlfn.XLOOKUP($F943,survey_data!$A$2:$A$833,survey_data!$C$2:$C$833,"n/a",0,1)</f>
        <v>-27922.576241589999</v>
      </c>
      <c r="O943" s="23">
        <f>_xlfn.XLOOKUP($F943,survey_data!$A$2:$A$833,survey_data!$D$2:$D$833,"n/a",0,1)</f>
        <v>14.846395599999999</v>
      </c>
      <c r="P943" s="1">
        <f t="shared" si="694"/>
        <v>14.61064038577315</v>
      </c>
      <c r="Q943" s="1">
        <f t="shared" si="726"/>
        <v>5.0902482399997098</v>
      </c>
      <c r="R943">
        <f t="shared" si="727"/>
        <v>0</v>
      </c>
      <c r="S943" s="23">
        <f t="shared" si="728"/>
        <v>-0.15360440000000075</v>
      </c>
      <c r="T943">
        <f>$S943+測地線補正!$Q$26*(lattice!$N943/1000)^3+測地線補正!$P$26*(lattice!$N943/1000)^2+測地線補正!$O$26*(lattice!$N943/1000)+測地線補正!$N$26</f>
        <v>-0.38935961422684984</v>
      </c>
      <c r="U943">
        <f t="shared" si="732"/>
        <v>-2.1034765338684099E-4</v>
      </c>
      <c r="V943">
        <v>0</v>
      </c>
      <c r="W943">
        <f t="shared" si="733"/>
        <v>-9.2927788312864828E-5</v>
      </c>
      <c r="X943">
        <f>$Z$942-($Y$942+$Y$939)/2</f>
        <v>180.48260386852928</v>
      </c>
      <c r="Y943">
        <f>_xlfn.XLOOKUP($F943,設計座標!$E$13:$E$2301,設計座標!$L$13:$L$2301," ",0,1)</f>
        <v>160</v>
      </c>
      <c r="Z943">
        <f>SQRT(($M$942-$M$939)^2+($N$942-$N$939)^2)</f>
        <v>340.48260386852928</v>
      </c>
      <c r="AA943">
        <f>_xlfn.XLOOKUP($G943,magnet_list!$A$2:$A$592,magnet_list!$AJ$2:$AJ$592,"n/a",0,1)</f>
        <v>0.18096930014326709</v>
      </c>
      <c r="AB943">
        <f>_xlfn.XLOOKUP($G943,magnet_list!$A$2:$A$592,magnet_list!$L$2:$L$592,"n/a",0,1)</f>
        <v>68</v>
      </c>
    </row>
    <row r="944" spans="1:28">
      <c r="A944" t="s">
        <v>797</v>
      </c>
      <c r="B944">
        <v>1</v>
      </c>
      <c r="C944" t="s">
        <v>1152</v>
      </c>
      <c r="D944" t="s">
        <v>1152</v>
      </c>
      <c r="E944" t="s">
        <v>804</v>
      </c>
      <c r="F944" t="s">
        <v>2071</v>
      </c>
      <c r="G944" t="s">
        <v>2071</v>
      </c>
      <c r="I944">
        <f>_xlfn.XLOOKUP($F944,設計座標!$E$13:$E$2301,設計座標!$G$13:$G$2301,"n/a",0,1)</f>
        <v>292.63581256136894</v>
      </c>
      <c r="J944">
        <f>_xlfn.XLOOKUP($F944,設計座標!$E$13:$E$2301,設計座標!$H$13:$H$2301,"n/a",0,1)</f>
        <v>-15000</v>
      </c>
      <c r="K944">
        <f>_xlfn.XLOOKUP($F944,設計座標!$E$13:$E$2301,設計座標!$I$13:$I$2301,"n/a",0,1)</f>
        <v>-28173.755095460067</v>
      </c>
      <c r="L944">
        <f>_xlfn.XLOOKUP($F944,設計座標!$E$13:$E$2301,設計座標!$J$13:$J$2301,"n/a",0,1)</f>
        <v>-270</v>
      </c>
      <c r="M944" s="2">
        <f t="shared" si="729"/>
        <v>-14994.901733194556</v>
      </c>
      <c r="N944" s="2">
        <f t="shared" si="730"/>
        <v>-28173.755095460067</v>
      </c>
      <c r="O944" s="23">
        <f t="shared" si="731"/>
        <v>-270.17096661153846</v>
      </c>
      <c r="P944" s="1">
        <f t="shared" si="694"/>
        <v>-270.397110142016</v>
      </c>
      <c r="Q944" s="1">
        <f>(Q$945-Q$943)/($N$945-$N$943)*($N944-$N$943)+Q$943</f>
        <v>5.0982668054445925</v>
      </c>
      <c r="R944">
        <f t="shared" si="727"/>
        <v>0</v>
      </c>
      <c r="S944" s="23">
        <f>(S$945-S$943)/($N$945-$N$943)*($N944-$N$943)+S$943</f>
        <v>-0.17096661153843379</v>
      </c>
      <c r="T944">
        <f>$S944+測地線補正!$Q$26*(lattice!$N944/1000)^3+測地線補正!$P$26*(lattice!$N944/1000)^2+測地線補正!$O$26*(lattice!$N944/1000)+測地線補正!$N$26</f>
        <v>-0.3971101420159997</v>
      </c>
      <c r="U944">
        <v>0</v>
      </c>
      <c r="V944">
        <v>0</v>
      </c>
      <c r="W944">
        <v>0</v>
      </c>
      <c r="X944">
        <f>$Z$944-($Y$944+$Y$942)/2</f>
        <v>241.15577633364313</v>
      </c>
      <c r="Y944">
        <f>_xlfn.XLOOKUP($F944,設計座標!$E$13:$E$2301,設計座標!$L$13:$L$2301," ",0,1)</f>
        <v>0</v>
      </c>
      <c r="Z944">
        <f>SQRT(($M$944-$M$942)^2+($N$944-$N$942)^2)</f>
        <v>321.15577633364313</v>
      </c>
    </row>
    <row r="945" spans="1:30">
      <c r="A945" t="s">
        <v>797</v>
      </c>
      <c r="B945">
        <v>1</v>
      </c>
      <c r="C945" t="s">
        <v>805</v>
      </c>
      <c r="D945" t="s">
        <v>806</v>
      </c>
      <c r="F945" t="s">
        <v>168</v>
      </c>
      <c r="G945" t="s">
        <v>2563</v>
      </c>
      <c r="I945">
        <f>_xlfn.XLOOKUP($F945,設計座標!$E$13:$E$2301,設計座標!$G$13:$G$2301,"n/a",0,1)</f>
        <v>292.78500549195888</v>
      </c>
      <c r="J945">
        <f>_xlfn.XLOOKUP($F945,設計座標!$E$13:$E$2301,設計座標!$H$13:$H$2301,"n/a",0,1)</f>
        <v>-15000</v>
      </c>
      <c r="K945">
        <f>_xlfn.XLOOKUP($F945,設計座標!$E$13:$E$2301,設計座標!$I$13:$I$2301,"n/a",0,1)</f>
        <v>-28322.948026049999</v>
      </c>
      <c r="L945">
        <f>_xlfn.XLOOKUP($F945,設計座標!$E$13:$E$2301,設計座標!$J$13:$J$2301,"n/a",0,1)</f>
        <v>15</v>
      </c>
      <c r="M945" s="2">
        <f>_xlfn.XLOOKUP($F945,survey_data!$A$2:$A$833,survey_data!$B$2:$B$833,"n/a",0,1)</f>
        <v>-14994.896970399999</v>
      </c>
      <c r="N945" s="2">
        <f>_xlfn.XLOOKUP($F945,survey_data!$A$2:$A$833,survey_data!$C$2:$C$833,"n/a",0,1)</f>
        <v>-28322.948026049999</v>
      </c>
      <c r="O945" s="23">
        <f>_xlfn.XLOOKUP($F945,survey_data!$A$2:$A$833,survey_data!$D$2:$D$833,"n/a",0,1)</f>
        <v>14.81872074</v>
      </c>
      <c r="P945" s="1">
        <f t="shared" si="694"/>
        <v>14.598277475201641</v>
      </c>
      <c r="Q945" s="1">
        <f t="shared" si="726"/>
        <v>5.1030296000008093</v>
      </c>
      <c r="R945">
        <f t="shared" si="727"/>
        <v>0</v>
      </c>
      <c r="S945" s="23">
        <f t="shared" si="728"/>
        <v>-0.18127926000000016</v>
      </c>
      <c r="T945">
        <f>$S945+測地線補正!$Q$26*(lattice!$N945/1000)^3+測地線補正!$P$26*(lattice!$N945/1000)^2+測地線補正!$O$26*(lattice!$N945/1000)+測地線補正!$N$26</f>
        <v>-0.40172252479835802</v>
      </c>
      <c r="U945">
        <f>-ATAN(($P$947-$P$945)/ABS($N$947-$N$945))</f>
        <v>-1.1004255278026908E-4</v>
      </c>
      <c r="V945">
        <v>0</v>
      </c>
      <c r="W945">
        <f>ATAN(($M$947-$M$945)/ABS($N$947-$N$945))</f>
        <v>1.3193867529024089E-4</v>
      </c>
      <c r="X945">
        <f>$Z$946-($Y$946+$Y$944)/2</f>
        <v>139.19043103691283</v>
      </c>
      <c r="Y945">
        <f>_xlfn.XLOOKUP($F945,設計座標!$E$13:$E$2301,設計座標!$L$13:$L$2301," ",0,1)</f>
        <v>160</v>
      </c>
      <c r="Z945">
        <f>SQRT(($M$946-$M$944)^2+($N$946-$N$944)^2)</f>
        <v>219.19043103691283</v>
      </c>
      <c r="AA945">
        <f>_xlfn.XLOOKUP($G945,magnet_list!$A$2:$A$592,magnet_list!$AJ$2:$AJ$592,"n/a",0,1)</f>
        <v>0.18096930014326709</v>
      </c>
      <c r="AB945">
        <f>_xlfn.XLOOKUP($G945,magnet_list!$A$2:$A$592,magnet_list!$L$2:$L$592,"n/a",0,1)</f>
        <v>68</v>
      </c>
    </row>
    <row r="946" spans="1:30">
      <c r="A946" t="s">
        <v>797</v>
      </c>
      <c r="B946">
        <v>1</v>
      </c>
      <c r="C946" t="s">
        <v>805</v>
      </c>
      <c r="D946" t="s">
        <v>1152</v>
      </c>
      <c r="E946" t="s">
        <v>804</v>
      </c>
      <c r="F946" t="s">
        <v>634</v>
      </c>
      <c r="G946" t="s">
        <v>2563</v>
      </c>
      <c r="I946">
        <f>_xlfn.XLOOKUP($F946,設計座標!$E$13:$E$2301,設計座標!$G$13:$G$2301,"n/a",0,1)</f>
        <v>292.85500299195888</v>
      </c>
      <c r="J946">
        <f>_xlfn.XLOOKUP($F946,設計座標!$E$13:$E$2301,設計座標!$H$13:$H$2301,"n/a",0,1)</f>
        <v>-15000</v>
      </c>
      <c r="K946">
        <f>_xlfn.XLOOKUP($F946,設計座標!$E$13:$E$2301,設計座標!$I$13:$I$2301,"n/a",0,1)</f>
        <v>-28392.945526049996</v>
      </c>
      <c r="L946">
        <f>_xlfn.XLOOKUP($F946,設計座標!$E$13:$E$2301,設計座標!$J$13:$J$2301,"n/a",0,1)</f>
        <v>15</v>
      </c>
      <c r="M946" s="2">
        <f t="shared" si="729"/>
        <v>-14994.887735022521</v>
      </c>
      <c r="N946" s="2">
        <f t="shared" si="730"/>
        <v>-28392.945526049996</v>
      </c>
      <c r="O946" s="23">
        <f t="shared" si="731"/>
        <v>14.823752003925534</v>
      </c>
      <c r="P946" s="1">
        <f t="shared" si="694"/>
        <v>14.605980899685347</v>
      </c>
      <c r="Q946" s="1">
        <f>(Q$947-Q$945)/($N$947-$N$945)*($N946-$N$945)+Q$945</f>
        <v>5.1122649774780271</v>
      </c>
      <c r="R946">
        <f t="shared" si="727"/>
        <v>0</v>
      </c>
      <c r="S946" s="23">
        <f>(S$947-S$945)/($N$947-$N$945)*($N946-$N$945)+S$945</f>
        <v>-0.17624799607446609</v>
      </c>
      <c r="T946">
        <f>$S946+測地線補正!$Q$26*(lattice!$N946/1000)^3+測地線補正!$P$26*(lattice!$N946/1000)^2+測地線補正!$O$26*(lattice!$N946/1000)+測地線補正!$N$26</f>
        <v>-0.39401910031465337</v>
      </c>
      <c r="U946">
        <f t="shared" ref="U946:U947" si="734">-ATAN(($P$947-$P$945)/ABS($N$947-$N$945))</f>
        <v>-1.1004255278026908E-4</v>
      </c>
      <c r="V946">
        <v>0</v>
      </c>
      <c r="W946">
        <f t="shared" ref="W946:W947" si="735">ATAN(($M$947-$M$945)/ABS($N$947-$N$945))</f>
        <v>1.3193867529024089E-4</v>
      </c>
      <c r="X946">
        <f>$Z$946-($Y$946+$Y$944)/2</f>
        <v>139.19043103691283</v>
      </c>
      <c r="Y946">
        <f>_xlfn.XLOOKUP($F946,設計座標!$E$13:$E$2301,設計座標!$L$13:$L$2301," ",0,1)</f>
        <v>160</v>
      </c>
      <c r="Z946">
        <f>SQRT(($M$946-$M$944)^2+($N$946-$N$944)^2)</f>
        <v>219.19043103691283</v>
      </c>
      <c r="AA946">
        <f>_xlfn.XLOOKUP($G946,magnet_list!$A$2:$A$592,magnet_list!$AJ$2:$AJ$592,"n/a",0,1)</f>
        <v>0.18096930014326709</v>
      </c>
      <c r="AB946">
        <f>_xlfn.XLOOKUP($G946,magnet_list!$A$2:$A$592,magnet_list!$L$2:$L$592,"n/a",0,1)</f>
        <v>68</v>
      </c>
    </row>
    <row r="947" spans="1:30">
      <c r="A947" t="s">
        <v>797</v>
      </c>
      <c r="B947">
        <v>1</v>
      </c>
      <c r="C947" t="s">
        <v>805</v>
      </c>
      <c r="D947" t="s">
        <v>806</v>
      </c>
      <c r="F947" t="s">
        <v>169</v>
      </c>
      <c r="G947" t="s">
        <v>2563</v>
      </c>
      <c r="I947">
        <f>_xlfn.XLOOKUP($F947,設計座標!$E$13:$E$2301,設計座標!$G$13:$G$2301,"n/a",0,1)</f>
        <v>292.92499704372887</v>
      </c>
      <c r="J947">
        <f>_xlfn.XLOOKUP($F947,設計座標!$E$13:$E$2301,設計座標!$H$13:$H$2301,"n/a",0,1)</f>
        <v>-15000</v>
      </c>
      <c r="K947">
        <f>_xlfn.XLOOKUP($F947,設計座標!$E$13:$E$2301,設計座標!$I$13:$I$2301,"n/a",0,1)</f>
        <v>-28462.939577820001</v>
      </c>
      <c r="L947">
        <f>_xlfn.XLOOKUP($F947,設計座標!$E$13:$E$2301,設計座標!$J$13:$J$2301,"n/a",0,1)</f>
        <v>15</v>
      </c>
      <c r="M947" s="2">
        <f>_xlfn.XLOOKUP($F947,survey_data!$A$2:$A$833,survey_data!$B$2:$B$833,"n/a",0,1)</f>
        <v>-14994.8785001</v>
      </c>
      <c r="N947" s="2">
        <f>_xlfn.XLOOKUP($F947,survey_data!$A$2:$A$833,survey_data!$C$2:$C$833,"n/a",0,1)</f>
        <v>-28462.939577820001</v>
      </c>
      <c r="O947" s="23">
        <f>_xlfn.XLOOKUP($F947,survey_data!$A$2:$A$833,survey_data!$D$2:$D$833,"n/a",0,1)</f>
        <v>14.828783019999999</v>
      </c>
      <c r="P947" s="1">
        <f t="shared" si="694"/>
        <v>14.613682502988265</v>
      </c>
      <c r="Q947" s="1">
        <f t="shared" si="726"/>
        <v>5.1214999000003445</v>
      </c>
      <c r="R947">
        <f t="shared" si="727"/>
        <v>0</v>
      </c>
      <c r="S947" s="23">
        <f t="shared" si="728"/>
        <v>-0.17121698000000052</v>
      </c>
      <c r="T947">
        <f>$S947+測地線補正!$Q$26*(lattice!$N947/1000)^3+測地線補正!$P$26*(lattice!$N947/1000)^2+測地線補正!$O$26*(lattice!$N947/1000)+測地線補正!$N$26</f>
        <v>-0.38631749701173557</v>
      </c>
      <c r="U947">
        <f t="shared" si="734"/>
        <v>-1.1004255278026908E-4</v>
      </c>
      <c r="V947">
        <v>0</v>
      </c>
      <c r="W947">
        <f t="shared" si="735"/>
        <v>1.3193867529024089E-4</v>
      </c>
      <c r="X947">
        <f>$Z$946-($Y$946+$Y$944)/2</f>
        <v>139.19043103691283</v>
      </c>
      <c r="Y947">
        <f>_xlfn.XLOOKUP($F947,設計座標!$E$13:$E$2301,設計座標!$L$13:$L$2301," ",0,1)</f>
        <v>160</v>
      </c>
      <c r="Z947">
        <f>SQRT(($M$946-$M$944)^2+($N$946-$N$944)^2)</f>
        <v>219.19043103691283</v>
      </c>
      <c r="AA947">
        <f>_xlfn.XLOOKUP($G947,magnet_list!$A$2:$A$592,magnet_list!$AJ$2:$AJ$592,"n/a",0,1)</f>
        <v>0.18096930014326709</v>
      </c>
      <c r="AB947">
        <f>_xlfn.XLOOKUP($G947,magnet_list!$A$2:$A$592,magnet_list!$L$2:$L$592,"n/a",0,1)</f>
        <v>68</v>
      </c>
    </row>
    <row r="948" spans="1:30">
      <c r="A948" t="s">
        <v>797</v>
      </c>
      <c r="B948">
        <v>1</v>
      </c>
      <c r="C948" t="s">
        <v>805</v>
      </c>
      <c r="D948" t="s">
        <v>806</v>
      </c>
      <c r="F948" t="s">
        <v>170</v>
      </c>
      <c r="G948" t="s">
        <v>3880</v>
      </c>
      <c r="I948">
        <f>_xlfn.XLOOKUP($F948,設計座標!$E$13:$E$2301,設計座標!$G$13:$G$2301,"n/a",0,1)</f>
        <v>293.13709574039888</v>
      </c>
      <c r="J948">
        <f>_xlfn.XLOOKUP($F948,設計座標!$E$13:$E$2301,設計座標!$H$13:$H$2301,"n/a",0,1)</f>
        <v>-15000</v>
      </c>
      <c r="K948">
        <f>_xlfn.XLOOKUP($F948,設計座標!$E$13:$E$2301,設計座標!$I$13:$I$2301,"n/a",0,1)</f>
        <v>-28675.038274490002</v>
      </c>
      <c r="L948">
        <f>_xlfn.XLOOKUP($F948,設計座標!$E$13:$E$2301,設計座標!$J$13:$J$2301,"n/a",0,1)</f>
        <v>40</v>
      </c>
      <c r="M948" s="2">
        <f>_xlfn.XLOOKUP($F948,survey_data!$A$2:$A$833,survey_data!$B$2:$B$833,"n/a",0,1)</f>
        <v>-14994.952196009999</v>
      </c>
      <c r="N948" s="2">
        <f>_xlfn.XLOOKUP($F948,survey_data!$A$2:$A$833,survey_data!$C$2:$C$833,"n/a",0,1)</f>
        <v>-28675.038274490002</v>
      </c>
      <c r="O948" s="2">
        <f>_xlfn.XLOOKUP($F948,survey_data!$A$2:$A$833,survey_data!$D$2:$D$833,"n/a",0,1)</f>
        <v>39.85355792</v>
      </c>
      <c r="P948" s="1">
        <f t="shared" si="694"/>
        <v>39.64654111989951</v>
      </c>
      <c r="Q948" s="1">
        <f t="shared" si="726"/>
        <v>5.0478039900008298</v>
      </c>
      <c r="R948">
        <f t="shared" si="727"/>
        <v>0</v>
      </c>
      <c r="S948" s="23">
        <f t="shared" si="728"/>
        <v>-0.14644207999999992</v>
      </c>
      <c r="T948">
        <f>$S948+測地線補正!$Q$26*(lattice!$N948/1000)^3+測地線補正!$P$26*(lattice!$N948/1000)^2+測地線補正!$O$26*(lattice!$N948/1000)+測地線補正!$N$26</f>
        <v>-0.35345888010048809</v>
      </c>
      <c r="U948">
        <f>-ATAN(($P$950-$P$948)/ABS($N$950-$N$948))</f>
        <v>-4.5060932052470616E-5</v>
      </c>
      <c r="V948">
        <v>0</v>
      </c>
      <c r="W948">
        <f>ATAN(($M$950-$M$948)/ABS($N$950-$N$948))</f>
        <v>4.2795340578376332E-4</v>
      </c>
      <c r="X948">
        <f>$Z$949-($Y$949+$Y$946)/2</f>
        <v>177.09899818167213</v>
      </c>
      <c r="Y948">
        <f>_xlfn.XLOOKUP($F948,設計座標!$E$13:$E$2301,設計座標!$L$13:$L$2301," ",0,1)</f>
        <v>150</v>
      </c>
      <c r="Z948">
        <f>SQRT(($M$949-$M$946)^2+($N$949-$N$946)^2)</f>
        <v>332.09899818167213</v>
      </c>
      <c r="AA948">
        <f>_xlfn.XLOOKUP($G948,magnet_list!$A$2:$A$592,magnet_list!$AJ$2:$AJ$592,"n/a",0,1)</f>
        <v>0.2115242616472546</v>
      </c>
      <c r="AB948">
        <f>_xlfn.XLOOKUP($G948,magnet_list!$A$2:$A$592,magnet_list!$L$2:$L$592,"n/a",0,1)</f>
        <v>72</v>
      </c>
    </row>
    <row r="949" spans="1:30">
      <c r="A949" t="s">
        <v>797</v>
      </c>
      <c r="B949">
        <v>1</v>
      </c>
      <c r="C949" t="s">
        <v>805</v>
      </c>
      <c r="D949" t="s">
        <v>1152</v>
      </c>
      <c r="E949" t="s">
        <v>804</v>
      </c>
      <c r="F949" t="s">
        <v>3879</v>
      </c>
      <c r="G949" t="s">
        <v>3880</v>
      </c>
      <c r="I949">
        <f>_xlfn.XLOOKUP($F949,設計座標!$E$13:$E$2301,設計座標!$G$13:$G$2301,"n/a",0,1)</f>
        <v>293.18710198734885</v>
      </c>
      <c r="J949">
        <f>_xlfn.XLOOKUP($F949,設計座標!$E$13:$E$2301,設計座標!$H$13:$H$2301,"n/a",0,1)</f>
        <v>-15000</v>
      </c>
      <c r="K949">
        <f>_xlfn.XLOOKUP($F949,設計座標!$E$13:$E$2301,設計座標!$I$13:$I$2301,"n/a",0,1)</f>
        <v>-28725.044521440002</v>
      </c>
      <c r="L949">
        <f>_xlfn.XLOOKUP($F949,設計座標!$E$13:$E$2301,設計座標!$J$13:$J$2301,"n/a",0,1)</f>
        <v>40</v>
      </c>
      <c r="M949" s="2">
        <f t="shared" ref="M949" si="736">$J949+$Q949</f>
        <v>-14994.930795664999</v>
      </c>
      <c r="N949" s="2">
        <f t="shared" ref="N949" si="737">$K949</f>
        <v>-28725.044521440002</v>
      </c>
      <c r="O949" s="23">
        <f t="shared" ref="O949" si="738">$L949+$S949</f>
        <v>39.853907655</v>
      </c>
      <c r="P949" s="1">
        <f t="shared" si="694"/>
        <v>39.64879481558328</v>
      </c>
      <c r="Q949" s="1">
        <f>($Q$950-$Q$948)/($N$950-$N$948)*($N949-$N$948)+$Q$948</f>
        <v>5.0692043349999958</v>
      </c>
      <c r="R949">
        <f t="shared" si="727"/>
        <v>0</v>
      </c>
      <c r="S949" s="23">
        <f>($S$950-$S$948)/($N$950-$N$948)*($N949-$N$948)+$S$948</f>
        <v>-0.14609234499999957</v>
      </c>
      <c r="T949">
        <f>$S949+測地線補正!$Q$26*(lattice!$N949/1000)^3+測地線補正!$P$26*(lattice!$N949/1000)^2+測地線補正!$O$26*(lattice!$N949/1000)+測地線補正!$N$26</f>
        <v>-0.35120518441672277</v>
      </c>
      <c r="U949">
        <f>-ATAN(($P$950-$P$948)/ABS($N$950-$N$948))</f>
        <v>-4.5060932052470616E-5</v>
      </c>
      <c r="V949">
        <v>0</v>
      </c>
      <c r="W949">
        <f>ATAN(($M$950-$M$948)/ABS($N$950-$N$948))</f>
        <v>4.2795340578376332E-4</v>
      </c>
      <c r="X949">
        <f>$Z$949-($Y$949+$Y$946)/2</f>
        <v>177.09899818167213</v>
      </c>
      <c r="Y949">
        <f>_xlfn.XLOOKUP($F949,設計座標!$E$13:$E$2301,設計座標!$L$13:$L$2301," ",0,1)</f>
        <v>150</v>
      </c>
      <c r="Z949">
        <f>SQRT(($M$949-$M$946)^2+($N$949-$N$946)^2)</f>
        <v>332.09899818167213</v>
      </c>
      <c r="AA949">
        <f>_xlfn.XLOOKUP($G949,magnet_list!$A$2:$A$592,magnet_list!$AJ$2:$AJ$592,"n/a",0,1)</f>
        <v>0.2115242616472546</v>
      </c>
      <c r="AB949">
        <f>_xlfn.XLOOKUP($G949,magnet_list!$A$2:$A$592,magnet_list!$L$2:$L$592,"n/a",0,1)</f>
        <v>72</v>
      </c>
    </row>
    <row r="950" spans="1:30">
      <c r="A950" t="s">
        <v>797</v>
      </c>
      <c r="B950">
        <v>1</v>
      </c>
      <c r="C950" t="s">
        <v>805</v>
      </c>
      <c r="D950" t="s">
        <v>806</v>
      </c>
      <c r="F950" t="s">
        <v>171</v>
      </c>
      <c r="G950" t="s">
        <v>3880</v>
      </c>
      <c r="I950">
        <f>_xlfn.XLOOKUP($F950,設計座標!$E$13:$E$2301,設計座標!$G$13:$G$2301,"n/a",0,1)</f>
        <v>293.23710823429889</v>
      </c>
      <c r="J950">
        <f>_xlfn.XLOOKUP($F950,設計座標!$E$13:$E$2301,設計座標!$H$13:$H$2301,"n/a",0,1)</f>
        <v>-15000</v>
      </c>
      <c r="K950">
        <f>_xlfn.XLOOKUP($F950,設計座標!$E$13:$E$2301,設計座標!$I$13:$I$2301,"n/a",0,1)</f>
        <v>-28775.05076839</v>
      </c>
      <c r="L950">
        <f>_xlfn.XLOOKUP($F950,設計座標!$E$13:$E$2301,設計座標!$J$13:$J$2301,"n/a",0,1)</f>
        <v>40</v>
      </c>
      <c r="M950" s="2">
        <f>_xlfn.XLOOKUP($F950,survey_data!$A$2:$A$833,survey_data!$B$2:$B$833,"n/a",0,1)</f>
        <v>-14994.909395320001</v>
      </c>
      <c r="N950" s="2">
        <f>_xlfn.XLOOKUP($F950,survey_data!$A$2:$A$833,survey_data!$C$2:$C$833,"n/a",0,1)</f>
        <v>-28775.05076839</v>
      </c>
      <c r="O950" s="2">
        <f>_xlfn.XLOOKUP($F950,survey_data!$A$2:$A$833,survey_data!$D$2:$D$833,"n/a",0,1)</f>
        <v>39.854257390000001</v>
      </c>
      <c r="P950" s="1">
        <f t="shared" si="694"/>
        <v>39.651047776094586</v>
      </c>
      <c r="Q950" s="1">
        <f t="shared" si="726"/>
        <v>5.09060467999916</v>
      </c>
      <c r="R950">
        <f t="shared" si="727"/>
        <v>0</v>
      </c>
      <c r="S950" s="23">
        <f t="shared" si="728"/>
        <v>-0.14574260999999922</v>
      </c>
      <c r="T950">
        <f>$S950+測地線補正!$Q$26*(lattice!$N950/1000)^3+測地線補正!$P$26*(lattice!$N950/1000)^2+測地線補正!$O$26*(lattice!$N950/1000)+測地線補正!$N$26</f>
        <v>-0.34895222390541547</v>
      </c>
      <c r="U950">
        <f>-ATAN(($P$950-$P$948)/ABS($N$950-$N$948))</f>
        <v>-4.5060932052470616E-5</v>
      </c>
      <c r="V950">
        <v>0</v>
      </c>
      <c r="W950">
        <f>ATAN(($M$950-$M$948)/ABS($N$950-$N$948))</f>
        <v>4.2795340578376332E-4</v>
      </c>
      <c r="X950">
        <f>$Z$949-($Y$949+$Y$946)/2</f>
        <v>177.09899818167213</v>
      </c>
      <c r="Y950">
        <f>_xlfn.XLOOKUP($F950,設計座標!$E$13:$E$2301,設計座標!$L$13:$L$2301," ",0,1)</f>
        <v>150</v>
      </c>
      <c r="Z950">
        <f>SQRT(($M$949-$M$946)^2+($N$949-$N$946)^2)</f>
        <v>332.09899818167213</v>
      </c>
      <c r="AA950">
        <f>_xlfn.XLOOKUP($G950,magnet_list!$A$2:$A$592,magnet_list!$AJ$2:$AJ$592,"n/a",0,1)</f>
        <v>0.2115242616472546</v>
      </c>
      <c r="AB950">
        <f>_xlfn.XLOOKUP($G950,magnet_list!$A$2:$A$592,magnet_list!$L$2:$L$592,"n/a",0,1)</f>
        <v>72</v>
      </c>
    </row>
    <row r="951" spans="1:30">
      <c r="A951" t="s">
        <v>797</v>
      </c>
      <c r="B951">
        <v>1</v>
      </c>
      <c r="C951" t="s">
        <v>805</v>
      </c>
      <c r="D951" t="s">
        <v>806</v>
      </c>
      <c r="F951" t="s">
        <v>172</v>
      </c>
      <c r="G951" t="s">
        <v>2564</v>
      </c>
      <c r="I951">
        <f>_xlfn.XLOOKUP($F951,設計座標!$E$13:$E$2301,設計座標!$G$13:$G$2301,"n/a",0,1)</f>
        <v>293.45040623272888</v>
      </c>
      <c r="J951">
        <f>_xlfn.XLOOKUP($F951,設計座標!$E$13:$E$2301,設計座標!$H$13:$H$2301,"n/a",0,1)</f>
        <v>-15000</v>
      </c>
      <c r="K951">
        <f>_xlfn.XLOOKUP($F951,設計座標!$E$13:$E$2301,設計座標!$I$13:$I$2301,"n/a",0,1)</f>
        <v>-28988.34876682</v>
      </c>
      <c r="L951">
        <f>_xlfn.XLOOKUP($F951,設計座標!$E$13:$E$2301,設計座標!$J$13:$J$2301,"n/a",0,1)</f>
        <v>15</v>
      </c>
      <c r="M951" s="2">
        <f>_xlfn.XLOOKUP($F951,survey_data!$A$2:$A$833,survey_data!$B$2:$B$833,"n/a",0,1)</f>
        <v>-14994.876363580001</v>
      </c>
      <c r="N951" s="2">
        <f>_xlfn.XLOOKUP($F951,survey_data!$A$2:$A$833,survey_data!$C$2:$C$833,"n/a",0,1)</f>
        <v>-28988.34876682</v>
      </c>
      <c r="O951" s="23">
        <f>_xlfn.XLOOKUP($F951,survey_data!$A$2:$A$833,survey_data!$D$2:$D$833,"n/a",0,1)</f>
        <v>14.7730827</v>
      </c>
      <c r="P951" s="1">
        <f t="shared" si="694"/>
        <v>14.577982902333449</v>
      </c>
      <c r="Q951" s="1">
        <f t="shared" si="726"/>
        <v>5.1236364199994568</v>
      </c>
      <c r="R951">
        <f t="shared" si="727"/>
        <v>0</v>
      </c>
      <c r="S951" s="23">
        <f t="shared" si="728"/>
        <v>-0.22691730000000021</v>
      </c>
      <c r="T951">
        <f>$S951+測地線補正!$Q$26*(lattice!$N951/1000)^3+測地線補正!$P$26*(lattice!$N951/1000)^2+測地線補正!$O$26*(lattice!$N951/1000)+測地線補正!$N$26</f>
        <v>-0.42201709766655116</v>
      </c>
      <c r="U951">
        <f>-ATAN(($P$954-$P$951)/ABS($N$954-$N$951))</f>
        <v>-5.3248457416002308E-4</v>
      </c>
      <c r="V951">
        <v>0</v>
      </c>
      <c r="W951">
        <f>ATAN(($M$954-$M$951)/ABS($N$954-$N$951))</f>
        <v>8.1813169757314987E-5</v>
      </c>
      <c r="X951">
        <f>$Z$952-($Y$952+$Y$949)/2</f>
        <v>165.85073514043745</v>
      </c>
      <c r="Y951">
        <f>_xlfn.XLOOKUP($F951,設計座標!$E$13:$E$2301,設計座標!$L$13:$L$2301," ",0,1)</f>
        <v>160</v>
      </c>
      <c r="Z951">
        <f>SQRT(($M$952-$M$949)^2+($N$952-$N$949)^2)</f>
        <v>320.85073514043745</v>
      </c>
      <c r="AA951">
        <f>_xlfn.XLOOKUP($G951,magnet_list!$A$2:$A$592,magnet_list!$AJ$2:$AJ$592,"n/a",0,1)</f>
        <v>0.18096930014326709</v>
      </c>
      <c r="AB951">
        <f>_xlfn.XLOOKUP($G951,magnet_list!$A$2:$A$592,magnet_list!$L$2:$L$592,"n/a",0,1)</f>
        <v>68</v>
      </c>
    </row>
    <row r="952" spans="1:30">
      <c r="A952" t="s">
        <v>797</v>
      </c>
      <c r="B952">
        <v>1</v>
      </c>
      <c r="C952" t="s">
        <v>805</v>
      </c>
      <c r="D952" t="s">
        <v>1152</v>
      </c>
      <c r="E952" t="s">
        <v>804</v>
      </c>
      <c r="F952" t="s">
        <v>635</v>
      </c>
      <c r="G952" t="s">
        <v>2564</v>
      </c>
      <c r="I952">
        <f>_xlfn.XLOOKUP($F952,設計座標!$E$13:$E$2301,設計座標!$G$13:$G$2301,"n/a",0,1)</f>
        <v>293.5079527170389</v>
      </c>
      <c r="J952">
        <f>_xlfn.XLOOKUP($F952,設計座標!$E$13:$E$2301,設計座標!$H$13:$H$2301,"n/a",0,1)</f>
        <v>-15000</v>
      </c>
      <c r="K952">
        <f>_xlfn.XLOOKUP($F952,設計座標!$E$13:$E$2301,設計座標!$I$13:$I$2301,"n/a",0,1)</f>
        <v>-29045.895251129998</v>
      </c>
      <c r="L952">
        <f>_xlfn.XLOOKUP($F952,設計座標!$E$13:$E$2301,設計座標!$J$13:$J$2301,"n/a",0,1)</f>
        <v>15</v>
      </c>
      <c r="M952" s="2">
        <f t="shared" ref="M952:M953" si="739">$J952+$Q952</f>
        <v>-14994.871655519701</v>
      </c>
      <c r="N952" s="2">
        <f t="shared" ref="N952:N953" si="740">$K952</f>
        <v>-29045.895251129998</v>
      </c>
      <c r="O952" s="23">
        <f t="shared" ref="O952:O953" si="741">$L952+$S952</f>
        <v>14.801540326282238</v>
      </c>
      <c r="P952" s="1">
        <f t="shared" si="694"/>
        <v>14.608626217226201</v>
      </c>
      <c r="Q952" s="1">
        <f>(Q$954-Q$951)/($N$954-$N$951)*($N952-$N$951)+Q$951</f>
        <v>5.1283444802997513</v>
      </c>
      <c r="R952">
        <f t="shared" si="727"/>
        <v>0</v>
      </c>
      <c r="S952" s="23">
        <f t="shared" ref="S952:S953" si="742">(S$954-S$951)/($N$954-$N$951)*($N952-$N$951)+S$951</f>
        <v>-0.19845967371776277</v>
      </c>
      <c r="T952">
        <f>$S952+測地線補正!$Q$26*(lattice!$N952/1000)^3+測地線補正!$P$26*(lattice!$N952/1000)^2+測地線補正!$O$26*(lattice!$N952/1000)+測地線補正!$N$26</f>
        <v>-0.39137378277379931</v>
      </c>
      <c r="U952">
        <f t="shared" ref="U952" si="743">-ATAN(($P$954-$P$951)/ABS($N$954-$N$951))</f>
        <v>-5.3248457416002308E-4</v>
      </c>
      <c r="V952">
        <v>0</v>
      </c>
      <c r="W952">
        <f>ATAN(($M$954-$M$951)/ABS($N$954-$N$951))</f>
        <v>8.1813169757314987E-5</v>
      </c>
      <c r="X952">
        <f>$Z$952-($Y$952+$Y$949)/2</f>
        <v>165.85073514043745</v>
      </c>
      <c r="Y952">
        <f>_xlfn.XLOOKUP($F952,設計座標!$E$13:$E$2301,設計座標!$L$13:$L$2301," ",0,1)</f>
        <v>160</v>
      </c>
      <c r="Z952">
        <f>SQRT(($M$952-$M$949)^2+($N$952-$N$949)^2)</f>
        <v>320.85073514043745</v>
      </c>
      <c r="AA952">
        <f>_xlfn.XLOOKUP($G952,magnet_list!$A$2:$A$592,magnet_list!$AJ$2:$AJ$592,"n/a",0,1)</f>
        <v>0.18096930014326709</v>
      </c>
      <c r="AB952">
        <f>_xlfn.XLOOKUP($G952,magnet_list!$A$2:$A$592,magnet_list!$L$2:$L$592,"n/a",0,1)</f>
        <v>68</v>
      </c>
    </row>
    <row r="953" spans="1:30">
      <c r="A953" t="s">
        <v>797</v>
      </c>
      <c r="B953">
        <v>1</v>
      </c>
      <c r="C953" t="s">
        <v>2288</v>
      </c>
      <c r="D953" t="s">
        <v>1152</v>
      </c>
      <c r="E953" t="s">
        <v>804</v>
      </c>
      <c r="F953" t="s">
        <v>2072</v>
      </c>
      <c r="G953" t="s">
        <v>2072</v>
      </c>
      <c r="I953">
        <f>_xlfn.XLOOKUP($F953,設計座標!$E$13:$E$2301,設計座標!$G$13:$G$2301,"n/a",0,1)</f>
        <v>293.56581256136894</v>
      </c>
      <c r="J953">
        <f>_xlfn.XLOOKUP($F953,設計座標!$E$13:$E$2301,設計座標!$H$13:$H$2301,"n/a",0,1)</f>
        <v>-15000</v>
      </c>
      <c r="K953">
        <f>_xlfn.XLOOKUP($F953,設計座標!$E$13:$E$2301,設計座標!$I$13:$I$2301,"n/a",0,1)</f>
        <v>-29103.755095460067</v>
      </c>
      <c r="L953">
        <f>_xlfn.XLOOKUP($F953,設計座標!$E$13:$E$2301,設計座標!$J$13:$J$2301,"n/a",0,1)</f>
        <v>-270</v>
      </c>
      <c r="M953" s="2">
        <f t="shared" si="739"/>
        <v>-14994.866921822424</v>
      </c>
      <c r="N953" s="2">
        <f t="shared" si="740"/>
        <v>-29103.755095460067</v>
      </c>
      <c r="O953" s="23">
        <f t="shared" si="741"/>
        <v>-270.16984708606037</v>
      </c>
      <c r="P953" s="1">
        <f t="shared" si="694"/>
        <v>-270.36056458538343</v>
      </c>
      <c r="Q953" s="1">
        <f>(Q$954-Q$951)/($N$954-$N$951)*($N953-$N$951)+Q$951</f>
        <v>5.1330781775766212</v>
      </c>
      <c r="R953">
        <f t="shared" si="727"/>
        <v>0</v>
      </c>
      <c r="S953" s="23">
        <f t="shared" si="742"/>
        <v>-0.16984708606038842</v>
      </c>
      <c r="T953">
        <f>$S953+測地線補正!$Q$26*(lattice!$N953/1000)^3+測地線補正!$P$26*(lattice!$N953/1000)^2+測地線補正!$O$26*(lattice!$N953/1000)+測地線補正!$N$26</f>
        <v>-0.36056458538343406</v>
      </c>
      <c r="U953">
        <v>0</v>
      </c>
      <c r="V953">
        <v>0</v>
      </c>
      <c r="W953">
        <v>0</v>
      </c>
      <c r="X953" t="s">
        <v>3860</v>
      </c>
      <c r="Y953">
        <f>_xlfn.XLOOKUP($F953,設計座標!$E$13:$E$2301,設計座標!$L$13:$L$2301," ",0,1)</f>
        <v>313</v>
      </c>
      <c r="Z953">
        <f>SQRT(($M$953-$M$952)^2+($N$953-$N$952)^2)</f>
        <v>57.859844523708276</v>
      </c>
      <c r="AC953">
        <f>_xlfn.XLOOKUP($F953,設計座標!$E$14:$E$2301,設計座標!$M$14:$M$2301,"n/a",0,1)</f>
        <v>30</v>
      </c>
    </row>
    <row r="954" spans="1:30">
      <c r="A954" t="s">
        <v>797</v>
      </c>
      <c r="B954">
        <v>1</v>
      </c>
      <c r="C954" t="s">
        <v>805</v>
      </c>
      <c r="D954" t="s">
        <v>806</v>
      </c>
      <c r="F954" t="s">
        <v>173</v>
      </c>
      <c r="G954" t="s">
        <v>2564</v>
      </c>
      <c r="I954">
        <f>_xlfn.XLOOKUP($F954,設計座標!$E$13:$E$2301,設計座標!$G$13:$G$2301,"n/a",0,1)</f>
        <v>293.59040019712887</v>
      </c>
      <c r="J954">
        <f>_xlfn.XLOOKUP($F954,設計座標!$E$13:$E$2301,設計座標!$H$13:$H$2301,"n/a",0,1)</f>
        <v>-15000</v>
      </c>
      <c r="K954">
        <f>_xlfn.XLOOKUP($F954,設計座標!$E$13:$E$2301,設計座標!$I$13:$I$2301,"n/a",0,1)</f>
        <v>-29128.34273122</v>
      </c>
      <c r="L954">
        <f>_xlfn.XLOOKUP($F954,設計座標!$E$13:$E$2301,設計座標!$J$13:$J$2301,"n/a",0,1)</f>
        <v>15</v>
      </c>
      <c r="M954" s="2">
        <f>_xlfn.XLOOKUP($F954,survey_data!$A$2:$A$833,survey_data!$B$2:$B$833,"n/a",0,1)</f>
        <v>-14994.864910230001</v>
      </c>
      <c r="N954" s="2">
        <f>_xlfn.XLOOKUP($F954,survey_data!$A$2:$A$833,survey_data!$C$2:$C$833,"n/a",0,1)</f>
        <v>-29128.34273122</v>
      </c>
      <c r="O954" s="23">
        <f>_xlfn.XLOOKUP($F954,survey_data!$A$2:$A$833,survey_data!$D$2:$D$833,"n/a",0,1)</f>
        <v>14.84231188</v>
      </c>
      <c r="P954" s="1">
        <f t="shared" si="694"/>
        <v>14.652527535897415</v>
      </c>
      <c r="Q954" s="1">
        <f t="shared" si="726"/>
        <v>5.1350897699994675</v>
      </c>
      <c r="R954">
        <f t="shared" si="727"/>
        <v>0</v>
      </c>
      <c r="S954" s="23">
        <f t="shared" si="728"/>
        <v>-0.15768811999999954</v>
      </c>
      <c r="T954">
        <f>$S954+測地線補正!$Q$26*(lattice!$N954/1000)^3+測地線補正!$P$26*(lattice!$N954/1000)^2+測地線補正!$O$26*(lattice!$N954/1000)+測地線補正!$N$26</f>
        <v>-0.3474724641025857</v>
      </c>
      <c r="U954">
        <f>-ATAN(($P$954-$P$951)/ABS($N$954-$N$951))</f>
        <v>-5.3248457416002308E-4</v>
      </c>
      <c r="V954">
        <v>0</v>
      </c>
      <c r="W954">
        <f>ATAN(($M$954-$M$951)/ABS($N$954-$N$951))</f>
        <v>8.1813169757314987E-5</v>
      </c>
      <c r="X954">
        <f>$Z$952-($Y$952+$Y$949)/2</f>
        <v>165.85073514043745</v>
      </c>
      <c r="Y954">
        <f>_xlfn.XLOOKUP($F954,設計座標!$E$13:$E$2301,設計座標!$L$13:$L$2301," ",0,1)</f>
        <v>160</v>
      </c>
      <c r="Z954">
        <f>SQRT(($M$952-$M$949)^2+($N$952-$N$949)^2)</f>
        <v>320.85073514043745</v>
      </c>
      <c r="AA954">
        <f>_xlfn.XLOOKUP($G954,magnet_list!$A$2:$A$592,magnet_list!$AJ$2:$AJ$592,"n/a",0,1)</f>
        <v>0.18096930014326709</v>
      </c>
      <c r="AB954">
        <f>_xlfn.XLOOKUP($G954,magnet_list!$A$2:$A$592,magnet_list!$L$2:$L$592,"n/a",0,1)</f>
        <v>68</v>
      </c>
    </row>
    <row r="955" spans="1:30">
      <c r="A955" t="s">
        <v>797</v>
      </c>
      <c r="B955">
        <v>1</v>
      </c>
      <c r="C955" t="s">
        <v>805</v>
      </c>
      <c r="D955" t="s">
        <v>806</v>
      </c>
      <c r="F955" t="s">
        <v>174</v>
      </c>
      <c r="G955" t="s">
        <v>2565</v>
      </c>
      <c r="I955">
        <f>_xlfn.XLOOKUP($F955,設計座標!$E$13:$E$2301,設計座標!$G$13:$G$2301,"n/a",0,1)</f>
        <v>293.80501698335888</v>
      </c>
      <c r="J955">
        <f>_xlfn.XLOOKUP($F955,設計座標!$E$13:$E$2301,設計座標!$H$13:$H$2301,"n/a",0,1)</f>
        <v>-15000</v>
      </c>
      <c r="K955">
        <f>_xlfn.XLOOKUP($F955,設計座標!$E$13:$E$2301,設計座標!$I$13:$I$2301,"n/a",0,1)</f>
        <v>-29342.959517449999</v>
      </c>
      <c r="L955">
        <f>_xlfn.XLOOKUP($F955,設計座標!$E$13:$E$2301,設計座標!$J$13:$J$2301,"n/a",0,1)</f>
        <v>70</v>
      </c>
      <c r="M955" s="2">
        <f>_xlfn.XLOOKUP($F955,survey_data!$A$2:$A$833,survey_data!$B$2:$B$833,"n/a",0,1)</f>
        <v>-14994.85452511</v>
      </c>
      <c r="N955" s="2">
        <f>_xlfn.XLOOKUP($F955,survey_data!$A$2:$A$833,survey_data!$C$2:$C$833,"n/a",0,1)</f>
        <v>-29342.959517449999</v>
      </c>
      <c r="O955" s="23">
        <f>_xlfn.XLOOKUP($F955,survey_data!$A$2:$A$833,survey_data!$D$2:$D$833,"n/a",0,1)</f>
        <v>69.843758339999994</v>
      </c>
      <c r="P955" s="1">
        <f t="shared" si="694"/>
        <v>69.662111641437178</v>
      </c>
      <c r="Q955" s="1">
        <f t="shared" si="726"/>
        <v>5.1454748899996048</v>
      </c>
      <c r="R955">
        <f t="shared" si="727"/>
        <v>0</v>
      </c>
      <c r="S955" s="23">
        <f t="shared" si="728"/>
        <v>-0.15624166000000628</v>
      </c>
      <c r="T955">
        <f>$S955+測地線補正!$Q$26*(lattice!$N955/1000)^3+測地線補正!$P$26*(lattice!$N955/1000)^2+測地線補正!$O$26*(lattice!$N955/1000)+測地線補正!$N$26</f>
        <v>-0.33788835856282229</v>
      </c>
      <c r="U955">
        <f>-ATAN(($P$957-$P$955)/ABS($N$957-$N$955))</f>
        <v>2.884626902186703E-5</v>
      </c>
      <c r="V955">
        <v>0</v>
      </c>
      <c r="W955">
        <f>ATAN(($M$957-$M$955)/ABS($N$957-$N$955))</f>
        <v>7.4677966463442319E-5</v>
      </c>
      <c r="X955">
        <f>$Z$956-($Y$956+$Y$952)/2</f>
        <v>134.20742243978998</v>
      </c>
      <c r="Y955">
        <f>_xlfn.XLOOKUP($F955,設計座標!$E$13:$E$2301,設計座標!$L$13:$L$2301," ",0,1)</f>
        <v>150</v>
      </c>
      <c r="Z955">
        <f>SQRT(($M$956-$M$953)^2+($N$956-$N$953)^2)</f>
        <v>289.20742243978998</v>
      </c>
      <c r="AA955">
        <f>_xlfn.XLOOKUP($G955,magnet_list!$A$2:$A$592,magnet_list!$AJ$2:$AJ$592,"n/a",0,1)</f>
        <v>0.2115242616472546</v>
      </c>
      <c r="AB955">
        <f>_xlfn.XLOOKUP($G955,magnet_list!$A$2:$A$592,magnet_list!$L$2:$L$592,"n/a",0,1)</f>
        <v>72</v>
      </c>
    </row>
    <row r="956" spans="1:30">
      <c r="A956" t="s">
        <v>797</v>
      </c>
      <c r="B956">
        <v>1</v>
      </c>
      <c r="C956" t="s">
        <v>805</v>
      </c>
      <c r="D956" t="s">
        <v>1152</v>
      </c>
      <c r="E956" t="s">
        <v>804</v>
      </c>
      <c r="F956" t="s">
        <v>636</v>
      </c>
      <c r="G956" t="s">
        <v>2565</v>
      </c>
      <c r="I956">
        <f>_xlfn.XLOOKUP($F956,設計座標!$E$13:$E$2301,設計座標!$G$13:$G$2301,"n/a",0,1)</f>
        <v>293.85501998335889</v>
      </c>
      <c r="J956">
        <f>_xlfn.XLOOKUP($F956,設計座標!$E$13:$E$2301,設計座標!$H$13:$H$2301,"n/a",0,1)</f>
        <v>-15000</v>
      </c>
      <c r="K956">
        <f>_xlfn.XLOOKUP($F956,設計座標!$E$13:$E$2301,設計座標!$I$13:$I$2301,"n/a",0,1)</f>
        <v>-29392.96251745</v>
      </c>
      <c r="L956">
        <f>_xlfn.XLOOKUP($F956,設計座標!$E$13:$E$2301,設計座標!$J$13:$J$2301,"n/a",0,1)</f>
        <v>70</v>
      </c>
      <c r="M956" s="2">
        <f t="shared" ref="M956:M964" si="744">$J956+$Q956</f>
        <v>-14994.850790987637</v>
      </c>
      <c r="N956" s="2">
        <f t="shared" ref="N956:N964" si="745">$K956</f>
        <v>-29392.96251745</v>
      </c>
      <c r="O956" s="23">
        <f t="shared" ref="O956:O964" si="746">$L956+$S956</f>
        <v>69.840422280198922</v>
      </c>
      <c r="P956" s="1">
        <f t="shared" si="694"/>
        <v>69.660669608236375</v>
      </c>
      <c r="Q956" s="1">
        <f>(Q$957-Q$955)/($N$957-$N$955)*($N956-$N$955)+Q$955</f>
        <v>5.1492090123636176</v>
      </c>
      <c r="R956">
        <f t="shared" si="727"/>
        <v>0</v>
      </c>
      <c r="S956" s="23">
        <f>(S$957-S$955)/($N$957-$N$955)*($N956-$N$955)+S$955</f>
        <v>-0.15957771980107244</v>
      </c>
      <c r="T956">
        <f>$S956+測地線補正!$Q$26*(lattice!$N956/1000)^3+測地線補正!$P$26*(lattice!$N956/1000)^2+測地線補正!$O$26*(lattice!$N956/1000)+測地線補正!$N$26</f>
        <v>-0.33933039176361812</v>
      </c>
      <c r="U956">
        <f t="shared" ref="U956:U957" si="747">-ATAN(($P$957-$P$955)/ABS($N$957-$N$955))</f>
        <v>2.884626902186703E-5</v>
      </c>
      <c r="V956">
        <v>0</v>
      </c>
      <c r="W956">
        <f t="shared" ref="W956:W957" si="748">ATAN(($M$957-$M$955)/ABS($N$957-$N$955))</f>
        <v>7.4677966463442319E-5</v>
      </c>
      <c r="X956">
        <f>$Z$956-($Y$956+$Y$952)/2</f>
        <v>134.20742243978998</v>
      </c>
      <c r="Y956">
        <f>_xlfn.XLOOKUP($F956,設計座標!$E$13:$E$2301,設計座標!$L$13:$L$2301," ",0,1)</f>
        <v>150</v>
      </c>
      <c r="Z956">
        <f>SQRT(($M$956-$M$953)^2+($N$956-$N$953)^2)</f>
        <v>289.20742243978998</v>
      </c>
      <c r="AA956">
        <f>_xlfn.XLOOKUP($G956,magnet_list!$A$2:$A$592,magnet_list!$AJ$2:$AJ$592,"n/a",0,1)</f>
        <v>0.2115242616472546</v>
      </c>
      <c r="AB956">
        <f>_xlfn.XLOOKUP($G956,magnet_list!$A$2:$A$592,magnet_list!$L$2:$L$592,"n/a",0,1)</f>
        <v>72</v>
      </c>
    </row>
    <row r="957" spans="1:30">
      <c r="A957" t="s">
        <v>797</v>
      </c>
      <c r="B957">
        <v>1</v>
      </c>
      <c r="C957" t="s">
        <v>805</v>
      </c>
      <c r="D957" t="s">
        <v>806</v>
      </c>
      <c r="F957" t="s">
        <v>175</v>
      </c>
      <c r="G957" t="s">
        <v>2565</v>
      </c>
      <c r="I957">
        <f>_xlfn.XLOOKUP($F957,設計座標!$E$13:$E$2301,設計座標!$G$13:$G$2301,"n/a",0,1)</f>
        <v>293.90501354647887</v>
      </c>
      <c r="J957">
        <f>_xlfn.XLOOKUP($F957,設計座標!$E$13:$E$2301,設計座標!$H$13:$H$2301,"n/a",0,1)</f>
        <v>-15000</v>
      </c>
      <c r="K957">
        <f>_xlfn.XLOOKUP($F957,設計座標!$E$13:$E$2301,設計座標!$I$13:$I$2301,"n/a",0,1)</f>
        <v>-29442.956080569998</v>
      </c>
      <c r="L957">
        <f>_xlfn.XLOOKUP($F957,設計座標!$E$13:$E$2301,設計座標!$J$13:$J$2301,"n/a",0,1)</f>
        <v>70</v>
      </c>
      <c r="M957" s="2">
        <f>_xlfn.XLOOKUP($F957,survey_data!$A$2:$A$833,survey_data!$B$2:$B$833,"n/a",0,1)</f>
        <v>-14994.847057569999</v>
      </c>
      <c r="N957" s="2">
        <f>_xlfn.XLOOKUP($F957,survey_data!$A$2:$A$833,survey_data!$C$2:$C$833,"n/a",0,1)</f>
        <v>-29442.956080569998</v>
      </c>
      <c r="O957" s="23">
        <f>_xlfn.XLOOKUP($F957,survey_data!$A$2:$A$833,survey_data!$D$2:$D$833,"n/a",0,1)</f>
        <v>69.837086850000006</v>
      </c>
      <c r="P957" s="1">
        <f t="shared" si="694"/>
        <v>69.659227113675357</v>
      </c>
      <c r="Q957" s="1">
        <f t="shared" si="726"/>
        <v>5.1529424300006212</v>
      </c>
      <c r="R957">
        <f t="shared" si="727"/>
        <v>0</v>
      </c>
      <c r="S957" s="23">
        <f t="shared" si="728"/>
        <v>-0.16291314999999429</v>
      </c>
      <c r="T957">
        <f>$S957+測地線補正!$Q$26*(lattice!$N957/1000)^3+測地線補正!$P$26*(lattice!$N957/1000)^2+測地線補正!$O$26*(lattice!$N957/1000)+測地線補正!$N$26</f>
        <v>-0.34077288632465019</v>
      </c>
      <c r="U957">
        <f t="shared" si="747"/>
        <v>2.884626902186703E-5</v>
      </c>
      <c r="V957">
        <v>0</v>
      </c>
      <c r="W957">
        <f t="shared" si="748"/>
        <v>7.4677966463442319E-5</v>
      </c>
      <c r="X957">
        <f>$Z$956-($Y$956+$Y$952)/2</f>
        <v>134.20742243978998</v>
      </c>
      <c r="Y957">
        <f>_xlfn.XLOOKUP($F957,設計座標!$E$13:$E$2301,設計座標!$L$13:$L$2301," ",0,1)</f>
        <v>150</v>
      </c>
      <c r="Z957">
        <f>SQRT(($M$956-$M$953)^2+($N$956-$N$953)^2)</f>
        <v>289.20742243978998</v>
      </c>
      <c r="AA957">
        <f>_xlfn.XLOOKUP($G957,magnet_list!$A$2:$A$592,magnet_list!$AJ$2:$AJ$592,"n/a",0,1)</f>
        <v>0.2115242616472546</v>
      </c>
      <c r="AB957">
        <f>_xlfn.XLOOKUP($G957,magnet_list!$A$2:$A$592,magnet_list!$L$2:$L$592,"n/a",0,1)</f>
        <v>72</v>
      </c>
    </row>
    <row r="958" spans="1:30">
      <c r="A958" t="s">
        <v>797</v>
      </c>
      <c r="B958">
        <v>1</v>
      </c>
      <c r="C958" t="s">
        <v>1152</v>
      </c>
      <c r="D958" t="s">
        <v>1152</v>
      </c>
      <c r="E958" t="s">
        <v>804</v>
      </c>
      <c r="F958" t="s">
        <v>2073</v>
      </c>
      <c r="G958" t="s">
        <v>2073</v>
      </c>
      <c r="I958">
        <f>_xlfn.XLOOKUP($F958,設計座標!$E$13:$E$2301,設計座標!$G$13:$G$2301,"n/a",0,1)</f>
        <v>294.11081256136896</v>
      </c>
      <c r="J958">
        <f>_xlfn.XLOOKUP($F958,設計座標!$E$13:$E$2301,設計座標!$H$13:$H$2301,"n/a",0,1)</f>
        <v>-15000</v>
      </c>
      <c r="K958">
        <f>_xlfn.XLOOKUP($F958,設計座標!$E$13:$E$2301,設計座標!$I$13:$I$2301,"n/a",0,1)</f>
        <v>-29648.755095460067</v>
      </c>
      <c r="L958">
        <f>_xlfn.XLOOKUP($F958,設計座標!$E$13:$E$2301,設計座標!$J$13:$J$2301,"n/a",0,1)</f>
        <v>-270</v>
      </c>
      <c r="M958" s="2">
        <f t="shared" si="744"/>
        <v>-14994.790392751196</v>
      </c>
      <c r="N958" s="2">
        <f t="shared" si="745"/>
        <v>-29648.755095460067</v>
      </c>
      <c r="O958" s="23">
        <f t="shared" si="746"/>
        <v>-270.16289589717974</v>
      </c>
      <c r="P958" s="1">
        <f t="shared" si="694"/>
        <v>-270.33297106629294</v>
      </c>
      <c r="Q958" s="1">
        <f>(Q$959-Q$957)/($N$959-$N$957)*($N958-$N$957)+Q$957</f>
        <v>5.2096072488035547</v>
      </c>
      <c r="R958">
        <f t="shared" si="727"/>
        <v>0</v>
      </c>
      <c r="S958" s="23">
        <f>(S$959-S$957)/($N$959-$N$957)*($N958-$N$957)+S$957</f>
        <v>-0.16289589717972713</v>
      </c>
      <c r="T958">
        <f>$S958+測地線補正!$Q$26*(lattice!$N958/1000)^3+測地線補正!$P$26*(lattice!$N958/1000)^2+測地線補正!$O$26*(lattice!$N958/1000)+測地線補正!$N$26</f>
        <v>-0.33297106629294904</v>
      </c>
      <c r="U958">
        <v>0</v>
      </c>
      <c r="V958">
        <v>0</v>
      </c>
      <c r="W958">
        <v>0</v>
      </c>
      <c r="X958">
        <f>$Z$958-($Y$958+$Y$956)/2</f>
        <v>180.79258514074067</v>
      </c>
      <c r="Y958">
        <f>_xlfn.XLOOKUP($F958,設計座標!$E$13:$E$2301,設計座標!$L$13:$L$2301," ",0,1)</f>
        <v>0</v>
      </c>
      <c r="Z958">
        <f>SQRT(($M$958-$M$956)^2+($N$958-$N$956)^2)</f>
        <v>255.79258514074067</v>
      </c>
    </row>
    <row r="959" spans="1:30">
      <c r="A959" t="s">
        <v>797</v>
      </c>
      <c r="B959">
        <v>1</v>
      </c>
      <c r="C959" t="s">
        <v>805</v>
      </c>
      <c r="D959" t="s">
        <v>806</v>
      </c>
      <c r="F959" t="s">
        <v>176</v>
      </c>
      <c r="G959" t="s">
        <v>2566</v>
      </c>
      <c r="I959">
        <f>_xlfn.XLOOKUP($F959,設計座標!$E$13:$E$2301,設計座標!$G$13:$G$2301,"n/a",0,1)</f>
        <v>294.12032166190892</v>
      </c>
      <c r="J959">
        <f>_xlfn.XLOOKUP($F959,設計座標!$E$13:$E$2301,設計座標!$H$13:$H$2301,"n/a",0,1)</f>
        <v>-15000</v>
      </c>
      <c r="K959">
        <f>_xlfn.XLOOKUP($F959,設計座標!$E$13:$E$2301,設計座標!$I$13:$I$2301,"n/a",0,1)</f>
        <v>-29658.264196</v>
      </c>
      <c r="L959">
        <f>_xlfn.XLOOKUP($F959,設計座標!$E$13:$E$2301,設計座標!$J$13:$J$2301,"n/a",0,1)</f>
        <v>15</v>
      </c>
      <c r="M959" s="2">
        <f>_xlfn.XLOOKUP($F959,survey_data!$A$2:$A$833,survey_data!$B$2:$B$833,"n/a",0,1)</f>
        <v>-14994.78777451</v>
      </c>
      <c r="N959" s="2">
        <f>_xlfn.XLOOKUP($F959,survey_data!$A$2:$A$833,survey_data!$C$2:$C$833,"n/a",0,1)</f>
        <v>-29658.264196</v>
      </c>
      <c r="O959" s="23">
        <f>_xlfn.XLOOKUP($F959,survey_data!$A$2:$A$833,survey_data!$D$2:$D$833,"n/a",0,1)</f>
        <v>14.8371049</v>
      </c>
      <c r="P959" s="1">
        <f t="shared" si="694"/>
        <v>14.667389122509665</v>
      </c>
      <c r="Q959" s="1">
        <f t="shared" si="726"/>
        <v>5.2122254900004918</v>
      </c>
      <c r="R959">
        <f t="shared" si="727"/>
        <v>0</v>
      </c>
      <c r="S959" s="23">
        <f t="shared" si="728"/>
        <v>-0.16289510000000007</v>
      </c>
      <c r="T959">
        <f>$S959+測地線補正!$Q$26*(lattice!$N959/1000)^3+測地線補正!$P$26*(lattice!$N959/1000)^2+測地線補正!$O$26*(lattice!$N959/1000)+測地線補正!$N$26</f>
        <v>-0.33261087749033513</v>
      </c>
      <c r="U959">
        <f>-ATAN(($P$961-$P$959)/ABS($N$961-$N$959))</f>
        <v>-3.6587634845854338E-4</v>
      </c>
      <c r="V959">
        <v>0</v>
      </c>
      <c r="W959">
        <f>ATAN(($M$961-$M$959)/ABS($N$961-$N$959))</f>
        <v>-1.8658004003830987E-4</v>
      </c>
      <c r="X959">
        <f>$Z$960-($Y$960+$Y$958)/2</f>
        <v>-0.49089877434040829</v>
      </c>
      <c r="Y959">
        <f>_xlfn.XLOOKUP($F959,設計座標!$E$13:$E$2301,設計座標!$L$13:$L$2301," ",0,1)</f>
        <v>160</v>
      </c>
      <c r="Z959">
        <f>SQRT(($M$960-$M$958)^2+($N$960-$N$958)^2)</f>
        <v>79.509101225659592</v>
      </c>
      <c r="AA959">
        <f>_xlfn.XLOOKUP($G959,magnet_list!$A$2:$A$592,magnet_list!$AJ$2:$AJ$592,"n/a",0,1)</f>
        <v>0.18096930014326709</v>
      </c>
      <c r="AB959">
        <f>_xlfn.XLOOKUP($G959,magnet_list!$A$2:$A$592,magnet_list!$L$2:$L$592,"n/a",0,1)</f>
        <v>68</v>
      </c>
      <c r="AD959" t="s">
        <v>3882</v>
      </c>
    </row>
    <row r="960" spans="1:30">
      <c r="A960" t="s">
        <v>797</v>
      </c>
      <c r="B960">
        <v>1</v>
      </c>
      <c r="C960" t="s">
        <v>805</v>
      </c>
      <c r="D960" t="s">
        <v>1152</v>
      </c>
      <c r="E960" t="s">
        <v>804</v>
      </c>
      <c r="F960" t="s">
        <v>637</v>
      </c>
      <c r="G960" t="s">
        <v>2566</v>
      </c>
      <c r="I960">
        <f>_xlfn.XLOOKUP($F960,設計座標!$E$13:$E$2301,設計座標!$G$13:$G$2301,"n/a",0,1)</f>
        <v>294.19032166190891</v>
      </c>
      <c r="J960">
        <f>_xlfn.XLOOKUP($F960,設計座標!$E$13:$E$2301,設計座標!$H$13:$H$2301,"n/a",0,1)</f>
        <v>-15000</v>
      </c>
      <c r="K960">
        <f>_xlfn.XLOOKUP($F960,設計座標!$E$13:$E$2301,設計座標!$I$13:$I$2301,"n/a",0,1)</f>
        <v>-29728.264196</v>
      </c>
      <c r="L960">
        <f>_xlfn.XLOOKUP($F960,設計座標!$E$13:$E$2301,設計座標!$J$13:$J$2301,"n/a",0,1)</f>
        <v>15</v>
      </c>
      <c r="M960" s="2">
        <f t="shared" si="744"/>
        <v>-14994.800835112954</v>
      </c>
      <c r="N960" s="2">
        <f t="shared" si="745"/>
        <v>-29728.264196</v>
      </c>
      <c r="O960" s="23">
        <f t="shared" si="746"/>
        <v>14.86007216531927</v>
      </c>
      <c r="P960" s="1">
        <f t="shared" si="694"/>
        <v>14.693001186282315</v>
      </c>
      <c r="Q960" s="1">
        <f>(Q$961-Q$959)/($N$961-$N$959)*($N960-$N$959)+Q$959</f>
        <v>5.1991648870462548</v>
      </c>
      <c r="R960">
        <f t="shared" si="727"/>
        <v>0</v>
      </c>
      <c r="S960" s="23">
        <f>(S$961-S$959)/($N$961-$N$959)*($N960-$N$959)+S$959</f>
        <v>-0.13992783468073017</v>
      </c>
      <c r="T960">
        <f>$S960+測地線補正!$Q$26*(lattice!$N960/1000)^3+測地線補正!$P$26*(lattice!$N960/1000)^2+測地線補正!$O$26*(lattice!$N960/1000)+測地線補正!$N$26</f>
        <v>-0.30699881371768467</v>
      </c>
      <c r="U960">
        <f t="shared" ref="U960:U961" si="749">-ATAN(($P$961-$P$959)/ABS($N$961-$N$959))</f>
        <v>-3.6587634845854338E-4</v>
      </c>
      <c r="V960">
        <v>0</v>
      </c>
      <c r="W960">
        <f t="shared" ref="W960:W961" si="750">ATAN(($M$961-$M$959)/ABS($N$961-$N$959))</f>
        <v>-1.8658004003830987E-4</v>
      </c>
      <c r="X960">
        <f>$Z$960-($Y$960+$Y$958)/2</f>
        <v>-0.49089877434040829</v>
      </c>
      <c r="Y960">
        <f>_xlfn.XLOOKUP($F960,設計座標!$E$13:$E$2301,設計座標!$L$13:$L$2301," ",0,1)</f>
        <v>160</v>
      </c>
      <c r="Z960">
        <f>SQRT(($M$960-$M$958)^2+($N$960-$N$958)^2)</f>
        <v>79.509101225659592</v>
      </c>
      <c r="AA960">
        <f>_xlfn.XLOOKUP($G960,magnet_list!$A$2:$A$592,magnet_list!$AJ$2:$AJ$592,"n/a",0,1)</f>
        <v>0.18096930014326709</v>
      </c>
      <c r="AB960">
        <f>_xlfn.XLOOKUP($G960,magnet_list!$A$2:$A$592,magnet_list!$L$2:$L$592,"n/a",0,1)</f>
        <v>68</v>
      </c>
      <c r="AD960" t="s">
        <v>3882</v>
      </c>
    </row>
    <row r="961" spans="1:30">
      <c r="A961" t="s">
        <v>797</v>
      </c>
      <c r="B961">
        <v>1</v>
      </c>
      <c r="C961" t="s">
        <v>805</v>
      </c>
      <c r="D961" t="s">
        <v>806</v>
      </c>
      <c r="F961" t="s">
        <v>177</v>
      </c>
      <c r="G961" t="s">
        <v>2566</v>
      </c>
      <c r="I961">
        <f>_xlfn.XLOOKUP($F961,設計座標!$E$13:$E$2301,設計座標!$G$13:$G$2301,"n/a",0,1)</f>
        <v>294.26031675297889</v>
      </c>
      <c r="J961">
        <f>_xlfn.XLOOKUP($F961,設計座標!$E$13:$E$2301,設計座標!$H$13:$H$2301,"n/a",0,1)</f>
        <v>-15000</v>
      </c>
      <c r="K961">
        <f>_xlfn.XLOOKUP($F961,設計座標!$E$13:$E$2301,設計座標!$I$13:$I$2301,"n/a",0,1)</f>
        <v>-29798.259287069999</v>
      </c>
      <c r="L961">
        <f>_xlfn.XLOOKUP($F961,設計座標!$E$13:$E$2301,設計座標!$J$13:$J$2301,"n/a",0,1)</f>
        <v>15</v>
      </c>
      <c r="M961" s="2">
        <f>_xlfn.XLOOKUP($F961,survey_data!$A$2:$A$833,survey_data!$B$2:$B$833,"n/a",0,1)</f>
        <v>-14994.8138948</v>
      </c>
      <c r="N961" s="2">
        <f>_xlfn.XLOOKUP($F961,survey_data!$A$2:$A$833,survey_data!$C$2:$C$833,"n/a",0,1)</f>
        <v>-29798.259287069999</v>
      </c>
      <c r="O961" s="23">
        <f>_xlfn.XLOOKUP($F961,survey_data!$A$2:$A$833,survey_data!$D$2:$D$833,"n/a",0,1)</f>
        <v>14.88303782</v>
      </c>
      <c r="P961" s="1">
        <f t="shared" si="694"/>
        <v>14.718610017518047</v>
      </c>
      <c r="Q961" s="1">
        <f t="shared" si="726"/>
        <v>5.1861052000003838</v>
      </c>
      <c r="R961">
        <f t="shared" si="727"/>
        <v>0</v>
      </c>
      <c r="S961" s="23">
        <f t="shared" si="728"/>
        <v>-0.1169621799999998</v>
      </c>
      <c r="T961">
        <f>$S961+測地線補正!$Q$26*(lattice!$N961/1000)^3+測地線補正!$P$26*(lattice!$N961/1000)^2+測地線補正!$O$26*(lattice!$N961/1000)+測地線補正!$N$26</f>
        <v>-0.28138998248195279</v>
      </c>
      <c r="U961">
        <f t="shared" si="749"/>
        <v>-3.6587634845854338E-4</v>
      </c>
      <c r="V961">
        <v>0</v>
      </c>
      <c r="W961">
        <f t="shared" si="750"/>
        <v>-1.8658004003830987E-4</v>
      </c>
      <c r="X961">
        <f>$Z$960-($Y$960+$Y$958)/2</f>
        <v>-0.49089877434040829</v>
      </c>
      <c r="Y961">
        <f>_xlfn.XLOOKUP($F961,設計座標!$E$13:$E$2301,設計座標!$L$13:$L$2301," ",0,1)</f>
        <v>160</v>
      </c>
      <c r="Z961">
        <f>SQRT(($M$960-$M$958)^2+($N$960-$N$958)^2)</f>
        <v>79.509101225659592</v>
      </c>
      <c r="AA961">
        <f>_xlfn.XLOOKUP($G961,magnet_list!$A$2:$A$592,magnet_list!$AJ$2:$AJ$592,"n/a",0,1)</f>
        <v>0.18096930014326709</v>
      </c>
      <c r="AB961">
        <f>_xlfn.XLOOKUP($G961,magnet_list!$A$2:$A$592,magnet_list!$L$2:$L$592,"n/a",0,1)</f>
        <v>68</v>
      </c>
      <c r="AD961" t="s">
        <v>3882</v>
      </c>
    </row>
    <row r="962" spans="1:30">
      <c r="A962" t="s">
        <v>797</v>
      </c>
      <c r="B962">
        <v>1</v>
      </c>
      <c r="C962" t="s">
        <v>804</v>
      </c>
      <c r="D962" t="s">
        <v>1152</v>
      </c>
      <c r="E962" t="s">
        <v>804</v>
      </c>
      <c r="F962" t="s">
        <v>178</v>
      </c>
      <c r="G962" t="s">
        <v>2567</v>
      </c>
      <c r="I962">
        <f>_xlfn.XLOOKUP($F962,設計座標!$E$13:$E$2301,設計座標!$G$13:$G$2301,"n/a",0,1)</f>
        <v>294.65033296136892</v>
      </c>
      <c r="J962">
        <f>_xlfn.XLOOKUP($F962,設計座標!$E$13:$E$2301,設計座標!$H$13:$H$2301,"n/a",0,1)</f>
        <v>-15000</v>
      </c>
      <c r="K962">
        <f>_xlfn.XLOOKUP($F962,設計座標!$E$13:$E$2301,設計座標!$I$13:$I$2301,"n/a",0,1)</f>
        <v>-30188.275495460064</v>
      </c>
      <c r="L962">
        <f>_xlfn.XLOOKUP($F962,設計座標!$E$13:$E$2301,設計座標!$J$13:$J$2301,"n/a",0,1)</f>
        <v>-270</v>
      </c>
      <c r="M962" s="2">
        <f t="shared" si="744"/>
        <v>-14994.539181398814</v>
      </c>
      <c r="N962" s="2">
        <f t="shared" si="745"/>
        <v>-30188.275495460064</v>
      </c>
      <c r="O962" s="23">
        <f t="shared" si="746"/>
        <v>-270.07368649132223</v>
      </c>
      <c r="P962" s="1">
        <f t="shared" si="694"/>
        <v>-270.22341266654701</v>
      </c>
      <c r="Q962" s="1">
        <f>(Q$963-Q$961)/($N$963-$N$961)*($N962-$N$961)+Q$961</f>
        <v>5.4608186011868822</v>
      </c>
      <c r="R962">
        <f t="shared" si="727"/>
        <v>0</v>
      </c>
      <c r="S962" s="23">
        <f>(S$963-S$961)/($N$963-$N$961)*($N962-$N$961)+S$961</f>
        <v>-7.3686491322225323E-2</v>
      </c>
      <c r="T962">
        <f>$S962+測地線補正!$Q$26*(lattice!$N962/1000)^3+測地線補正!$P$26*(lattice!$N962/1000)^2+測地線補正!$O$26*(lattice!$N962/1000)+測地線補正!$N$26</f>
        <v>-0.22341266654698311</v>
      </c>
      <c r="U962">
        <f>-ATAN(($P$973-$P$962)/ABS($N$973-$N$962))</f>
        <v>-1.0143434983190837E-4</v>
      </c>
      <c r="V962">
        <v>0</v>
      </c>
      <c r="W962">
        <f>ATAN(($M$973-$M$962)/ABS($N$973-$N$962))</f>
        <v>1.6027398984731487E-4</v>
      </c>
      <c r="X962">
        <f>SQRT(($M$962-$M$960)^2+($N$962-$N$960)^2)-$Y$960/2</f>
        <v>380.01137387417157</v>
      </c>
      <c r="Y962">
        <f>_xlfn.XLOOKUP($F962,設計座標!$E$13:$E$2301,設計座標!$L$13:$L$2301," ",0,1)</f>
        <v>1889.4492</v>
      </c>
      <c r="Z962">
        <f>SQRT(($M$968-$M$967)^2+($N$968-$N$967)^2)</f>
        <v>38.096149607637813</v>
      </c>
    </row>
    <row r="963" spans="1:30">
      <c r="A963" t="s">
        <v>797</v>
      </c>
      <c r="B963">
        <v>1</v>
      </c>
      <c r="C963" t="s">
        <v>805</v>
      </c>
      <c r="D963" t="s">
        <v>806</v>
      </c>
      <c r="F963" t="s">
        <v>179</v>
      </c>
      <c r="G963" t="s">
        <v>2568</v>
      </c>
      <c r="I963">
        <f>_xlfn.XLOOKUP($F963,設計座標!$E$13:$E$2301,設計座標!$G$13:$G$2301,"n/a",0,1)</f>
        <v>294.77200167405886</v>
      </c>
      <c r="J963">
        <f>_xlfn.XLOOKUP($F963,設計座標!$E$13:$E$2301,設計座標!$H$13:$H$2301,"n/a",0,1)</f>
        <v>-15000</v>
      </c>
      <c r="K963">
        <f>_xlfn.XLOOKUP($F963,設計座標!$E$13:$E$2301,設計座標!$I$13:$I$2301,"n/a",0,1)</f>
        <v>-30309.944208149998</v>
      </c>
      <c r="L963">
        <f>_xlfn.XLOOKUP($F963,設計座標!$E$13:$E$2301,設計座標!$J$13:$J$2301,"n/a",0,1)</f>
        <v>75</v>
      </c>
      <c r="M963" s="2">
        <f>_xlfn.XLOOKUP($F963,survey_data!$A$2:$A$833,survey_data!$B$2:$B$833,"n/a",0,1)</f>
        <v>-14994.45348233</v>
      </c>
      <c r="N963" s="2">
        <f>_xlfn.XLOOKUP($F963,survey_data!$A$2:$A$833,survey_data!$C$2:$C$833,"n/a",0,1)</f>
        <v>-30309.944208149998</v>
      </c>
      <c r="O963" s="23">
        <f>_xlfn.XLOOKUP($F963,survey_data!$A$2:$A$833,survey_data!$D$2:$D$833,"n/a",0,1)</f>
        <v>74.939813709999996</v>
      </c>
      <c r="P963" s="1">
        <f t="shared" si="694"/>
        <v>74.794664709694928</v>
      </c>
      <c r="Q963" s="1">
        <f t="shared" si="726"/>
        <v>5.5465176699999574</v>
      </c>
      <c r="R963">
        <f t="shared" si="727"/>
        <v>0</v>
      </c>
      <c r="S963" s="23">
        <f t="shared" si="728"/>
        <v>-6.0186290000004306E-2</v>
      </c>
      <c r="T963">
        <f>$S963+測地線補正!$Q$26*(lattice!$N963/1000)^3+測地線補正!$P$26*(lattice!$N963/1000)^2+測地線補正!$O$26*(lattice!$N963/1000)+測地線補正!$N$26</f>
        <v>-0.20533529030507047</v>
      </c>
      <c r="U963">
        <f>-ATAN(($P$965-$P$963)/ABS($N$965-$N$963))</f>
        <v>-3.5193377781673053E-4</v>
      </c>
      <c r="V963">
        <v>0</v>
      </c>
      <c r="W963">
        <f>ATAN(($M$965-$M$963)/ABS($N$965-$N$963))</f>
        <v>8.7402866096326481E-5</v>
      </c>
      <c r="X963" t="s">
        <v>3860</v>
      </c>
      <c r="Y963">
        <f>_xlfn.XLOOKUP($F963,設計座標!$E$13:$E$2301,設計座標!$L$13:$L$2301," ",0,1)</f>
        <v>300</v>
      </c>
      <c r="Z963">
        <f>SQRT(($M$964-$M$960)^2+($N$964-$N$960)^2)</f>
        <v>716.69010214072057</v>
      </c>
      <c r="AA963">
        <f>_xlfn.XLOOKUP($G963,magnet_list!$A$2:$A$592,magnet_list!$AJ$2:$AJ$592,"n/a",0,1)</f>
        <v>0.33198863580560978</v>
      </c>
      <c r="AB963">
        <f>_xlfn.XLOOKUP($G963,magnet_list!$A$2:$A$592,magnet_list!$L$2:$L$592,"n/a",0,1)</f>
        <v>140</v>
      </c>
    </row>
    <row r="964" spans="1:30">
      <c r="A964" t="s">
        <v>797</v>
      </c>
      <c r="B964">
        <v>1</v>
      </c>
      <c r="C964" t="s">
        <v>805</v>
      </c>
      <c r="D964" t="s">
        <v>1152</v>
      </c>
      <c r="E964" t="s">
        <v>804</v>
      </c>
      <c r="F964" t="s">
        <v>638</v>
      </c>
      <c r="G964" t="s">
        <v>2568</v>
      </c>
      <c r="I964">
        <f>_xlfn.XLOOKUP($F964,設計座標!$E$13:$E$2301,設計座標!$G$13:$G$2301,"n/a",0,1)</f>
        <v>294.90701167405888</v>
      </c>
      <c r="J964">
        <f>_xlfn.XLOOKUP($F964,設計座標!$E$13:$E$2301,設計座標!$H$13:$H$2301,"n/a",0,1)</f>
        <v>-15000</v>
      </c>
      <c r="K964">
        <f>_xlfn.XLOOKUP($F964,設計座標!$E$13:$E$2301,設計座標!$I$13:$I$2301,"n/a",0,1)</f>
        <v>-30444.95420815</v>
      </c>
      <c r="L964">
        <f>_xlfn.XLOOKUP($F964,設計座標!$E$13:$E$2301,設計座標!$J$13:$J$2301,"n/a",0,1)</f>
        <v>75</v>
      </c>
      <c r="M964" s="2">
        <f t="shared" si="744"/>
        <v>-14994.441682069018</v>
      </c>
      <c r="N964" s="2">
        <f t="shared" si="745"/>
        <v>-30444.95420815</v>
      </c>
      <c r="O964" s="23">
        <f t="shared" si="746"/>
        <v>74.982256955257995</v>
      </c>
      <c r="P964" s="1">
        <f t="shared" si="694"/>
        <v>74.842181957206336</v>
      </c>
      <c r="Q964" s="1">
        <f>(Q$965-Q$963)/($N$965-$N$963)*($N964-$N$963)+Q$963</f>
        <v>5.558317930981671</v>
      </c>
      <c r="R964">
        <f t="shared" si="727"/>
        <v>0</v>
      </c>
      <c r="S964" s="23">
        <f>(S$965-S$963)/($N$965-$N$963)*($N964-$N$963)+S$963</f>
        <v>-1.7743044742005526E-2</v>
      </c>
      <c r="T964">
        <f>$S964+測地線補正!$Q$26*(lattice!$N964/1000)^3+測地線補正!$P$26*(lattice!$N964/1000)^2+測地線補正!$O$26*(lattice!$N964/1000)+測地線補正!$N$26</f>
        <v>-0.15781804279366396</v>
      </c>
      <c r="U964">
        <f t="shared" ref="U964:U965" si="751">-ATAN(($P$965-$P$963)/ABS($N$965-$N$963))</f>
        <v>-3.5193377781673053E-4</v>
      </c>
      <c r="V964">
        <v>0</v>
      </c>
      <c r="W964">
        <f t="shared" ref="W964:W965" si="752">ATAN(($M$965-$M$963)/ABS($N$965-$N$963))</f>
        <v>8.7402866096326481E-5</v>
      </c>
      <c r="X964" t="s">
        <v>3860</v>
      </c>
      <c r="Y964">
        <f>_xlfn.XLOOKUP($F964,設計座標!$E$13:$E$2301,設計座標!$L$13:$L$2301," ",0,1)</f>
        <v>300</v>
      </c>
      <c r="Z964">
        <f>SQRT(($M$964-$M$960)^2+($N$964-$N$960)^2)</f>
        <v>716.69010214072057</v>
      </c>
      <c r="AA964">
        <f>_xlfn.XLOOKUP($G964,magnet_list!$A$2:$A$592,magnet_list!$AJ$2:$AJ$592,"n/a",0,1)</f>
        <v>0.33198863580560978</v>
      </c>
      <c r="AB964">
        <f>_xlfn.XLOOKUP($G964,magnet_list!$A$2:$A$592,magnet_list!$L$2:$L$592,"n/a",0,1)</f>
        <v>140</v>
      </c>
    </row>
    <row r="965" spans="1:30">
      <c r="A965" t="s">
        <v>797</v>
      </c>
      <c r="B965">
        <v>1</v>
      </c>
      <c r="C965" t="s">
        <v>805</v>
      </c>
      <c r="D965" t="s">
        <v>806</v>
      </c>
      <c r="F965" t="s">
        <v>180</v>
      </c>
      <c r="G965" t="s">
        <v>2568</v>
      </c>
      <c r="I965">
        <f>_xlfn.XLOOKUP($F965,設計座標!$E$13:$E$2301,設計座標!$G$13:$G$2301,"n/a",0,1)</f>
        <v>295.04199819697885</v>
      </c>
      <c r="J965">
        <f>_xlfn.XLOOKUP($F965,設計座標!$E$13:$E$2301,設計座標!$H$13:$H$2301,"n/a",0,1)</f>
        <v>-15000</v>
      </c>
      <c r="K965">
        <f>_xlfn.XLOOKUP($F965,設計座標!$E$13:$E$2301,設計座標!$I$13:$I$2301,"n/a",0,1)</f>
        <v>-30579.940731070001</v>
      </c>
      <c r="L965">
        <f>_xlfn.XLOOKUP($F965,設計座標!$E$13:$E$2301,設計座標!$J$13:$J$2301,"n/a",0,1)</f>
        <v>75</v>
      </c>
      <c r="M965" s="2">
        <f>_xlfn.XLOOKUP($F965,survey_data!$A$2:$A$833,survey_data!$B$2:$B$833,"n/a",0,1)</f>
        <v>-14994.429883860001</v>
      </c>
      <c r="N965" s="2">
        <f>_xlfn.XLOOKUP($F965,survey_data!$A$2:$A$833,survey_data!$C$2:$C$833,"n/a",0,1)</f>
        <v>-30579.940731070001</v>
      </c>
      <c r="O965" s="23">
        <f>_xlfn.XLOOKUP($F965,survey_data!$A$2:$A$833,survey_data!$D$2:$D$833,"n/a",0,1)</f>
        <v>75.024692819999999</v>
      </c>
      <c r="P965" s="1">
        <f t="shared" si="694"/>
        <v>74.889685609926559</v>
      </c>
      <c r="Q965" s="1">
        <f t="shared" si="726"/>
        <v>5.5701161399992998</v>
      </c>
      <c r="R965">
        <f t="shared" si="727"/>
        <v>0</v>
      </c>
      <c r="S965" s="23">
        <f t="shared" si="728"/>
        <v>2.4692819999998505E-2</v>
      </c>
      <c r="T965">
        <f>$S965+測地線補正!$Q$26*(lattice!$N965/1000)^3+測地線補正!$P$26*(lattice!$N965/1000)^2+測地線補正!$O$26*(lattice!$N965/1000)+測地線補正!$N$26</f>
        <v>-0.11031439007343558</v>
      </c>
      <c r="U965">
        <f t="shared" si="751"/>
        <v>-3.5193377781673053E-4</v>
      </c>
      <c r="V965">
        <v>0</v>
      </c>
      <c r="W965">
        <f t="shared" si="752"/>
        <v>8.7402866096326481E-5</v>
      </c>
      <c r="X965" t="s">
        <v>3860</v>
      </c>
      <c r="Y965">
        <f>_xlfn.XLOOKUP($F965,設計座標!$E$13:$E$2301,設計座標!$L$13:$L$2301," ",0,1)</f>
        <v>300</v>
      </c>
      <c r="Z965">
        <f>SQRT(($M$964-$M$960)^2+($N$964-$N$960)^2)</f>
        <v>716.69010214072057</v>
      </c>
      <c r="AA965">
        <f>_xlfn.XLOOKUP($G965,magnet_list!$A$2:$A$592,magnet_list!$AJ$2:$AJ$592,"n/a",0,1)</f>
        <v>0.33198863580560978</v>
      </c>
      <c r="AB965">
        <f>_xlfn.XLOOKUP($G965,magnet_list!$A$2:$A$592,magnet_list!$L$2:$L$592,"n/a",0,1)</f>
        <v>140</v>
      </c>
    </row>
    <row r="966" spans="1:30">
      <c r="A966" t="s">
        <v>797</v>
      </c>
      <c r="B966">
        <v>1</v>
      </c>
      <c r="C966" t="s">
        <v>805</v>
      </c>
      <c r="D966" t="s">
        <v>806</v>
      </c>
      <c r="F966" t="s">
        <v>181</v>
      </c>
      <c r="G966" t="s">
        <v>2569</v>
      </c>
      <c r="I966">
        <f>_xlfn.XLOOKUP($F966,設計座標!$E$13:$E$2301,設計座標!$G$13:$G$2301,"n/a",0,1)</f>
        <v>295.42195891256887</v>
      </c>
      <c r="J966">
        <f>_xlfn.XLOOKUP($F966,設計座標!$E$13:$E$2301,設計座標!$H$13:$H$2301,"n/a",0,1)</f>
        <v>-15000</v>
      </c>
      <c r="K966">
        <f>_xlfn.XLOOKUP($F966,設計座標!$E$13:$E$2301,設計座標!$I$13:$I$2301,"n/a",0,1)</f>
        <v>-30959.901446659998</v>
      </c>
      <c r="L966">
        <f>_xlfn.XLOOKUP($F966,設計座標!$E$13:$E$2301,設計座標!$J$13:$J$2301,"n/a",0,1)</f>
        <v>75</v>
      </c>
      <c r="M966" s="2">
        <f>_xlfn.XLOOKUP($F966,survey_data!$A$2:$A$833,survey_data!$B$2:$B$833,"n/a",0,1)</f>
        <v>-14994.297118959999</v>
      </c>
      <c r="N966" s="2">
        <f>_xlfn.XLOOKUP($F966,survey_data!$A$2:$A$833,survey_data!$C$2:$C$833,"n/a",0,1)</f>
        <v>-30959.901446659998</v>
      </c>
      <c r="O966" s="23">
        <f>_xlfn.XLOOKUP($F966,survey_data!$A$2:$A$833,survey_data!$D$2:$D$833,"n/a",0,1)</f>
        <v>75.000336270000005</v>
      </c>
      <c r="P966" s="1">
        <f t="shared" si="694"/>
        <v>74.879565286652848</v>
      </c>
      <c r="Q966" s="1">
        <f t="shared" si="726"/>
        <v>5.7028810400006478</v>
      </c>
      <c r="R966">
        <f t="shared" si="727"/>
        <v>0</v>
      </c>
      <c r="S966" s="23">
        <f t="shared" si="728"/>
        <v>3.3627000000535645E-4</v>
      </c>
      <c r="T966">
        <f>$S966+測地線補正!$Q$26*(lattice!$N966/1000)^3+測地線補正!$P$26*(lattice!$N966/1000)^2+測地線補正!$O$26*(lattice!$N966/1000)+測地線補正!$N$26</f>
        <v>-0.12043471334714839</v>
      </c>
      <c r="U966">
        <f>-ATAN(($P$969-$P$966)/ABS($N$969-$N$966))</f>
        <v>-1.2884650557411036E-4</v>
      </c>
      <c r="V966">
        <v>0</v>
      </c>
      <c r="W966">
        <f>ATAN(($M$969-$M$966)/ABS($N$969-$N$966))</f>
        <v>-2.0590380268673371E-4</v>
      </c>
      <c r="X966" t="s">
        <v>3860</v>
      </c>
      <c r="Y966">
        <f>_xlfn.XLOOKUP($F966,設計座標!$E$13:$E$2301,設計座標!$L$13:$L$2301," ",0,1)</f>
        <v>300</v>
      </c>
      <c r="Z966">
        <f>SQRT(($M$967-$M$964)^2+($N$967-$N$964)^2)</f>
        <v>649.9497489986544</v>
      </c>
      <c r="AA966">
        <f>_xlfn.XLOOKUP($G966,magnet_list!$A$2:$A$592,magnet_list!$AJ$2:$AJ$592,"n/a",0,1)</f>
        <v>0.33198863580560978</v>
      </c>
      <c r="AB966">
        <f>_xlfn.XLOOKUP($G966,magnet_list!$A$2:$A$592,magnet_list!$L$2:$L$592,"n/a",0,1)</f>
        <v>140</v>
      </c>
    </row>
    <row r="967" spans="1:30">
      <c r="A967" t="s">
        <v>797</v>
      </c>
      <c r="B967">
        <v>1</v>
      </c>
      <c r="C967" t="s">
        <v>805</v>
      </c>
      <c r="D967" t="s">
        <v>1152</v>
      </c>
      <c r="E967" t="s">
        <v>804</v>
      </c>
      <c r="F967" t="s">
        <v>639</v>
      </c>
      <c r="G967" t="s">
        <v>2569</v>
      </c>
      <c r="I967">
        <f>_xlfn.XLOOKUP($F967,設計座標!$E$13:$E$2301,設計座標!$G$13:$G$2301,"n/a",0,1)</f>
        <v>295.55696141256885</v>
      </c>
      <c r="J967">
        <f>_xlfn.XLOOKUP($F967,設計座標!$E$13:$E$2301,設計座標!$H$13:$H$2301,"n/a",0,1)</f>
        <v>-15000</v>
      </c>
      <c r="K967">
        <f>_xlfn.XLOOKUP($F967,設計座標!$E$13:$E$2301,設計座標!$I$13:$I$2301,"n/a",0,1)</f>
        <v>-31094.903946659997</v>
      </c>
      <c r="L967">
        <f>_xlfn.XLOOKUP($F967,設計座標!$E$13:$E$2301,設計座標!$J$13:$J$2301,"n/a",0,1)</f>
        <v>75</v>
      </c>
      <c r="M967" s="2">
        <f t="shared" ref="M967:M968" si="753">$J967+$Q967</f>
        <v>-14994.324916488515</v>
      </c>
      <c r="N967" s="2">
        <f t="shared" ref="N967:N968" si="754">$K967</f>
        <v>-31094.903946659997</v>
      </c>
      <c r="O967" s="23">
        <f t="shared" ref="O967:O968" si="755">$L967+$S967</f>
        <v>75.012685466710224</v>
      </c>
      <c r="P967" s="1">
        <f t="shared" si="694"/>
        <v>74.896962548257918</v>
      </c>
      <c r="Q967" s="1">
        <f>(Q$969-Q$966)/($N$969-$N$966)*($N967-$N$966)+Q$966</f>
        <v>5.6750835114855942</v>
      </c>
      <c r="R967">
        <f t="shared" si="727"/>
        <v>0</v>
      </c>
      <c r="S967" s="23">
        <f t="shared" ref="S967:S968" si="756">(S$969-S$966)/($N$969-$N$966)*($N967-$N$966)+S$966</f>
        <v>1.2685466710227192E-2</v>
      </c>
      <c r="T967">
        <f>$S967+測地線補正!$Q$26*(lattice!$N967/1000)^3+測地線補正!$P$26*(lattice!$N967/1000)^2+測地線補正!$O$26*(lattice!$N967/1000)+測地線補正!$N$26</f>
        <v>-0.103037451742088</v>
      </c>
      <c r="U967">
        <f t="shared" ref="U967" si="757">-ATAN(($P$969-$P$966)/ABS($N$969-$N$966))</f>
        <v>-1.2884650557411036E-4</v>
      </c>
      <c r="V967">
        <v>0</v>
      </c>
      <c r="W967">
        <f>ATAN(($M$969-$M$966)/ABS($N$969-$N$966))</f>
        <v>-2.0590380268673371E-4</v>
      </c>
      <c r="X967" t="s">
        <v>3860</v>
      </c>
      <c r="Y967">
        <f>_xlfn.XLOOKUP($F967,設計座標!$E$13:$E$2301,設計座標!$L$13:$L$2301," ",0,1)</f>
        <v>300</v>
      </c>
      <c r="Z967">
        <f>SQRT(($M$967-$M$964)^2+($N$967-$N$964)^2)</f>
        <v>649.9497489986544</v>
      </c>
      <c r="AA967">
        <f>_xlfn.XLOOKUP($G967,magnet_list!$A$2:$A$592,magnet_list!$AJ$2:$AJ$592,"n/a",0,1)</f>
        <v>0.33198863580560978</v>
      </c>
      <c r="AB967">
        <f>_xlfn.XLOOKUP($G967,magnet_list!$A$2:$A$592,magnet_list!$L$2:$L$592,"n/a",0,1)</f>
        <v>140</v>
      </c>
    </row>
    <row r="968" spans="1:30">
      <c r="A968" t="s">
        <v>797</v>
      </c>
      <c r="B968">
        <v>1</v>
      </c>
      <c r="C968" t="s">
        <v>804</v>
      </c>
      <c r="D968" t="s">
        <v>1152</v>
      </c>
      <c r="E968" t="s">
        <v>804</v>
      </c>
      <c r="F968" t="s">
        <v>1190</v>
      </c>
      <c r="G968" t="s">
        <v>2567</v>
      </c>
      <c r="I968">
        <f>_xlfn.XLOOKUP($F968,設計座標!$E$13:$E$2301,設計座標!$G$13:$G$2301,"n/a",0,1)</f>
        <v>295.59505756136895</v>
      </c>
      <c r="J968">
        <f>_xlfn.XLOOKUP($F968,設計座標!$E$13:$E$2301,設計座標!$H$13:$H$2301,"n/a",0,1)</f>
        <v>-15000</v>
      </c>
      <c r="K968">
        <f>_xlfn.XLOOKUP($F968,設計座標!$E$13:$E$2301,設計座標!$I$13:$I$2301,"n/a",0,1)</f>
        <v>-31133.000095460065</v>
      </c>
      <c r="L968">
        <f>_xlfn.XLOOKUP($F968,設計座標!$E$13:$E$2301,設計座標!$J$13:$J$2301,"n/a",0,1)</f>
        <v>-270</v>
      </c>
      <c r="M968" s="2">
        <f t="shared" si="753"/>
        <v>-14994.33276063053</v>
      </c>
      <c r="N968" s="2">
        <f t="shared" si="754"/>
        <v>-31133.000095460065</v>
      </c>
      <c r="O968" s="23">
        <f t="shared" si="755"/>
        <v>-269.98382973237545</v>
      </c>
      <c r="P968" s="1">
        <f t="shared" si="694"/>
        <v>-270.09812910820955</v>
      </c>
      <c r="Q968" s="1">
        <f>(Q$969-Q$966)/($N$969-$N$966)*($N968-$N$966)+Q$966</f>
        <v>5.6672393694690859</v>
      </c>
      <c r="R968">
        <f t="shared" si="727"/>
        <v>0</v>
      </c>
      <c r="S968" s="23">
        <f t="shared" si="756"/>
        <v>1.6170267624535682E-2</v>
      </c>
      <c r="T968">
        <f>$S968+測地線補正!$Q$26*(lattice!$N968/1000)^3+測地線補正!$P$26*(lattice!$N968/1000)^2+測地線補正!$O$26*(lattice!$N968/1000)+測地線補正!$N$26</f>
        <v>-9.8129108209566329E-2</v>
      </c>
      <c r="U968">
        <f>-ATAN(($P$973-$P$962)/ABS($N$973-$N$962))</f>
        <v>-1.0143434983190837E-4</v>
      </c>
      <c r="V968">
        <v>0</v>
      </c>
      <c r="W968">
        <f>ATAN(($M$973-$M$962)/ABS($N$973-$N$962))</f>
        <v>1.6027398984731487E-4</v>
      </c>
      <c r="X968" t="s">
        <v>3860</v>
      </c>
      <c r="Y968">
        <f>_xlfn.XLOOKUP($F968,設計座標!$E$13:$E$2301,設計座標!$L$13:$L$2301," ",0,1)</f>
        <v>1889.4492</v>
      </c>
      <c r="Z968">
        <f>SQRT(($M$968-$M$967)^2+($N$968-$N$967)^2)</f>
        <v>38.096149607637813</v>
      </c>
    </row>
    <row r="969" spans="1:30">
      <c r="A969" t="s">
        <v>797</v>
      </c>
      <c r="B969">
        <v>1</v>
      </c>
      <c r="C969" t="s">
        <v>805</v>
      </c>
      <c r="D969" t="s">
        <v>806</v>
      </c>
      <c r="F969" t="s">
        <v>182</v>
      </c>
      <c r="G969" t="s">
        <v>2569</v>
      </c>
      <c r="I969">
        <f>_xlfn.XLOOKUP($F969,設計座標!$E$13:$E$2301,設計座標!$G$13:$G$2301,"n/a",0,1)</f>
        <v>295.6919429948889</v>
      </c>
      <c r="J969">
        <f>_xlfn.XLOOKUP($F969,設計座標!$E$13:$E$2301,設計座標!$H$13:$H$2301,"n/a",0,1)</f>
        <v>-15000</v>
      </c>
      <c r="K969">
        <f>_xlfn.XLOOKUP($F969,設計座標!$E$13:$E$2301,設計座標!$I$13:$I$2301,"n/a",0,1)</f>
        <v>-31229.885528980001</v>
      </c>
      <c r="L969">
        <f>_xlfn.XLOOKUP($F969,設計座標!$E$13:$E$2301,設計座標!$J$13:$J$2301,"n/a",0,1)</f>
        <v>75</v>
      </c>
      <c r="M969" s="2">
        <f>_xlfn.XLOOKUP($F969,survey_data!$A$2:$A$833,survey_data!$B$2:$B$833,"n/a",0,1)</f>
        <v>-14994.35270971</v>
      </c>
      <c r="N969" s="2">
        <f>_xlfn.XLOOKUP($F969,survey_data!$A$2:$A$833,survey_data!$C$2:$C$833,"n/a",0,1)</f>
        <v>-31229.885528980001</v>
      </c>
      <c r="O969" s="23">
        <f>_xlfn.XLOOKUP($F969,survey_data!$A$2:$A$833,survey_data!$D$2:$D$833,"n/a",0,1)</f>
        <v>75.025032749999994</v>
      </c>
      <c r="P969" s="1">
        <f t="shared" si="694"/>
        <v>74.914351792412916</v>
      </c>
      <c r="Q969" s="1">
        <f t="shared" si="726"/>
        <v>5.6472902900004556</v>
      </c>
      <c r="R969">
        <f t="shared" si="727"/>
        <v>0</v>
      </c>
      <c r="S969" s="23">
        <f t="shared" si="728"/>
        <v>2.5032749999994053E-2</v>
      </c>
      <c r="T969">
        <f>$S969+測地線補正!$Q$26*(lattice!$N969/1000)^3+測地線補正!$P$26*(lattice!$N969/1000)^2+測地線補正!$O$26*(lattice!$N969/1000)+測地線補正!$N$26</f>
        <v>-8.5648207587086356E-2</v>
      </c>
      <c r="U969">
        <f>-ATAN(($P$969-$P$966)/ABS($N$969-$N$966))</f>
        <v>-1.2884650557411036E-4</v>
      </c>
      <c r="V969">
        <v>0</v>
      </c>
      <c r="W969">
        <f>ATAN(($M$969-$M$966)/ABS($N$969-$N$966))</f>
        <v>-2.0590380268673371E-4</v>
      </c>
      <c r="X969" t="s">
        <v>3860</v>
      </c>
      <c r="Y969">
        <f>_xlfn.XLOOKUP($F969,設計座標!$E$13:$E$2301,設計座標!$L$13:$L$2301," ",0,1)</f>
        <v>300</v>
      </c>
      <c r="Z969">
        <f>SQRT(($M$967-$M$964)^2+($N$967-$N$964)^2)</f>
        <v>649.9497489986544</v>
      </c>
      <c r="AA969">
        <f>_xlfn.XLOOKUP($G969,magnet_list!$A$2:$A$592,magnet_list!$AJ$2:$AJ$592,"n/a",0,1)</f>
        <v>0.33198863580560978</v>
      </c>
      <c r="AB969">
        <f>_xlfn.XLOOKUP($G969,magnet_list!$A$2:$A$592,magnet_list!$L$2:$L$592,"n/a",0,1)</f>
        <v>140</v>
      </c>
    </row>
    <row r="970" spans="1:30">
      <c r="A970" t="s">
        <v>797</v>
      </c>
      <c r="B970">
        <v>1</v>
      </c>
      <c r="C970" t="s">
        <v>805</v>
      </c>
      <c r="D970" t="s">
        <v>806</v>
      </c>
      <c r="F970" t="s">
        <v>183</v>
      </c>
      <c r="G970" t="s">
        <v>2570</v>
      </c>
      <c r="I970">
        <f>_xlfn.XLOOKUP($F970,設計座標!$E$13:$E$2301,設計座標!$G$13:$G$2301,"n/a",0,1)</f>
        <v>296.07198190062888</v>
      </c>
      <c r="J970">
        <f>_xlfn.XLOOKUP($F970,設計座標!$E$13:$E$2301,設計座標!$H$13:$H$2301,"n/a",0,1)</f>
        <v>-15000</v>
      </c>
      <c r="K970">
        <f>_xlfn.XLOOKUP($F970,設計座標!$E$13:$E$2301,設計座標!$I$13:$I$2301,"n/a",0,1)</f>
        <v>-31609.92443472</v>
      </c>
      <c r="L970">
        <f>_xlfn.XLOOKUP($F970,設計座標!$E$13:$E$2301,設計座標!$J$13:$J$2301,"n/a",0,1)</f>
        <v>75</v>
      </c>
      <c r="M970" s="2">
        <f>_xlfn.XLOOKUP($F970,survey_data!$A$2:$A$833,survey_data!$B$2:$B$833,"n/a",0,1)</f>
        <v>-14994.199180670001</v>
      </c>
      <c r="N970" s="2">
        <f>_xlfn.XLOOKUP($F970,survey_data!$A$2:$A$833,survey_data!$C$2:$C$833,"n/a",0,1)</f>
        <v>-31609.92443472</v>
      </c>
      <c r="O970" s="23">
        <f>_xlfn.XLOOKUP($F970,survey_data!$A$2:$A$833,survey_data!$D$2:$D$833,"n/a",0,1)</f>
        <v>74.999098779999997</v>
      </c>
      <c r="P970" s="1">
        <f t="shared" si="694"/>
        <v>74.902584832776711</v>
      </c>
      <c r="Q970" s="1">
        <f t="shared" si="726"/>
        <v>5.8008193299992854</v>
      </c>
      <c r="R970">
        <f t="shared" si="727"/>
        <v>0</v>
      </c>
      <c r="S970" s="23">
        <f t="shared" si="728"/>
        <v>-9.0122000000292246E-4</v>
      </c>
      <c r="T970">
        <f>$S970+測地線補正!$Q$26*(lattice!$N970/1000)^3+測地線補正!$P$26*(lattice!$N970/1000)^2+測地線補正!$O$26*(lattice!$N970/1000)+測地線補正!$N$26</f>
        <v>-9.7415167223289245E-2</v>
      </c>
      <c r="U970">
        <f>-ATAN(($P$972-$P$970)/ABS($N$972-$N$970))</f>
        <v>-4.2625719230352888E-4</v>
      </c>
      <c r="V970">
        <v>0</v>
      </c>
      <c r="W970">
        <f>ATAN(($M$972-$M$970)/ABS($N$972-$N$970))</f>
        <v>-3.4417934351022684E-4</v>
      </c>
      <c r="X970" t="s">
        <v>3860</v>
      </c>
      <c r="Y970">
        <f>_xlfn.XLOOKUP($F970,設計座標!$E$13:$E$2301,設計座標!$L$13:$L$2301," ",0,1)</f>
        <v>300</v>
      </c>
      <c r="Z970">
        <f>SQRT(($M$971-$M$968)^2+($N$971-$N$968)^2)</f>
        <v>611.91534546152036</v>
      </c>
      <c r="AA970">
        <f>_xlfn.XLOOKUP($G970,magnet_list!$A$2:$A$592,magnet_list!$AJ$2:$AJ$592,"n/a",0,1)</f>
        <v>0.33198863580560978</v>
      </c>
      <c r="AB970">
        <f>_xlfn.XLOOKUP($G970,magnet_list!$A$2:$A$592,magnet_list!$L$2:$L$592,"n/a",0,1)</f>
        <v>140</v>
      </c>
    </row>
    <row r="971" spans="1:30">
      <c r="A971" t="s">
        <v>797</v>
      </c>
      <c r="B971">
        <v>1</v>
      </c>
      <c r="C971" t="s">
        <v>805</v>
      </c>
      <c r="D971" t="s">
        <v>1152</v>
      </c>
      <c r="E971" t="s">
        <v>804</v>
      </c>
      <c r="F971" t="s">
        <v>640</v>
      </c>
      <c r="G971" t="s">
        <v>2570</v>
      </c>
      <c r="I971">
        <f>_xlfn.XLOOKUP($F971,設計座標!$E$13:$E$2301,設計座標!$G$13:$G$2301,"n/a",0,1)</f>
        <v>296.2069729006289</v>
      </c>
      <c r="J971">
        <f>_xlfn.XLOOKUP($F971,設計座標!$E$13:$E$2301,設計座標!$H$13:$H$2301,"n/a",0,1)</f>
        <v>-15000</v>
      </c>
      <c r="K971">
        <f>_xlfn.XLOOKUP($F971,設計座標!$E$13:$E$2301,設計座標!$I$13:$I$2301,"n/a",0,1)</f>
        <v>-31744.915434719998</v>
      </c>
      <c r="L971">
        <f>_xlfn.XLOOKUP($F971,設計座標!$E$13:$E$2301,設計座標!$J$13:$J$2301,"n/a",0,1)</f>
        <v>75</v>
      </c>
      <c r="M971" s="2">
        <f t="shared" ref="M971:M979" si="758">$J971+$Q971</f>
        <v>-14994.245641785596</v>
      </c>
      <c r="N971" s="2">
        <f t="shared" ref="N971:N979" si="759">$K971</f>
        <v>-31744.915434719998</v>
      </c>
      <c r="O971" s="23">
        <f t="shared" ref="O971:O979" si="760">$L971+$S971</f>
        <v>75.051620298310198</v>
      </c>
      <c r="P971" s="1">
        <f t="shared" si="694"/>
        <v>74.960128376578382</v>
      </c>
      <c r="Q971" s="1">
        <f>(Q$972-Q$970)/($N$972-$N$970)*($N971-$N$970)+Q$970</f>
        <v>5.7543582144049115</v>
      </c>
      <c r="R971">
        <f t="shared" si="727"/>
        <v>0</v>
      </c>
      <c r="S971" s="23">
        <f>(S$972-S$970)/($N$972-$N$970)*($N971-$N$970)+S$970</f>
        <v>5.1620298310195746E-2</v>
      </c>
      <c r="T971">
        <f>$S971+測地線補正!$Q$26*(lattice!$N971/1000)^3+測地線補正!$P$26*(lattice!$N971/1000)^2+測地線補正!$O$26*(lattice!$N971/1000)+測地線補正!$N$26</f>
        <v>-3.9871623421624314E-2</v>
      </c>
      <c r="U971">
        <f t="shared" ref="U971:U972" si="761">-ATAN(($P$972-$P$970)/ABS($N$972-$N$970))</f>
        <v>-4.2625719230352888E-4</v>
      </c>
      <c r="V971">
        <v>0</v>
      </c>
      <c r="W971">
        <f t="shared" ref="W971:W972" si="762">ATAN(($M$972-$M$970)/ABS($N$972-$N$970))</f>
        <v>-3.4417934351022684E-4</v>
      </c>
      <c r="X971" t="s">
        <v>3860</v>
      </c>
      <c r="Y971">
        <f>_xlfn.XLOOKUP($F971,設計座標!$E$13:$E$2301,設計座標!$L$13:$L$2301," ",0,1)</f>
        <v>300</v>
      </c>
      <c r="Z971">
        <f>SQRT(($M$971-$M$968)^2+($N$971-$N$968)^2)</f>
        <v>611.91534546152036</v>
      </c>
      <c r="AA971">
        <f>_xlfn.XLOOKUP($G971,magnet_list!$A$2:$A$592,magnet_list!$AJ$2:$AJ$592,"n/a",0,1)</f>
        <v>0.33198863580560978</v>
      </c>
      <c r="AB971">
        <f>_xlfn.XLOOKUP($G971,magnet_list!$A$2:$A$592,magnet_list!$L$2:$L$592,"n/a",0,1)</f>
        <v>140</v>
      </c>
    </row>
    <row r="972" spans="1:30">
      <c r="A972" t="s">
        <v>797</v>
      </c>
      <c r="B972">
        <v>1</v>
      </c>
      <c r="C972" t="s">
        <v>805</v>
      </c>
      <c r="D972" t="s">
        <v>806</v>
      </c>
      <c r="F972" t="s">
        <v>184</v>
      </c>
      <c r="G972" t="s">
        <v>2570</v>
      </c>
      <c r="I972">
        <f>_xlfn.XLOOKUP($F972,設計座標!$E$13:$E$2301,設計座標!$G$13:$G$2301,"n/a",0,1)</f>
        <v>296.34193304116889</v>
      </c>
      <c r="J972">
        <f>_xlfn.XLOOKUP($F972,設計座標!$E$13:$E$2301,設計座標!$H$13:$H$2301,"n/a",0,1)</f>
        <v>-15000</v>
      </c>
      <c r="K972">
        <f>_xlfn.XLOOKUP($F972,設計座標!$E$13:$E$2301,設計座標!$I$13:$I$2301,"n/a",0,1)</f>
        <v>-31879.875575260001</v>
      </c>
      <c r="L972">
        <f>_xlfn.XLOOKUP($F972,設計座標!$E$13:$E$2301,設計座標!$J$13:$J$2301,"n/a",0,1)</f>
        <v>75</v>
      </c>
      <c r="M972" s="2">
        <f>_xlfn.XLOOKUP($F972,survey_data!$A$2:$A$833,survey_data!$B$2:$B$833,"n/a",0,1)</f>
        <v>-14994.29209228</v>
      </c>
      <c r="N972" s="2">
        <f>_xlfn.XLOOKUP($F972,survey_data!$A$2:$A$833,survey_data!$C$2:$C$833,"n/a",0,1)</f>
        <v>-31879.875575260001</v>
      </c>
      <c r="O972" s="23">
        <f>_xlfn.XLOOKUP($F972,survey_data!$A$2:$A$833,survey_data!$D$2:$D$833,"n/a",0,1)</f>
        <v>75.104129810000003</v>
      </c>
      <c r="P972" s="1">
        <f t="shared" si="694"/>
        <v>75.017653454971565</v>
      </c>
      <c r="Q972" s="1">
        <f t="shared" si="726"/>
        <v>5.7079077199996391</v>
      </c>
      <c r="R972">
        <f t="shared" si="727"/>
        <v>0</v>
      </c>
      <c r="S972" s="23">
        <f t="shared" si="728"/>
        <v>0.10412981000000343</v>
      </c>
      <c r="T972">
        <f>$S972+測地線補正!$Q$26*(lattice!$N972/1000)^3+測地線補正!$P$26*(lattice!$N972/1000)^2+測地線補正!$O$26*(lattice!$N972/1000)+測地線補正!$N$26</f>
        <v>1.7653454971565896E-2</v>
      </c>
      <c r="U972">
        <f t="shared" si="761"/>
        <v>-4.2625719230352888E-4</v>
      </c>
      <c r="V972">
        <v>0</v>
      </c>
      <c r="W972">
        <f t="shared" si="762"/>
        <v>-3.4417934351022684E-4</v>
      </c>
      <c r="X972" t="s">
        <v>3860</v>
      </c>
      <c r="Y972">
        <f>_xlfn.XLOOKUP($F972,設計座標!$E$13:$E$2301,設計座標!$L$13:$L$2301," ",0,1)</f>
        <v>300</v>
      </c>
      <c r="Z972">
        <f>SQRT(($M$971-$M$968)^2+($N$971-$N$968)^2)</f>
        <v>611.91534546152036</v>
      </c>
      <c r="AA972">
        <f>_xlfn.XLOOKUP($G972,magnet_list!$A$2:$A$592,magnet_list!$AJ$2:$AJ$592,"n/a",0,1)</f>
        <v>0.33198863580560978</v>
      </c>
      <c r="AB972">
        <f>_xlfn.XLOOKUP($G972,magnet_list!$A$2:$A$592,magnet_list!$L$2:$L$592,"n/a",0,1)</f>
        <v>140</v>
      </c>
    </row>
    <row r="973" spans="1:30">
      <c r="A973" t="s">
        <v>797</v>
      </c>
      <c r="B973">
        <v>1</v>
      </c>
      <c r="C973" t="s">
        <v>804</v>
      </c>
      <c r="D973" t="s">
        <v>1152</v>
      </c>
      <c r="E973" t="s">
        <v>804</v>
      </c>
      <c r="F973" t="s">
        <v>185</v>
      </c>
      <c r="G973" t="s">
        <v>2567</v>
      </c>
      <c r="I973">
        <f>_xlfn.XLOOKUP($F973,設計座標!$E$13:$E$2301,設計座標!$G$13:$G$2301,"n/a",0,1)</f>
        <v>296.53978216136898</v>
      </c>
      <c r="J973">
        <f>_xlfn.XLOOKUP($F973,設計座標!$E$13:$E$2301,設計座標!$H$13:$H$2301,"n/a",0,1)</f>
        <v>-15000</v>
      </c>
      <c r="K973">
        <f>_xlfn.XLOOKUP($F973,設計座標!$E$13:$E$2301,設計座標!$I$13:$I$2301,"n/a",0,1)</f>
        <v>-32077.724695460067</v>
      </c>
      <c r="L973">
        <f>_xlfn.XLOOKUP($F973,設計座標!$E$13:$E$2301,設計座標!$J$13:$J$2301,"n/a",0,1)</f>
        <v>-270</v>
      </c>
      <c r="M973" s="2">
        <f t="shared" si="758"/>
        <v>-14994.236351834323</v>
      </c>
      <c r="N973" s="2">
        <f t="shared" si="759"/>
        <v>-32077.724695460067</v>
      </c>
      <c r="O973" s="23">
        <f t="shared" si="760"/>
        <v>-269.95262439551107</v>
      </c>
      <c r="P973" s="1">
        <f t="shared" si="694"/>
        <v>-270.03175761474728</v>
      </c>
      <c r="Q973" s="1">
        <f>(Q$974-Q$972)/($N$974-$N$972)*($N973-$N$972)+Q$972</f>
        <v>5.7636481656775089</v>
      </c>
      <c r="R973">
        <f t="shared" si="727"/>
        <v>0</v>
      </c>
      <c r="S973" s="23">
        <f>(S$974-S$972)/($N$974-$N$972)*($N973-$N$972)+S$972</f>
        <v>4.7375604488922668E-2</v>
      </c>
      <c r="T973">
        <f>$S973+測地線補正!$Q$26*(lattice!$N973/1000)^3+測地線補正!$P$26*(lattice!$N973/1000)^2+測地線補正!$O$26*(lattice!$N973/1000)+測地線補正!$N$26</f>
        <v>-3.1757614747278895E-2</v>
      </c>
      <c r="U973">
        <f>-ATAN(($P$973-$P$962)/ABS($N$973-$N$962))</f>
        <v>-1.0143434983190837E-4</v>
      </c>
      <c r="V973">
        <v>0</v>
      </c>
      <c r="W973">
        <f>ATAN(($M$973-$M$962)/ABS($N$973-$N$962))</f>
        <v>1.6027398984731487E-4</v>
      </c>
      <c r="X973" t="s">
        <v>3860</v>
      </c>
      <c r="Y973">
        <f>_xlfn.XLOOKUP($F973,設計座標!$E$13:$E$2301,設計座標!$L$13:$L$2301," ",0,1)</f>
        <v>1889.4492</v>
      </c>
      <c r="Z973">
        <f>SQRT(($M$968-$M$967)^2+($N$968-$N$967)^2)</f>
        <v>38.096149607637813</v>
      </c>
    </row>
    <row r="974" spans="1:30">
      <c r="A974" t="s">
        <v>797</v>
      </c>
      <c r="B974">
        <v>1</v>
      </c>
      <c r="C974" t="s">
        <v>805</v>
      </c>
      <c r="D974" t="s">
        <v>806</v>
      </c>
      <c r="F974" t="s">
        <v>186</v>
      </c>
      <c r="G974" t="s">
        <v>2571</v>
      </c>
      <c r="I974">
        <f>_xlfn.XLOOKUP($F974,設計座標!$E$13:$E$2301,設計座標!$G$13:$G$2301,"n/a",0,1)</f>
        <v>296.78604560581891</v>
      </c>
      <c r="J974">
        <f>_xlfn.XLOOKUP($F974,設計座標!$E$13:$E$2301,設計座標!$H$13:$H$2301,"n/a",0,1)</f>
        <v>-15000</v>
      </c>
      <c r="K974">
        <f>_xlfn.XLOOKUP($F974,設計座標!$E$13:$E$2301,設計座標!$I$13:$I$2301,"n/a",0,1)</f>
        <v>-32323.988139910001</v>
      </c>
      <c r="L974">
        <f>_xlfn.XLOOKUP($F974,設計座標!$E$13:$E$2301,設計座標!$J$13:$J$2301,"n/a",0,1)</f>
        <v>90</v>
      </c>
      <c r="M974" s="2">
        <f>_xlfn.XLOOKUP($F974,survey_data!$A$2:$A$833,survey_data!$B$2:$B$833,"n/a",0,1)</f>
        <v>-14994.166971520001</v>
      </c>
      <c r="N974" s="2">
        <f>_xlfn.XLOOKUP($F974,survey_data!$A$2:$A$833,survey_data!$C$2:$C$833,"n/a",0,1)</f>
        <v>-32323.988139910001</v>
      </c>
      <c r="O974" s="23">
        <f>_xlfn.XLOOKUP($F974,survey_data!$A$2:$A$833,survey_data!$D$2:$D$833,"n/a",0,1)</f>
        <v>89.976733460000005</v>
      </c>
      <c r="P974" s="1">
        <f t="shared" si="694"/>
        <v>89.906724338825214</v>
      </c>
      <c r="Q974" s="1">
        <f t="shared" si="726"/>
        <v>5.8330284799994843</v>
      </c>
      <c r="R974">
        <f t="shared" si="727"/>
        <v>0</v>
      </c>
      <c r="S974" s="23">
        <f t="shared" si="728"/>
        <v>-2.3266539999994507E-2</v>
      </c>
      <c r="T974">
        <f>$S974+測地線補正!$Q$26*(lattice!$N974/1000)^3+測地線補正!$P$26*(lattice!$N974/1000)^2+測地線補正!$O$26*(lattice!$N974/1000)+測地線補正!$N$26</f>
        <v>-9.3275661174783808E-2</v>
      </c>
      <c r="U974">
        <f>-ATAN(($P$976-$P$974)/ABS($N$976-$N$974))</f>
        <v>-4.0669436769857648E-4</v>
      </c>
      <c r="V974">
        <v>0</v>
      </c>
      <c r="W974">
        <f>ATAN(($M$976-$M$974)/ABS($N$976-$N$974))</f>
        <v>-3.6852657979854814E-4</v>
      </c>
      <c r="X974">
        <f>SQRT(($M$975-$M$973)^2+($N$975-$N$973)^2)-$Y$975/2</f>
        <v>236.27094745254391</v>
      </c>
      <c r="Y974">
        <f>_xlfn.XLOOKUP($F974,設計座標!$E$13:$E$2301,設計座標!$L$13:$L$2301," ",0,1)</f>
        <v>160</v>
      </c>
      <c r="Z974">
        <f>SQRT(($M$975-$M$971)^2+($N$975-$N$971)^2)</f>
        <v>649.08020734328409</v>
      </c>
      <c r="AA974">
        <f>_xlfn.XLOOKUP($G974,magnet_list!$A$2:$A$592,magnet_list!$AJ$2:$AJ$592,"n/a",0,1)</f>
        <v>0.17374887133613809</v>
      </c>
      <c r="AB974">
        <f>_xlfn.XLOOKUP($G974,magnet_list!$A$2:$A$592,magnet_list!$L$2:$L$592,"n/a",0,1)</f>
        <v>44</v>
      </c>
    </row>
    <row r="975" spans="1:30">
      <c r="A975" t="s">
        <v>797</v>
      </c>
      <c r="B975">
        <v>1</v>
      </c>
      <c r="C975" t="s">
        <v>805</v>
      </c>
      <c r="D975" t="s">
        <v>1152</v>
      </c>
      <c r="E975" t="s">
        <v>804</v>
      </c>
      <c r="F975" t="s">
        <v>641</v>
      </c>
      <c r="G975" t="s">
        <v>2571</v>
      </c>
      <c r="I975">
        <f>_xlfn.XLOOKUP($F975,設計座標!$E$13:$E$2301,設計座標!$G$13:$G$2301,"n/a",0,1)</f>
        <v>296.85605310581889</v>
      </c>
      <c r="J975">
        <f>_xlfn.XLOOKUP($F975,設計座標!$E$13:$E$2301,設計座標!$H$13:$H$2301,"n/a",0,1)</f>
        <v>-15000</v>
      </c>
      <c r="K975">
        <f>_xlfn.XLOOKUP($F975,設計座標!$E$13:$E$2301,設計座標!$I$13:$I$2301,"n/a",0,1)</f>
        <v>-32393.995639910001</v>
      </c>
      <c r="L975">
        <f>_xlfn.XLOOKUP($F975,設計座標!$E$13:$E$2301,設計座標!$J$13:$J$2301,"n/a",0,1)</f>
        <v>90</v>
      </c>
      <c r="M975" s="2">
        <f t="shared" si="758"/>
        <v>-14994.192771145703</v>
      </c>
      <c r="N975" s="2">
        <f t="shared" si="759"/>
        <v>-32393.995639910001</v>
      </c>
      <c r="O975" s="23">
        <f t="shared" si="760"/>
        <v>90.002615264358155</v>
      </c>
      <c r="P975" s="1">
        <f t="shared" si="694"/>
        <v>89.935196708881662</v>
      </c>
      <c r="Q975" s="1">
        <f>(Q$976-Q$974)/($N$976-$N$974)*($N975-$N$974)+Q$974</f>
        <v>5.8072288542962722</v>
      </c>
      <c r="R975">
        <f t="shared" si="727"/>
        <v>0</v>
      </c>
      <c r="S975" s="23">
        <f>(S$976-S$974)/($N$976-$N$974)*($N975-$N$974)+S$974</f>
        <v>2.6152643581569858E-3</v>
      </c>
      <c r="T975">
        <f>$S975+測地線補正!$Q$26*(lattice!$N975/1000)^3+測地線補正!$P$26*(lattice!$N975/1000)^2+測地線補正!$O$26*(lattice!$N975/1000)+測地線補正!$N$26</f>
        <v>-6.4803291118342932E-2</v>
      </c>
      <c r="U975">
        <f t="shared" ref="U975:U976" si="763">-ATAN(($P$976-$P$974)/ABS($N$976-$N$974))</f>
        <v>-4.0669436769857648E-4</v>
      </c>
      <c r="V975">
        <v>0</v>
      </c>
      <c r="W975">
        <f t="shared" ref="W975:W976" si="764">ATAN(($M$976-$M$974)/ABS($N$976-$N$974))</f>
        <v>-3.6852657979854814E-4</v>
      </c>
      <c r="X975">
        <f>SQRT(($M$975-$M$973)^2+($N$975-$N$973)^2)-$Y$975/2</f>
        <v>236.27094745254391</v>
      </c>
      <c r="Y975">
        <f>_xlfn.XLOOKUP($F975,設計座標!$E$13:$E$2301,設計座標!$L$13:$L$2301," ",0,1)</f>
        <v>160</v>
      </c>
      <c r="Z975">
        <f>SQRT(($M$975-$M$971)^2+($N$975-$N$971)^2)</f>
        <v>649.08020734328409</v>
      </c>
      <c r="AA975">
        <f>_xlfn.XLOOKUP($G975,magnet_list!$A$2:$A$592,magnet_list!$AJ$2:$AJ$592,"n/a",0,1)</f>
        <v>0.17374887133613809</v>
      </c>
      <c r="AB975">
        <f>_xlfn.XLOOKUP($G975,magnet_list!$A$2:$A$592,magnet_list!$L$2:$L$592,"n/a",0,1)</f>
        <v>44</v>
      </c>
    </row>
    <row r="976" spans="1:30">
      <c r="A976" t="s">
        <v>797</v>
      </c>
      <c r="B976">
        <v>1</v>
      </c>
      <c r="C976" t="s">
        <v>805</v>
      </c>
      <c r="D976" t="s">
        <v>806</v>
      </c>
      <c r="F976" t="s">
        <v>187</v>
      </c>
      <c r="G976" t="s">
        <v>2571</v>
      </c>
      <c r="I976">
        <f>_xlfn.XLOOKUP($F976,設計座標!$E$13:$E$2301,設計座標!$G$13:$G$2301,"n/a",0,1)</f>
        <v>296.92600326556891</v>
      </c>
      <c r="J976">
        <f>_xlfn.XLOOKUP($F976,設計座標!$E$13:$E$2301,設計座標!$H$13:$H$2301,"n/a",0,1)</f>
        <v>-15000</v>
      </c>
      <c r="K976">
        <f>_xlfn.XLOOKUP($F976,設計座標!$E$13:$E$2301,設計座標!$I$13:$I$2301,"n/a",0,1)</f>
        <v>-32463.945799659999</v>
      </c>
      <c r="L976">
        <f>_xlfn.XLOOKUP($F976,設計座標!$E$13:$E$2301,設計座標!$J$13:$J$2301,"n/a",0,1)</f>
        <v>90</v>
      </c>
      <c r="M976" s="2">
        <f>_xlfn.XLOOKUP($F976,survey_data!$A$2:$A$833,survey_data!$B$2:$B$833,"n/a",0,1)</f>
        <v>-14994.21854964</v>
      </c>
      <c r="N976" s="2">
        <f>_xlfn.XLOOKUP($F976,survey_data!$A$2:$A$833,survey_data!$C$2:$C$833,"n/a",0,1)</f>
        <v>-32463.945799659999</v>
      </c>
      <c r="O976" s="23">
        <f>_xlfn.XLOOKUP($F976,survey_data!$A$2:$A$833,survey_data!$D$2:$D$833,"n/a",0,1)</f>
        <v>90.028475869999994</v>
      </c>
      <c r="P976" s="1">
        <f t="shared" si="694"/>
        <v>89.963644333900007</v>
      </c>
      <c r="Q976" s="1">
        <f t="shared" si="726"/>
        <v>5.7814503600002354</v>
      </c>
      <c r="R976">
        <f t="shared" si="727"/>
        <v>0</v>
      </c>
      <c r="S976" s="23">
        <f t="shared" si="728"/>
        <v>2.8475869999994075E-2</v>
      </c>
      <c r="T976">
        <f>$S976+測地線補正!$Q$26*(lattice!$N976/1000)^3+測地線補正!$P$26*(lattice!$N976/1000)^2+測地線補正!$O$26*(lattice!$N976/1000)+測地線補正!$N$26</f>
        <v>-3.6355666099987305E-2</v>
      </c>
      <c r="U976">
        <f t="shared" si="763"/>
        <v>-4.0669436769857648E-4</v>
      </c>
      <c r="V976">
        <v>0</v>
      </c>
      <c r="W976">
        <f t="shared" si="764"/>
        <v>-3.6852657979854814E-4</v>
      </c>
      <c r="X976">
        <f>SQRT(($M$975-$M$973)^2+($N$975-$N$973)^2)-$Y$975/2</f>
        <v>236.27094745254391</v>
      </c>
      <c r="Y976">
        <f>_xlfn.XLOOKUP($F976,設計座標!$E$13:$E$2301,設計座標!$L$13:$L$2301," ",0,1)</f>
        <v>160</v>
      </c>
      <c r="Z976">
        <f>SQRT(($M$975-$M$971)^2+($N$975-$N$971)^2)</f>
        <v>649.08020734328409</v>
      </c>
      <c r="AA976">
        <f>_xlfn.XLOOKUP($G976,magnet_list!$A$2:$A$592,magnet_list!$AJ$2:$AJ$592,"n/a",0,1)</f>
        <v>0.17374887133613809</v>
      </c>
      <c r="AB976">
        <f>_xlfn.XLOOKUP($G976,magnet_list!$A$2:$A$592,magnet_list!$L$2:$L$592,"n/a",0,1)</f>
        <v>44</v>
      </c>
    </row>
    <row r="977" spans="1:28">
      <c r="A977" t="s">
        <v>797</v>
      </c>
      <c r="B977">
        <v>1</v>
      </c>
      <c r="C977" t="s">
        <v>804</v>
      </c>
      <c r="D977" t="s">
        <v>1152</v>
      </c>
      <c r="E977" t="s">
        <v>804</v>
      </c>
      <c r="F977" t="s">
        <v>188</v>
      </c>
      <c r="G977" t="s">
        <v>2572</v>
      </c>
      <c r="I977">
        <f>_xlfn.XLOOKUP($F977,設計座標!$E$13:$E$2301,設計座標!$G$13:$G$2301,"n/a",0,1)</f>
        <v>297.2483239613689</v>
      </c>
      <c r="J977">
        <f>_xlfn.XLOOKUP($F977,設計座標!$E$13:$E$2301,設計座標!$H$13:$H$2301,"n/a",0,1)</f>
        <v>-15000</v>
      </c>
      <c r="K977">
        <f>_xlfn.XLOOKUP($F977,設計座標!$E$13:$E$2301,設計座標!$I$13:$I$2301,"n/a",0,1)</f>
        <v>-32786.266495460062</v>
      </c>
      <c r="L977">
        <f>_xlfn.XLOOKUP($F977,設計座標!$E$13:$E$2301,設計座標!$J$13:$J$2301,"n/a",0,1)</f>
        <v>-270</v>
      </c>
      <c r="M977" s="2">
        <f t="shared" si="758"/>
        <v>-14994.089736853424</v>
      </c>
      <c r="N977" s="2">
        <f t="shared" si="759"/>
        <v>-32786.266495460062</v>
      </c>
      <c r="O977" s="23">
        <f t="shared" si="760"/>
        <v>-269.93844948746789</v>
      </c>
      <c r="P977" s="1">
        <f t="shared" si="694"/>
        <v>-269.9913787840224</v>
      </c>
      <c r="Q977" s="1">
        <f>(Q$978-Q$976)/($N$978-$N$976)*($N977-$N$976)+Q$976</f>
        <v>5.9102631465751321</v>
      </c>
      <c r="R977">
        <f t="shared" si="727"/>
        <v>0</v>
      </c>
      <c r="S977" s="23">
        <f>(S$978-S$976)/($N$978-$N$976)*($N977-$N$976)+S$976</f>
        <v>6.1550512532131958E-2</v>
      </c>
      <c r="T977">
        <f>$S977+測地線補正!$Q$26*(lattice!$N977/1000)^3+測地線補正!$P$26*(lattice!$N977/1000)^2+測地線補正!$O$26*(lattice!$N977/1000)+測地線補正!$N$26</f>
        <v>8.6212159775904684E-3</v>
      </c>
      <c r="U977">
        <f>-ATAN(($P$988-$P$977)/ABS($N$988-$N$977))</f>
        <v>-4.5584421410322635E-5</v>
      </c>
      <c r="V977">
        <v>0</v>
      </c>
      <c r="W977">
        <f>ATAN(($M$988-$M$977)/ABS($N$988-$N$977))</f>
        <v>8.9217355624215578E-5</v>
      </c>
      <c r="X977">
        <f>SQRT(($M$977-$M$975)^2+($N$977-$N$975)^2)-$Y$975/2</f>
        <v>312.27086908161101</v>
      </c>
      <c r="Y977">
        <f>_xlfn.XLOOKUP($F977,設計座標!$E$13:$E$2301,設計座標!$L$13:$L$2301," ",0,1)</f>
        <v>1889.4492</v>
      </c>
      <c r="Z977">
        <f>SQRT(($M$983-$M$982)^2+($N$983-$N$982)^2)</f>
        <v>37.919387103324482</v>
      </c>
    </row>
    <row r="978" spans="1:28">
      <c r="A978" t="s">
        <v>797</v>
      </c>
      <c r="B978">
        <v>1</v>
      </c>
      <c r="C978" t="s">
        <v>805</v>
      </c>
      <c r="D978" t="s">
        <v>806</v>
      </c>
      <c r="F978" t="s">
        <v>189</v>
      </c>
      <c r="G978" t="s">
        <v>2573</v>
      </c>
      <c r="I978">
        <f>_xlfn.XLOOKUP($F978,設計座標!$E$13:$E$2301,設計座標!$G$13:$G$2301,"n/a",0,1)</f>
        <v>297.36996055490886</v>
      </c>
      <c r="J978">
        <f>_xlfn.XLOOKUP($F978,設計座標!$E$13:$E$2301,設計座標!$H$13:$H$2301,"n/a",0,1)</f>
        <v>-15000</v>
      </c>
      <c r="K978">
        <f>_xlfn.XLOOKUP($F978,設計座標!$E$13:$E$2301,設計座標!$I$13:$I$2301,"n/a",0,1)</f>
        <v>-32907.903088999999</v>
      </c>
      <c r="L978">
        <f>_xlfn.XLOOKUP($F978,設計座標!$E$13:$E$2301,設計座標!$J$13:$J$2301,"n/a",0,1)</f>
        <v>75</v>
      </c>
      <c r="M978" s="2">
        <f>_xlfn.XLOOKUP($F978,survey_data!$A$2:$A$833,survey_data!$B$2:$B$833,"n/a",0,1)</f>
        <v>-14994.0411258</v>
      </c>
      <c r="N978" s="2">
        <f>_xlfn.XLOOKUP($F978,survey_data!$A$2:$A$833,survey_data!$C$2:$C$833,"n/a",0,1)</f>
        <v>-32907.903088999999</v>
      </c>
      <c r="O978" s="23">
        <f>_xlfn.XLOOKUP($F978,survey_data!$A$2:$A$833,survey_data!$D$2:$D$833,"n/a",0,1)</f>
        <v>75.07403214</v>
      </c>
      <c r="P978" s="1">
        <f t="shared" si="694"/>
        <v>75.025586631115246</v>
      </c>
      <c r="Q978" s="1">
        <f t="shared" si="726"/>
        <v>5.9588741999996273</v>
      </c>
      <c r="R978">
        <f t="shared" si="727"/>
        <v>0</v>
      </c>
      <c r="S978" s="23">
        <f t="shared" si="728"/>
        <v>7.4032139999999913E-2</v>
      </c>
      <c r="T978">
        <f>$S978+測地線補正!$Q$26*(lattice!$N978/1000)^3+測地線補正!$P$26*(lattice!$N978/1000)^2+測地線補正!$O$26*(lattice!$N978/1000)+測地線補正!$N$26</f>
        <v>2.5586631115246616E-2</v>
      </c>
      <c r="U978">
        <f>-ATAN(($P$980-$P$978)/ABS($N$980-$N$978))</f>
        <v>-2.1480976224624222E-4</v>
      </c>
      <c r="V978">
        <v>0</v>
      </c>
      <c r="W978">
        <f>ATAN(($M$980-$M$978)/ABS($N$980-$N$978))</f>
        <v>1.9905593954351079E-5</v>
      </c>
      <c r="X978" t="s">
        <v>3860</v>
      </c>
      <c r="Y978">
        <f>_xlfn.XLOOKUP($F978,設計座標!$E$13:$E$2301,設計座標!$L$13:$L$2301," ",0,1)</f>
        <v>300</v>
      </c>
      <c r="Z978">
        <f>SQRT(($M$979-$M$975)^2+($N$979-$N$975)^2)</f>
        <v>648.90796744279214</v>
      </c>
      <c r="AA978">
        <f>_xlfn.XLOOKUP($G978,magnet_list!$A$2:$A$592,magnet_list!$AJ$2:$AJ$592,"n/a",0,1)</f>
        <v>0.33198863580560978</v>
      </c>
      <c r="AB978">
        <f>_xlfn.XLOOKUP($G978,magnet_list!$A$2:$A$592,magnet_list!$L$2:$L$592,"n/a",0,1)</f>
        <v>140</v>
      </c>
    </row>
    <row r="979" spans="1:28">
      <c r="A979" t="s">
        <v>797</v>
      </c>
      <c r="B979">
        <v>1</v>
      </c>
      <c r="C979" t="s">
        <v>805</v>
      </c>
      <c r="D979" t="s">
        <v>1152</v>
      </c>
      <c r="E979" t="s">
        <v>804</v>
      </c>
      <c r="F979" t="s">
        <v>642</v>
      </c>
      <c r="G979" t="s">
        <v>2573</v>
      </c>
      <c r="I979">
        <f>_xlfn.XLOOKUP($F979,設計座標!$E$13:$E$2301,設計座標!$G$13:$G$2301,"n/a",0,1)</f>
        <v>297.50496105490885</v>
      </c>
      <c r="J979">
        <f>_xlfn.XLOOKUP($F979,設計座標!$E$13:$E$2301,設計座標!$H$13:$H$2301,"n/a",0,1)</f>
        <v>-15000</v>
      </c>
      <c r="K979">
        <f>_xlfn.XLOOKUP($F979,設計座標!$E$13:$E$2301,設計座標!$I$13:$I$2301,"n/a",0,1)</f>
        <v>-33042.903588999994</v>
      </c>
      <c r="L979">
        <f>_xlfn.XLOOKUP($F979,設計座標!$E$13:$E$2301,設計座標!$J$13:$J$2301,"n/a",0,1)</f>
        <v>75</v>
      </c>
      <c r="M979" s="2">
        <f t="shared" si="758"/>
        <v>-14994.038438534863</v>
      </c>
      <c r="N979" s="2">
        <f t="shared" si="759"/>
        <v>-33042.903588999994</v>
      </c>
      <c r="O979" s="23">
        <f t="shared" si="760"/>
        <v>75.098062835969159</v>
      </c>
      <c r="P979" s="1">
        <f t="shared" si="694"/>
        <v>75.054588703369703</v>
      </c>
      <c r="Q979" s="1">
        <f>(Q$980-Q$978)/($N$980-$N$978)*($N979-$N$978)+Q$978</f>
        <v>5.9615614651366169</v>
      </c>
      <c r="R979">
        <f t="shared" si="727"/>
        <v>0</v>
      </c>
      <c r="S979" s="23">
        <f>(S$980-S$978)/($N$980-$N$978)*($N979-$N$978)+S$978</f>
        <v>9.8062835969158491E-2</v>
      </c>
      <c r="T979">
        <f>$S979+測地線補正!$Q$26*(lattice!$N979/1000)^3+測地線補正!$P$26*(lattice!$N979/1000)^2+測地線補正!$O$26*(lattice!$N979/1000)+測地線補正!$N$26</f>
        <v>5.458870336969901E-2</v>
      </c>
      <c r="U979">
        <f t="shared" ref="U979:U980" si="765">-ATAN(($P$980-$P$978)/ABS($N$980-$N$978))</f>
        <v>-2.1480976224624222E-4</v>
      </c>
      <c r="V979">
        <v>0</v>
      </c>
      <c r="W979">
        <f t="shared" ref="W979:W980" si="766">ATAN(($M$980-$M$978)/ABS($N$980-$N$978))</f>
        <v>1.9905593954351079E-5</v>
      </c>
      <c r="X979" t="s">
        <v>3860</v>
      </c>
      <c r="Y979">
        <f>_xlfn.XLOOKUP($F979,設計座標!$E$13:$E$2301,設計座標!$L$13:$L$2301," ",0,1)</f>
        <v>300</v>
      </c>
      <c r="Z979">
        <f>SQRT(($M$979-$M$975)^2+($N$979-$N$975)^2)</f>
        <v>648.90796744279214</v>
      </c>
      <c r="AA979">
        <f>_xlfn.XLOOKUP($G979,magnet_list!$A$2:$A$592,magnet_list!$AJ$2:$AJ$592,"n/a",0,1)</f>
        <v>0.33198863580560978</v>
      </c>
      <c r="AB979">
        <f>_xlfn.XLOOKUP($G979,magnet_list!$A$2:$A$592,magnet_list!$L$2:$L$592,"n/a",0,1)</f>
        <v>140</v>
      </c>
    </row>
    <row r="980" spans="1:28">
      <c r="A980" t="s">
        <v>797</v>
      </c>
      <c r="B980">
        <v>1</v>
      </c>
      <c r="C980" t="s">
        <v>805</v>
      </c>
      <c r="D980" t="s">
        <v>806</v>
      </c>
      <c r="F980" t="s">
        <v>190</v>
      </c>
      <c r="G980" t="s">
        <v>2573</v>
      </c>
      <c r="I980">
        <f>_xlfn.XLOOKUP($F980,設計座標!$E$13:$E$2301,設計座標!$G$13:$G$2301,"n/a",0,1)</f>
        <v>297.63993491547888</v>
      </c>
      <c r="J980">
        <f>_xlfn.XLOOKUP($F980,設計座標!$E$13:$E$2301,設計座標!$H$13:$H$2301,"n/a",0,1)</f>
        <v>-15000</v>
      </c>
      <c r="K980">
        <f>_xlfn.XLOOKUP($F980,設計座標!$E$13:$E$2301,設計座標!$I$13:$I$2301,"n/a",0,1)</f>
        <v>-33177.877449569998</v>
      </c>
      <c r="L980">
        <f>_xlfn.XLOOKUP($F980,設計座標!$E$13:$E$2301,設計座標!$J$13:$J$2301,"n/a",0,1)</f>
        <v>75</v>
      </c>
      <c r="M980" s="2">
        <f>_xlfn.XLOOKUP($F980,survey_data!$A$2:$A$833,survey_data!$B$2:$B$833,"n/a",0,1)</f>
        <v>-14994.0357518</v>
      </c>
      <c r="N980" s="2">
        <f>_xlfn.XLOOKUP($F980,survey_data!$A$2:$A$833,survey_data!$C$2:$C$833,"n/a",0,1)</f>
        <v>-33177.877449569998</v>
      </c>
      <c r="O980" s="23">
        <f>_xlfn.XLOOKUP($F980,survey_data!$A$2:$A$833,survey_data!$D$2:$D$833,"n/a",0,1)</f>
        <v>75.122088790000006</v>
      </c>
      <c r="P980" s="1">
        <f t="shared" si="694"/>
        <v>75.083579760213865</v>
      </c>
      <c r="Q980" s="1">
        <f t="shared" si="726"/>
        <v>5.9642481999999291</v>
      </c>
      <c r="R980">
        <f t="shared" si="727"/>
        <v>0</v>
      </c>
      <c r="S980" s="23">
        <f t="shared" si="728"/>
        <v>0.1220887900000065</v>
      </c>
      <c r="T980">
        <f>$S980+測地線補正!$Q$26*(lattice!$N980/1000)^3+測地線補正!$P$26*(lattice!$N980/1000)^2+測地線補正!$O$26*(lattice!$N980/1000)+測地線補正!$N$26</f>
        <v>8.3579760213867482E-2</v>
      </c>
      <c r="U980">
        <f t="shared" si="765"/>
        <v>-2.1480976224624222E-4</v>
      </c>
      <c r="V980">
        <v>0</v>
      </c>
      <c r="W980">
        <f t="shared" si="766"/>
        <v>1.9905593954351079E-5</v>
      </c>
      <c r="X980" t="s">
        <v>3860</v>
      </c>
      <c r="Y980">
        <f>_xlfn.XLOOKUP($F980,設計座標!$E$13:$E$2301,設計座標!$L$13:$L$2301," ",0,1)</f>
        <v>300</v>
      </c>
      <c r="Z980">
        <f>SQRT(($M$979-$M$975)^2+($N$979-$N$975)^2)</f>
        <v>648.90796744279214</v>
      </c>
      <c r="AA980">
        <f>_xlfn.XLOOKUP($G980,magnet_list!$A$2:$A$592,magnet_list!$AJ$2:$AJ$592,"n/a",0,1)</f>
        <v>0.33198863580560978</v>
      </c>
      <c r="AB980">
        <f>_xlfn.XLOOKUP($G980,magnet_list!$A$2:$A$592,magnet_list!$L$2:$L$592,"n/a",0,1)</f>
        <v>140</v>
      </c>
    </row>
    <row r="981" spans="1:28">
      <c r="A981" t="s">
        <v>797</v>
      </c>
      <c r="B981">
        <v>1</v>
      </c>
      <c r="C981" t="s">
        <v>805</v>
      </c>
      <c r="D981" t="s">
        <v>806</v>
      </c>
      <c r="F981" t="s">
        <v>191</v>
      </c>
      <c r="G981" t="s">
        <v>2574</v>
      </c>
      <c r="I981">
        <f>_xlfn.XLOOKUP($F981,設計座標!$E$13:$E$2301,設計座標!$G$13:$G$2301,"n/a",0,1)</f>
        <v>298.02012117440887</v>
      </c>
      <c r="J981">
        <f>_xlfn.XLOOKUP($F981,設計座標!$E$13:$E$2301,設計座標!$H$13:$H$2301,"n/a",0,1)</f>
        <v>-15000</v>
      </c>
      <c r="K981">
        <f>_xlfn.XLOOKUP($F981,設計座標!$E$13:$E$2301,設計座標!$I$13:$I$2301,"n/a",0,1)</f>
        <v>-33558.063708499998</v>
      </c>
      <c r="L981">
        <f>_xlfn.XLOOKUP($F981,設計座標!$E$13:$E$2301,設計座標!$J$13:$J$2301,"n/a",0,1)</f>
        <v>75</v>
      </c>
      <c r="M981" s="2">
        <f>_xlfn.XLOOKUP($F981,survey_data!$A$2:$A$833,survey_data!$B$2:$B$833,"n/a",0,1)</f>
        <v>-14994.07660393</v>
      </c>
      <c r="N981" s="2">
        <f>_xlfn.XLOOKUP($F981,survey_data!$A$2:$A$833,survey_data!$C$2:$C$833,"n/a",0,1)</f>
        <v>-33558.063708499998</v>
      </c>
      <c r="O981" s="23">
        <f>_xlfn.XLOOKUP($F981,survey_data!$A$2:$A$833,survey_data!$D$2:$D$833,"n/a",0,1)</f>
        <v>75.141460319999993</v>
      </c>
      <c r="P981" s="1">
        <f t="shared" si="694"/>
        <v>75.116908264423387</v>
      </c>
      <c r="Q981" s="1">
        <f t="shared" si="726"/>
        <v>5.9233960700003081</v>
      </c>
      <c r="R981">
        <f t="shared" si="727"/>
        <v>0</v>
      </c>
      <c r="S981" s="23">
        <f t="shared" si="728"/>
        <v>0.14146031999999309</v>
      </c>
      <c r="T981">
        <f>$S981+測地線補正!$Q$26*(lattice!$N981/1000)^3+測地線補正!$P$26*(lattice!$N981/1000)^2+測地線補正!$O$26*(lattice!$N981/1000)+測地線補正!$N$26</f>
        <v>0.11690826442337965</v>
      </c>
      <c r="U981">
        <f>-ATAN(($P$984-$P$981)/ABS($N$984-$N$981))</f>
        <v>-2.8087295358309599E-4</v>
      </c>
      <c r="V981">
        <v>0</v>
      </c>
      <c r="W981">
        <f>ATAN(($M$984-$M$981)/ABS($N$984-$N$981))</f>
        <v>-8.692556989809921E-5</v>
      </c>
      <c r="X981" t="s">
        <v>3860</v>
      </c>
      <c r="Y981">
        <f>_xlfn.XLOOKUP($F981,設計座標!$E$13:$E$2301,設計座標!$L$13:$L$2301," ",0,1)</f>
        <v>300</v>
      </c>
      <c r="Z981">
        <f>SQRT(($M$982-$M$979)^2+($N$982-$N$979)^2)</f>
        <v>650.16812141498258</v>
      </c>
      <c r="AA981">
        <f>_xlfn.XLOOKUP($G981,magnet_list!$A$2:$A$592,magnet_list!$AJ$2:$AJ$592,"n/a",0,1)</f>
        <v>0.33198863580560978</v>
      </c>
      <c r="AB981">
        <f>_xlfn.XLOOKUP($G981,magnet_list!$A$2:$A$592,magnet_list!$L$2:$L$592,"n/a",0,1)</f>
        <v>140</v>
      </c>
    </row>
    <row r="982" spans="1:28">
      <c r="A982" t="s">
        <v>797</v>
      </c>
      <c r="B982">
        <v>1</v>
      </c>
      <c r="C982" t="s">
        <v>805</v>
      </c>
      <c r="D982" t="s">
        <v>1152</v>
      </c>
      <c r="E982" t="s">
        <v>804</v>
      </c>
      <c r="F982" t="s">
        <v>643</v>
      </c>
      <c r="G982" t="s">
        <v>2574</v>
      </c>
      <c r="I982">
        <f>_xlfn.XLOOKUP($F982,設計座標!$E$13:$E$2301,設計座標!$G$13:$G$2301,"n/a",0,1)</f>
        <v>298.1551291744089</v>
      </c>
      <c r="J982">
        <f>_xlfn.XLOOKUP($F982,設計座標!$E$13:$E$2301,設計座標!$H$13:$H$2301,"n/a",0,1)</f>
        <v>-15000</v>
      </c>
      <c r="K982">
        <f>_xlfn.XLOOKUP($F982,設計座標!$E$13:$E$2301,設計座標!$I$13:$I$2301,"n/a",0,1)</f>
        <v>-33693.0717085</v>
      </c>
      <c r="L982">
        <f>_xlfn.XLOOKUP($F982,設計座標!$E$13:$E$2301,設計座標!$J$13:$J$2301,"n/a",0,1)</f>
        <v>75</v>
      </c>
      <c r="M982" s="2">
        <f t="shared" ref="M982:M983" si="767">$J982+$Q982</f>
        <v>-14994.088339577371</v>
      </c>
      <c r="N982" s="2">
        <f t="shared" ref="N982:N983" si="768">$K982</f>
        <v>-33693.0717085</v>
      </c>
      <c r="O982" s="23">
        <f t="shared" ref="O982:O983" si="769">$L982+$S982</f>
        <v>75.174436885454355</v>
      </c>
      <c r="P982" s="1">
        <f t="shared" si="694"/>
        <v>75.15483100314124</v>
      </c>
      <c r="Q982" s="1">
        <f>(Q$984-Q$981)/($N$984-$N$981)*($N982-$N$981)+Q$981</f>
        <v>5.9116604226299474</v>
      </c>
      <c r="R982">
        <f t="shared" si="727"/>
        <v>0</v>
      </c>
      <c r="S982" s="23">
        <f t="shared" ref="S982:S983" si="770">(S$984-S$981)/($N$984-$N$981)*($N982-$N$981)+S$981</f>
        <v>0.17443688545435956</v>
      </c>
      <c r="T982">
        <f>$S982+測地線補正!$Q$26*(lattice!$N982/1000)^3+測地線補正!$P$26*(lattice!$N982/1000)^2+測地線補正!$O$26*(lattice!$N982/1000)+測地線補正!$N$26</f>
        <v>0.15483100314123455</v>
      </c>
      <c r="U982">
        <f t="shared" ref="U982" si="771">-ATAN(($P$984-$P$981)/ABS($N$984-$N$981))</f>
        <v>-2.8087295358309599E-4</v>
      </c>
      <c r="V982">
        <v>0</v>
      </c>
      <c r="W982">
        <f>ATAN(($M$984-$M$981)/ABS($N$984-$N$981))</f>
        <v>-8.692556989809921E-5</v>
      </c>
      <c r="X982" t="s">
        <v>3860</v>
      </c>
      <c r="Y982">
        <f>_xlfn.XLOOKUP($F982,設計座標!$E$13:$E$2301,設計座標!$L$13:$L$2301," ",0,1)</f>
        <v>300</v>
      </c>
      <c r="Z982">
        <f>SQRT(($M$982-$M$979)^2+($N$982-$N$979)^2)</f>
        <v>650.16812141498258</v>
      </c>
      <c r="AA982">
        <f>_xlfn.XLOOKUP($G982,magnet_list!$A$2:$A$592,magnet_list!$AJ$2:$AJ$592,"n/a",0,1)</f>
        <v>0.33198863580560978</v>
      </c>
      <c r="AB982">
        <f>_xlfn.XLOOKUP($G982,magnet_list!$A$2:$A$592,magnet_list!$L$2:$L$592,"n/a",0,1)</f>
        <v>140</v>
      </c>
    </row>
    <row r="983" spans="1:28">
      <c r="A983" t="s">
        <v>797</v>
      </c>
      <c r="B983">
        <v>1</v>
      </c>
      <c r="C983" t="s">
        <v>804</v>
      </c>
      <c r="D983" t="s">
        <v>1152</v>
      </c>
      <c r="E983" t="s">
        <v>804</v>
      </c>
      <c r="F983" t="s">
        <v>1246</v>
      </c>
      <c r="G983" t="s">
        <v>2572</v>
      </c>
      <c r="I983">
        <f>_xlfn.XLOOKUP($F983,設計座標!$E$13:$E$2301,設計座標!$G$13:$G$2301,"n/a",0,1)</f>
        <v>298.19304856136893</v>
      </c>
      <c r="J983">
        <f>_xlfn.XLOOKUP($F983,設計座標!$E$13:$E$2301,設計座標!$H$13:$H$2301,"n/a",0,1)</f>
        <v>-15000</v>
      </c>
      <c r="K983">
        <f>_xlfn.XLOOKUP($F983,設計座標!$E$13:$E$2301,設計座標!$I$13:$I$2301,"n/a",0,1)</f>
        <v>-33730.991095460064</v>
      </c>
      <c r="L983">
        <f>_xlfn.XLOOKUP($F983,設計座標!$E$13:$E$2301,設計座標!$J$13:$J$2301,"n/a",0,1)</f>
        <v>-270</v>
      </c>
      <c r="M983" s="2">
        <f t="shared" si="767"/>
        <v>-14994.091635741701</v>
      </c>
      <c r="N983" s="2">
        <f t="shared" si="768"/>
        <v>-33730.991095460064</v>
      </c>
      <c r="O983" s="23">
        <f t="shared" si="769"/>
        <v>-269.81630106232592</v>
      </c>
      <c r="P983" s="1">
        <f t="shared" si="694"/>
        <v>-269.83451867504652</v>
      </c>
      <c r="Q983" s="1">
        <f>(Q$984-Q$981)/($N$984-$N$981)*($N983-$N$981)+Q$981</f>
        <v>5.9083642582999545</v>
      </c>
      <c r="R983">
        <f t="shared" si="727"/>
        <v>0</v>
      </c>
      <c r="S983" s="23">
        <f t="shared" si="770"/>
        <v>0.18369893767406495</v>
      </c>
      <c r="T983">
        <f>$S983+測地線補正!$Q$26*(lattice!$N983/1000)^3+測地線補正!$P$26*(lattice!$N983/1000)^2+測地線補正!$O$26*(lattice!$N983/1000)+測地線補正!$N$26</f>
        <v>0.165481324953481</v>
      </c>
      <c r="U983">
        <f>-ATAN(($P$988-$P$977)/ABS($N$988-$N$977))</f>
        <v>-4.5584421410322635E-5</v>
      </c>
      <c r="V983">
        <v>0</v>
      </c>
      <c r="W983">
        <f>ATAN(($M$988-$M$977)/ABS($N$988-$N$977))</f>
        <v>8.9217355624215578E-5</v>
      </c>
      <c r="X983" t="s">
        <v>3860</v>
      </c>
      <c r="Y983">
        <f>_xlfn.XLOOKUP($F983,設計座標!$E$13:$E$2301,設計座標!$L$13:$L$2301," ",0,1)</f>
        <v>1889.4492</v>
      </c>
      <c r="Z983">
        <f>SQRT(($M$983-$M$982)^2+($N$983-$N$982)^2)</f>
        <v>37.919387103324482</v>
      </c>
    </row>
    <row r="984" spans="1:28">
      <c r="A984" t="s">
        <v>797</v>
      </c>
      <c r="B984">
        <v>1</v>
      </c>
      <c r="C984" t="s">
        <v>805</v>
      </c>
      <c r="D984" t="s">
        <v>806</v>
      </c>
      <c r="F984" t="s">
        <v>192</v>
      </c>
      <c r="G984" t="s">
        <v>2574</v>
      </c>
      <c r="I984">
        <f>_xlfn.XLOOKUP($F984,設計座標!$E$13:$E$2301,設計座標!$G$13:$G$2301,"n/a",0,1)</f>
        <v>298.29011215598888</v>
      </c>
      <c r="J984">
        <f>_xlfn.XLOOKUP($F984,設計座標!$E$13:$E$2301,設計座標!$H$13:$H$2301,"n/a",0,1)</f>
        <v>-15000</v>
      </c>
      <c r="K984">
        <f>_xlfn.XLOOKUP($F984,設計座標!$E$13:$E$2301,設計座標!$I$13:$I$2301,"n/a",0,1)</f>
        <v>-33828.054690079996</v>
      </c>
      <c r="L984">
        <f>_xlfn.XLOOKUP($F984,設計座標!$E$13:$E$2301,設計座標!$J$13:$J$2301,"n/a",0,1)</f>
        <v>75</v>
      </c>
      <c r="M984" s="2">
        <f>_xlfn.XLOOKUP($F984,survey_data!$A$2:$A$833,survey_data!$B$2:$B$833,"n/a",0,1)</f>
        <v>-14994.10007305</v>
      </c>
      <c r="N984" s="2">
        <f>_xlfn.XLOOKUP($F984,survey_data!$A$2:$A$833,survey_data!$C$2:$C$833,"n/a",0,1)</f>
        <v>-33828.054690079996</v>
      </c>
      <c r="O984" s="23">
        <f>_xlfn.XLOOKUP($F984,survey_data!$A$2:$A$833,survey_data!$D$2:$D$833,"n/a",0,1)</f>
        <v>75.207407340000003</v>
      </c>
      <c r="P984" s="1">
        <f t="shared" si="694"/>
        <v>75.19274143085471</v>
      </c>
      <c r="Q984" s="1">
        <f t="shared" si="726"/>
        <v>5.8999269500000082</v>
      </c>
      <c r="R984">
        <f t="shared" si="727"/>
        <v>0</v>
      </c>
      <c r="S984" s="23">
        <f t="shared" si="728"/>
        <v>0.20740734000000316</v>
      </c>
      <c r="T984">
        <f>$S984+測地線補正!$Q$26*(lattice!$N984/1000)^3+測地線補正!$P$26*(lattice!$N984/1000)^2+測地線補正!$O$26*(lattice!$N984/1000)+測地線補正!$N$26</f>
        <v>0.19274143085470863</v>
      </c>
      <c r="U984">
        <f>-ATAN(($P$984-$P$981)/ABS($N$984-$N$981))</f>
        <v>-2.8087295358309599E-4</v>
      </c>
      <c r="V984">
        <v>0</v>
      </c>
      <c r="W984">
        <f>ATAN(($M$984-$M$981)/ABS($N$984-$N$981))</f>
        <v>-8.692556989809921E-5</v>
      </c>
      <c r="X984" t="s">
        <v>3860</v>
      </c>
      <c r="Y984">
        <f>_xlfn.XLOOKUP($F984,設計座標!$E$13:$E$2301,設計座標!$L$13:$L$2301," ",0,1)</f>
        <v>300</v>
      </c>
      <c r="Z984">
        <f>SQRT(($M$982-$M$979)^2+($N$982-$N$979)^2)</f>
        <v>650.16812141498258</v>
      </c>
      <c r="AA984">
        <f>_xlfn.XLOOKUP($G984,magnet_list!$A$2:$A$592,magnet_list!$AJ$2:$AJ$592,"n/a",0,1)</f>
        <v>0.33198863580560978</v>
      </c>
      <c r="AB984">
        <f>_xlfn.XLOOKUP($G984,magnet_list!$A$2:$A$592,magnet_list!$L$2:$L$592,"n/a",0,1)</f>
        <v>140</v>
      </c>
    </row>
    <row r="985" spans="1:28">
      <c r="A985" t="s">
        <v>797</v>
      </c>
      <c r="B985">
        <v>1</v>
      </c>
      <c r="C985" t="s">
        <v>805</v>
      </c>
      <c r="D985" t="s">
        <v>806</v>
      </c>
      <c r="F985" t="s">
        <v>193</v>
      </c>
      <c r="G985" t="s">
        <v>2575</v>
      </c>
      <c r="I985">
        <f>_xlfn.XLOOKUP($F985,設計座標!$E$13:$E$2301,設計座標!$G$13:$G$2301,"n/a",0,1)</f>
        <v>298.67004913893891</v>
      </c>
      <c r="J985">
        <f>_xlfn.XLOOKUP($F985,設計座標!$E$13:$E$2301,設計座標!$H$13:$H$2301,"n/a",0,1)</f>
        <v>-15000</v>
      </c>
      <c r="K985">
        <f>_xlfn.XLOOKUP($F985,設計座標!$E$13:$E$2301,設計座標!$I$13:$I$2301,"n/a",0,1)</f>
        <v>-34207.991673030003</v>
      </c>
      <c r="L985">
        <f>_xlfn.XLOOKUP($F985,設計座標!$E$13:$E$2301,設計座標!$J$13:$J$2301,"n/a",0,1)</f>
        <v>75</v>
      </c>
      <c r="M985" s="2">
        <f>_xlfn.XLOOKUP($F985,survey_data!$A$2:$A$833,survey_data!$B$2:$B$833,"n/a",0,1)</f>
        <v>-14994.00906801</v>
      </c>
      <c r="N985" s="2">
        <f>_xlfn.XLOOKUP($F985,survey_data!$A$2:$A$833,survey_data!$C$2:$C$833,"n/a",0,1)</f>
        <v>-34207.991673030003</v>
      </c>
      <c r="O985" s="23">
        <f>_xlfn.XLOOKUP($F985,survey_data!$A$2:$A$833,survey_data!$D$2:$D$833,"n/a",0,1)</f>
        <v>75.142602460000006</v>
      </c>
      <c r="P985" s="1">
        <f t="shared" ref="P985:P1048" si="772">$L985+$T985</f>
        <v>75.14181276205403</v>
      </c>
      <c r="Q985" s="1">
        <f t="shared" si="726"/>
        <v>5.9909319899998081</v>
      </c>
      <c r="R985">
        <f t="shared" si="727"/>
        <v>0</v>
      </c>
      <c r="S985" s="23">
        <f t="shared" si="728"/>
        <v>0.1426024600000062</v>
      </c>
      <c r="T985">
        <f>$S985+測地線補正!$Q$26*(lattice!$N985/1000)^3+測地線補正!$P$26*(lattice!$N985/1000)^2+測地線補正!$O$26*(lattice!$N985/1000)+測地線補正!$N$26</f>
        <v>0.14181276205403703</v>
      </c>
      <c r="U985">
        <f>-ATAN(($P$987-$P$985)/ABS($N$987-$N$985))</f>
        <v>1.6296285862786261E-4</v>
      </c>
      <c r="V985">
        <v>0</v>
      </c>
      <c r="W985">
        <f>ATAN(($M$987-$M$985)/ABS($N$987-$N$985))</f>
        <v>2.6548907829291565E-4</v>
      </c>
      <c r="X985" t="s">
        <v>3860</v>
      </c>
      <c r="Y985">
        <f>_xlfn.XLOOKUP($F985,設計座標!$E$13:$E$2301,設計座標!$L$13:$L$2301," ",0,1)</f>
        <v>300</v>
      </c>
      <c r="Z985">
        <f>SQRT(($M$986-$M$983)^2+($N$986-$N$983)^2)</f>
        <v>611.99408902448647</v>
      </c>
      <c r="AA985">
        <f>_xlfn.XLOOKUP($G985,magnet_list!$A$2:$A$592,magnet_list!$AJ$2:$AJ$592,"n/a",0,1)</f>
        <v>0.33198863580560978</v>
      </c>
      <c r="AB985">
        <f>_xlfn.XLOOKUP($G985,magnet_list!$A$2:$A$592,magnet_list!$L$2:$L$592,"n/a",0,1)</f>
        <v>140</v>
      </c>
    </row>
    <row r="986" spans="1:28">
      <c r="A986" t="s">
        <v>797</v>
      </c>
      <c r="B986">
        <v>1</v>
      </c>
      <c r="C986" t="s">
        <v>805</v>
      </c>
      <c r="D986" t="s">
        <v>1152</v>
      </c>
      <c r="E986" t="s">
        <v>804</v>
      </c>
      <c r="F986" t="s">
        <v>644</v>
      </c>
      <c r="G986" t="s">
        <v>2575</v>
      </c>
      <c r="I986">
        <f>_xlfn.XLOOKUP($F986,設計座標!$E$13:$E$2301,設計座標!$G$13:$G$2301,"n/a",0,1)</f>
        <v>298.80504263893891</v>
      </c>
      <c r="J986">
        <f>_xlfn.XLOOKUP($F986,設計座標!$E$13:$E$2301,設計座標!$H$13:$H$2301,"n/a",0,1)</f>
        <v>-15000</v>
      </c>
      <c r="K986">
        <f>_xlfn.XLOOKUP($F986,設計座標!$E$13:$E$2301,設計座標!$I$13:$I$2301,"n/a",0,1)</f>
        <v>-34342.985173030007</v>
      </c>
      <c r="L986">
        <f>_xlfn.XLOOKUP($F986,設計座標!$E$13:$E$2301,設計座標!$J$13:$J$2301,"n/a",0,1)</f>
        <v>75</v>
      </c>
      <c r="M986" s="2">
        <f t="shared" ref="M986:M991" si="773">$J986+$Q986</f>
        <v>-14993.973228709268</v>
      </c>
      <c r="N986" s="2">
        <f t="shared" ref="N986:N991" si="774">$K986</f>
        <v>-34342.985173030007</v>
      </c>
      <c r="O986" s="23">
        <f t="shared" ref="O986:O991" si="775">$L986+$S986</f>
        <v>75.115685948380019</v>
      </c>
      <c r="P986" s="1">
        <f t="shared" si="772"/>
        <v>75.119816471977245</v>
      </c>
      <c r="Q986" s="1">
        <f>(Q$987-Q$985)/($N$987-$N$985)*($N986-$N$985)+Q$985</f>
        <v>6.0267712907323814</v>
      </c>
      <c r="R986">
        <f t="shared" si="727"/>
        <v>0</v>
      </c>
      <c r="S986" s="23">
        <f>(S$987-S$985)/($N$987-$N$985)*($N986-$N$985)+S$985</f>
        <v>0.11568594838001878</v>
      </c>
      <c r="T986">
        <f>$S986+測地線補正!$Q$26*(lattice!$N986/1000)^3+測地線補正!$P$26*(lattice!$N986/1000)^2+測地線補正!$O$26*(lattice!$N986/1000)+測地線補正!$N$26</f>
        <v>0.11981647197724898</v>
      </c>
      <c r="U986">
        <f t="shared" ref="U986:U987" si="776">-ATAN(($P$987-$P$985)/ABS($N$987-$N$985))</f>
        <v>1.6296285862786261E-4</v>
      </c>
      <c r="V986">
        <v>0</v>
      </c>
      <c r="W986">
        <f t="shared" ref="W986:W987" si="777">ATAN(($M$987-$M$985)/ABS($N$987-$N$985))</f>
        <v>2.6548907829291565E-4</v>
      </c>
      <c r="X986" t="s">
        <v>3860</v>
      </c>
      <c r="Y986">
        <f>_xlfn.XLOOKUP($F986,設計座標!$E$13:$E$2301,設計座標!$L$13:$L$2301," ",0,1)</f>
        <v>300</v>
      </c>
      <c r="Z986">
        <f>SQRT(($M$986-$M$983)^2+($N$986-$N$983)^2)</f>
        <v>611.99408902448647</v>
      </c>
      <c r="AA986">
        <f>_xlfn.XLOOKUP($G986,magnet_list!$A$2:$A$592,magnet_list!$AJ$2:$AJ$592,"n/a",0,1)</f>
        <v>0.33198863580560978</v>
      </c>
      <c r="AB986">
        <f>_xlfn.XLOOKUP($G986,magnet_list!$A$2:$A$592,magnet_list!$L$2:$L$592,"n/a",0,1)</f>
        <v>140</v>
      </c>
    </row>
    <row r="987" spans="1:28">
      <c r="A987" t="s">
        <v>797</v>
      </c>
      <c r="B987">
        <v>1</v>
      </c>
      <c r="C987" t="s">
        <v>805</v>
      </c>
      <c r="D987" t="s">
        <v>806</v>
      </c>
      <c r="F987" t="s">
        <v>194</v>
      </c>
      <c r="G987" t="s">
        <v>2575</v>
      </c>
      <c r="I987">
        <f>_xlfn.XLOOKUP($F987,設計座標!$E$13:$E$2301,設計座標!$G$13:$G$2301,"n/a",0,1)</f>
        <v>298.94001922123891</v>
      </c>
      <c r="J987">
        <f>_xlfn.XLOOKUP($F987,設計座標!$E$13:$E$2301,設計座標!$H$13:$H$2301,"n/a",0,1)</f>
        <v>-15000</v>
      </c>
      <c r="K987">
        <f>_xlfn.XLOOKUP($F987,設計座標!$E$13:$E$2301,設計座標!$I$13:$I$2301,"n/a",0,1)</f>
        <v>-34477.961755329998</v>
      </c>
      <c r="L987">
        <f>_xlfn.XLOOKUP($F987,設計座標!$E$13:$E$2301,設計座標!$J$13:$J$2301,"n/a",0,1)</f>
        <v>75</v>
      </c>
      <c r="M987" s="2">
        <f>_xlfn.XLOOKUP($F987,survey_data!$A$2:$A$833,survey_data!$B$2:$B$833,"n/a",0,1)</f>
        <v>-14993.9373939</v>
      </c>
      <c r="N987" s="2">
        <f>_xlfn.XLOOKUP($F987,survey_data!$A$2:$A$833,survey_data!$C$2:$C$833,"n/a",0,1)</f>
        <v>-34477.961755329998</v>
      </c>
      <c r="O987" s="23">
        <f>_xlfn.XLOOKUP($F987,survey_data!$A$2:$A$833,survey_data!$D$2:$D$833,"n/a",0,1)</f>
        <v>75.088772809999995</v>
      </c>
      <c r="P987" s="1">
        <f t="shared" si="772"/>
        <v>75.097817665308966</v>
      </c>
      <c r="Q987" s="1">
        <f t="shared" si="726"/>
        <v>6.0626061000002665</v>
      </c>
      <c r="R987">
        <f t="shared" si="727"/>
        <v>0</v>
      </c>
      <c r="S987" s="23">
        <f t="shared" si="728"/>
        <v>8.8772809999994706E-2</v>
      </c>
      <c r="T987">
        <f>$S987+測地線補正!$Q$26*(lattice!$N987/1000)^3+測地線補正!$P$26*(lattice!$N987/1000)^2+測地線補正!$O$26*(lattice!$N987/1000)+測地線補正!$N$26</f>
        <v>9.7817665308965296E-2</v>
      </c>
      <c r="U987">
        <f t="shared" si="776"/>
        <v>1.6296285862786261E-4</v>
      </c>
      <c r="V987">
        <v>0</v>
      </c>
      <c r="W987">
        <f t="shared" si="777"/>
        <v>2.6548907829291565E-4</v>
      </c>
      <c r="X987" t="s">
        <v>3860</v>
      </c>
      <c r="Y987">
        <f>_xlfn.XLOOKUP($F987,設計座標!$E$13:$E$2301,設計座標!$L$13:$L$2301," ",0,1)</f>
        <v>300</v>
      </c>
      <c r="Z987">
        <f>SQRT(($M$986-$M$983)^2+($N$986-$N$983)^2)</f>
        <v>611.99408902448647</v>
      </c>
      <c r="AA987">
        <f>_xlfn.XLOOKUP($G987,magnet_list!$A$2:$A$592,magnet_list!$AJ$2:$AJ$592,"n/a",0,1)</f>
        <v>0.33198863580560978</v>
      </c>
      <c r="AB987">
        <f>_xlfn.XLOOKUP($G987,magnet_list!$A$2:$A$592,magnet_list!$L$2:$L$592,"n/a",0,1)</f>
        <v>140</v>
      </c>
    </row>
    <row r="988" spans="1:28">
      <c r="A988" t="s">
        <v>797</v>
      </c>
      <c r="B988">
        <v>1</v>
      </c>
      <c r="C988" t="s">
        <v>804</v>
      </c>
      <c r="D988" t="s">
        <v>1152</v>
      </c>
      <c r="E988" t="s">
        <v>804</v>
      </c>
      <c r="F988" t="s">
        <v>195</v>
      </c>
      <c r="G988" t="s">
        <v>2572</v>
      </c>
      <c r="I988">
        <f>_xlfn.XLOOKUP($F988,設計座標!$E$13:$E$2301,設計座標!$G$13:$G$2301,"n/a",0,1)</f>
        <v>299.13777316136895</v>
      </c>
      <c r="J988">
        <f>_xlfn.XLOOKUP($F988,設計座標!$E$13:$E$2301,設計座標!$H$13:$H$2301,"n/a",0,1)</f>
        <v>-15000</v>
      </c>
      <c r="K988">
        <f>_xlfn.XLOOKUP($F988,設計座標!$E$13:$E$2301,設計座標!$I$13:$I$2301,"n/a",0,1)</f>
        <v>-34675.715695460065</v>
      </c>
      <c r="L988">
        <f>_xlfn.XLOOKUP($F988,設計座標!$E$13:$E$2301,設計座標!$J$13:$J$2301,"n/a",0,1)</f>
        <v>-270</v>
      </c>
      <c r="M988" s="2">
        <f t="shared" si="773"/>
        <v>-14993.921165191767</v>
      </c>
      <c r="N988" s="2">
        <f t="shared" si="774"/>
        <v>-34675.715695460065</v>
      </c>
      <c r="O988" s="23">
        <f t="shared" si="775"/>
        <v>-269.92148465133982</v>
      </c>
      <c r="P988" s="1">
        <f t="shared" si="772"/>
        <v>-269.90524933539655</v>
      </c>
      <c r="Q988" s="1">
        <f>(Q$990-Q$987)/($N$990-$N$987)*($N988-$N$987)+Q$987</f>
        <v>6.0788348082333776</v>
      </c>
      <c r="R988">
        <f t="shared" si="727"/>
        <v>0</v>
      </c>
      <c r="S988" s="23">
        <f t="shared" ref="S988:S989" si="778">(S$990-S$987)/($N$990-$N$987)*($N988-$N$987)+S$987</f>
        <v>7.851534866018503E-2</v>
      </c>
      <c r="T988">
        <f>$S988+測地線補正!$Q$26*(lattice!$N988/1000)^3+測地線補正!$P$26*(lattice!$N988/1000)^2+測地線補正!$O$26*(lattice!$N988/1000)+測地線補正!$N$26</f>
        <v>9.4750664603436618E-2</v>
      </c>
      <c r="U988">
        <f>-ATAN(($P$988-$P$977)/ABS($N$988-$N$977))</f>
        <v>-4.5584421410322635E-5</v>
      </c>
      <c r="V988">
        <v>0</v>
      </c>
      <c r="W988">
        <f>ATAN(($M$988-$M$977)/ABS($N$988-$N$977))</f>
        <v>8.9217355624215578E-5</v>
      </c>
      <c r="X988" t="s">
        <v>3860</v>
      </c>
      <c r="Y988">
        <f>_xlfn.XLOOKUP($F988,設計座標!$E$13:$E$2301,設計座標!$L$13:$L$2301," ",0,1)</f>
        <v>1889.4492</v>
      </c>
      <c r="Z988">
        <f>SQRT(($M$983-$M$982)^2+($N$983-$N$982)^2)</f>
        <v>37.919387103324482</v>
      </c>
    </row>
    <row r="989" spans="1:28">
      <c r="A989" t="s">
        <v>797</v>
      </c>
      <c r="B989">
        <v>1</v>
      </c>
      <c r="C989" t="s">
        <v>1152</v>
      </c>
      <c r="D989" t="s">
        <v>1152</v>
      </c>
      <c r="E989" t="s">
        <v>804</v>
      </c>
      <c r="F989" t="s">
        <v>2074</v>
      </c>
      <c r="G989" t="s">
        <v>2074</v>
      </c>
      <c r="I989">
        <f>_xlfn.XLOOKUP($F989,設計座標!$E$13:$E$2301,設計座標!$G$13:$G$2301,"n/a",0,1)</f>
        <v>299.33731356136894</v>
      </c>
      <c r="J989">
        <f>_xlfn.XLOOKUP($F989,設計座標!$E$13:$E$2301,設計座標!$H$13:$H$2301,"n/a",0,1)</f>
        <v>-15000</v>
      </c>
      <c r="K989">
        <f>_xlfn.XLOOKUP($F989,設計座標!$E$13:$E$2301,設計座標!$I$13:$I$2301,"n/a",0,1)</f>
        <v>-34875.256095460063</v>
      </c>
      <c r="L989">
        <f>_xlfn.XLOOKUP($F989,設計座標!$E$13:$E$2301,設計座標!$J$13:$J$2301,"n/a",0,1)</f>
        <v>-270</v>
      </c>
      <c r="M989" s="2">
        <f t="shared" si="773"/>
        <v>-14993.904789877422</v>
      </c>
      <c r="N989" s="2">
        <f t="shared" si="774"/>
        <v>-34875.256095460063</v>
      </c>
      <c r="O989" s="23">
        <f t="shared" si="775"/>
        <v>-269.93183477603208</v>
      </c>
      <c r="P989" s="1">
        <f t="shared" si="772"/>
        <v>-269.90835550401806</v>
      </c>
      <c r="Q989" s="1">
        <f>(Q$990-Q$987)/($N$990-$N$987)*($N989-$N$987)+Q$987</f>
        <v>6.0952101225769928</v>
      </c>
      <c r="R989">
        <f t="shared" si="727"/>
        <v>0</v>
      </c>
      <c r="S989" s="23">
        <f t="shared" si="778"/>
        <v>6.8165223967934008E-2</v>
      </c>
      <c r="T989">
        <f>$S989+測地線補正!$Q$26*(lattice!$N989/1000)^3+測地線補正!$P$26*(lattice!$N989/1000)^2+測地線補正!$O$26*(lattice!$N989/1000)+測地線補正!$N$26</f>
        <v>9.1644495981930252E-2</v>
      </c>
      <c r="U989">
        <v>0</v>
      </c>
      <c r="V989">
        <v>0</v>
      </c>
      <c r="W989">
        <v>0</v>
      </c>
      <c r="X989">
        <f>SQRT(($M$989-$M$988)^2+($N$989-$N$988)^2)</f>
        <v>199.54040067191943</v>
      </c>
      <c r="Y989">
        <f>_xlfn.XLOOKUP($F989,設計座標!$E$13:$E$2301,設計座標!$L$13:$L$2301," ",0,1)</f>
        <v>0</v>
      </c>
      <c r="Z989">
        <f>SQRT(($M$989-$M$986)^2+($N$989-$N$986)^2)</f>
        <v>532.27092682995237</v>
      </c>
    </row>
    <row r="990" spans="1:28">
      <c r="A990" t="s">
        <v>797</v>
      </c>
      <c r="B990">
        <v>1</v>
      </c>
      <c r="C990" t="s">
        <v>805</v>
      </c>
      <c r="D990" t="s">
        <v>806</v>
      </c>
      <c r="F990" t="s">
        <v>196</v>
      </c>
      <c r="G990" t="s">
        <v>2576</v>
      </c>
      <c r="I990">
        <f>_xlfn.XLOOKUP($F990,設計座標!$E$13:$E$2301,設計座標!$G$13:$G$2301,"n/a",0,1)</f>
        <v>299.3550339614489</v>
      </c>
      <c r="J990">
        <f>_xlfn.XLOOKUP($F990,設計座標!$E$13:$E$2301,設計座標!$H$13:$H$2301,"n/a",0,1)</f>
        <v>-15000</v>
      </c>
      <c r="K990">
        <f>_xlfn.XLOOKUP($F990,設計座標!$E$13:$E$2301,設計座標!$I$13:$I$2301,"n/a",0,1)</f>
        <v>-34892.976495540002</v>
      </c>
      <c r="L990">
        <f>_xlfn.XLOOKUP($F990,設計座標!$E$13:$E$2301,設計座標!$J$13:$J$2301,"n/a",0,1)</f>
        <v>90</v>
      </c>
      <c r="M990" s="2">
        <f>_xlfn.XLOOKUP($F990,survey_data!$A$2:$A$833,survey_data!$B$2:$B$833,"n/a",0,1)</f>
        <v>-14993.90333565</v>
      </c>
      <c r="N990" s="2">
        <f>_xlfn.XLOOKUP($F990,survey_data!$A$2:$A$833,survey_data!$C$2:$C$833,"n/a",0,1)</f>
        <v>-34892.976495540002</v>
      </c>
      <c r="O990" s="23">
        <f>_xlfn.XLOOKUP($F990,survey_data!$A$2:$A$833,survey_data!$D$2:$D$833,"n/a",0,1)</f>
        <v>90.067246069999996</v>
      </c>
      <c r="P990" s="1">
        <f t="shared" si="772"/>
        <v>90.091368092942034</v>
      </c>
      <c r="Q990" s="1">
        <f t="shared" si="726"/>
        <v>6.096664349999628</v>
      </c>
      <c r="R990">
        <f t="shared" si="727"/>
        <v>0</v>
      </c>
      <c r="S990" s="23">
        <f t="shared" si="728"/>
        <v>6.7246069999995939E-2</v>
      </c>
      <c r="T990">
        <f>$S990+測地線補正!$Q$26*(lattice!$N990/1000)^3+測地線補正!$P$26*(lattice!$N990/1000)^2+測地線補正!$O$26*(lattice!$N990/1000)+測地線補正!$N$26</f>
        <v>9.1368092942034851E-2</v>
      </c>
      <c r="U990">
        <f>-ATAN(($P$992-$P$990)/ABS($N$992-$N$990))</f>
        <v>3.0682404513735433E-4</v>
      </c>
      <c r="V990">
        <v>0</v>
      </c>
      <c r="W990">
        <f>ATAN(($M$992-$M$990)/ABS($N$992-$N$990))</f>
        <v>4.3598550060329157E-4</v>
      </c>
      <c r="X990">
        <f>$Z$991-($Y$991+$Y$989)/2</f>
        <v>7.7169059065760024</v>
      </c>
      <c r="Y990">
        <f>_xlfn.XLOOKUP($F990,設計座標!$E$13:$E$2301,設計座標!$L$13:$L$2301," ",0,1)</f>
        <v>160</v>
      </c>
      <c r="Z990">
        <f>SQRT(($M$991-$M$989)^2+($N$991-$N$989)^2)</f>
        <v>87.716905906576002</v>
      </c>
      <c r="AA990">
        <f>_xlfn.XLOOKUP($G990,magnet_list!$A$2:$A$592,magnet_list!$AJ$2:$AJ$592,"n/a",0,1)</f>
        <v>0.17374887133613809</v>
      </c>
      <c r="AB990">
        <f>_xlfn.XLOOKUP($G990,magnet_list!$A$2:$A$592,magnet_list!$L$2:$L$592,"n/a",0,1)</f>
        <v>44</v>
      </c>
    </row>
    <row r="991" spans="1:28">
      <c r="A991" t="s">
        <v>797</v>
      </c>
      <c r="B991">
        <v>1</v>
      </c>
      <c r="C991" t="s">
        <v>805</v>
      </c>
      <c r="D991" t="s">
        <v>1152</v>
      </c>
      <c r="E991" t="s">
        <v>804</v>
      </c>
      <c r="F991" t="s">
        <v>645</v>
      </c>
      <c r="G991" t="s">
        <v>2576</v>
      </c>
      <c r="I991">
        <f>_xlfn.XLOOKUP($F991,設計座標!$E$13:$E$2301,設計座標!$G$13:$G$2301,"n/a",0,1)</f>
        <v>299.4250304614489</v>
      </c>
      <c r="J991">
        <f>_xlfn.XLOOKUP($F991,設計座標!$E$13:$E$2301,設計座標!$H$13:$H$2301,"n/a",0,1)</f>
        <v>-15000</v>
      </c>
      <c r="K991">
        <f>_xlfn.XLOOKUP($F991,設計座標!$E$13:$E$2301,設計座標!$I$13:$I$2301,"n/a",0,1)</f>
        <v>-34962.972995540003</v>
      </c>
      <c r="L991">
        <f>_xlfn.XLOOKUP($F991,設計座標!$E$13:$E$2301,設計座標!$J$13:$J$2301,"n/a",0,1)</f>
        <v>90</v>
      </c>
      <c r="M991" s="2">
        <f t="shared" si="773"/>
        <v>-14993.872818188975</v>
      </c>
      <c r="N991" s="2">
        <f t="shared" si="774"/>
        <v>-34962.972995540003</v>
      </c>
      <c r="O991" s="23">
        <f t="shared" si="775"/>
        <v>90.043232154958218</v>
      </c>
      <c r="P991" s="1">
        <f t="shared" si="772"/>
        <v>90.069892190334926</v>
      </c>
      <c r="Q991" s="1">
        <f>(Q$992-Q$990)/($N$992-$N$990)*($N991-$N$990)+Q$990</f>
        <v>6.1271818110262277</v>
      </c>
      <c r="R991">
        <f t="shared" si="727"/>
        <v>0</v>
      </c>
      <c r="S991" s="23">
        <f>(S$992-S$990)/($N$992-$N$990)*($N991-$N$990)+S$990</f>
        <v>4.3232154958224661E-2</v>
      </c>
      <c r="T991">
        <f>$S991+測地線補正!$Q$26*(lattice!$N991/1000)^3+測地線補正!$P$26*(lattice!$N991/1000)^2+測地線補正!$O$26*(lattice!$N991/1000)+測地線補正!$N$26</f>
        <v>6.9892190334926552E-2</v>
      </c>
      <c r="U991">
        <f t="shared" ref="U991:U992" si="779">-ATAN(($P$992-$P$990)/ABS($N$992-$N$990))</f>
        <v>3.0682404513735433E-4</v>
      </c>
      <c r="V991">
        <v>0</v>
      </c>
      <c r="W991">
        <f t="shared" ref="W991:W992" si="780">ATAN(($M$992-$M$990)/ABS($N$992-$N$990))</f>
        <v>4.3598550060329157E-4</v>
      </c>
      <c r="X991">
        <f>$Z$991-($Y$991+$Y$989)/2</f>
        <v>7.7169059065760024</v>
      </c>
      <c r="Y991">
        <f>_xlfn.XLOOKUP($F991,設計座標!$E$13:$E$2301,設計座標!$L$13:$L$2301," ",0,1)</f>
        <v>160</v>
      </c>
      <c r="Z991">
        <f>SQRT(($M$991-$M$989)^2+($N$991-$N$989)^2)</f>
        <v>87.716905906576002</v>
      </c>
      <c r="AA991">
        <f>_xlfn.XLOOKUP($G991,magnet_list!$A$2:$A$592,magnet_list!$AJ$2:$AJ$592,"n/a",0,1)</f>
        <v>0.17374887133613809</v>
      </c>
      <c r="AB991">
        <f>_xlfn.XLOOKUP($G991,magnet_list!$A$2:$A$592,magnet_list!$L$2:$L$592,"n/a",0,1)</f>
        <v>44</v>
      </c>
    </row>
    <row r="992" spans="1:28">
      <c r="A992" t="s">
        <v>797</v>
      </c>
      <c r="B992">
        <v>1</v>
      </c>
      <c r="C992" t="s">
        <v>805</v>
      </c>
      <c r="D992" t="s">
        <v>806</v>
      </c>
      <c r="F992" t="s">
        <v>197</v>
      </c>
      <c r="G992" t="s">
        <v>2576</v>
      </c>
      <c r="I992">
        <f>_xlfn.XLOOKUP($F992,設計座標!$E$13:$E$2301,設計座標!$G$13:$G$2301,"n/a",0,1)</f>
        <v>299.49498399659888</v>
      </c>
      <c r="J992">
        <f>_xlfn.XLOOKUP($F992,設計座標!$E$13:$E$2301,設計座標!$H$13:$H$2301,"n/a",0,1)</f>
        <v>-15000</v>
      </c>
      <c r="K992">
        <f>_xlfn.XLOOKUP($F992,設計座標!$E$13:$E$2301,設計座標!$I$13:$I$2301,"n/a",0,1)</f>
        <v>-35032.926530689998</v>
      </c>
      <c r="L992">
        <f>_xlfn.XLOOKUP($F992,設計座標!$E$13:$E$2301,設計座標!$J$13:$J$2301,"n/a",0,1)</f>
        <v>90</v>
      </c>
      <c r="M992" s="2">
        <f>_xlfn.XLOOKUP($F992,survey_data!$A$2:$A$833,survey_data!$B$2:$B$833,"n/a",0,1)</f>
        <v>-14993.84231946</v>
      </c>
      <c r="N992" s="2">
        <f>_xlfn.XLOOKUP($F992,survey_data!$A$2:$A$833,survey_data!$C$2:$C$833,"n/a",0,1)</f>
        <v>-35032.926530689998</v>
      </c>
      <c r="O992" s="23">
        <f>_xlfn.XLOOKUP($F992,survey_data!$A$2:$A$833,survey_data!$D$2:$D$833,"n/a",0,1)</f>
        <v>90.019232979999998</v>
      </c>
      <c r="P992" s="1">
        <f t="shared" si="772"/>
        <v>90.048428055692725</v>
      </c>
      <c r="Q992" s="1">
        <f t="shared" si="726"/>
        <v>6.1576805400000012</v>
      </c>
      <c r="R992">
        <f t="shared" si="727"/>
        <v>0</v>
      </c>
      <c r="S992" s="23">
        <f t="shared" si="728"/>
        <v>1.9232979999998179E-2</v>
      </c>
      <c r="T992">
        <f>$S992+測地線補正!$Q$26*(lattice!$N992/1000)^3+測地線補正!$P$26*(lattice!$N992/1000)^2+測地線補正!$O$26*(lattice!$N992/1000)+測地線補正!$N$26</f>
        <v>4.8428055692725014E-2</v>
      </c>
      <c r="U992">
        <f t="shared" si="779"/>
        <v>3.0682404513735433E-4</v>
      </c>
      <c r="V992">
        <v>0</v>
      </c>
      <c r="W992">
        <f t="shared" si="780"/>
        <v>4.3598550060329157E-4</v>
      </c>
      <c r="X992">
        <f>$Z$991-($Y$991+$Y$989)/2</f>
        <v>7.7169059065760024</v>
      </c>
      <c r="Y992">
        <f>_xlfn.XLOOKUP($F992,設計座標!$E$13:$E$2301,設計座標!$L$13:$L$2301," ",0,1)</f>
        <v>160</v>
      </c>
      <c r="Z992">
        <f>SQRT(($M$991-$M$989)^2+($N$991-$N$989)^2)</f>
        <v>87.716905906576002</v>
      </c>
      <c r="AA992">
        <f>_xlfn.XLOOKUP($G992,magnet_list!$A$2:$A$592,magnet_list!$AJ$2:$AJ$592,"n/a",0,1)</f>
        <v>0.17374887133613809</v>
      </c>
      <c r="AB992">
        <f>_xlfn.XLOOKUP($G992,magnet_list!$A$2:$A$592,magnet_list!$L$2:$L$592,"n/a",0,1)</f>
        <v>44</v>
      </c>
    </row>
    <row r="993" spans="1:28">
      <c r="A993" t="s">
        <v>797</v>
      </c>
      <c r="B993">
        <v>1</v>
      </c>
      <c r="C993" t="s">
        <v>805</v>
      </c>
      <c r="D993" t="s">
        <v>806</v>
      </c>
      <c r="F993" t="s">
        <v>198</v>
      </c>
      <c r="G993" t="s">
        <v>198</v>
      </c>
      <c r="I993">
        <f>_xlfn.XLOOKUP($F993,設計座標!$E$13:$E$2301,設計座標!$G$13:$G$2301,"n/a",0,1)</f>
        <v>299.70764919772887</v>
      </c>
      <c r="J993">
        <f>_xlfn.XLOOKUP($F993,設計座標!$E$13:$E$2301,設計座標!$H$13:$H$2301,"n/a",0,1)</f>
        <v>-15000</v>
      </c>
      <c r="K993">
        <f>_xlfn.XLOOKUP($F993,設計座標!$E$13:$E$2301,設計座標!$I$13:$I$2301,"n/a",0,1)</f>
        <v>-35245.591731820001</v>
      </c>
      <c r="L993">
        <f>_xlfn.XLOOKUP($F993,設計座標!$E$13:$E$2301,設計座標!$J$13:$J$2301,"n/a",0,1)</f>
        <v>5</v>
      </c>
      <c r="M993" s="2">
        <f>_xlfn.XLOOKUP($F993,survey_data!$A$2:$A$833,survey_data!$B$2:$B$833,"n/a",0,1)</f>
        <v>-14994.01245075</v>
      </c>
      <c r="N993" s="2">
        <f>_xlfn.XLOOKUP($F993,survey_data!$A$2:$A$833,survey_data!$C$2:$C$833,"n/a",0,1)</f>
        <v>-35245.591731820001</v>
      </c>
      <c r="O993" s="23">
        <f>_xlfn.XLOOKUP($F993,survey_data!$A$2:$A$833,survey_data!$D$2:$D$833,"n/a",0,1)</f>
        <v>4.9963492199999999</v>
      </c>
      <c r="P993" s="1">
        <f t="shared" si="772"/>
        <v>5.0332423726003483</v>
      </c>
      <c r="Q993" s="1">
        <f t="shared" si="726"/>
        <v>5.9875492499995744</v>
      </c>
      <c r="R993">
        <f t="shared" si="727"/>
        <v>0</v>
      </c>
      <c r="S993" s="23">
        <f t="shared" si="728"/>
        <v>-3.6507800000000756E-3</v>
      </c>
      <c r="T993">
        <f>$S993+測地線補正!$Q$26*(lattice!$N993/1000)^3+測地線補正!$P$26*(lattice!$N993/1000)^2+測地線補正!$O$26*(lattice!$N993/1000)+測地線補正!$N$26</f>
        <v>3.3242372600348791E-2</v>
      </c>
      <c r="U993">
        <v>0</v>
      </c>
      <c r="V993">
        <v>0</v>
      </c>
      <c r="W993">
        <v>0</v>
      </c>
      <c r="X993">
        <f>$Z$994-($Y$994+$Y$991)/2</f>
        <v>162.61877077390812</v>
      </c>
      <c r="Y993">
        <f>_xlfn.XLOOKUP($F993,設計座標!$E$13:$E$2301,設計座標!$L$13:$L$2301," ",0,1)</f>
        <v>80</v>
      </c>
      <c r="Z993">
        <f>SQRT(($M$994-$M$991)^2+($N$994-$N$991)^2)</f>
        <v>282.61877077390812</v>
      </c>
      <c r="AA993">
        <f>_xlfn.XLOOKUP($G993,magnet_list!$A$2:$A$592,magnet_list!$AJ$2:$AJ$592,"n/a",0,1)</f>
        <v>0.1204063936938909</v>
      </c>
      <c r="AB993">
        <f>_xlfn.XLOOKUP($G993,magnet_list!$A$2:$A$592,magnet_list!$L$2:$L$592,"n/a",0,1)</f>
        <v>39</v>
      </c>
    </row>
    <row r="994" spans="1:28">
      <c r="A994" t="s">
        <v>797</v>
      </c>
      <c r="B994">
        <v>1</v>
      </c>
      <c r="C994" t="s">
        <v>805</v>
      </c>
      <c r="D994" t="s">
        <v>1152</v>
      </c>
      <c r="E994" t="s">
        <v>804</v>
      </c>
      <c r="F994" t="s">
        <v>1880</v>
      </c>
      <c r="G994" t="s">
        <v>198</v>
      </c>
      <c r="I994">
        <f>_xlfn.XLOOKUP($F994,設計座標!$E$13:$E$2301,設計座標!$G$13:$G$2301,"n/a",0,1)</f>
        <v>299.70764919772887</v>
      </c>
      <c r="J994">
        <f>_xlfn.XLOOKUP($F994,設計座標!$E$13:$E$2301,設計座標!$H$13:$H$2301,"n/a",0,1)</f>
        <v>-15000</v>
      </c>
      <c r="K994">
        <f>_xlfn.XLOOKUP($F994,設計座標!$E$13:$E$2301,設計座標!$I$13:$I$2301,"n/a",0,1)</f>
        <v>-35245.591731820001</v>
      </c>
      <c r="L994">
        <f>_xlfn.XLOOKUP($F994,設計座標!$E$13:$E$2301,設計座標!$J$13:$J$2301,"n/a",0,1)</f>
        <v>5</v>
      </c>
      <c r="M994" s="2">
        <f t="shared" ref="M994:M1002" si="781">$J994+$Q994</f>
        <v>-14994.01245075</v>
      </c>
      <c r="N994" s="2">
        <f t="shared" ref="N994:N1002" si="782">$K994</f>
        <v>-35245.591731820001</v>
      </c>
      <c r="O994" s="23">
        <f t="shared" ref="O994:O1002" si="783">$L994+$S994</f>
        <v>4.9963492199999999</v>
      </c>
      <c r="P994" s="1">
        <f t="shared" si="772"/>
        <v>5.0332423726003483</v>
      </c>
      <c r="Q994" s="1">
        <f>(Q$995-Q$993)/($N$995-$N$993)*($N994-$N$993)+Q$993</f>
        <v>5.9875492499995744</v>
      </c>
      <c r="R994">
        <f t="shared" si="727"/>
        <v>0</v>
      </c>
      <c r="S994" s="23">
        <f>(S$995-S$993)/($N$995-$N$993)*($N994-$N$993)+S$993</f>
        <v>-3.6507800000000756E-3</v>
      </c>
      <c r="T994">
        <f>$S994+測地線補正!$Q$26*(lattice!$N994/1000)^3+測地線補正!$P$26*(lattice!$N994/1000)^2+測地線補正!$O$26*(lattice!$N994/1000)+測地線補正!$N$26</f>
        <v>3.3242372600348791E-2</v>
      </c>
      <c r="U994">
        <v>0</v>
      </c>
      <c r="V994">
        <v>0</v>
      </c>
      <c r="W994">
        <v>0</v>
      </c>
      <c r="X994">
        <f>$Z$994-($Y$994+$Y$991)/2</f>
        <v>162.61877077390812</v>
      </c>
      <c r="Y994">
        <f>_xlfn.XLOOKUP($F994,設計座標!$E$13:$E$2301,設計座標!$L$13:$L$2301," ",0,1)</f>
        <v>80</v>
      </c>
      <c r="Z994">
        <f>SQRT(($M$994-$M$991)^2+($N$994-$N$991)^2)</f>
        <v>282.61877077390812</v>
      </c>
      <c r="AA994">
        <f>_xlfn.XLOOKUP($G994,magnet_list!$A$2:$A$592,magnet_list!$AJ$2:$AJ$592,"n/a",0,1)</f>
        <v>0.1204063936938909</v>
      </c>
      <c r="AB994">
        <f>_xlfn.XLOOKUP($G994,magnet_list!$A$2:$A$592,magnet_list!$L$2:$L$592,"n/a",0,1)</f>
        <v>39</v>
      </c>
    </row>
    <row r="995" spans="1:28">
      <c r="A995" t="s">
        <v>797</v>
      </c>
      <c r="B995">
        <v>1</v>
      </c>
      <c r="C995" t="s">
        <v>805</v>
      </c>
      <c r="D995" t="s">
        <v>806</v>
      </c>
      <c r="F995" t="s">
        <v>199</v>
      </c>
      <c r="G995" t="s">
        <v>199</v>
      </c>
      <c r="I995">
        <f>_xlfn.XLOOKUP($F995,設計座標!$E$13:$E$2301,設計座標!$G$13:$G$2301,"n/a",0,1)</f>
        <v>299.89449905291889</v>
      </c>
      <c r="J995">
        <f>_xlfn.XLOOKUP($F995,設計座標!$E$13:$E$2301,設計座標!$H$13:$H$2301,"n/a",0,1)</f>
        <v>-15000</v>
      </c>
      <c r="K995">
        <f>_xlfn.XLOOKUP($F995,設計座標!$E$13:$E$2301,設計座標!$I$13:$I$2301,"n/a",0,1)</f>
        <v>-35432.441587009998</v>
      </c>
      <c r="L995">
        <f>_xlfn.XLOOKUP($F995,設計座標!$E$13:$E$2301,設計座標!$J$13:$J$2301,"n/a",0,1)</f>
        <v>5</v>
      </c>
      <c r="M995" s="2">
        <f>_xlfn.XLOOKUP($F995,survey_data!$A$2:$A$833,survey_data!$B$2:$B$833,"n/a",0,1)</f>
        <v>-14994.02501922</v>
      </c>
      <c r="N995" s="2">
        <f>_xlfn.XLOOKUP($F995,survey_data!$A$2:$A$833,survey_data!$C$2:$C$833,"n/a",0,1)</f>
        <v>-35432.441587009998</v>
      </c>
      <c r="O995" s="23">
        <f>_xlfn.XLOOKUP($F995,survey_data!$A$2:$A$833,survey_data!$D$2:$D$833,"n/a",0,1)</f>
        <v>4.9790191500000001</v>
      </c>
      <c r="P995" s="1">
        <f t="shared" si="772"/>
        <v>5.0226651375331457</v>
      </c>
      <c r="Q995" s="1">
        <f t="shared" si="726"/>
        <v>5.9749807799998962</v>
      </c>
      <c r="R995">
        <f t="shared" si="727"/>
        <v>0</v>
      </c>
      <c r="S995" s="23">
        <f t="shared" si="728"/>
        <v>-2.098084999999994E-2</v>
      </c>
      <c r="T995">
        <f>$S995+測地線補正!$Q$26*(lattice!$N995/1000)^3+測地線補正!$P$26*(lattice!$N995/1000)^2+測地線補正!$O$26*(lattice!$N995/1000)+測地線補正!$N$26</f>
        <v>2.266513753314614E-2</v>
      </c>
      <c r="U995">
        <v>0</v>
      </c>
      <c r="V995">
        <v>0</v>
      </c>
      <c r="W995">
        <v>0</v>
      </c>
      <c r="X995">
        <f>$Z$996-($Y$996+$Y$994)/2</f>
        <v>106.84985561270702</v>
      </c>
      <c r="Y995">
        <f>_xlfn.XLOOKUP($F995,設計座標!$E$13:$E$2301,設計座標!$L$13:$L$2301," ",0,1)</f>
        <v>80</v>
      </c>
      <c r="Z995">
        <f>SQRT(($M$996-$M$994)^2+($N$996-$N$994)^2)</f>
        <v>186.84985561270702</v>
      </c>
      <c r="AA995">
        <f>_xlfn.XLOOKUP($G995,magnet_list!$A$2:$A$592,magnet_list!$AJ$2:$AJ$592,"n/a",0,1)</f>
        <v>0.1204063936938909</v>
      </c>
      <c r="AB995">
        <f>_xlfn.XLOOKUP($G995,magnet_list!$A$2:$A$592,magnet_list!$L$2:$L$592,"n/a",0,1)</f>
        <v>39</v>
      </c>
    </row>
    <row r="996" spans="1:28">
      <c r="A996" t="s">
        <v>797</v>
      </c>
      <c r="B996">
        <v>1</v>
      </c>
      <c r="C996" t="s">
        <v>805</v>
      </c>
      <c r="D996" t="s">
        <v>1152</v>
      </c>
      <c r="E996" t="s">
        <v>804</v>
      </c>
      <c r="F996" t="s">
        <v>1881</v>
      </c>
      <c r="G996" t="s">
        <v>199</v>
      </c>
      <c r="I996">
        <f>_xlfn.XLOOKUP($F996,設計座標!$E$13:$E$2301,設計座標!$G$13:$G$2301,"n/a",0,1)</f>
        <v>299.89449905291889</v>
      </c>
      <c r="J996">
        <f>_xlfn.XLOOKUP($F996,設計座標!$E$13:$E$2301,設計座標!$H$13:$H$2301,"n/a",0,1)</f>
        <v>-15000</v>
      </c>
      <c r="K996">
        <f>_xlfn.XLOOKUP($F996,設計座標!$E$13:$E$2301,設計座標!$I$13:$I$2301,"n/a",0,1)</f>
        <v>-35432.441587009998</v>
      </c>
      <c r="L996">
        <f>_xlfn.XLOOKUP($F996,設計座標!$E$13:$E$2301,設計座標!$J$13:$J$2301,"n/a",0,1)</f>
        <v>5</v>
      </c>
      <c r="M996" s="2">
        <f t="shared" si="781"/>
        <v>-14994.02501922</v>
      </c>
      <c r="N996" s="2">
        <f t="shared" si="782"/>
        <v>-35432.441587009998</v>
      </c>
      <c r="O996" s="23">
        <f t="shared" si="783"/>
        <v>4.9790191500000001</v>
      </c>
      <c r="P996" s="1">
        <f t="shared" si="772"/>
        <v>5.0226651375331457</v>
      </c>
      <c r="Q996" s="1">
        <f>(Q$997-Q$995)/(N$997-$N$995)*($N996-$N$995)+Q$995</f>
        <v>5.9749807799998962</v>
      </c>
      <c r="R996">
        <f t="shared" si="727"/>
        <v>0</v>
      </c>
      <c r="S996" s="23">
        <f>(S$997-S$995)/(Q$997-$N$995)*($N996-$N$995)+S$995</f>
        <v>-2.098084999999994E-2</v>
      </c>
      <c r="T996">
        <f>$S996+測地線補正!$Q$26*(lattice!$N996/1000)^3+測地線補正!$P$26*(lattice!$N996/1000)^2+測地線補正!$O$26*(lattice!$N996/1000)+測地線補正!$N$26</f>
        <v>2.266513753314614E-2</v>
      </c>
      <c r="U996">
        <v>0</v>
      </c>
      <c r="V996">
        <v>0</v>
      </c>
      <c r="W996">
        <v>0</v>
      </c>
      <c r="X996">
        <f>$Z$996-($Y$996+$Y$994)/2</f>
        <v>106.84985561270702</v>
      </c>
      <c r="Y996">
        <f>_xlfn.XLOOKUP($F996,設計座標!$E$13:$E$2301,設計座標!$L$13:$L$2301," ",0,1)</f>
        <v>80</v>
      </c>
      <c r="Z996">
        <f>SQRT(($M$996-$M$994)^2+($N$996-$N$994)^2)</f>
        <v>186.84985561270702</v>
      </c>
      <c r="AA996">
        <f>_xlfn.XLOOKUP($G996,magnet_list!$A$2:$A$592,magnet_list!$AJ$2:$AJ$592,"n/a",0,1)</f>
        <v>0.1204063936938909</v>
      </c>
      <c r="AB996">
        <f>_xlfn.XLOOKUP($G996,magnet_list!$A$2:$A$592,magnet_list!$L$2:$L$592,"n/a",0,1)</f>
        <v>39</v>
      </c>
    </row>
    <row r="997" spans="1:28">
      <c r="A997" t="s">
        <v>797</v>
      </c>
      <c r="B997">
        <v>1</v>
      </c>
      <c r="C997" t="s">
        <v>805</v>
      </c>
      <c r="D997" t="s">
        <v>806</v>
      </c>
      <c r="F997" t="s">
        <v>200</v>
      </c>
      <c r="G997" t="s">
        <v>2577</v>
      </c>
      <c r="I997">
        <f>_xlfn.XLOOKUP($F997,設計座標!$E$13:$E$2301,設計座標!$G$13:$G$2301,"n/a",0,1)</f>
        <v>300.12100975988886</v>
      </c>
      <c r="J997">
        <f>_xlfn.XLOOKUP($F997,設計座標!$E$13:$E$2301,設計座標!$H$13:$H$2301,"n/a",0,1)</f>
        <v>-15000</v>
      </c>
      <c r="K997">
        <f>_xlfn.XLOOKUP($F997,設計座標!$E$13:$E$2301,設計座標!$I$13:$I$2301,"n/a",0,1)</f>
        <v>-35658.952293980001</v>
      </c>
      <c r="L997">
        <f>_xlfn.XLOOKUP($F997,設計座標!$E$13:$E$2301,設計座標!$J$13:$J$2301,"n/a",0,1)</f>
        <v>90</v>
      </c>
      <c r="M997" s="2">
        <f>_xlfn.XLOOKUP($F997,survey_data!$A$2:$A$833,survey_data!$B$2:$B$833,"n/a",0,1)</f>
        <v>-14993.95398224</v>
      </c>
      <c r="N997" s="2">
        <f>_xlfn.XLOOKUP($F997,survey_data!$A$2:$A$833,survey_data!$C$2:$C$833,"n/a",0,1)</f>
        <v>-35658.952293980001</v>
      </c>
      <c r="O997" s="23">
        <f>_xlfn.XLOOKUP($F997,survey_data!$A$2:$A$833,survey_data!$D$2:$D$833,"n/a",0,1)</f>
        <v>89.85631352</v>
      </c>
      <c r="P997" s="1">
        <f t="shared" si="772"/>
        <v>89.908132195522512</v>
      </c>
      <c r="Q997" s="1">
        <f t="shared" si="726"/>
        <v>6.0460177599998133</v>
      </c>
      <c r="R997">
        <f t="shared" si="727"/>
        <v>0</v>
      </c>
      <c r="S997" s="23">
        <f t="shared" si="728"/>
        <v>-0.14368647999999951</v>
      </c>
      <c r="T997">
        <f>$S997+測地線補正!$Q$26*(lattice!$N997/1000)^3+測地線補正!$P$26*(lattice!$N997/1000)^2+測地線補正!$O$26*(lattice!$N997/1000)+測地線補正!$N$26</f>
        <v>-9.1867804477489434E-2</v>
      </c>
      <c r="U997">
        <f>-ATAN(($P$999-$P$997)/ABS($N$999-$N$997))</f>
        <v>-2.0795252008894285E-4</v>
      </c>
      <c r="V997">
        <v>0</v>
      </c>
      <c r="W997">
        <f>ATAN(($M$999-$M$997)/ABS($N$999-$N$997))</f>
        <v>2.2412191692733371E-5</v>
      </c>
      <c r="X997">
        <f>$Z$998-($Y$998+$Y$996)/2</f>
        <v>176.49721585973629</v>
      </c>
      <c r="Y997">
        <f>_xlfn.XLOOKUP($F997,設計座標!$E$13:$E$2301,設計座標!$L$13:$L$2301," ",0,1)</f>
        <v>160</v>
      </c>
      <c r="Z997">
        <f>SQRT(($M$998-$M$996)^2+($N$998-$N$996)^2)</f>
        <v>296.49721585973629</v>
      </c>
      <c r="AA997">
        <f>_xlfn.XLOOKUP($G997,magnet_list!$A$2:$A$592,magnet_list!$AJ$2:$AJ$592,"n/a",0,1)</f>
        <v>0.17374887133613809</v>
      </c>
      <c r="AB997">
        <f>_xlfn.XLOOKUP($G997,magnet_list!$A$2:$A$592,magnet_list!$L$2:$L$592,"n/a",0,1)</f>
        <v>44</v>
      </c>
    </row>
    <row r="998" spans="1:28">
      <c r="A998" t="s">
        <v>797</v>
      </c>
      <c r="B998">
        <v>1</v>
      </c>
      <c r="C998" t="s">
        <v>805</v>
      </c>
      <c r="D998" t="s">
        <v>1152</v>
      </c>
      <c r="E998" t="s">
        <v>804</v>
      </c>
      <c r="F998" t="s">
        <v>646</v>
      </c>
      <c r="G998" t="s">
        <v>2577</v>
      </c>
      <c r="I998">
        <f>_xlfn.XLOOKUP($F998,設計座標!$E$13:$E$2301,設計座標!$G$13:$G$2301,"n/a",0,1)</f>
        <v>300.19099625988889</v>
      </c>
      <c r="J998">
        <f>_xlfn.XLOOKUP($F998,設計座標!$E$13:$E$2301,設計座標!$H$13:$H$2301,"n/a",0,1)</f>
        <v>-15000</v>
      </c>
      <c r="K998">
        <f>_xlfn.XLOOKUP($F998,設計座標!$E$13:$E$2301,設計座標!$I$13:$I$2301,"n/a",0,1)</f>
        <v>-35728.93879398</v>
      </c>
      <c r="L998">
        <f>_xlfn.XLOOKUP($F998,設計座標!$E$13:$E$2301,設計座標!$J$13:$J$2301,"n/a",0,1)</f>
        <v>90</v>
      </c>
      <c r="M998" s="2">
        <f t="shared" si="781"/>
        <v>-14993.952413689147</v>
      </c>
      <c r="N998" s="2">
        <f t="shared" si="782"/>
        <v>-35728.93879398</v>
      </c>
      <c r="O998" s="23">
        <f t="shared" si="783"/>
        <v>89.868345918119502</v>
      </c>
      <c r="P998" s="1">
        <f t="shared" si="772"/>
        <v>89.922686770502025</v>
      </c>
      <c r="Q998" s="1">
        <f>(Q$999-Q$997)/($N$999-$N$997)*($N998-$N$997)+Q$997</f>
        <v>6.0475863108539798</v>
      </c>
      <c r="R998">
        <f t="shared" si="727"/>
        <v>0</v>
      </c>
      <c r="S998" s="23">
        <f>(S$999-S$997)/($N$999-$N$997)*($N998-$N$997)+S$997</f>
        <v>-0.13165408188050479</v>
      </c>
      <c r="T998">
        <f>$S998+測地線補正!$Q$26*(lattice!$N998/1000)^3+測地線補正!$P$26*(lattice!$N998/1000)^2+測地線補正!$O$26*(lattice!$N998/1000)+測地線補正!$N$26</f>
        <v>-7.7313229497971481E-2</v>
      </c>
      <c r="U998">
        <f t="shared" ref="U998:U999" si="784">-ATAN(($P$999-$P$997)/ABS($N$999-$N$997))</f>
        <v>-2.0795252008894285E-4</v>
      </c>
      <c r="V998">
        <v>0</v>
      </c>
      <c r="W998">
        <f t="shared" ref="W998:W999" si="785">ATAN(($M$999-$M$997)/ABS($N$999-$N$997))</f>
        <v>2.2412191692733371E-5</v>
      </c>
      <c r="X998">
        <f>$Z$998-($Y$998+$Y$996)/2</f>
        <v>176.49721585973629</v>
      </c>
      <c r="Y998">
        <f>_xlfn.XLOOKUP($F998,設計座標!$E$13:$E$2301,設計座標!$L$13:$L$2301," ",0,1)</f>
        <v>160</v>
      </c>
      <c r="Z998">
        <f>SQRT(($M$998-$M$996)^2+($N$998-$N$996)^2)</f>
        <v>296.49721585973629</v>
      </c>
      <c r="AA998">
        <f>_xlfn.XLOOKUP($G998,magnet_list!$A$2:$A$592,magnet_list!$AJ$2:$AJ$592,"n/a",0,1)</f>
        <v>0.17374887133613809</v>
      </c>
      <c r="AB998">
        <f>_xlfn.XLOOKUP($G998,magnet_list!$A$2:$A$592,magnet_list!$L$2:$L$592,"n/a",0,1)</f>
        <v>44</v>
      </c>
    </row>
    <row r="999" spans="1:28">
      <c r="A999" t="s">
        <v>797</v>
      </c>
      <c r="B999">
        <v>1</v>
      </c>
      <c r="C999" t="s">
        <v>805</v>
      </c>
      <c r="D999" t="s">
        <v>806</v>
      </c>
      <c r="F999" t="s">
        <v>201</v>
      </c>
      <c r="G999" t="s">
        <v>2577</v>
      </c>
      <c r="I999">
        <f>_xlfn.XLOOKUP($F999,設計座標!$E$13:$E$2301,設計座標!$G$13:$G$2301,"n/a",0,1)</f>
        <v>300.26095055832889</v>
      </c>
      <c r="J999">
        <f>_xlfn.XLOOKUP($F999,設計座標!$E$13:$E$2301,設計座標!$H$13:$H$2301,"n/a",0,1)</f>
        <v>-15000</v>
      </c>
      <c r="K999">
        <f>_xlfn.XLOOKUP($F999,設計座標!$E$13:$E$2301,設計座標!$I$13:$I$2301,"n/a",0,1)</f>
        <v>-35798.893092420003</v>
      </c>
      <c r="L999">
        <f>_xlfn.XLOOKUP($F999,設計座標!$E$13:$E$2301,設計座標!$J$13:$J$2301,"n/a",0,1)</f>
        <v>90</v>
      </c>
      <c r="M999" s="2">
        <f>_xlfn.XLOOKUP($F999,survey_data!$A$2:$A$833,survey_data!$B$2:$B$833,"n/a",0,1)</f>
        <v>-14993.950845859999</v>
      </c>
      <c r="N999" s="2">
        <f>_xlfn.XLOOKUP($F999,survey_data!$A$2:$A$833,survey_data!$C$2:$C$833,"n/a",0,1)</f>
        <v>-35798.893092420003</v>
      </c>
      <c r="O999" s="23">
        <f>_xlfn.XLOOKUP($F999,survey_data!$A$2:$A$833,survey_data!$D$2:$D$833,"n/a",0,1)</f>
        <v>89.880372780000002</v>
      </c>
      <c r="P999" s="1">
        <f t="shared" si="772"/>
        <v>89.937233237640854</v>
      </c>
      <c r="Q999" s="1">
        <f t="shared" si="726"/>
        <v>6.0491541400006099</v>
      </c>
      <c r="R999">
        <f t="shared" si="727"/>
        <v>0</v>
      </c>
      <c r="S999" s="23">
        <f t="shared" si="728"/>
        <v>-0.11962721999999815</v>
      </c>
      <c r="T999">
        <f>$S999+測地線補正!$Q$26*(lattice!$N999/1000)^3+測地線補正!$P$26*(lattice!$N999/1000)^2+測地線補正!$O$26*(lattice!$N999/1000)+測地線補正!$N$26</f>
        <v>-6.2766762359150574E-2</v>
      </c>
      <c r="U999">
        <f t="shared" si="784"/>
        <v>-2.0795252008894285E-4</v>
      </c>
      <c r="V999">
        <v>0</v>
      </c>
      <c r="W999">
        <f t="shared" si="785"/>
        <v>2.2412191692733371E-5</v>
      </c>
      <c r="X999">
        <f>$Z$998-($Y$998+$Y$996)/2</f>
        <v>176.49721585973629</v>
      </c>
      <c r="Y999">
        <f>_xlfn.XLOOKUP($F999,設計座標!$E$13:$E$2301,設計座標!$L$13:$L$2301," ",0,1)</f>
        <v>160</v>
      </c>
      <c r="Z999">
        <f>SQRT(($M$998-$M$996)^2+($N$998-$N$996)^2)</f>
        <v>296.49721585973629</v>
      </c>
      <c r="AA999">
        <f>_xlfn.XLOOKUP($G999,magnet_list!$A$2:$A$592,magnet_list!$AJ$2:$AJ$592,"n/a",0,1)</f>
        <v>0.17374887133613809</v>
      </c>
      <c r="AB999">
        <f>_xlfn.XLOOKUP($G999,magnet_list!$A$2:$A$592,magnet_list!$L$2:$L$592,"n/a",0,1)</f>
        <v>44</v>
      </c>
    </row>
    <row r="1000" spans="1:28">
      <c r="A1000" t="s">
        <v>797</v>
      </c>
      <c r="B1000">
        <v>1</v>
      </c>
      <c r="C1000" t="s">
        <v>804</v>
      </c>
      <c r="D1000" t="s">
        <v>1152</v>
      </c>
      <c r="E1000" t="s">
        <v>804</v>
      </c>
      <c r="F1000" t="s">
        <v>202</v>
      </c>
      <c r="G1000" t="s">
        <v>2578</v>
      </c>
      <c r="I1000">
        <f>_xlfn.XLOOKUP($F1000,設計座標!$E$13:$E$2301,設計座標!$G$13:$G$2301,"n/a",0,1)</f>
        <v>300.5548579613689</v>
      </c>
      <c r="J1000">
        <f>_xlfn.XLOOKUP($F1000,設計座標!$E$13:$E$2301,設計座標!$H$13:$H$2301,"n/a",0,1)</f>
        <v>-15000</v>
      </c>
      <c r="K1000">
        <f>_xlfn.XLOOKUP($F1000,設計座標!$E$13:$E$2301,設計座標!$I$13:$I$2301,"n/a",0,1)</f>
        <v>-36092.800495460062</v>
      </c>
      <c r="L1000">
        <f>_xlfn.XLOOKUP($F1000,設計座標!$E$13:$E$2301,設計座標!$J$13:$J$2301,"n/a",0,1)</f>
        <v>-270</v>
      </c>
      <c r="M1000" s="2">
        <f t="shared" si="781"/>
        <v>-14993.884746063606</v>
      </c>
      <c r="N1000" s="2">
        <f t="shared" si="782"/>
        <v>-36092.800495460062</v>
      </c>
      <c r="O1000" s="23">
        <f t="shared" si="783"/>
        <v>-270.10736296003887</v>
      </c>
      <c r="P1000" s="1">
        <f t="shared" si="772"/>
        <v>-270.0399319909634</v>
      </c>
      <c r="Q1000" s="1">
        <f>(Q$1001-Q$999)/($N$1001-$N$999)*($N1000-$N$999)+Q$999</f>
        <v>6.115253936394466</v>
      </c>
      <c r="R1000">
        <f t="shared" si="727"/>
        <v>0</v>
      </c>
      <c r="S1000" s="23">
        <f>(S$1001-S$999)/($N$1001-$N$999)*($N1000-$N$999)+S$999</f>
        <v>-0.10736296003886091</v>
      </c>
      <c r="T1000">
        <f>$S1000+測地線補正!$Q$26*(lattice!$N1000/1000)^3+測地線補正!$P$26*(lattice!$N1000/1000)^2+測地線補正!$O$26*(lattice!$N1000/1000)+測地線補正!$N$26</f>
        <v>-3.9931990963416819E-2</v>
      </c>
      <c r="U1000">
        <f>-ATAN(($P$1011-$P$1000)/ABS($N$1011-$N$1000))</f>
        <v>6.1015604534110335E-6</v>
      </c>
      <c r="V1000">
        <v>0</v>
      </c>
      <c r="W1000">
        <f>ATAN(($M$1011-$M$1000)/ABS($N$1011-$N$1000))</f>
        <v>7.8258448554640678E-5</v>
      </c>
      <c r="X1000">
        <f>SQRT(($M$1000-$M$998)^2+($N$1000-$N$998)^2)-$Y$998/2</f>
        <v>283.86170777216074</v>
      </c>
      <c r="Y1000">
        <f>_xlfn.XLOOKUP($F1000,設計座標!$E$13:$E$2301,設計座標!$L$13:$L$2301," ",0,1)</f>
        <v>1889.4492</v>
      </c>
      <c r="Z1000">
        <f>SQRT(($M$1006-$M$1005)^2+($N$1006-$N$1005)^2)</f>
        <v>38.005368207105718</v>
      </c>
    </row>
    <row r="1001" spans="1:28">
      <c r="A1001" t="s">
        <v>797</v>
      </c>
      <c r="B1001">
        <v>1</v>
      </c>
      <c r="C1001" t="s">
        <v>805</v>
      </c>
      <c r="D1001" t="s">
        <v>806</v>
      </c>
      <c r="F1001" t="s">
        <v>203</v>
      </c>
      <c r="G1001" t="s">
        <v>2579</v>
      </c>
      <c r="I1001">
        <f>_xlfn.XLOOKUP($F1001,設計座標!$E$13:$E$2301,設計座標!$G$13:$G$2301,"n/a",0,1)</f>
        <v>300.67664362040881</v>
      </c>
      <c r="J1001">
        <f>_xlfn.XLOOKUP($F1001,設計座標!$E$13:$E$2301,設計座標!$H$13:$H$2301,"n/a",0,1)</f>
        <v>-15000</v>
      </c>
      <c r="K1001">
        <f>_xlfn.XLOOKUP($F1001,設計座標!$E$13:$E$2301,設計座標!$I$13:$I$2301,"n/a",0,1)</f>
        <v>-36214.586154500001</v>
      </c>
      <c r="L1001">
        <f>_xlfn.XLOOKUP($F1001,設計座標!$E$13:$E$2301,設計座標!$J$13:$J$2301,"n/a",0,1)</f>
        <v>75</v>
      </c>
      <c r="M1001" s="2">
        <f>_xlfn.XLOOKUP($F1001,survey_data!$A$2:$A$833,survey_data!$B$2:$B$833,"n/a",0,1)</f>
        <v>-14993.857356459999</v>
      </c>
      <c r="N1001" s="2">
        <f>_xlfn.XLOOKUP($F1001,survey_data!$A$2:$A$833,survey_data!$C$2:$C$833,"n/a",0,1)</f>
        <v>-36214.586154500001</v>
      </c>
      <c r="O1001" s="23">
        <f>_xlfn.XLOOKUP($F1001,survey_data!$A$2:$A$833,survey_data!$D$2:$D$833,"n/a",0,1)</f>
        <v>74.897718949999998</v>
      </c>
      <c r="P1001" s="1">
        <f t="shared" si="772"/>
        <v>74.96952270368233</v>
      </c>
      <c r="Q1001" s="1">
        <f t="shared" si="726"/>
        <v>6.1426435400007904</v>
      </c>
      <c r="R1001">
        <f t="shared" si="727"/>
        <v>0</v>
      </c>
      <c r="S1001" s="23">
        <f t="shared" si="728"/>
        <v>-0.10228105000000198</v>
      </c>
      <c r="T1001">
        <f>$S1001+測地線補正!$Q$26*(lattice!$N1001/1000)^3+測地線補正!$P$26*(lattice!$N1001/1000)^2+測地線補正!$O$26*(lattice!$N1001/1000)+測地線補正!$N$26</f>
        <v>-3.04772963176696E-2</v>
      </c>
      <c r="U1001">
        <f>-ATAN(($P$1003-$P$1001)/ABS($N$1003-$N$1001))</f>
        <v>-4.0523700980042219E-5</v>
      </c>
      <c r="V1001">
        <v>0</v>
      </c>
      <c r="W1001">
        <f>ATAN(($M$1003-$M$1001)/ABS($N$1003-$N$1001))</f>
        <v>1.6497304293853259E-4</v>
      </c>
      <c r="X1001" t="s">
        <v>3860</v>
      </c>
      <c r="Y1001">
        <f>_xlfn.XLOOKUP($F1001,設計座標!$E$13:$E$2301,設計座標!$L$13:$L$2301," ",0,1)</f>
        <v>300</v>
      </c>
      <c r="Z1001">
        <f>SQRT(($M$1002-$M$998)^2+($N$1002-$N$998)^2)</f>
        <v>620.66637161028586</v>
      </c>
      <c r="AA1001">
        <f>_xlfn.XLOOKUP($G1001,magnet_list!$A$2:$A$592,magnet_list!$AJ$2:$AJ$592,"n/a",0,1)</f>
        <v>0.33198863580560978</v>
      </c>
      <c r="AB1001">
        <f>_xlfn.XLOOKUP($G1001,magnet_list!$A$2:$A$592,magnet_list!$L$2:$L$592,"n/a",0,1)</f>
        <v>140</v>
      </c>
    </row>
    <row r="1002" spans="1:28">
      <c r="A1002" t="s">
        <v>797</v>
      </c>
      <c r="B1002">
        <v>1</v>
      </c>
      <c r="C1002" t="s">
        <v>805</v>
      </c>
      <c r="D1002" t="s">
        <v>1152</v>
      </c>
      <c r="E1002" t="s">
        <v>804</v>
      </c>
      <c r="F1002" t="s">
        <v>647</v>
      </c>
      <c r="G1002" t="s">
        <v>2579</v>
      </c>
      <c r="I1002">
        <f>_xlfn.XLOOKUP($F1002,設計座標!$E$13:$E$2301,設計座標!$G$13:$G$2301,"n/a",0,1)</f>
        <v>300.81166262040881</v>
      </c>
      <c r="J1002">
        <f>_xlfn.XLOOKUP($F1002,設計座標!$E$13:$E$2301,設計座標!$H$13:$H$2301,"n/a",0,1)</f>
        <v>-15000</v>
      </c>
      <c r="K1002">
        <f>_xlfn.XLOOKUP($F1002,設計座標!$E$13:$E$2301,設計座標!$I$13:$I$2301,"n/a",0,1)</f>
        <v>-36349.605154500001</v>
      </c>
      <c r="L1002">
        <f>_xlfn.XLOOKUP($F1002,設計座標!$E$13:$E$2301,設計座標!$J$13:$J$2301,"n/a",0,1)</f>
        <v>75</v>
      </c>
      <c r="M1002" s="2">
        <f t="shared" si="781"/>
        <v>-14993.835081964513</v>
      </c>
      <c r="N1002" s="2">
        <f t="shared" si="782"/>
        <v>-36349.605154500001</v>
      </c>
      <c r="O1002" s="23">
        <f t="shared" si="783"/>
        <v>74.898350097728155</v>
      </c>
      <c r="P1002" s="1">
        <f t="shared" si="772"/>
        <v>74.974996795625188</v>
      </c>
      <c r="Q1002" s="1">
        <f>(Q$1003-Q$1001)/($N$1003-$N$1001)*($N1002-$N$1001)+Q$1001</f>
        <v>6.1649180354873829</v>
      </c>
      <c r="R1002">
        <f t="shared" si="727"/>
        <v>0</v>
      </c>
      <c r="S1002" s="23">
        <f>(S$1003-S$1001)/($N$1003-$N$1001)*($N1002-$N$1001)+S$1001</f>
        <v>-0.10164990227183951</v>
      </c>
      <c r="T1002">
        <f>$S1002+測地線補正!$Q$26*(lattice!$N1002/1000)^3+測地線補正!$P$26*(lattice!$N1002/1000)^2+測地線補正!$O$26*(lattice!$N1002/1000)+測地線補正!$N$26</f>
        <v>-2.5003204374815402E-2</v>
      </c>
      <c r="U1002">
        <f t="shared" ref="U1002:U1003" si="786">-ATAN(($P$1003-$P$1001)/ABS($N$1003-$N$1001))</f>
        <v>-4.0523700980042219E-5</v>
      </c>
      <c r="V1002">
        <v>0</v>
      </c>
      <c r="W1002">
        <f t="shared" ref="W1002:W1003" si="787">ATAN(($M$1003-$M$1001)/ABS($N$1003-$N$1001))</f>
        <v>1.6497304293853259E-4</v>
      </c>
      <c r="X1002" t="s">
        <v>3860</v>
      </c>
      <c r="Y1002">
        <f>_xlfn.XLOOKUP($F1002,設計座標!$E$13:$E$2301,設計座標!$L$13:$L$2301," ",0,1)</f>
        <v>300</v>
      </c>
      <c r="Z1002">
        <f>SQRT(($M$1002-$M$998)^2+($N$1002-$N$998)^2)</f>
        <v>620.66637161028586</v>
      </c>
      <c r="AA1002">
        <f>_xlfn.XLOOKUP($G1002,magnet_list!$A$2:$A$592,magnet_list!$AJ$2:$AJ$592,"n/a",0,1)</f>
        <v>0.33198863580560978</v>
      </c>
      <c r="AB1002">
        <f>_xlfn.XLOOKUP($G1002,magnet_list!$A$2:$A$592,magnet_list!$L$2:$L$592,"n/a",0,1)</f>
        <v>140</v>
      </c>
    </row>
    <row r="1003" spans="1:28">
      <c r="A1003" t="s">
        <v>797</v>
      </c>
      <c r="B1003">
        <v>1</v>
      </c>
      <c r="C1003" t="s">
        <v>805</v>
      </c>
      <c r="D1003" t="s">
        <v>806</v>
      </c>
      <c r="F1003" t="s">
        <v>204</v>
      </c>
      <c r="G1003" t="s">
        <v>2579</v>
      </c>
      <c r="I1003">
        <f>_xlfn.XLOOKUP($F1003,設計座標!$E$13:$E$2301,設計座標!$G$13:$G$2301,"n/a",0,1)</f>
        <v>300.94663766792883</v>
      </c>
      <c r="J1003">
        <f>_xlfn.XLOOKUP($F1003,設計座標!$E$13:$E$2301,設計座標!$H$13:$H$2301,"n/a",0,1)</f>
        <v>-15000</v>
      </c>
      <c r="K1003">
        <f>_xlfn.XLOOKUP($F1003,設計座標!$E$13:$E$2301,設計座標!$I$13:$I$2301,"n/a",0,1)</f>
        <v>-36484.580202019999</v>
      </c>
      <c r="L1003">
        <f>_xlfn.XLOOKUP($F1003,設計座標!$E$13:$E$2301,設計座標!$J$13:$J$2301,"n/a",0,1)</f>
        <v>75</v>
      </c>
      <c r="M1003" s="2">
        <f>_xlfn.XLOOKUP($F1003,survey_data!$A$2:$A$833,survey_data!$B$2:$B$833,"n/a",0,1)</f>
        <v>-14993.81281472</v>
      </c>
      <c r="N1003" s="2">
        <f>_xlfn.XLOOKUP($F1003,survey_data!$A$2:$A$833,survey_data!$C$2:$C$833,"n/a",0,1)</f>
        <v>-36484.580202019999</v>
      </c>
      <c r="O1003" s="23">
        <f>_xlfn.XLOOKUP($F1003,survey_data!$A$2:$A$833,survey_data!$D$2:$D$833,"n/a",0,1)</f>
        <v>74.898981039999995</v>
      </c>
      <c r="P1003" s="1">
        <f t="shared" si="772"/>
        <v>74.980463861736411</v>
      </c>
      <c r="Q1003" s="1">
        <f t="shared" si="726"/>
        <v>6.1871852799995395</v>
      </c>
      <c r="R1003">
        <f t="shared" si="727"/>
        <v>0</v>
      </c>
      <c r="S1003" s="23">
        <f t="shared" si="728"/>
        <v>-0.10101896000000465</v>
      </c>
      <c r="T1003">
        <f>$S1003+測地線補正!$Q$26*(lattice!$N1003/1000)^3+測地線補正!$P$26*(lattice!$N1003/1000)^2+測地線補正!$O$26*(lattice!$N1003/1000)+測地線補正!$N$26</f>
        <v>-1.9536138263595682E-2</v>
      </c>
      <c r="U1003">
        <f t="shared" si="786"/>
        <v>-4.0523700980042219E-5</v>
      </c>
      <c r="V1003">
        <v>0</v>
      </c>
      <c r="W1003">
        <f t="shared" si="787"/>
        <v>1.6497304293853259E-4</v>
      </c>
      <c r="X1003" t="s">
        <v>3860</v>
      </c>
      <c r="Y1003">
        <f>_xlfn.XLOOKUP($F1003,設計座標!$E$13:$E$2301,設計座標!$L$13:$L$2301," ",0,1)</f>
        <v>300</v>
      </c>
      <c r="Z1003">
        <f>SQRT(($M$1002-$M$998)^2+($N$1002-$N$998)^2)</f>
        <v>620.66637161028586</v>
      </c>
      <c r="AA1003">
        <f>_xlfn.XLOOKUP($G1003,magnet_list!$A$2:$A$592,magnet_list!$AJ$2:$AJ$592,"n/a",0,1)</f>
        <v>0.33198863580560978</v>
      </c>
      <c r="AB1003">
        <f>_xlfn.XLOOKUP($G1003,magnet_list!$A$2:$A$592,magnet_list!$L$2:$L$592,"n/a",0,1)</f>
        <v>140</v>
      </c>
    </row>
    <row r="1004" spans="1:28">
      <c r="A1004" t="s">
        <v>797</v>
      </c>
      <c r="B1004">
        <v>1</v>
      </c>
      <c r="C1004" t="s">
        <v>805</v>
      </c>
      <c r="D1004" t="s">
        <v>806</v>
      </c>
      <c r="F1004" t="s">
        <v>205</v>
      </c>
      <c r="G1004" t="s">
        <v>2580</v>
      </c>
      <c r="I1004">
        <f>_xlfn.XLOOKUP($F1004,設計座標!$E$13:$E$2301,設計座標!$G$13:$G$2301,"n/a",0,1)</f>
        <v>301.32656019530884</v>
      </c>
      <c r="J1004">
        <f>_xlfn.XLOOKUP($F1004,設計座標!$E$13:$E$2301,設計座標!$H$13:$H$2301,"n/a",0,1)</f>
        <v>-15000</v>
      </c>
      <c r="K1004">
        <f>_xlfn.XLOOKUP($F1004,設計座標!$E$13:$E$2301,設計座標!$I$13:$I$2301,"n/a",0,1)</f>
        <v>-36864.502729400003</v>
      </c>
      <c r="L1004">
        <f>_xlfn.XLOOKUP($F1004,設計座標!$E$13:$E$2301,設計座標!$J$13:$J$2301,"n/a",0,1)</f>
        <v>75</v>
      </c>
      <c r="M1004" s="2">
        <f>_xlfn.XLOOKUP($F1004,survey_data!$A$2:$A$833,survey_data!$B$2:$B$833,"n/a",0,1)</f>
        <v>-14993.73137044</v>
      </c>
      <c r="N1004" s="2">
        <f>_xlfn.XLOOKUP($F1004,survey_data!$A$2:$A$833,survey_data!$C$2:$C$833,"n/a",0,1)</f>
        <v>-36864.502729400003</v>
      </c>
      <c r="O1004" s="23">
        <f>_xlfn.XLOOKUP($F1004,survey_data!$A$2:$A$833,survey_data!$D$2:$D$833,"n/a",0,1)</f>
        <v>74.864086950000001</v>
      </c>
      <c r="P1004" s="1">
        <f t="shared" si="772"/>
        <v>74.959154173984686</v>
      </c>
      <c r="Q1004" s="1">
        <f t="shared" si="726"/>
        <v>6.2686295599996811</v>
      </c>
      <c r="R1004">
        <f t="shared" si="727"/>
        <v>0</v>
      </c>
      <c r="S1004" s="23">
        <f t="shared" si="728"/>
        <v>-0.1359130499999992</v>
      </c>
      <c r="T1004">
        <f>$S1004+測地線補正!$Q$26*(lattice!$N1004/1000)^3+測地線補正!$P$26*(lattice!$N1004/1000)^2+測地線補正!$O$26*(lattice!$N1004/1000)+測地線補正!$N$26</f>
        <v>-4.0845826015315057E-2</v>
      </c>
      <c r="U1004">
        <f>-ATAN(($P$1007-$P$1004)/ABS($N$1007-$N$1004))</f>
        <v>-1.754540995355653E-4</v>
      </c>
      <c r="V1004">
        <v>0</v>
      </c>
      <c r="W1004">
        <f>ATAN(($M$1007-$M$1004)/ABS($N$1007-$N$1004))</f>
        <v>-3.361345163301693E-4</v>
      </c>
      <c r="X1004" t="s">
        <v>3860</v>
      </c>
      <c r="Y1004">
        <f>_xlfn.XLOOKUP($F1004,設計座標!$E$13:$E$2301,設計座標!$L$13:$L$2301," ",0,1)</f>
        <v>300</v>
      </c>
      <c r="Z1004">
        <f>SQRT(($M$1005-$M$1002)^2+($N$1005-$N$1002)^2)</f>
        <v>649.91457751735697</v>
      </c>
      <c r="AA1004">
        <f>_xlfn.XLOOKUP($G1004,magnet_list!$A$2:$A$592,magnet_list!$AJ$2:$AJ$592,"n/a",0,1)</f>
        <v>0.33198863580560978</v>
      </c>
      <c r="AB1004">
        <f>_xlfn.XLOOKUP($G1004,magnet_list!$A$2:$A$592,magnet_list!$L$2:$L$592,"n/a",0,1)</f>
        <v>140</v>
      </c>
    </row>
    <row r="1005" spans="1:28">
      <c r="A1005" t="s">
        <v>797</v>
      </c>
      <c r="B1005">
        <v>1</v>
      </c>
      <c r="C1005" t="s">
        <v>805</v>
      </c>
      <c r="D1005" t="s">
        <v>1152</v>
      </c>
      <c r="E1005" t="s">
        <v>804</v>
      </c>
      <c r="F1005" t="s">
        <v>648</v>
      </c>
      <c r="G1005" t="s">
        <v>2580</v>
      </c>
      <c r="I1005">
        <f>_xlfn.XLOOKUP($F1005,設計座標!$E$13:$E$2301,設計座標!$G$13:$G$2301,"n/a",0,1)</f>
        <v>301.46157719530885</v>
      </c>
      <c r="J1005">
        <f>_xlfn.XLOOKUP($F1005,設計座標!$E$13:$E$2301,設計座標!$H$13:$H$2301,"n/a",0,1)</f>
        <v>-15000</v>
      </c>
      <c r="K1005">
        <f>_xlfn.XLOOKUP($F1005,設計座標!$E$13:$E$2301,設計座標!$I$13:$I$2301,"n/a",0,1)</f>
        <v>-36999.519729400003</v>
      </c>
      <c r="L1005">
        <f>_xlfn.XLOOKUP($F1005,設計座標!$E$13:$E$2301,設計座標!$J$13:$J$2301,"n/a",0,1)</f>
        <v>75</v>
      </c>
      <c r="M1005" s="2">
        <f t="shared" ref="M1005:M1006" si="788">$J1005+$Q1005</f>
        <v>-14993.776754315701</v>
      </c>
      <c r="N1005" s="2">
        <f t="shared" ref="N1005:N1006" si="789">$K1005</f>
        <v>-36999.519729400003</v>
      </c>
      <c r="O1005" s="23">
        <f t="shared" ref="O1005:O1006" si="790">$L1005+$S1005</f>
        <v>74.882961216434865</v>
      </c>
      <c r="P1005" s="1">
        <f t="shared" si="772"/>
        <v>74.98284607794622</v>
      </c>
      <c r="Q1005" s="1">
        <f>(Q$1007-Q$1004)/($N$1007-$N$1004)*($N1005-$N$1004)+Q$1004</f>
        <v>6.2232456842990773</v>
      </c>
      <c r="R1005">
        <f t="shared" si="727"/>
        <v>0</v>
      </c>
      <c r="S1005" s="23">
        <f t="shared" ref="S1005:S1006" si="791">(S$1007-S$1004)/($N$1007-$N$1004)*($N1005-$N$1004)+S$1004</f>
        <v>-0.11703878356513794</v>
      </c>
      <c r="T1005">
        <f>$S1005+測地線補正!$Q$26*(lattice!$N1005/1000)^3+測地線補正!$P$26*(lattice!$N1005/1000)^2+測地線補正!$O$26*(lattice!$N1005/1000)+測地線補正!$N$26</f>
        <v>-1.7153922053777526E-2</v>
      </c>
      <c r="U1005">
        <f t="shared" ref="U1005" si="792">-ATAN(($P$1007-$P$1004)/ABS($N$1007-$N$1004))</f>
        <v>-1.754540995355653E-4</v>
      </c>
      <c r="V1005">
        <v>0</v>
      </c>
      <c r="W1005">
        <f>ATAN(($M$1007-$M$1004)/ABS($N$1007-$N$1004))</f>
        <v>-3.361345163301693E-4</v>
      </c>
      <c r="X1005" t="s">
        <v>3860</v>
      </c>
      <c r="Y1005">
        <f>_xlfn.XLOOKUP($F1005,設計座標!$E$13:$E$2301,設計座標!$L$13:$L$2301," ",0,1)</f>
        <v>300</v>
      </c>
      <c r="Z1005">
        <f>SQRT(($M$1005-$M$1002)^2+($N$1005-$N$1002)^2)</f>
        <v>649.91457751735697</v>
      </c>
      <c r="AA1005">
        <f>_xlfn.XLOOKUP($G1005,magnet_list!$A$2:$A$592,magnet_list!$AJ$2:$AJ$592,"n/a",0,1)</f>
        <v>0.33198863580560978</v>
      </c>
      <c r="AB1005">
        <f>_xlfn.XLOOKUP($G1005,magnet_list!$A$2:$A$592,magnet_list!$L$2:$L$592,"n/a",0,1)</f>
        <v>140</v>
      </c>
    </row>
    <row r="1006" spans="1:28">
      <c r="A1006" t="s">
        <v>797</v>
      </c>
      <c r="B1006">
        <v>1</v>
      </c>
      <c r="C1006" t="s">
        <v>804</v>
      </c>
      <c r="D1006" t="s">
        <v>1152</v>
      </c>
      <c r="E1006" t="s">
        <v>804</v>
      </c>
      <c r="F1006" t="s">
        <v>1300</v>
      </c>
      <c r="G1006" t="s">
        <v>2578</v>
      </c>
      <c r="I1006">
        <f>_xlfn.XLOOKUP($F1006,設計座標!$E$13:$E$2301,設計座標!$G$13:$G$2301,"n/a",0,1)</f>
        <v>301.49958256136892</v>
      </c>
      <c r="J1006">
        <f>_xlfn.XLOOKUP($F1006,設計座標!$E$13:$E$2301,設計座標!$H$13:$H$2301,"n/a",0,1)</f>
        <v>-15000</v>
      </c>
      <c r="K1006">
        <f>_xlfn.XLOOKUP($F1006,設計座標!$E$13:$E$2301,設計座標!$I$13:$I$2301,"n/a",0,1)</f>
        <v>-37037.525095460063</v>
      </c>
      <c r="L1006">
        <f>_xlfn.XLOOKUP($F1006,設計座標!$E$13:$E$2301,設計座標!$J$13:$J$2301,"n/a",0,1)</f>
        <v>-270</v>
      </c>
      <c r="M1006" s="2">
        <f t="shared" si="788"/>
        <v>-14993.789529231521</v>
      </c>
      <c r="N1006" s="2">
        <f t="shared" si="789"/>
        <v>-37037.525095460063</v>
      </c>
      <c r="O1006" s="23">
        <f t="shared" si="790"/>
        <v>-270.11172594588567</v>
      </c>
      <c r="P1006" s="1">
        <f t="shared" si="772"/>
        <v>-270.01048593246315</v>
      </c>
      <c r="Q1006" s="1">
        <f>(Q$1007-Q$1004)/($N$1007-$N$1004)*($N1006-$N$1004)+Q$1004</f>
        <v>6.2104707684793965</v>
      </c>
      <c r="R1006">
        <f t="shared" si="727"/>
        <v>0</v>
      </c>
      <c r="S1006" s="23">
        <f t="shared" si="791"/>
        <v>-0.11172594588564561</v>
      </c>
      <c r="T1006">
        <f>$S1006+測地線補正!$Q$26*(lattice!$N1006/1000)^3+測地線補正!$P$26*(lattice!$N1006/1000)^2+測地線補正!$O$26*(lattice!$N1006/1000)+測地線補正!$N$26</f>
        <v>-1.0485932463155212E-2</v>
      </c>
      <c r="U1006">
        <f>-ATAN(($P$1011-$P$1000)/ABS($N$1011-$N$1000))</f>
        <v>6.1015604534110335E-6</v>
      </c>
      <c r="V1006">
        <v>0</v>
      </c>
      <c r="W1006">
        <f>ATAN(($M$1011-$M$1000)/ABS($N$1011-$N$1000))</f>
        <v>7.8258448554640678E-5</v>
      </c>
      <c r="X1006" t="s">
        <v>3860</v>
      </c>
      <c r="Y1006">
        <f>_xlfn.XLOOKUP($F1006,設計座標!$E$13:$E$2301,設計座標!$L$13:$L$2301," ",0,1)</f>
        <v>1889.4492</v>
      </c>
      <c r="Z1006">
        <f>SQRT(($M$1006-$M$1005)^2+($N$1006-$N$1005)^2)</f>
        <v>38.005368207105718</v>
      </c>
    </row>
    <row r="1007" spans="1:28">
      <c r="A1007" t="s">
        <v>797</v>
      </c>
      <c r="B1007">
        <v>1</v>
      </c>
      <c r="C1007" t="s">
        <v>805</v>
      </c>
      <c r="D1007" t="s">
        <v>806</v>
      </c>
      <c r="F1007" t="s">
        <v>206</v>
      </c>
      <c r="G1007" t="s">
        <v>2580</v>
      </c>
      <c r="I1007">
        <f>_xlfn.XLOOKUP($F1007,設計座標!$E$13:$E$2301,設計座標!$G$13:$G$2301,"n/a",0,1)</f>
        <v>301.59655554589887</v>
      </c>
      <c r="J1007">
        <f>_xlfn.XLOOKUP($F1007,設計座標!$E$13:$E$2301,設計座標!$H$13:$H$2301,"n/a",0,1)</f>
        <v>-15000</v>
      </c>
      <c r="K1007">
        <f>_xlfn.XLOOKUP($F1007,設計座標!$E$13:$E$2301,設計座標!$I$13:$I$2301,"n/a",0,1)</f>
        <v>-37134.49807999</v>
      </c>
      <c r="L1007">
        <f>_xlfn.XLOOKUP($F1007,設計座標!$E$13:$E$2301,設計座標!$J$13:$J$2301,"n/a",0,1)</f>
        <v>75</v>
      </c>
      <c r="M1007" s="2">
        <f>_xlfn.XLOOKUP($F1007,survey_data!$A$2:$A$833,survey_data!$B$2:$B$833,"n/a",0,1)</f>
        <v>-14993.8221252</v>
      </c>
      <c r="N1007" s="2">
        <f>_xlfn.XLOOKUP($F1007,survey_data!$A$2:$A$833,survey_data!$C$2:$C$833,"n/a",0,1)</f>
        <v>-37134.49807999</v>
      </c>
      <c r="O1007" s="23">
        <f>_xlfn.XLOOKUP($F1007,survey_data!$A$2:$A$833,survey_data!$D$2:$D$833,"n/a",0,1)</f>
        <v>74.901830079999996</v>
      </c>
      <c r="P1007" s="1">
        <f t="shared" si="772"/>
        <v>75.006525965587343</v>
      </c>
      <c r="Q1007" s="1">
        <f t="shared" si="726"/>
        <v>6.1778747999996995</v>
      </c>
      <c r="R1007">
        <f t="shared" si="727"/>
        <v>0</v>
      </c>
      <c r="S1007" s="23">
        <f t="shared" si="728"/>
        <v>-9.8169920000003685E-2</v>
      </c>
      <c r="T1007">
        <f>$S1007+測地線補正!$Q$26*(lattice!$N1007/1000)^3+測地線補正!$P$26*(lattice!$N1007/1000)^2+測地線補正!$O$26*(lattice!$N1007/1000)+測地線補正!$N$26</f>
        <v>6.5259655873501909E-3</v>
      </c>
      <c r="U1007">
        <f>-ATAN(($P$1007-$P$1004)/ABS($N$1007-$N$1004))</f>
        <v>-1.754540995355653E-4</v>
      </c>
      <c r="V1007">
        <v>0</v>
      </c>
      <c r="W1007">
        <f>ATAN(($M$1007-$M$1004)/ABS($N$1007-$N$1004))</f>
        <v>-3.361345163301693E-4</v>
      </c>
      <c r="X1007" t="s">
        <v>3860</v>
      </c>
      <c r="Y1007">
        <f>_xlfn.XLOOKUP($F1007,設計座標!$E$13:$E$2301,設計座標!$L$13:$L$2301," ",0,1)</f>
        <v>300</v>
      </c>
      <c r="Z1007">
        <f>SQRT(($M$1005-$M$1002)^2+($N$1005-$N$1002)^2)</f>
        <v>649.91457751735697</v>
      </c>
      <c r="AA1007">
        <f>_xlfn.XLOOKUP($G1007,magnet_list!$A$2:$A$592,magnet_list!$AJ$2:$AJ$592,"n/a",0,1)</f>
        <v>0.33198863580560978</v>
      </c>
      <c r="AB1007">
        <f>_xlfn.XLOOKUP($G1007,magnet_list!$A$2:$A$592,magnet_list!$L$2:$L$592,"n/a",0,1)</f>
        <v>140</v>
      </c>
    </row>
    <row r="1008" spans="1:28">
      <c r="A1008" t="s">
        <v>797</v>
      </c>
      <c r="B1008">
        <v>1</v>
      </c>
      <c r="C1008" t="s">
        <v>805</v>
      </c>
      <c r="D1008" t="s">
        <v>806</v>
      </c>
      <c r="F1008" t="s">
        <v>207</v>
      </c>
      <c r="G1008" t="s">
        <v>2581</v>
      </c>
      <c r="I1008">
        <f>_xlfn.XLOOKUP($F1008,設計座標!$E$13:$E$2301,設計座標!$G$13:$G$2301,"n/a",0,1)</f>
        <v>301.97663243380885</v>
      </c>
      <c r="J1008">
        <f>_xlfn.XLOOKUP($F1008,設計座標!$E$13:$E$2301,設計座標!$H$13:$H$2301,"n/a",0,1)</f>
        <v>-15000</v>
      </c>
      <c r="K1008">
        <f>_xlfn.XLOOKUP($F1008,設計座標!$E$13:$E$2301,設計座標!$I$13:$I$2301,"n/a",0,1)</f>
        <v>-37514.5749679</v>
      </c>
      <c r="L1008">
        <f>_xlfn.XLOOKUP($F1008,設計座標!$E$13:$E$2301,設計座標!$J$13:$J$2301,"n/a",0,1)</f>
        <v>75</v>
      </c>
      <c r="M1008" s="2">
        <f>_xlfn.XLOOKUP($F1008,survey_data!$A$2:$A$833,survey_data!$B$2:$B$833,"n/a",0,1)</f>
        <v>-14993.726554610001</v>
      </c>
      <c r="N1008" s="2">
        <f>_xlfn.XLOOKUP($F1008,survey_data!$A$2:$A$833,survey_data!$C$2:$C$833,"n/a",0,1)</f>
        <v>-37514.5749679</v>
      </c>
      <c r="O1008" s="23">
        <f>_xlfn.XLOOKUP($F1008,survey_data!$A$2:$A$833,survey_data!$D$2:$D$833,"n/a",0,1)</f>
        <v>74.816822239999993</v>
      </c>
      <c r="P1008" s="1">
        <f t="shared" si="772"/>
        <v>74.935037080216077</v>
      </c>
      <c r="Q1008" s="1">
        <f t="shared" ref="Q1008:Q1071" si="793">$M1008-$J1008</f>
        <v>6.2734453899993241</v>
      </c>
      <c r="R1008">
        <f t="shared" ref="R1008:R1071" si="794">$N1008-$K1008</f>
        <v>0</v>
      </c>
      <c r="S1008" s="23">
        <f t="shared" ref="S1008:S1071" si="795">$O1008-$L1008</f>
        <v>-0.18317776000000663</v>
      </c>
      <c r="T1008">
        <f>$S1008+測地線補正!$Q$26*(lattice!$N1008/1000)^3+測地線補正!$P$26*(lattice!$N1008/1000)^2+測地線補正!$O$26*(lattice!$N1008/1000)+測地線補正!$N$26</f>
        <v>-6.4962919783925654E-2</v>
      </c>
      <c r="U1008">
        <f>-ATAN(($P$1010-$P$1008)/ABS($N$1010-$N$1008))</f>
        <v>-1.4973007195084333E-4</v>
      </c>
      <c r="V1008">
        <v>0</v>
      </c>
      <c r="W1008">
        <f>ATAN(($M$1010-$M$1008)/ABS($N$1010-$N$1008))</f>
        <v>-1.4060165837731254E-4</v>
      </c>
      <c r="X1008" t="s">
        <v>3860</v>
      </c>
      <c r="Y1008">
        <f>_xlfn.XLOOKUP($F1008,設計座標!$E$13:$E$2301,設計座標!$L$13:$L$2301," ",0,1)</f>
        <v>300</v>
      </c>
      <c r="Z1008">
        <f>SQRT(($M$1009-$M$1006)^2+($N$1009-$N$1006)^2)</f>
        <v>612.05487402096651</v>
      </c>
      <c r="AA1008">
        <f>_xlfn.XLOOKUP($G1008,magnet_list!$A$2:$A$592,magnet_list!$AJ$2:$AJ$592,"n/a",0,1)</f>
        <v>0.33198863580560978</v>
      </c>
      <c r="AB1008">
        <f>_xlfn.XLOOKUP($G1008,magnet_list!$A$2:$A$592,magnet_list!$L$2:$L$592,"n/a",0,1)</f>
        <v>140</v>
      </c>
    </row>
    <row r="1009" spans="1:28">
      <c r="A1009" t="s">
        <v>797</v>
      </c>
      <c r="B1009">
        <v>1</v>
      </c>
      <c r="C1009" t="s">
        <v>805</v>
      </c>
      <c r="D1009" t="s">
        <v>1152</v>
      </c>
      <c r="E1009" t="s">
        <v>804</v>
      </c>
      <c r="F1009" t="s">
        <v>649</v>
      </c>
      <c r="G1009" t="s">
        <v>2581</v>
      </c>
      <c r="I1009">
        <f>_xlfn.XLOOKUP($F1009,設計座標!$E$13:$E$2301,設計座標!$G$13:$G$2301,"n/a",0,1)</f>
        <v>302.11163743380882</v>
      </c>
      <c r="J1009">
        <f>_xlfn.XLOOKUP($F1009,設計座標!$E$13:$E$2301,設計座標!$H$13:$H$2301,"n/a",0,1)</f>
        <v>-15000</v>
      </c>
      <c r="K1009">
        <f>_xlfn.XLOOKUP($F1009,設計座標!$E$13:$E$2301,設計座標!$I$13:$I$2301,"n/a",0,1)</f>
        <v>-37649.579967899997</v>
      </c>
      <c r="L1009">
        <f>_xlfn.XLOOKUP($F1009,設計座標!$E$13:$E$2301,設計座標!$J$13:$J$2301,"n/a",0,1)</f>
        <v>75</v>
      </c>
      <c r="M1009" s="2">
        <f t="shared" ref="M1009:M1017" si="796">$J1009+$Q1009</f>
        <v>-14993.745536537015</v>
      </c>
      <c r="N1009" s="2">
        <f t="shared" ref="N1009:N1017" si="797">$K1009</f>
        <v>-37649.579967899997</v>
      </c>
      <c r="O1009" s="23">
        <f t="shared" ref="O1009:O1017" si="798">$L1009+$S1009</f>
        <v>74.832247143739551</v>
      </c>
      <c r="P1009" s="1">
        <f t="shared" si="772"/>
        <v>74.955254001183235</v>
      </c>
      <c r="Q1009" s="1">
        <f>(Q$1010-Q$1008)/($N$1010-$N$1008)*($N1009-$N$1008)+Q$1008</f>
        <v>6.2544634629850115</v>
      </c>
      <c r="R1009">
        <f t="shared" si="794"/>
        <v>0</v>
      </c>
      <c r="S1009" s="23">
        <f>(S$1010-S$1008)/($N$1010-$N$1008)*($N1009-$N$1008)+S$1008</f>
        <v>-0.16775285626044908</v>
      </c>
      <c r="T1009">
        <f>$S1009+測地線補正!$Q$26*(lattice!$N1009/1000)^3+測地線補正!$P$26*(lattice!$N1009/1000)^2+測地線補正!$O$26*(lattice!$N1009/1000)+測地線補正!$N$26</f>
        <v>-4.474599881676089E-2</v>
      </c>
      <c r="U1009">
        <f t="shared" ref="U1009:U1010" si="799">-ATAN(($P$1010-$P$1008)/ABS($N$1010-$N$1008))</f>
        <v>-1.4973007195084333E-4</v>
      </c>
      <c r="V1009">
        <v>0</v>
      </c>
      <c r="W1009">
        <f t="shared" ref="W1009:W1010" si="800">ATAN(($M$1010-$M$1008)/ABS($N$1010-$N$1008))</f>
        <v>-1.4060165837731254E-4</v>
      </c>
      <c r="X1009" t="s">
        <v>3860</v>
      </c>
      <c r="Y1009">
        <f>_xlfn.XLOOKUP($F1009,設計座標!$E$13:$E$2301,設計座標!$L$13:$L$2301," ",0,1)</f>
        <v>300</v>
      </c>
      <c r="Z1009">
        <f>SQRT(($M$1009-$M$1006)^2+($N$1009-$N$1006)^2)</f>
        <v>612.05487402096651</v>
      </c>
      <c r="AA1009">
        <f>_xlfn.XLOOKUP($G1009,magnet_list!$A$2:$A$592,magnet_list!$AJ$2:$AJ$592,"n/a",0,1)</f>
        <v>0.33198863580560978</v>
      </c>
      <c r="AB1009">
        <f>_xlfn.XLOOKUP($G1009,magnet_list!$A$2:$A$592,magnet_list!$L$2:$L$592,"n/a",0,1)</f>
        <v>140</v>
      </c>
    </row>
    <row r="1010" spans="1:28">
      <c r="A1010" t="s">
        <v>797</v>
      </c>
      <c r="B1010">
        <v>1</v>
      </c>
      <c r="C1010" t="s">
        <v>805</v>
      </c>
      <c r="D1010" t="s">
        <v>806</v>
      </c>
      <c r="F1010" t="s">
        <v>208</v>
      </c>
      <c r="G1010" t="s">
        <v>2581</v>
      </c>
      <c r="I1010">
        <f>_xlfn.XLOOKUP($F1010,設計座標!$E$13:$E$2301,設計座標!$G$13:$G$2301,"n/a",0,1)</f>
        <v>302.24661296026881</v>
      </c>
      <c r="J1010">
        <f>_xlfn.XLOOKUP($F1010,設計座標!$E$13:$E$2301,設計座標!$H$13:$H$2301,"n/a",0,1)</f>
        <v>-15000</v>
      </c>
      <c r="K1010">
        <f>_xlfn.XLOOKUP($F1010,設計座標!$E$13:$E$2301,設計座標!$I$13:$I$2301,"n/a",0,1)</f>
        <v>-37784.55549436</v>
      </c>
      <c r="L1010">
        <f>_xlfn.XLOOKUP($F1010,設計座標!$E$13:$E$2301,設計座標!$J$13:$J$2301,"n/a",0,1)</f>
        <v>75</v>
      </c>
      <c r="M1010" s="2">
        <f>_xlfn.XLOOKUP($F1010,survey_data!$A$2:$A$833,survey_data!$B$2:$B$833,"n/a",0,1)</f>
        <v>-14993.764514320001</v>
      </c>
      <c r="N1010" s="2">
        <f>_xlfn.XLOOKUP($F1010,survey_data!$A$2:$A$833,survey_data!$C$2:$C$833,"n/a",0,1)</f>
        <v>-37784.55549436</v>
      </c>
      <c r="O1010" s="23">
        <f>_xlfn.XLOOKUP($F1010,survey_data!$A$2:$A$833,survey_data!$D$2:$D$833,"n/a",0,1)</f>
        <v>74.847668679999998</v>
      </c>
      <c r="P1010" s="1">
        <f t="shared" si="772"/>
        <v>74.97546128417035</v>
      </c>
      <c r="Q1010" s="1">
        <f t="shared" si="793"/>
        <v>6.2354856799993286</v>
      </c>
      <c r="R1010">
        <f t="shared" si="794"/>
        <v>0</v>
      </c>
      <c r="S1010" s="23">
        <f t="shared" si="795"/>
        <v>-0.15233132000000182</v>
      </c>
      <c r="T1010">
        <f>$S1010+測地線補正!$Q$26*(lattice!$N1010/1000)^3+測地線補正!$P$26*(lattice!$N1010/1000)^2+測地線補正!$O$26*(lattice!$N1010/1000)+測地線補正!$N$26</f>
        <v>-2.4538715829651281E-2</v>
      </c>
      <c r="U1010">
        <f t="shared" si="799"/>
        <v>-1.4973007195084333E-4</v>
      </c>
      <c r="V1010">
        <v>0</v>
      </c>
      <c r="W1010">
        <f t="shared" si="800"/>
        <v>-1.4060165837731254E-4</v>
      </c>
      <c r="X1010" t="s">
        <v>3860</v>
      </c>
      <c r="Y1010">
        <f>_xlfn.XLOOKUP($F1010,設計座標!$E$13:$E$2301,設計座標!$L$13:$L$2301," ",0,1)</f>
        <v>300</v>
      </c>
      <c r="Z1010">
        <f>SQRT(($M$1009-$M$1006)^2+($N$1009-$N$1006)^2)</f>
        <v>612.05487402096651</v>
      </c>
      <c r="AA1010">
        <f>_xlfn.XLOOKUP($G1010,magnet_list!$A$2:$A$592,magnet_list!$AJ$2:$AJ$592,"n/a",0,1)</f>
        <v>0.33198863580560978</v>
      </c>
      <c r="AB1010">
        <f>_xlfn.XLOOKUP($G1010,magnet_list!$A$2:$A$592,magnet_list!$L$2:$L$592,"n/a",0,1)</f>
        <v>140</v>
      </c>
    </row>
    <row r="1011" spans="1:28">
      <c r="A1011" t="s">
        <v>797</v>
      </c>
      <c r="B1011">
        <v>1</v>
      </c>
      <c r="C1011" t="s">
        <v>804</v>
      </c>
      <c r="D1011" t="s">
        <v>1152</v>
      </c>
      <c r="E1011" t="s">
        <v>804</v>
      </c>
      <c r="F1011" t="s">
        <v>1588</v>
      </c>
      <c r="G1011" t="s">
        <v>2578</v>
      </c>
      <c r="I1011">
        <f>_xlfn.XLOOKUP($F1011,設計座標!$E$13:$E$2301,設計座標!$G$13:$G$2301,"n/a",0,1)</f>
        <v>302.44430716136895</v>
      </c>
      <c r="J1011">
        <f>_xlfn.XLOOKUP($F1011,設計座標!$E$13:$E$2301,設計座標!$H$13:$H$2301,"n/a",0,1)</f>
        <v>-15000</v>
      </c>
      <c r="K1011">
        <f>_xlfn.XLOOKUP($F1011,設計座標!$E$13:$E$2301,設計座標!$I$13:$I$2301,"n/a",0,1)</f>
        <v>-37982.249695460065</v>
      </c>
      <c r="L1011">
        <f>_xlfn.XLOOKUP($F1011,設計座標!$E$13:$E$2301,設計座標!$J$13:$J$2301,"n/a",0,1)</f>
        <v>-270</v>
      </c>
      <c r="M1011" s="2">
        <f t="shared" si="796"/>
        <v>-14993.736880700289</v>
      </c>
      <c r="N1011" s="2">
        <f t="shared" si="797"/>
        <v>-37982.249695460065</v>
      </c>
      <c r="O1011" s="23">
        <f t="shared" si="798"/>
        <v>-270.18625328450918</v>
      </c>
      <c r="P1011" s="1">
        <f t="shared" si="772"/>
        <v>-270.05146057948099</v>
      </c>
      <c r="Q1011" s="1">
        <f>(Q$1012-Q$1010)/($N$1012-$N$1010)*($N1011-$N$1010)+Q$1010</f>
        <v>6.2631192997099241</v>
      </c>
      <c r="R1011">
        <f t="shared" si="794"/>
        <v>0</v>
      </c>
      <c r="S1011" s="23">
        <f>(S$1012-S$1010)/($N$1012-$N$1010)*($N1011-$N$1010)+S$1010</f>
        <v>-0.18625328450918444</v>
      </c>
      <c r="T1011">
        <f>$S1011+測地線補正!$Q$26*(lattice!$N1011/1000)^3+測地線補正!$P$26*(lattice!$N1011/1000)^2+測地線補正!$O$26*(lattice!$N1011/1000)+測地線補正!$N$26</f>
        <v>-5.146057948096372E-2</v>
      </c>
      <c r="U1011">
        <f>-ATAN(($P$1011-$P$1000)/ABS($N$1011-$N$1000))</f>
        <v>6.1015604534110335E-6</v>
      </c>
      <c r="V1011">
        <v>0</v>
      </c>
      <c r="W1011">
        <f>ATAN(($M$1011-$M$1000)/ABS($N$1011-$N$1000))</f>
        <v>7.8258448554640678E-5</v>
      </c>
      <c r="X1011" t="s">
        <v>3860</v>
      </c>
      <c r="Y1011">
        <f>_xlfn.XLOOKUP($F1011,設計座標!$E$13:$E$2301,設計座標!$L$13:$L$2301," ",0,1)</f>
        <v>1889.4492</v>
      </c>
      <c r="Z1011">
        <f>SQRT(($M$1006-$M$1005)^2+($N$1006-$N$1005)^2)</f>
        <v>38.005368207105718</v>
      </c>
    </row>
    <row r="1012" spans="1:28">
      <c r="A1012" t="s">
        <v>797</v>
      </c>
      <c r="B1012">
        <v>1</v>
      </c>
      <c r="C1012" t="s">
        <v>805</v>
      </c>
      <c r="D1012" t="s">
        <v>806</v>
      </c>
      <c r="F1012" t="s">
        <v>209</v>
      </c>
      <c r="G1012" t="s">
        <v>2582</v>
      </c>
      <c r="I1012">
        <f>_xlfn.XLOOKUP($F1012,設計座標!$E$13:$E$2301,設計座標!$G$13:$G$2301,"n/a",0,1)</f>
        <v>302.69066361183889</v>
      </c>
      <c r="J1012">
        <f>_xlfn.XLOOKUP($F1012,設計座標!$E$13:$E$2301,設計座標!$H$13:$H$2301,"n/a",0,1)</f>
        <v>-15000</v>
      </c>
      <c r="K1012">
        <f>_xlfn.XLOOKUP($F1012,設計座標!$E$13:$E$2301,設計座標!$I$13:$I$2301,"n/a",0,1)</f>
        <v>-38228.606145930004</v>
      </c>
      <c r="L1012">
        <f>_xlfn.XLOOKUP($F1012,設計座標!$E$13:$E$2301,設計座標!$J$13:$J$2301,"n/a",0,1)</f>
        <v>90</v>
      </c>
      <c r="M1012" s="2">
        <f>_xlfn.XLOOKUP($F1012,survey_data!$A$2:$A$833,survey_data!$B$2:$B$833,"n/a",0,1)</f>
        <v>-14993.702445090001</v>
      </c>
      <c r="N1012" s="2">
        <f>_xlfn.XLOOKUP($F1012,survey_data!$A$2:$A$833,survey_data!$C$2:$C$833,"n/a",0,1)</f>
        <v>-38228.606145930004</v>
      </c>
      <c r="O1012" s="23">
        <f>_xlfn.XLOOKUP($F1012,survey_data!$A$2:$A$833,survey_data!$D$2:$D$833,"n/a",0,1)</f>
        <v>89.771474889999993</v>
      </c>
      <c r="P1012" s="1">
        <f t="shared" si="772"/>
        <v>89.914975096546911</v>
      </c>
      <c r="Q1012" s="1">
        <f t="shared" si="793"/>
        <v>6.297554909999235</v>
      </c>
      <c r="R1012">
        <f t="shared" si="794"/>
        <v>0</v>
      </c>
      <c r="S1012" s="23">
        <f t="shared" si="795"/>
        <v>-0.22852511000000675</v>
      </c>
      <c r="T1012">
        <f>$S1012+測地線補正!$Q$26*(lattice!$N1012/1000)^3+測地線補正!$P$26*(lattice!$N1012/1000)^2+測地線補正!$O$26*(lattice!$N1012/1000)+測地線補正!$N$26</f>
        <v>-8.5024903453087886E-2</v>
      </c>
      <c r="U1012">
        <f>-ATAN(($P$1014-$P$1012)/ABS($N$1014-$N$1012))</f>
        <v>3.2283686693294038E-4</v>
      </c>
      <c r="V1012">
        <v>0</v>
      </c>
      <c r="W1012">
        <f>ATAN(($M$1014-$M$1012)/ABS($N$1014-$N$1012))</f>
        <v>1.8525848957901353E-5</v>
      </c>
      <c r="X1012">
        <f>SQRT(($M$1013-$M$1011)^2+($N$1013-$N$1011)^2)-$Y$1013/2</f>
        <v>236.37645248784327</v>
      </c>
      <c r="Y1012">
        <f>_xlfn.XLOOKUP($F1012,設計座標!$E$13:$E$2301,設計座標!$L$13:$L$2301," ",0,1)</f>
        <v>160</v>
      </c>
      <c r="Z1012">
        <f>SQRT(($M$1013-$M$1009)^2+($N$1013-$N$1009)^2)</f>
        <v>649.0461795478916</v>
      </c>
      <c r="AA1012">
        <f>_xlfn.XLOOKUP($G1012,magnet_list!$A$2:$A$592,magnet_list!$AJ$2:$AJ$592,"n/a",0,1)</f>
        <v>0.17374887133613809</v>
      </c>
      <c r="AB1012">
        <f>_xlfn.XLOOKUP($G1012,magnet_list!$A$2:$A$592,magnet_list!$L$2:$L$592,"n/a",0,1)</f>
        <v>44</v>
      </c>
    </row>
    <row r="1013" spans="1:28">
      <c r="A1013" t="s">
        <v>797</v>
      </c>
      <c r="B1013">
        <v>1</v>
      </c>
      <c r="C1013" t="s">
        <v>805</v>
      </c>
      <c r="D1013" t="s">
        <v>1152</v>
      </c>
      <c r="E1013" t="s">
        <v>804</v>
      </c>
      <c r="F1013" t="s">
        <v>650</v>
      </c>
      <c r="G1013" t="s">
        <v>2582</v>
      </c>
      <c r="I1013">
        <f>_xlfn.XLOOKUP($F1013,設計座標!$E$13:$E$2301,設計座標!$G$13:$G$2301,"n/a",0,1)</f>
        <v>302.76068361183889</v>
      </c>
      <c r="J1013">
        <f>_xlfn.XLOOKUP($F1013,設計座標!$E$13:$E$2301,設計座標!$H$13:$H$2301,"n/a",0,1)</f>
        <v>-15000</v>
      </c>
      <c r="K1013">
        <f>_xlfn.XLOOKUP($F1013,設計座標!$E$13:$E$2301,設計座標!$I$13:$I$2301,"n/a",0,1)</f>
        <v>-38298.626145930008</v>
      </c>
      <c r="L1013">
        <f>_xlfn.XLOOKUP($F1013,設計座標!$E$13:$E$2301,設計座標!$J$13:$J$2301,"n/a",0,1)</f>
        <v>90</v>
      </c>
      <c r="M1013" s="2">
        <f t="shared" si="796"/>
        <v>-14993.701147910057</v>
      </c>
      <c r="N1013" s="2">
        <f t="shared" si="797"/>
        <v>-38298.626145930008</v>
      </c>
      <c r="O1013" s="23">
        <f t="shared" si="798"/>
        <v>89.746398857622964</v>
      </c>
      <c r="P1013" s="1">
        <f t="shared" si="772"/>
        <v>89.892370759155497</v>
      </c>
      <c r="Q1013" s="1">
        <f>(Q$1014-Q$1012)/($N$1014-$N$1012)*($N1013-$N$1012)+Q$1012</f>
        <v>6.2988520899434155</v>
      </c>
      <c r="R1013">
        <f t="shared" si="794"/>
        <v>0</v>
      </c>
      <c r="S1013" s="23">
        <f>(S$1014-S$1012)/($N$1014-$N$1012)*($N1013-$N$1012)+S$1012</f>
        <v>-0.25360114237703851</v>
      </c>
      <c r="T1013">
        <f>$S1013+測地線補正!$Q$26*(lattice!$N1013/1000)^3+測地線補正!$P$26*(lattice!$N1013/1000)^2+測地線補正!$O$26*(lattice!$N1013/1000)+測地線補正!$N$26</f>
        <v>-0.10762924084450698</v>
      </c>
      <c r="U1013">
        <f t="shared" ref="U1013:U1014" si="801">-ATAN(($P$1014-$P$1012)/ABS($N$1014-$N$1012))</f>
        <v>3.2283686693294038E-4</v>
      </c>
      <c r="V1013">
        <v>0</v>
      </c>
      <c r="W1013">
        <f t="shared" ref="W1013:W1014" si="802">ATAN(($M$1014-$M$1012)/ABS($N$1014-$N$1012))</f>
        <v>1.8525848957901353E-5</v>
      </c>
      <c r="X1013">
        <f>SQRT(($M$1013-$M$1011)^2+($N$1013-$N$1011)^2)-$Y$1013/2</f>
        <v>236.37645248784327</v>
      </c>
      <c r="Y1013">
        <f>_xlfn.XLOOKUP($F1013,設計座標!$E$13:$E$2301,設計座標!$L$13:$L$2301," ",0,1)</f>
        <v>160</v>
      </c>
      <c r="Z1013">
        <f>SQRT(($M$1013-$M$1009)^2+($N$1013-$N$1009)^2)</f>
        <v>649.0461795478916</v>
      </c>
      <c r="AA1013">
        <f>_xlfn.XLOOKUP($G1013,magnet_list!$A$2:$A$592,magnet_list!$AJ$2:$AJ$592,"n/a",0,1)</f>
        <v>0.17374887133613809</v>
      </c>
      <c r="AB1013">
        <f>_xlfn.XLOOKUP($G1013,magnet_list!$A$2:$A$592,magnet_list!$L$2:$L$592,"n/a",0,1)</f>
        <v>44</v>
      </c>
    </row>
    <row r="1014" spans="1:28">
      <c r="A1014" t="s">
        <v>797</v>
      </c>
      <c r="B1014">
        <v>1</v>
      </c>
      <c r="C1014" t="s">
        <v>805</v>
      </c>
      <c r="D1014" t="s">
        <v>806</v>
      </c>
      <c r="F1014" t="s">
        <v>210</v>
      </c>
      <c r="G1014" t="s">
        <v>2582</v>
      </c>
      <c r="I1014">
        <f>_xlfn.XLOOKUP($F1014,設計座標!$E$13:$E$2301,設計座標!$G$13:$G$2301,"n/a",0,1)</f>
        <v>302.83062588863891</v>
      </c>
      <c r="J1014">
        <f>_xlfn.XLOOKUP($F1014,設計座標!$E$13:$E$2301,設計座標!$H$13:$H$2301,"n/a",0,1)</f>
        <v>-15000</v>
      </c>
      <c r="K1014">
        <f>_xlfn.XLOOKUP($F1014,設計座標!$E$13:$E$2301,設計座標!$I$13:$I$2301,"n/a",0,1)</f>
        <v>-38368.568422730001</v>
      </c>
      <c r="L1014">
        <f>_xlfn.XLOOKUP($F1014,設計座標!$E$13:$E$2301,設計座標!$J$13:$J$2301,"n/a",0,1)</f>
        <v>90</v>
      </c>
      <c r="M1014" s="2">
        <f>_xlfn.XLOOKUP($F1014,survey_data!$A$2:$A$833,survey_data!$B$2:$B$833,"n/a",0,1)</f>
        <v>-14993.699852170001</v>
      </c>
      <c r="N1014" s="2">
        <f>_xlfn.XLOOKUP($F1014,survey_data!$A$2:$A$833,survey_data!$C$2:$C$833,"n/a",0,1)</f>
        <v>-38368.568422730001</v>
      </c>
      <c r="O1014" s="23">
        <f>_xlfn.XLOOKUP($F1014,survey_data!$A$2:$A$833,survey_data!$D$2:$D$833,"n/a",0,1)</f>
        <v>89.721350659999999</v>
      </c>
      <c r="P1014" s="1">
        <f t="shared" si="772"/>
        <v>89.869790112046218</v>
      </c>
      <c r="Q1014" s="1">
        <f t="shared" si="793"/>
        <v>6.3001478299993323</v>
      </c>
      <c r="R1014">
        <f t="shared" si="794"/>
        <v>0</v>
      </c>
      <c r="S1014" s="23">
        <f t="shared" si="795"/>
        <v>-0.27864934000000119</v>
      </c>
      <c r="T1014">
        <f>$S1014+測地線補正!$Q$26*(lattice!$N1014/1000)^3+測地線補正!$P$26*(lattice!$N1014/1000)^2+測地線補正!$O$26*(lattice!$N1014/1000)+測地線補正!$N$26</f>
        <v>-0.13020988795378297</v>
      </c>
      <c r="U1014">
        <f t="shared" si="801"/>
        <v>3.2283686693294038E-4</v>
      </c>
      <c r="V1014">
        <v>0</v>
      </c>
      <c r="W1014">
        <f t="shared" si="802"/>
        <v>1.8525848957901353E-5</v>
      </c>
      <c r="X1014">
        <f>SQRT(($M$1013-$M$1011)^2+($N$1013-$N$1011)^2)-$Y$1013/2</f>
        <v>236.37645248784327</v>
      </c>
      <c r="Y1014">
        <f>_xlfn.XLOOKUP($F1014,設計座標!$E$13:$E$2301,設計座標!$L$13:$L$2301," ",0,1)</f>
        <v>160</v>
      </c>
      <c r="Z1014">
        <f>SQRT(($M$1013-$M$1009)^2+($N$1013-$N$1009)^2)</f>
        <v>649.0461795478916</v>
      </c>
      <c r="AA1014">
        <f>_xlfn.XLOOKUP($G1014,magnet_list!$A$2:$A$592,magnet_list!$AJ$2:$AJ$592,"n/a",0,1)</f>
        <v>0.17374887133613809</v>
      </c>
      <c r="AB1014">
        <f>_xlfn.XLOOKUP($G1014,magnet_list!$A$2:$A$592,magnet_list!$L$2:$L$592,"n/a",0,1)</f>
        <v>44</v>
      </c>
    </row>
    <row r="1015" spans="1:28">
      <c r="A1015" t="s">
        <v>797</v>
      </c>
      <c r="B1015">
        <v>1</v>
      </c>
      <c r="C1015" t="s">
        <v>804</v>
      </c>
      <c r="D1015" t="s">
        <v>1152</v>
      </c>
      <c r="E1015" t="s">
        <v>804</v>
      </c>
      <c r="F1015" t="s">
        <v>211</v>
      </c>
      <c r="G1015" t="s">
        <v>2583</v>
      </c>
      <c r="I1015">
        <f>_xlfn.XLOOKUP($F1015,設計座標!$E$13:$E$2301,設計座標!$G$13:$G$2301,"n/a",0,1)</f>
        <v>303.15284896136887</v>
      </c>
      <c r="J1015">
        <f>_xlfn.XLOOKUP($F1015,設計座標!$E$13:$E$2301,設計座標!$H$13:$H$2301,"n/a",0,1)</f>
        <v>-15000</v>
      </c>
      <c r="K1015">
        <f>_xlfn.XLOOKUP($F1015,設計座標!$E$13:$E$2301,設計座標!$I$13:$I$2301,"n/a",0,1)</f>
        <v>-38690.791495460064</v>
      </c>
      <c r="L1015">
        <f>_xlfn.XLOOKUP($F1015,設計座標!$E$13:$E$2301,設計座標!$J$13:$J$2301,"n/a",0,1)</f>
        <v>-270</v>
      </c>
      <c r="M1015" s="2">
        <f t="shared" si="796"/>
        <v>-14993.737901460023</v>
      </c>
      <c r="N1015" s="2">
        <f t="shared" si="797"/>
        <v>-38690.791495460064</v>
      </c>
      <c r="O1015" s="23">
        <f t="shared" si="798"/>
        <v>-270.26144120879951</v>
      </c>
      <c r="P1015" s="1">
        <f t="shared" si="772"/>
        <v>-270.10165186167887</v>
      </c>
      <c r="Q1015" s="1">
        <f>(Q$1016-Q$1014)/($N$1016-$N$1014)*($N1015-$N$1014)+Q$1014</f>
        <v>6.2620985399768934</v>
      </c>
      <c r="R1015">
        <f t="shared" si="794"/>
        <v>0</v>
      </c>
      <c r="S1015" s="23">
        <f>(S$1016-S$1014)/($N$1016-$N$1014)*($N1015-$N$1014)+S$1014</f>
        <v>-0.26144120879951882</v>
      </c>
      <c r="T1015">
        <f>$S1015+測地線補正!$Q$26*(lattice!$N1015/1000)^3+測地線補正!$P$26*(lattice!$N1015/1000)^2+測地線補正!$O$26*(lattice!$N1015/1000)+測地線補正!$N$26</f>
        <v>-0.10165186167889195</v>
      </c>
      <c r="U1015">
        <f>-ATAN(($P$1026-$P$1015)/ABS($N$1026-$N$1015))</f>
        <v>5.1849209487882293E-5</v>
      </c>
      <c r="V1015">
        <v>0</v>
      </c>
      <c r="W1015">
        <f>ATAN(($M$1026-$M$1015)/ABS($N$1026-$N$1015))</f>
        <v>9.8844965536548274E-5</v>
      </c>
      <c r="X1015">
        <f>SQRT(($M$1015-$M$1013)^2+($N$1015-$N$1013)^2)-$Y$1013/2</f>
        <v>312.16535125231871</v>
      </c>
      <c r="Y1015">
        <f>_xlfn.XLOOKUP($F1015,設計座標!$E$13:$E$2301,設計座標!$L$13:$L$2301," ",0,1)</f>
        <v>1889.4492</v>
      </c>
      <c r="Z1015">
        <f>SQRT(($M$1021-$M$1020)^2+($N$1021-$N$1020)^2)</f>
        <v>37.952515075898134</v>
      </c>
    </row>
    <row r="1016" spans="1:28">
      <c r="A1016" t="s">
        <v>797</v>
      </c>
      <c r="B1016">
        <v>1</v>
      </c>
      <c r="C1016" t="s">
        <v>805</v>
      </c>
      <c r="D1016" t="s">
        <v>806</v>
      </c>
      <c r="F1016" t="s">
        <v>212</v>
      </c>
      <c r="G1016" t="s">
        <v>2584</v>
      </c>
      <c r="I1016">
        <f>_xlfn.XLOOKUP($F1016,設計座標!$E$13:$E$2301,設計座標!$G$13:$G$2301,"n/a",0,1)</f>
        <v>303.27456661562883</v>
      </c>
      <c r="J1016">
        <f>_xlfn.XLOOKUP($F1016,設計座標!$E$13:$E$2301,設計座標!$H$13:$H$2301,"n/a",0,1)</f>
        <v>-15000</v>
      </c>
      <c r="K1016">
        <f>_xlfn.XLOOKUP($F1016,設計座標!$E$13:$E$2301,設計座標!$I$13:$I$2301,"n/a",0,1)</f>
        <v>-38812.509149719997</v>
      </c>
      <c r="L1016">
        <f>_xlfn.XLOOKUP($F1016,設計座標!$E$13:$E$2301,設計座標!$J$13:$J$2301,"n/a",0,1)</f>
        <v>75</v>
      </c>
      <c r="M1016" s="2">
        <f>_xlfn.XLOOKUP($F1016,survey_data!$A$2:$A$833,survey_data!$B$2:$B$833,"n/a",0,1)</f>
        <v>-14993.75227433</v>
      </c>
      <c r="N1016" s="2">
        <f>_xlfn.XLOOKUP($F1016,survey_data!$A$2:$A$833,survey_data!$C$2:$C$833,"n/a",0,1)</f>
        <v>-38812.509149719997</v>
      </c>
      <c r="O1016" s="23">
        <f>_xlfn.XLOOKUP($F1016,survey_data!$A$2:$A$833,survey_data!$D$2:$D$833,"n/a",0,1)</f>
        <v>74.745059049999995</v>
      </c>
      <c r="P1016" s="1">
        <f t="shared" si="772"/>
        <v>74.909128020247607</v>
      </c>
      <c r="Q1016" s="1">
        <f t="shared" si="793"/>
        <v>6.2477256700003636</v>
      </c>
      <c r="R1016">
        <f t="shared" si="794"/>
        <v>0</v>
      </c>
      <c r="S1016" s="23">
        <f t="shared" si="795"/>
        <v>-0.25494095000000527</v>
      </c>
      <c r="T1016">
        <f>$S1016+測地線補正!$Q$26*(lattice!$N1016/1000)^3+測地線補正!$P$26*(lattice!$N1016/1000)^2+測地線補正!$O$26*(lattice!$N1016/1000)+測地線補正!$N$26</f>
        <v>-9.0871979752394694E-2</v>
      </c>
      <c r="U1016">
        <f>-ATAN(($P$1018-$P$1016)/ABS($N$1018-$N$1016))</f>
        <v>-2.0149114145892808E-4</v>
      </c>
      <c r="V1016">
        <v>0</v>
      </c>
      <c r="W1016">
        <f>ATAN(($M$1018-$M$1016)/ABS($N$1018-$N$1016))</f>
        <v>2.9111009484157185E-4</v>
      </c>
      <c r="X1016" t="s">
        <v>3860</v>
      </c>
      <c r="Y1016">
        <f>_xlfn.XLOOKUP($F1016,設計座標!$E$13:$E$2301,設計座標!$L$13:$L$2301," ",0,1)</f>
        <v>300</v>
      </c>
      <c r="Z1016">
        <f>SQRT(($M$1017-$M$1013)^2+($N$1017-$N$1013)^2)</f>
        <v>648.88000389777744</v>
      </c>
      <c r="AA1016">
        <f>_xlfn.XLOOKUP($G1016,magnet_list!$A$2:$A$592,magnet_list!$AJ$2:$AJ$592,"n/a",0,1)</f>
        <v>0.33198863580560978</v>
      </c>
      <c r="AB1016">
        <f>_xlfn.XLOOKUP($G1016,magnet_list!$A$2:$A$592,magnet_list!$L$2:$L$592,"n/a",0,1)</f>
        <v>140</v>
      </c>
    </row>
    <row r="1017" spans="1:28">
      <c r="A1017" t="s">
        <v>797</v>
      </c>
      <c r="B1017">
        <v>1</v>
      </c>
      <c r="C1017" t="s">
        <v>805</v>
      </c>
      <c r="D1017" t="s">
        <v>1152</v>
      </c>
      <c r="E1017" t="s">
        <v>804</v>
      </c>
      <c r="F1017" t="s">
        <v>651</v>
      </c>
      <c r="G1017" t="s">
        <v>2584</v>
      </c>
      <c r="I1017">
        <f>_xlfn.XLOOKUP($F1017,設計座標!$E$13:$E$2301,設計座標!$G$13:$G$2301,"n/a",0,1)</f>
        <v>303.40956361562883</v>
      </c>
      <c r="J1017">
        <f>_xlfn.XLOOKUP($F1017,設計座標!$E$13:$E$2301,設計座標!$H$13:$H$2301,"n/a",0,1)</f>
        <v>-15000</v>
      </c>
      <c r="K1017">
        <f>_xlfn.XLOOKUP($F1017,設計座標!$E$13:$E$2301,設計座標!$I$13:$I$2301,"n/a",0,1)</f>
        <v>-38947.506149719993</v>
      </c>
      <c r="L1017">
        <f>_xlfn.XLOOKUP($F1017,設計座標!$E$13:$E$2301,設計座標!$J$13:$J$2301,"n/a",0,1)</f>
        <v>75</v>
      </c>
      <c r="M1017" s="2">
        <f t="shared" si="796"/>
        <v>-14993.712975339417</v>
      </c>
      <c r="N1017" s="2">
        <f t="shared" si="797"/>
        <v>-38947.506149719993</v>
      </c>
      <c r="O1017" s="23">
        <f t="shared" si="798"/>
        <v>74.767520776416845</v>
      </c>
      <c r="P1017" s="1">
        <f t="shared" si="772"/>
        <v>74.936331322952071</v>
      </c>
      <c r="Q1017" s="1">
        <f>(Q$1018-Q$1016)/($N$1018-$N$1016)*($N1017-$N$1016)+Q$1016</f>
        <v>6.287024660583822</v>
      </c>
      <c r="R1017">
        <f t="shared" si="794"/>
        <v>0</v>
      </c>
      <c r="S1017" s="23">
        <f>(S$1018-S$1016)/($N$1018-$N$1016)*($N1017-$N$1016)+S$1016</f>
        <v>-0.23247922358315753</v>
      </c>
      <c r="T1017">
        <f>$S1017+測地線補正!$Q$26*(lattice!$N1017/1000)^3+測地線補正!$P$26*(lattice!$N1017/1000)^2+測地線補正!$O$26*(lattice!$N1017/1000)+測地線補正!$N$26</f>
        <v>-6.3668677047931999E-2</v>
      </c>
      <c r="U1017">
        <f t="shared" ref="U1017:U1018" si="803">-ATAN(($P$1018-$P$1016)/ABS($N$1018-$N$1016))</f>
        <v>-2.0149114145892808E-4</v>
      </c>
      <c r="V1017">
        <v>0</v>
      </c>
      <c r="W1017">
        <f t="shared" ref="W1017:W1018" si="804">ATAN(($M$1018-$M$1016)/ABS($N$1018-$N$1016))</f>
        <v>2.9111009484157185E-4</v>
      </c>
      <c r="X1017" t="s">
        <v>3860</v>
      </c>
      <c r="Y1017">
        <f>_xlfn.XLOOKUP($F1017,設計座標!$E$13:$E$2301,設計座標!$L$13:$L$2301," ",0,1)</f>
        <v>300</v>
      </c>
      <c r="Z1017">
        <f>SQRT(($M$1017-$M$1013)^2+($N$1017-$N$1013)^2)</f>
        <v>648.88000389777744</v>
      </c>
      <c r="AA1017">
        <f>_xlfn.XLOOKUP($G1017,magnet_list!$A$2:$A$592,magnet_list!$AJ$2:$AJ$592,"n/a",0,1)</f>
        <v>0.33198863580560978</v>
      </c>
      <c r="AB1017">
        <f>_xlfn.XLOOKUP($G1017,magnet_list!$A$2:$A$592,magnet_list!$L$2:$L$592,"n/a",0,1)</f>
        <v>140</v>
      </c>
    </row>
    <row r="1018" spans="1:28">
      <c r="A1018" t="s">
        <v>797</v>
      </c>
      <c r="B1018">
        <v>1</v>
      </c>
      <c r="C1018" t="s">
        <v>805</v>
      </c>
      <c r="D1018" t="s">
        <v>806</v>
      </c>
      <c r="F1018" t="s">
        <v>213</v>
      </c>
      <c r="G1018" t="s">
        <v>2584</v>
      </c>
      <c r="I1018">
        <f>_xlfn.XLOOKUP($F1018,設計座標!$E$13:$E$2301,設計座標!$G$13:$G$2301,"n/a",0,1)</f>
        <v>303.54454130620883</v>
      </c>
      <c r="J1018">
        <f>_xlfn.XLOOKUP($F1018,設計座標!$E$13:$E$2301,設計座標!$H$13:$H$2301,"n/a",0,1)</f>
        <v>-15000</v>
      </c>
      <c r="K1018">
        <f>_xlfn.XLOOKUP($F1018,設計座標!$E$13:$E$2301,設計座標!$I$13:$I$2301,"n/a",0,1)</f>
        <v>-39082.483840300003</v>
      </c>
      <c r="L1018">
        <f>_xlfn.XLOOKUP($F1018,設計座標!$E$13:$E$2301,設計座標!$J$13:$J$2301,"n/a",0,1)</f>
        <v>75</v>
      </c>
      <c r="M1018" s="2">
        <f>_xlfn.XLOOKUP($F1018,survey_data!$A$2:$A$833,survey_data!$B$2:$B$833,"n/a",0,1)</f>
        <v>-14993.67368197</v>
      </c>
      <c r="N1018" s="2">
        <f>_xlfn.XLOOKUP($F1018,survey_data!$A$2:$A$833,survey_data!$C$2:$C$833,"n/a",0,1)</f>
        <v>-39082.483840300003</v>
      </c>
      <c r="O1018" s="23">
        <f>_xlfn.XLOOKUP($F1018,survey_data!$A$2:$A$833,survey_data!$D$2:$D$833,"n/a",0,1)</f>
        <v>74.789979290000005</v>
      </c>
      <c r="P1018" s="1">
        <f t="shared" si="772"/>
        <v>74.963525529553749</v>
      </c>
      <c r="Q1018" s="1">
        <f t="shared" si="793"/>
        <v>6.3263180300000386</v>
      </c>
      <c r="R1018">
        <f t="shared" si="794"/>
        <v>0</v>
      </c>
      <c r="S1018" s="23">
        <f t="shared" si="795"/>
        <v>-0.21002070999999489</v>
      </c>
      <c r="T1018">
        <f>$S1018+測地線補正!$Q$26*(lattice!$N1018/1000)^3+測地線補正!$P$26*(lattice!$N1018/1000)^2+測地線補正!$O$26*(lattice!$N1018/1000)+測地線補正!$N$26</f>
        <v>-3.6474470446247631E-2</v>
      </c>
      <c r="U1018">
        <f t="shared" si="803"/>
        <v>-2.0149114145892808E-4</v>
      </c>
      <c r="V1018">
        <v>0</v>
      </c>
      <c r="W1018">
        <f t="shared" si="804"/>
        <v>2.9111009484157185E-4</v>
      </c>
      <c r="X1018" t="s">
        <v>3860</v>
      </c>
      <c r="Y1018">
        <f>_xlfn.XLOOKUP($F1018,設計座標!$E$13:$E$2301,設計座標!$L$13:$L$2301," ",0,1)</f>
        <v>300</v>
      </c>
      <c r="Z1018">
        <f>SQRT(($M$1017-$M$1013)^2+($N$1017-$N$1013)^2)</f>
        <v>648.88000389777744</v>
      </c>
      <c r="AA1018">
        <f>_xlfn.XLOOKUP($G1018,magnet_list!$A$2:$A$592,magnet_list!$AJ$2:$AJ$592,"n/a",0,1)</f>
        <v>0.33198863580560978</v>
      </c>
      <c r="AB1018">
        <f>_xlfn.XLOOKUP($G1018,magnet_list!$A$2:$A$592,magnet_list!$L$2:$L$592,"n/a",0,1)</f>
        <v>140</v>
      </c>
    </row>
    <row r="1019" spans="1:28">
      <c r="A1019" t="s">
        <v>797</v>
      </c>
      <c r="B1019">
        <v>1</v>
      </c>
      <c r="C1019" t="s">
        <v>805</v>
      </c>
      <c r="D1019" t="s">
        <v>806</v>
      </c>
      <c r="F1019" t="s">
        <v>214</v>
      </c>
      <c r="G1019" t="s">
        <v>2585</v>
      </c>
      <c r="I1019">
        <f>_xlfn.XLOOKUP($F1019,設計座標!$E$13:$E$2301,設計座標!$G$13:$G$2301,"n/a",0,1)</f>
        <v>303.9246000466988</v>
      </c>
      <c r="J1019">
        <f>_xlfn.XLOOKUP($F1019,設計座標!$E$13:$E$2301,設計座標!$H$13:$H$2301,"n/a",0,1)</f>
        <v>-15000</v>
      </c>
      <c r="K1019">
        <f>_xlfn.XLOOKUP($F1019,設計座標!$E$13:$E$2301,設計座標!$I$13:$I$2301,"n/a",0,1)</f>
        <v>-39462.542580790003</v>
      </c>
      <c r="L1019">
        <f>_xlfn.XLOOKUP($F1019,設計座標!$E$13:$E$2301,設計座標!$J$13:$J$2301,"n/a",0,1)</f>
        <v>75</v>
      </c>
      <c r="M1019" s="2">
        <f>_xlfn.XLOOKUP($F1019,survey_data!$A$2:$A$833,survey_data!$B$2:$B$833,"n/a",0,1)</f>
        <v>-14993.567963809999</v>
      </c>
      <c r="N1019" s="2">
        <f>_xlfn.XLOOKUP($F1019,survey_data!$A$2:$A$833,survey_data!$C$2:$C$833,"n/a",0,1)</f>
        <v>-39462.542580790003</v>
      </c>
      <c r="O1019" s="23">
        <f>_xlfn.XLOOKUP($F1019,survey_data!$A$2:$A$833,survey_data!$D$2:$D$833,"n/a",0,1)</f>
        <v>74.69402418</v>
      </c>
      <c r="P1019" s="1">
        <f t="shared" si="772"/>
        <v>74.880876840361779</v>
      </c>
      <c r="Q1019" s="1">
        <f t="shared" si="793"/>
        <v>6.432036190000872</v>
      </c>
      <c r="R1019">
        <f t="shared" si="794"/>
        <v>0</v>
      </c>
      <c r="S1019" s="23">
        <f t="shared" si="795"/>
        <v>-0.30597582000000045</v>
      </c>
      <c r="T1019">
        <f>$S1019+測地線補正!$Q$26*(lattice!$N1019/1000)^3+測地線補正!$P$26*(lattice!$N1019/1000)^2+測地線補正!$O$26*(lattice!$N1019/1000)+測地線補正!$N$26</f>
        <v>-0.11912315963822695</v>
      </c>
      <c r="U1019">
        <f>-ATAN(($P$1022-$P$1019)/ABS($N$1022-$N$1019))</f>
        <v>-3.163242710389681E-5</v>
      </c>
      <c r="V1019">
        <v>0</v>
      </c>
      <c r="W1019">
        <f>ATAN(($M$1022-$M$1019)/ABS($N$1022-$N$1019))</f>
        <v>1.4624137579647236E-4</v>
      </c>
      <c r="X1019" t="s">
        <v>3860</v>
      </c>
      <c r="Y1019">
        <f>_xlfn.XLOOKUP($F1019,設計座標!$E$13:$E$2301,設計座標!$L$13:$L$2301," ",0,1)</f>
        <v>300</v>
      </c>
      <c r="Z1019">
        <f>SQRT(($M$1020-$M$1017)^2+($N$1020-$N$1017)^2)</f>
        <v>650.05745194888095</v>
      </c>
      <c r="AA1019">
        <f>_xlfn.XLOOKUP($G1019,magnet_list!$A$2:$A$592,magnet_list!$AJ$2:$AJ$592,"n/a",0,1)</f>
        <v>0.33198863580560978</v>
      </c>
      <c r="AB1019">
        <f>_xlfn.XLOOKUP($G1019,magnet_list!$A$2:$A$592,magnet_list!$L$2:$L$592,"n/a",0,1)</f>
        <v>140</v>
      </c>
    </row>
    <row r="1020" spans="1:28">
      <c r="A1020" t="s">
        <v>797</v>
      </c>
      <c r="B1020">
        <v>1</v>
      </c>
      <c r="C1020" t="s">
        <v>805</v>
      </c>
      <c r="D1020" t="s">
        <v>1152</v>
      </c>
      <c r="E1020" t="s">
        <v>804</v>
      </c>
      <c r="F1020" t="s">
        <v>652</v>
      </c>
      <c r="G1020" t="s">
        <v>2585</v>
      </c>
      <c r="I1020">
        <f>_xlfn.XLOOKUP($F1020,設計座標!$E$13:$E$2301,設計座標!$G$13:$G$2301,"n/a",0,1)</f>
        <v>304.05962104669879</v>
      </c>
      <c r="J1020">
        <f>_xlfn.XLOOKUP($F1020,設計座標!$E$13:$E$2301,設計座標!$H$13:$H$2301,"n/a",0,1)</f>
        <v>-15000</v>
      </c>
      <c r="K1020">
        <f>_xlfn.XLOOKUP($F1020,設計座標!$E$13:$E$2301,設計座標!$I$13:$I$2301,"n/a",0,1)</f>
        <v>-39597.563580790003</v>
      </c>
      <c r="L1020">
        <f>_xlfn.XLOOKUP($F1020,設計座標!$E$13:$E$2301,設計座標!$J$13:$J$2301,"n/a",0,1)</f>
        <v>75</v>
      </c>
      <c r="M1020" s="2">
        <f t="shared" ref="M1020:M1021" si="805">$J1020+$Q1020</f>
        <v>-14993.548218153057</v>
      </c>
      <c r="N1020" s="2">
        <f t="shared" ref="N1020:N1021" si="806">$K1020</f>
        <v>-39597.563580790003</v>
      </c>
      <c r="O1020" s="23">
        <f t="shared" ref="O1020:O1021" si="807">$L1020+$S1020</f>
        <v>74.69358045641691</v>
      </c>
      <c r="P1020" s="1">
        <f t="shared" si="772"/>
        <v>74.885150480921027</v>
      </c>
      <c r="Q1020" s="1">
        <f>(Q$1022-Q$1019)/($N$1022-$N$1019)*($N1020-$N$1019)+Q$1019</f>
        <v>6.4517818469430512</v>
      </c>
      <c r="R1020">
        <f t="shared" si="794"/>
        <v>0</v>
      </c>
      <c r="S1020" s="23">
        <f t="shared" ref="S1020:S1021" si="808">(S$1022-S$1019)/($N$1022-$N$1019)*($N1020-$N$1019)+S$1019</f>
        <v>-0.30641954358308393</v>
      </c>
      <c r="T1020">
        <f>$S1020+測地線補正!$Q$26*(lattice!$N1020/1000)^3+測地線補正!$P$26*(lattice!$N1020/1000)^2+測地線補正!$O$26*(lattice!$N1020/1000)+測地線補正!$N$26</f>
        <v>-0.11484951907896823</v>
      </c>
      <c r="U1020">
        <f t="shared" ref="U1020" si="809">-ATAN(($P$1022-$P$1019)/ABS($N$1022-$N$1019))</f>
        <v>-3.163242710389681E-5</v>
      </c>
      <c r="V1020">
        <v>0</v>
      </c>
      <c r="W1020">
        <f>ATAN(($M$1022-$M$1019)/ABS($N$1022-$N$1019))</f>
        <v>1.4624137579647236E-4</v>
      </c>
      <c r="X1020" t="s">
        <v>3860</v>
      </c>
      <c r="Y1020">
        <f>_xlfn.XLOOKUP($F1020,設計座標!$E$13:$E$2301,設計座標!$L$13:$L$2301," ",0,1)</f>
        <v>300</v>
      </c>
      <c r="Z1020">
        <f>SQRT(($M$1020-$M$1017)^2+($N$1020-$N$1017)^2)</f>
        <v>650.05745194888095</v>
      </c>
      <c r="AA1020">
        <f>_xlfn.XLOOKUP($G1020,magnet_list!$A$2:$A$592,magnet_list!$AJ$2:$AJ$592,"n/a",0,1)</f>
        <v>0.33198863580560978</v>
      </c>
      <c r="AB1020">
        <f>_xlfn.XLOOKUP($G1020,magnet_list!$A$2:$A$592,magnet_list!$L$2:$L$592,"n/a",0,1)</f>
        <v>140</v>
      </c>
    </row>
    <row r="1021" spans="1:28">
      <c r="A1021" t="s">
        <v>797</v>
      </c>
      <c r="B1021">
        <v>1</v>
      </c>
      <c r="C1021" t="s">
        <v>804</v>
      </c>
      <c r="D1021" t="s">
        <v>1152</v>
      </c>
      <c r="E1021" t="s">
        <v>804</v>
      </c>
      <c r="F1021" t="s">
        <v>1354</v>
      </c>
      <c r="G1021" t="s">
        <v>2583</v>
      </c>
      <c r="I1021">
        <f>_xlfn.XLOOKUP($F1021,設計座標!$E$13:$E$2301,設計座標!$G$13:$G$2301,"n/a",0,1)</f>
        <v>304.0975735613689</v>
      </c>
      <c r="J1021">
        <f>_xlfn.XLOOKUP($F1021,設計座標!$E$13:$E$2301,設計座標!$H$13:$H$2301,"n/a",0,1)</f>
        <v>-15000</v>
      </c>
      <c r="K1021">
        <f>_xlfn.XLOOKUP($F1021,設計座標!$E$13:$E$2301,設計座標!$I$13:$I$2301,"n/a",0,1)</f>
        <v>-39635.516095460065</v>
      </c>
      <c r="L1021">
        <f>_xlfn.XLOOKUP($F1021,設計座標!$E$13:$E$2301,設計座標!$J$13:$J$2301,"n/a",0,1)</f>
        <v>-270</v>
      </c>
      <c r="M1021" s="2">
        <f t="shared" si="805"/>
        <v>-14993.542667925058</v>
      </c>
      <c r="N1021" s="2">
        <f t="shared" si="806"/>
        <v>-39635.516095460065</v>
      </c>
      <c r="O1021" s="23">
        <f t="shared" si="807"/>
        <v>-270.30654426807627</v>
      </c>
      <c r="P1021" s="1">
        <f t="shared" si="772"/>
        <v>-270.11364919453132</v>
      </c>
      <c r="Q1021" s="1">
        <f>(Q$1022-Q$1019)/($N$1022-$N$1019)*($N1021-$N$1019)+Q$1019</f>
        <v>6.4573320749429035</v>
      </c>
      <c r="R1021">
        <f t="shared" si="794"/>
        <v>0</v>
      </c>
      <c r="S1021" s="23">
        <f t="shared" si="808"/>
        <v>-0.30654426807628449</v>
      </c>
      <c r="T1021">
        <f>$S1021+測地線補正!$Q$26*(lattice!$N1021/1000)^3+測地線補正!$P$26*(lattice!$N1021/1000)^2+測地線補正!$O$26*(lattice!$N1021/1000)+測地線補正!$N$26</f>
        <v>-0.1136491945313447</v>
      </c>
      <c r="U1021">
        <f>-ATAN(($P$1026-$P$1015)/ABS($N$1026-$N$1015))</f>
        <v>5.1849209487882293E-5</v>
      </c>
      <c r="V1021">
        <v>0</v>
      </c>
      <c r="W1021">
        <f>ATAN(($M$1026-$M$1015)/ABS($N$1026-$N$1015))</f>
        <v>9.8844965536548274E-5</v>
      </c>
      <c r="X1021" t="s">
        <v>3860</v>
      </c>
      <c r="Y1021">
        <f>_xlfn.XLOOKUP($F1021,設計座標!$E$13:$E$2301,設計座標!$L$13:$L$2301," ",0,1)</f>
        <v>1889.4492</v>
      </c>
      <c r="Z1021">
        <f>SQRT(($M$1021-$M$1020)^2+($N$1021-$N$1020)^2)</f>
        <v>37.952515075898134</v>
      </c>
    </row>
    <row r="1022" spans="1:28">
      <c r="A1022" t="s">
        <v>797</v>
      </c>
      <c r="B1022">
        <v>1</v>
      </c>
      <c r="C1022" t="s">
        <v>805</v>
      </c>
      <c r="D1022" t="s">
        <v>806</v>
      </c>
      <c r="F1022" t="s">
        <v>215</v>
      </c>
      <c r="G1022" t="s">
        <v>2585</v>
      </c>
      <c r="I1022">
        <f>_xlfn.XLOOKUP($F1022,設計座標!$E$13:$E$2301,設計座標!$G$13:$G$2301,"n/a",0,1)</f>
        <v>304.19461247992882</v>
      </c>
      <c r="J1022">
        <f>_xlfn.XLOOKUP($F1022,設計座標!$E$13:$E$2301,設計座標!$H$13:$H$2301,"n/a",0,1)</f>
        <v>-15000</v>
      </c>
      <c r="K1022">
        <f>_xlfn.XLOOKUP($F1022,設計座標!$E$13:$E$2301,設計座標!$I$13:$I$2301,"n/a",0,1)</f>
        <v>-39732.555014019999</v>
      </c>
      <c r="L1022">
        <f>_xlfn.XLOOKUP($F1022,設計座標!$E$13:$E$2301,設計座標!$J$13:$J$2301,"n/a",0,1)</f>
        <v>75</v>
      </c>
      <c r="M1022" s="2">
        <f>_xlfn.XLOOKUP($F1022,survey_data!$A$2:$A$833,survey_data!$B$2:$B$833,"n/a",0,1)</f>
        <v>-14993.52847682</v>
      </c>
      <c r="N1022" s="2">
        <f>_xlfn.XLOOKUP($F1022,survey_data!$A$2:$A$833,survey_data!$C$2:$C$833,"n/a",0,1)</f>
        <v>-39732.555014019999</v>
      </c>
      <c r="O1022" s="23">
        <f>_xlfn.XLOOKUP($F1022,survey_data!$A$2:$A$833,survey_data!$D$2:$D$833,"n/a",0,1)</f>
        <v>74.69313683</v>
      </c>
      <c r="P1022" s="1">
        <f t="shared" si="772"/>
        <v>74.889417988975922</v>
      </c>
      <c r="Q1022" s="1">
        <f t="shared" si="793"/>
        <v>6.4715231800000765</v>
      </c>
      <c r="R1022">
        <f t="shared" si="794"/>
        <v>0</v>
      </c>
      <c r="S1022" s="23">
        <f t="shared" si="795"/>
        <v>-0.30686316999999974</v>
      </c>
      <c r="T1022">
        <f>$S1022+測地線補正!$Q$26*(lattice!$N1022/1000)^3+測地線補正!$P$26*(lattice!$N1022/1000)^2+測地線補正!$O$26*(lattice!$N1022/1000)+測地線補正!$N$26</f>
        <v>-0.11058201102408405</v>
      </c>
      <c r="U1022">
        <f>-ATAN(($P$1022-$P$1019)/ABS($N$1022-$N$1019))</f>
        <v>-3.163242710389681E-5</v>
      </c>
      <c r="V1022">
        <v>0</v>
      </c>
      <c r="W1022">
        <f>ATAN(($M$1022-$M$1019)/ABS($N$1022-$N$1019))</f>
        <v>1.4624137579647236E-4</v>
      </c>
      <c r="X1022" t="s">
        <v>3860</v>
      </c>
      <c r="Y1022">
        <f>_xlfn.XLOOKUP($F1022,設計座標!$E$13:$E$2301,設計座標!$L$13:$L$2301," ",0,1)</f>
        <v>300</v>
      </c>
      <c r="Z1022">
        <f>SQRT(($M$1020-$M$1017)^2+($N$1020-$N$1017)^2)</f>
        <v>650.05745194888095</v>
      </c>
      <c r="AA1022">
        <f>_xlfn.XLOOKUP($G1022,magnet_list!$A$2:$A$592,magnet_list!$AJ$2:$AJ$592,"n/a",0,1)</f>
        <v>0.33198863580560978</v>
      </c>
      <c r="AB1022">
        <f>_xlfn.XLOOKUP($G1022,magnet_list!$A$2:$A$592,magnet_list!$L$2:$L$592,"n/a",0,1)</f>
        <v>140</v>
      </c>
    </row>
    <row r="1023" spans="1:28">
      <c r="A1023" t="s">
        <v>797</v>
      </c>
      <c r="B1023">
        <v>1</v>
      </c>
      <c r="C1023" t="s">
        <v>805</v>
      </c>
      <c r="D1023" t="s">
        <v>806</v>
      </c>
      <c r="F1023" t="s">
        <v>216</v>
      </c>
      <c r="G1023" t="s">
        <v>2586</v>
      </c>
      <c r="I1023">
        <f>_xlfn.XLOOKUP($F1023,設計座標!$E$13:$E$2301,設計座標!$G$13:$G$2301,"n/a",0,1)</f>
        <v>304.57486427389881</v>
      </c>
      <c r="J1023">
        <f>_xlfn.XLOOKUP($F1023,設計座標!$E$13:$E$2301,設計座標!$H$13:$H$2301,"n/a",0,1)</f>
        <v>-15000</v>
      </c>
      <c r="K1023">
        <f>_xlfn.XLOOKUP($F1023,設計座標!$E$13:$E$2301,設計座標!$I$13:$I$2301,"n/a",0,1)</f>
        <v>-40112.806807989997</v>
      </c>
      <c r="L1023">
        <f>_xlfn.XLOOKUP($F1023,設計座標!$E$13:$E$2301,設計座標!$J$13:$J$2301,"n/a",0,1)</f>
        <v>75</v>
      </c>
      <c r="M1023" s="2">
        <f>_xlfn.XLOOKUP($F1023,survey_data!$A$2:$A$833,survey_data!$B$2:$B$833,"n/a",0,1)</f>
        <v>-14993.512090390001</v>
      </c>
      <c r="N1023" s="2">
        <f>_xlfn.XLOOKUP($F1023,survey_data!$A$2:$A$833,survey_data!$C$2:$C$833,"n/a",0,1)</f>
        <v>-40112.806807989997</v>
      </c>
      <c r="O1023" s="23">
        <f>_xlfn.XLOOKUP($F1023,survey_data!$A$2:$A$833,survey_data!$D$2:$D$833,"n/a",0,1)</f>
        <v>74.643272039999999</v>
      </c>
      <c r="P1023" s="1">
        <f t="shared" si="772"/>
        <v>74.852795883359263</v>
      </c>
      <c r="Q1023" s="1">
        <f t="shared" si="793"/>
        <v>6.4879096099994058</v>
      </c>
      <c r="R1023">
        <f t="shared" si="794"/>
        <v>0</v>
      </c>
      <c r="S1023" s="23">
        <f t="shared" si="795"/>
        <v>-0.35672796000000062</v>
      </c>
      <c r="T1023">
        <f>$S1023+測地線補正!$Q$26*(lattice!$N1023/1000)^3+測地線補正!$P$26*(lattice!$N1023/1000)^2+測地線補正!$O$26*(lattice!$N1023/1000)+測地線補正!$N$26</f>
        <v>-0.14720411664073674</v>
      </c>
      <c r="U1023">
        <f>-ATAN(($P$1025-$P$1023)/ABS($N$1025-$N$1023))</f>
        <v>-7.1451764834252197E-5</v>
      </c>
      <c r="V1023">
        <v>0</v>
      </c>
      <c r="W1023">
        <f>ATAN(($M$1025-$M$1023)/ABS($N$1025-$N$1023))</f>
        <v>-2.9082840249875582E-4</v>
      </c>
      <c r="X1023" t="s">
        <v>3860</v>
      </c>
      <c r="Y1023">
        <f>_xlfn.XLOOKUP($F1023,設計座標!$E$13:$E$2301,設計座標!$L$13:$L$2301," ",0,1)</f>
        <v>300</v>
      </c>
      <c r="Z1023">
        <f>SQRT(($M$1024-$M$1021)^2+($N$1024-$N$1021)^2)</f>
        <v>612.2942125915306</v>
      </c>
      <c r="AA1023">
        <f>_xlfn.XLOOKUP($G1023,magnet_list!$A$2:$A$592,magnet_list!$AJ$2:$AJ$592,"n/a",0,1)</f>
        <v>0.33198863580560978</v>
      </c>
      <c r="AB1023">
        <f>_xlfn.XLOOKUP($G1023,magnet_list!$A$2:$A$592,magnet_list!$L$2:$L$592,"n/a",0,1)</f>
        <v>140</v>
      </c>
    </row>
    <row r="1024" spans="1:28">
      <c r="A1024" t="s">
        <v>797</v>
      </c>
      <c r="B1024">
        <v>1</v>
      </c>
      <c r="C1024" t="s">
        <v>805</v>
      </c>
      <c r="D1024" t="s">
        <v>1152</v>
      </c>
      <c r="E1024" t="s">
        <v>804</v>
      </c>
      <c r="F1024" t="s">
        <v>653</v>
      </c>
      <c r="G1024" t="s">
        <v>2586</v>
      </c>
      <c r="I1024">
        <f>_xlfn.XLOOKUP($F1024,設計座標!$E$13:$E$2301,設計座標!$G$13:$G$2301,"n/a",0,1)</f>
        <v>304.70986777389879</v>
      </c>
      <c r="J1024">
        <f>_xlfn.XLOOKUP($F1024,設計座標!$E$13:$E$2301,設計座標!$H$13:$H$2301,"n/a",0,1)</f>
        <v>-15000</v>
      </c>
      <c r="K1024">
        <f>_xlfn.XLOOKUP($F1024,設計座標!$E$13:$E$2301,設計座標!$I$13:$I$2301,"n/a",0,1)</f>
        <v>-40247.810307989996</v>
      </c>
      <c r="L1024">
        <f>_xlfn.XLOOKUP($F1024,設計座標!$E$13:$E$2301,設計座標!$J$13:$J$2301,"n/a",0,1)</f>
        <v>75</v>
      </c>
      <c r="M1024" s="2">
        <f t="shared" ref="M1024:M1043" si="810">$J1024+$Q1024</f>
        <v>-14993.551353243345</v>
      </c>
      <c r="N1024" s="2">
        <f t="shared" ref="N1024:N1043" si="811">$K1024</f>
        <v>-40247.810307989996</v>
      </c>
      <c r="O1024" s="23">
        <f t="shared" ref="O1024:O1043" si="812">$L1024+$S1024</f>
        <v>74.648229132281799</v>
      </c>
      <c r="P1024" s="1">
        <f t="shared" si="772"/>
        <v>74.862444714873178</v>
      </c>
      <c r="Q1024" s="1">
        <f>(Q$1025-Q$1023)/($N$1025-$N$1023)*($N1024-$N$1023)+Q$1023</f>
        <v>6.4486467566556991</v>
      </c>
      <c r="R1024">
        <f t="shared" si="794"/>
        <v>0</v>
      </c>
      <c r="S1024" s="23">
        <f>(S$1025-S$1023)/($N$1025-$N$1023)*($N1024-$N$1023)+S$1023</f>
        <v>-0.3517708677182067</v>
      </c>
      <c r="T1024">
        <f>$S1024+測地線補正!$Q$26*(lattice!$N1024/1000)^3+測地線補正!$P$26*(lattice!$N1024/1000)^2+測地線補正!$O$26*(lattice!$N1024/1000)+測地線補正!$N$26</f>
        <v>-0.13755528512682758</v>
      </c>
      <c r="U1024">
        <f t="shared" ref="U1024:U1025" si="813">-ATAN(($P$1025-$P$1023)/ABS($N$1025-$N$1023))</f>
        <v>-7.1451764834252197E-5</v>
      </c>
      <c r="V1024">
        <v>0</v>
      </c>
      <c r="W1024">
        <f t="shared" ref="W1024:W1025" si="814">ATAN(($M$1025-$M$1023)/ABS($N$1025-$N$1023))</f>
        <v>-2.9082840249875582E-4</v>
      </c>
      <c r="X1024" t="s">
        <v>3860</v>
      </c>
      <c r="Y1024">
        <f>_xlfn.XLOOKUP($F1024,設計座標!$E$13:$E$2301,設計座標!$L$13:$L$2301," ",0,1)</f>
        <v>300</v>
      </c>
      <c r="Z1024">
        <f>SQRT(($M$1024-$M$1021)^2+($N$1024-$N$1021)^2)</f>
        <v>612.2942125915306</v>
      </c>
      <c r="AA1024">
        <f>_xlfn.XLOOKUP($G1024,magnet_list!$A$2:$A$592,magnet_list!$AJ$2:$AJ$592,"n/a",0,1)</f>
        <v>0.33198863580560978</v>
      </c>
      <c r="AB1024">
        <f>_xlfn.XLOOKUP($G1024,magnet_list!$A$2:$A$592,magnet_list!$L$2:$L$592,"n/a",0,1)</f>
        <v>140</v>
      </c>
    </row>
    <row r="1025" spans="1:30">
      <c r="A1025" t="s">
        <v>797</v>
      </c>
      <c r="B1025">
        <v>1</v>
      </c>
      <c r="C1025" t="s">
        <v>805</v>
      </c>
      <c r="D1025" t="s">
        <v>806</v>
      </c>
      <c r="F1025" t="s">
        <v>217</v>
      </c>
      <c r="G1025" t="s">
        <v>2586</v>
      </c>
      <c r="I1025">
        <f>_xlfn.XLOOKUP($F1025,設計座標!$E$13:$E$2301,設計座標!$G$13:$G$2301,"n/a",0,1)</f>
        <v>304.84484391519879</v>
      </c>
      <c r="J1025">
        <f>_xlfn.XLOOKUP($F1025,設計座標!$E$13:$E$2301,設計座標!$H$13:$H$2301,"n/a",0,1)</f>
        <v>-15000</v>
      </c>
      <c r="K1025">
        <f>_xlfn.XLOOKUP($F1025,設計座標!$E$13:$E$2301,設計座標!$I$13:$I$2301,"n/a",0,1)</f>
        <v>-40382.786449289997</v>
      </c>
      <c r="L1025">
        <f>_xlfn.XLOOKUP($F1025,設計座標!$E$13:$E$2301,設計座標!$J$13:$J$2301,"n/a",0,1)</f>
        <v>75</v>
      </c>
      <c r="M1025" s="2">
        <f>_xlfn.XLOOKUP($F1025,survey_data!$A$2:$A$833,survey_data!$B$2:$B$833,"n/a",0,1)</f>
        <v>-14993.590608140001</v>
      </c>
      <c r="N1025" s="2">
        <f>_xlfn.XLOOKUP($F1025,survey_data!$A$2:$A$833,survey_data!$C$2:$C$833,"n/a",0,1)</f>
        <v>-40382.786449289997</v>
      </c>
      <c r="O1025" s="23">
        <f>_xlfn.XLOOKUP($F1025,survey_data!$A$2:$A$833,survey_data!$D$2:$D$833,"n/a",0,1)</f>
        <v>74.653185219999997</v>
      </c>
      <c r="P1025" s="1">
        <f t="shared" si="772"/>
        <v>74.872086405232295</v>
      </c>
      <c r="Q1025" s="1">
        <f t="shared" si="793"/>
        <v>6.4093918599992321</v>
      </c>
      <c r="R1025">
        <f t="shared" si="794"/>
        <v>0</v>
      </c>
      <c r="S1025" s="23">
        <f t="shared" si="795"/>
        <v>-0.34681478000000254</v>
      </c>
      <c r="T1025">
        <f>$S1025+測地線補正!$Q$26*(lattice!$N1025/1000)^3+測地線補正!$P$26*(lattice!$N1025/1000)^2+測地線補正!$O$26*(lattice!$N1025/1000)+測地線補正!$N$26</f>
        <v>-0.12791359476770414</v>
      </c>
      <c r="U1025">
        <f t="shared" si="813"/>
        <v>-7.1451764834252197E-5</v>
      </c>
      <c r="V1025">
        <v>0</v>
      </c>
      <c r="W1025">
        <f t="shared" si="814"/>
        <v>-2.9082840249875582E-4</v>
      </c>
      <c r="X1025" t="s">
        <v>3860</v>
      </c>
      <c r="Y1025">
        <f>_xlfn.XLOOKUP($F1025,設計座標!$E$13:$E$2301,設計座標!$L$13:$L$2301," ",0,1)</f>
        <v>300</v>
      </c>
      <c r="Z1025">
        <f>SQRT(($M$1024-$M$1021)^2+($N$1024-$N$1021)^2)</f>
        <v>612.2942125915306</v>
      </c>
      <c r="AA1025">
        <f>_xlfn.XLOOKUP($G1025,magnet_list!$A$2:$A$592,magnet_list!$AJ$2:$AJ$592,"n/a",0,1)</f>
        <v>0.33198863580560978</v>
      </c>
      <c r="AB1025">
        <f>_xlfn.XLOOKUP($G1025,magnet_list!$A$2:$A$592,magnet_list!$L$2:$L$592,"n/a",0,1)</f>
        <v>140</v>
      </c>
    </row>
    <row r="1026" spans="1:30">
      <c r="A1026" t="s">
        <v>797</v>
      </c>
      <c r="B1026">
        <v>1</v>
      </c>
      <c r="C1026" t="s">
        <v>804</v>
      </c>
      <c r="D1026" t="s">
        <v>1152</v>
      </c>
      <c r="E1026" t="s">
        <v>804</v>
      </c>
      <c r="F1026" t="s">
        <v>1589</v>
      </c>
      <c r="G1026" t="s">
        <v>2583</v>
      </c>
      <c r="I1026">
        <f>_xlfn.XLOOKUP($F1026,設計座標!$E$13:$E$2301,設計座標!$G$13:$G$2301,"n/a",0,1)</f>
        <v>305.04229816136893</v>
      </c>
      <c r="J1026">
        <f>_xlfn.XLOOKUP($F1026,設計座標!$E$13:$E$2301,設計座標!$H$13:$H$2301,"n/a",0,1)</f>
        <v>-15000</v>
      </c>
      <c r="K1026">
        <f>_xlfn.XLOOKUP($F1026,設計座標!$E$13:$E$2301,設計座標!$I$13:$I$2301,"n/a",0,1)</f>
        <v>-40580.240695460066</v>
      </c>
      <c r="L1026">
        <f>_xlfn.XLOOKUP($F1026,設計座標!$E$13:$E$2301,設計座標!$J$13:$J$2301,"n/a",0,1)</f>
        <v>-270</v>
      </c>
      <c r="M1026" s="2">
        <f t="shared" si="810"/>
        <v>-14993.551138918358</v>
      </c>
      <c r="N1026" s="2">
        <f t="shared" si="811"/>
        <v>-40580.240695460066</v>
      </c>
      <c r="O1026" s="23">
        <f t="shared" si="812"/>
        <v>-270.42536464400473</v>
      </c>
      <c r="P1026" s="1">
        <f t="shared" si="772"/>
        <v>-270.19961830915418</v>
      </c>
      <c r="Q1026" s="1">
        <f>(Q$1029-Q$1025)/($N$1029-$N$1025)*($N1026-$N$1025)+Q$1025</f>
        <v>6.4488610816432521</v>
      </c>
      <c r="R1026">
        <f t="shared" si="794"/>
        <v>0</v>
      </c>
      <c r="S1026" s="23">
        <f t="shared" ref="S1026:S1028" si="815">(S$1029-S$1025)/($N$1029-$N$1025)*($N1026-$N$1025)+S$1025</f>
        <v>-0.42536464400475604</v>
      </c>
      <c r="T1026">
        <f>$S1026+測地線補正!$Q$26*(lattice!$N1026/1000)^3+測地線補正!$P$26*(lattice!$N1026/1000)^2+測地線補正!$O$26*(lattice!$N1026/1000)+測地線補正!$N$26</f>
        <v>-0.1996183091541861</v>
      </c>
      <c r="U1026">
        <f>-ATAN(($P$1026-$P$1015)/ABS($N$1026-$N$1015))</f>
        <v>5.1849209487882293E-5</v>
      </c>
      <c r="V1026">
        <v>0</v>
      </c>
      <c r="W1026">
        <f>ATAN(($M$1026-$M$1015)/ABS($N$1026-$N$1015))</f>
        <v>9.8844965536548274E-5</v>
      </c>
      <c r="X1026" t="s">
        <v>3860</v>
      </c>
      <c r="Y1026">
        <f>_xlfn.XLOOKUP($F1026,設計座標!$E$13:$E$2301,設計座標!$L$13:$L$2301," ",0,1)</f>
        <v>1889.4492</v>
      </c>
      <c r="Z1026">
        <f>SQRT(($M$1021-$M$1020)^2+($N$1021-$N$1020)^2)</f>
        <v>37.952515075898134</v>
      </c>
    </row>
    <row r="1027" spans="1:30">
      <c r="A1027" t="s">
        <v>797</v>
      </c>
      <c r="B1027">
        <v>1</v>
      </c>
      <c r="C1027" t="s">
        <v>1152</v>
      </c>
      <c r="D1027" t="s">
        <v>1152</v>
      </c>
      <c r="E1027" t="s">
        <v>804</v>
      </c>
      <c r="F1027" t="s">
        <v>2075</v>
      </c>
      <c r="G1027" t="s">
        <v>2075</v>
      </c>
      <c r="I1027">
        <f>_xlfn.XLOOKUP($F1027,設計座標!$E$13:$E$2301,設計座標!$G$13:$G$2301,"n/a",0,1)</f>
        <v>305.30933826136891</v>
      </c>
      <c r="J1027">
        <f>_xlfn.XLOOKUP($F1027,設計座標!$E$13:$E$2301,設計座標!$H$13:$H$2301,"n/a",0,1)</f>
        <v>-15000</v>
      </c>
      <c r="K1027">
        <f>_xlfn.XLOOKUP($F1027,設計座標!$E$13:$E$2301,設計座標!$I$13:$I$2301,"n/a",0,1)</f>
        <v>-40847.280795460065</v>
      </c>
      <c r="L1027">
        <f>_xlfn.XLOOKUP($F1027,設計座標!$E$13:$E$2301,設計座標!$J$13:$J$2301,"n/a",0,1)</f>
        <v>-270</v>
      </c>
      <c r="M1027" s="2">
        <f t="shared" si="810"/>
        <v>-14993.497760147835</v>
      </c>
      <c r="N1027" s="2">
        <f t="shared" si="811"/>
        <v>-40847.280795460065</v>
      </c>
      <c r="O1027" s="23">
        <f t="shared" si="812"/>
        <v>-270.53159666456486</v>
      </c>
      <c r="P1027" s="1">
        <f t="shared" si="772"/>
        <v>-270.29661047982444</v>
      </c>
      <c r="Q1027" s="1">
        <f t="shared" ref="Q1027:Q1028" si="816">(Q$1029-Q$1025)/($N$1029-$N$1025)*($N1027-$N$1025)+Q$1025</f>
        <v>6.502239852164414</v>
      </c>
      <c r="R1027">
        <f t="shared" si="794"/>
        <v>0</v>
      </c>
      <c r="S1027" s="23">
        <f t="shared" si="815"/>
        <v>-0.53159666456484489</v>
      </c>
      <c r="T1027">
        <f>$S1027+測地線補正!$Q$26*(lattice!$N1027/1000)^3+測地線補正!$P$26*(lattice!$N1027/1000)^2+測地線補正!$O$26*(lattice!$N1027/1000)+測地線補正!$N$26</f>
        <v>-0.29661047982444022</v>
      </c>
      <c r="U1027">
        <v>0</v>
      </c>
      <c r="V1027">
        <v>0</v>
      </c>
      <c r="W1027">
        <v>0</v>
      </c>
      <c r="X1027">
        <f>SQRT(($M$1027-$M$1026)^2+($N$1027-$N$1026)^2)</f>
        <v>267.04010533495199</v>
      </c>
      <c r="Y1027">
        <f>_xlfn.XLOOKUP($F1027,設計座標!$E$13:$E$2301,設計座標!$L$13:$L$2301," ",0,1)</f>
        <v>0</v>
      </c>
      <c r="Z1027">
        <f>SQRT(($M$1027-$M$1024)^2+($N$1027-$N$1024)^2)</f>
        <v>599.47048986569996</v>
      </c>
    </row>
    <row r="1028" spans="1:30">
      <c r="A1028" t="s">
        <v>797</v>
      </c>
      <c r="B1028">
        <v>1</v>
      </c>
      <c r="C1028" t="s">
        <v>1152</v>
      </c>
      <c r="D1028" t="s">
        <v>1152</v>
      </c>
      <c r="E1028" t="s">
        <v>804</v>
      </c>
      <c r="F1028" t="s">
        <v>2076</v>
      </c>
      <c r="G1028" t="s">
        <v>2076</v>
      </c>
      <c r="I1028">
        <f>_xlfn.XLOOKUP($F1028,設計座標!$E$13:$E$2301,設計座標!$G$13:$G$2301,"n/a",0,1)</f>
        <v>305.41183856136888</v>
      </c>
      <c r="J1028">
        <f>_xlfn.XLOOKUP($F1028,設計座標!$E$13:$E$2301,設計座標!$H$13:$H$2301,"n/a",0,1)</f>
        <v>-15000</v>
      </c>
      <c r="K1028">
        <f>_xlfn.XLOOKUP($F1028,設計座標!$E$13:$E$2301,設計座標!$I$13:$I$2301,"n/a",0,1)</f>
        <v>-40949.781095460065</v>
      </c>
      <c r="L1028">
        <f>_xlfn.XLOOKUP($F1028,設計座標!$E$13:$E$2301,設計座標!$J$13:$J$2301,"n/a",0,1)</f>
        <v>-270</v>
      </c>
      <c r="M1028" s="2">
        <f t="shared" si="810"/>
        <v>-14993.477271314914</v>
      </c>
      <c r="N1028" s="2">
        <f t="shared" si="811"/>
        <v>-40949.781095460065</v>
      </c>
      <c r="O1028" s="23">
        <f t="shared" si="812"/>
        <v>-270.57237261535658</v>
      </c>
      <c r="P1028" s="1">
        <f t="shared" si="772"/>
        <v>-270.33384520143346</v>
      </c>
      <c r="Q1028" s="1">
        <f t="shared" si="816"/>
        <v>6.5227286850852018</v>
      </c>
      <c r="R1028">
        <f t="shared" si="794"/>
        <v>0</v>
      </c>
      <c r="S1028" s="23">
        <f t="shared" si="815"/>
        <v>-0.57237261535656236</v>
      </c>
      <c r="T1028">
        <f>$S1028+測地線補正!$Q$26*(lattice!$N1028/1000)^3+測地線補正!$P$26*(lattice!$N1028/1000)^2+測地線補正!$O$26*(lattice!$N1028/1000)+測地線補正!$N$26</f>
        <v>-0.33384520143345497</v>
      </c>
      <c r="U1028">
        <v>0</v>
      </c>
      <c r="V1028">
        <v>0</v>
      </c>
      <c r="W1028">
        <v>0</v>
      </c>
      <c r="X1028">
        <f>$Z$1028-($Y$1028+$Y$1027)/2</f>
        <v>102.50030204776088</v>
      </c>
      <c r="Y1028">
        <f>_xlfn.XLOOKUP($F1028,設計座標!$E$13:$E$2301,設計座標!$L$13:$L$2301," ",0,1)</f>
        <v>0</v>
      </c>
      <c r="Z1028">
        <f>SQRT(($M$1028-$M$1027)^2+($N$1028-$N$1027)^2)</f>
        <v>102.50030204776088</v>
      </c>
    </row>
    <row r="1029" spans="1:30">
      <c r="A1029" t="s">
        <v>797</v>
      </c>
      <c r="B1029">
        <v>1</v>
      </c>
      <c r="C1029" t="s">
        <v>805</v>
      </c>
      <c r="D1029" t="s">
        <v>806</v>
      </c>
      <c r="F1029" t="s">
        <v>218</v>
      </c>
      <c r="G1029" t="s">
        <v>2587</v>
      </c>
      <c r="I1029">
        <f>_xlfn.XLOOKUP($F1029,設計座標!$E$13:$E$2301,設計座標!$G$13:$G$2301,"n/a",0,1)</f>
        <v>305.42103352165884</v>
      </c>
      <c r="J1029">
        <f>_xlfn.XLOOKUP($F1029,設計座標!$E$13:$E$2301,設計座標!$H$13:$H$2301,"n/a",0,1)</f>
        <v>-15000</v>
      </c>
      <c r="K1029">
        <f>_xlfn.XLOOKUP($F1029,設計座標!$E$13:$E$2301,設計座標!$I$13:$I$2301,"n/a",0,1)</f>
        <v>-40958.976055749998</v>
      </c>
      <c r="L1029">
        <f>_xlfn.XLOOKUP($F1029,設計座標!$E$13:$E$2301,設計座標!$J$13:$J$2301,"n/a",0,1)</f>
        <v>90</v>
      </c>
      <c r="M1029" s="2">
        <f>_xlfn.XLOOKUP($F1029,survey_data!$A$2:$A$833,survey_data!$B$2:$B$833,"n/a",0,1)</f>
        <v>-14993.475433330001</v>
      </c>
      <c r="N1029" s="2">
        <f>_xlfn.XLOOKUP($F1029,survey_data!$A$2:$A$833,survey_data!$C$2:$C$833,"n/a",0,1)</f>
        <v>-40958.976055749998</v>
      </c>
      <c r="O1029" s="23">
        <f>_xlfn.XLOOKUP($F1029,survey_data!$A$2:$A$833,survey_data!$D$2:$D$833,"n/a",0,1)</f>
        <v>89.423969510000006</v>
      </c>
      <c r="P1029" s="1">
        <f t="shared" si="772"/>
        <v>89.662814449916397</v>
      </c>
      <c r="Q1029" s="1">
        <f t="shared" si="793"/>
        <v>6.5245666699993308</v>
      </c>
      <c r="R1029">
        <f t="shared" si="794"/>
        <v>0</v>
      </c>
      <c r="S1029" s="23">
        <f t="shared" si="795"/>
        <v>-0.57603048999999373</v>
      </c>
      <c r="T1029">
        <f>$S1029+測地線補正!$Q$26*(lattice!$N1029/1000)^3+測地線補正!$P$26*(lattice!$N1029/1000)^2+測地線補正!$O$26*(lattice!$N1029/1000)+測地線補正!$N$26</f>
        <v>-0.3371855500836094</v>
      </c>
      <c r="U1029">
        <f>-ATAN(($P$1031-$P$1029)/ABS($N$1031-$N$1029))</f>
        <v>-1.5087399048587815E-4</v>
      </c>
      <c r="V1029">
        <v>0</v>
      </c>
      <c r="W1029">
        <f>ATAN(($M$1031-$M$1029)/ABS($N$1031-$N$1029))</f>
        <v>-1.0096702432251314E-4</v>
      </c>
      <c r="X1029">
        <f>$Z$1030-($Y$1030+$Y$1028)/2</f>
        <v>-0.8175395374460237</v>
      </c>
      <c r="Y1029">
        <f>_xlfn.XLOOKUP($F1029,設計座標!$E$13:$E$2301,設計座標!$L$13:$L$2301," ",0,1)</f>
        <v>160</v>
      </c>
      <c r="Z1029">
        <f>SQRT(($M$1030-$M$1028)^2+($N$1030-$N$1028)^2)</f>
        <v>79.182460462553976</v>
      </c>
      <c r="AA1029">
        <f>_xlfn.XLOOKUP($G1029,magnet_list!$A$2:$A$592,magnet_list!$AJ$2:$AJ$592,"n/a",0,1)</f>
        <v>0.17374887133613809</v>
      </c>
      <c r="AB1029">
        <f>_xlfn.XLOOKUP($G1029,magnet_list!$A$2:$A$592,magnet_list!$L$2:$L$592,"n/a",0,1)</f>
        <v>44</v>
      </c>
      <c r="AD1029" t="s">
        <v>3881</v>
      </c>
    </row>
    <row r="1030" spans="1:30">
      <c r="A1030" t="s">
        <v>797</v>
      </c>
      <c r="B1030">
        <v>1</v>
      </c>
      <c r="C1030" t="s">
        <v>805</v>
      </c>
      <c r="D1030" t="s">
        <v>1152</v>
      </c>
      <c r="E1030" t="s">
        <v>804</v>
      </c>
      <c r="F1030" t="s">
        <v>654</v>
      </c>
      <c r="G1030" t="s">
        <v>2587</v>
      </c>
      <c r="I1030">
        <f>_xlfn.XLOOKUP($F1030,設計座標!$E$13:$E$2301,設計座標!$G$13:$G$2301,"n/a",0,1)</f>
        <v>305.49102102165887</v>
      </c>
      <c r="J1030">
        <f>_xlfn.XLOOKUP($F1030,設計座標!$E$13:$E$2301,設計座標!$H$13:$H$2301,"n/a",0,1)</f>
        <v>-15000</v>
      </c>
      <c r="K1030">
        <f>_xlfn.XLOOKUP($F1030,設計座標!$E$13:$E$2301,設計座標!$I$13:$I$2301,"n/a",0,1)</f>
        <v>-41028.963555750001</v>
      </c>
      <c r="L1030">
        <f>_xlfn.XLOOKUP($F1030,設計座標!$E$13:$E$2301,設計座標!$J$13:$J$2301,"n/a",0,1)</f>
        <v>90</v>
      </c>
      <c r="M1030" s="2">
        <f t="shared" si="810"/>
        <v>-14993.482499759639</v>
      </c>
      <c r="N1030" s="2">
        <f t="shared" si="811"/>
        <v>-41028.963555750001</v>
      </c>
      <c r="O1030" s="23">
        <f t="shared" si="812"/>
        <v>89.432113434725437</v>
      </c>
      <c r="P1030" s="1">
        <f t="shared" si="772"/>
        <v>89.673374438815614</v>
      </c>
      <c r="Q1030" s="1">
        <f>(Q$1031-Q$1029)/($N$1031-$N$1029)*($N1030-$N$1029)+Q$1029</f>
        <v>6.5175002403605458</v>
      </c>
      <c r="R1030">
        <f t="shared" si="794"/>
        <v>0</v>
      </c>
      <c r="S1030" s="23">
        <f>(S$1031-S$1029)/($N$1031-$N$1029)*($N1030-$N$1029)+S$1029</f>
        <v>-0.56788656527456483</v>
      </c>
      <c r="T1030">
        <f>$S1030+測地線補正!$Q$26*(lattice!$N1030/1000)^3+測地線補正!$P$26*(lattice!$N1030/1000)^2+測地線補正!$O$26*(lattice!$N1030/1000)+測地線補正!$N$26</f>
        <v>-0.32662556118439157</v>
      </c>
      <c r="U1030">
        <f t="shared" ref="U1030:U1031" si="817">-ATAN(($P$1031-$P$1029)/ABS($N$1031-$N$1029))</f>
        <v>-1.5087399048587815E-4</v>
      </c>
      <c r="V1030">
        <v>0</v>
      </c>
      <c r="W1030">
        <f t="shared" ref="W1030:W1031" si="818">ATAN(($M$1031-$M$1029)/ABS($N$1031-$N$1029))</f>
        <v>-1.0096702432251314E-4</v>
      </c>
      <c r="X1030">
        <f>$Z$1030-($Y$1030+$Y$1028)/2</f>
        <v>-0.8175395374460237</v>
      </c>
      <c r="Y1030">
        <f>_xlfn.XLOOKUP($F1030,設計座標!$E$13:$E$2301,設計座標!$L$13:$L$2301," ",0,1)</f>
        <v>160</v>
      </c>
      <c r="Z1030">
        <f>SQRT(($M$1030-$M$1028)^2+($N$1030-$N$1028)^2)</f>
        <v>79.182460462553976</v>
      </c>
      <c r="AA1030">
        <f>_xlfn.XLOOKUP($G1030,magnet_list!$A$2:$A$592,magnet_list!$AJ$2:$AJ$592,"n/a",0,1)</f>
        <v>0.17374887133613809</v>
      </c>
      <c r="AB1030">
        <f>_xlfn.XLOOKUP($G1030,magnet_list!$A$2:$A$592,magnet_list!$L$2:$L$592,"n/a",0,1)</f>
        <v>44</v>
      </c>
      <c r="AD1030" t="s">
        <v>3881</v>
      </c>
    </row>
    <row r="1031" spans="1:30">
      <c r="A1031" t="s">
        <v>797</v>
      </c>
      <c r="B1031">
        <v>1</v>
      </c>
      <c r="C1031" t="s">
        <v>805</v>
      </c>
      <c r="D1031" t="s">
        <v>806</v>
      </c>
      <c r="F1031" t="s">
        <v>219</v>
      </c>
      <c r="G1031" t="s">
        <v>2587</v>
      </c>
      <c r="I1031">
        <f>_xlfn.XLOOKUP($F1031,設計座標!$E$13:$E$2301,設計座標!$G$13:$G$2301,"n/a",0,1)</f>
        <v>305.56099941691889</v>
      </c>
      <c r="J1031">
        <f>_xlfn.XLOOKUP($F1031,設計座標!$E$13:$E$2301,設計座標!$H$13:$H$2301,"n/a",0,1)</f>
        <v>-15000</v>
      </c>
      <c r="K1031">
        <f>_xlfn.XLOOKUP($F1031,設計座標!$E$13:$E$2301,設計座標!$I$13:$I$2301,"n/a",0,1)</f>
        <v>-41098.941951009998</v>
      </c>
      <c r="L1031">
        <f>_xlfn.XLOOKUP($F1031,設計座標!$E$13:$E$2301,設計座標!$J$13:$J$2301,"n/a",0,1)</f>
        <v>90</v>
      </c>
      <c r="M1031" s="2">
        <f>_xlfn.XLOOKUP($F1031,survey_data!$A$2:$A$833,survey_data!$B$2:$B$833,"n/a",0,1)</f>
        <v>-14993.48956527</v>
      </c>
      <c r="N1031" s="2">
        <f>_xlfn.XLOOKUP($F1031,survey_data!$A$2:$A$833,survey_data!$C$2:$C$833,"n/a",0,1)</f>
        <v>-41098.941951009998</v>
      </c>
      <c r="O1031" s="23">
        <f>_xlfn.XLOOKUP($F1031,survey_data!$A$2:$A$833,survey_data!$D$2:$D$833,"n/a",0,1)</f>
        <v>89.440256300000001</v>
      </c>
      <c r="P1031" s="1">
        <f t="shared" si="772"/>
        <v>89.683931663226431</v>
      </c>
      <c r="Q1031" s="1">
        <f t="shared" si="793"/>
        <v>6.5104347300002701</v>
      </c>
      <c r="R1031">
        <f t="shared" si="794"/>
        <v>0</v>
      </c>
      <c r="S1031" s="23">
        <f t="shared" si="795"/>
        <v>-0.55974369999999851</v>
      </c>
      <c r="T1031">
        <f>$S1031+測地線補正!$Q$26*(lattice!$N1031/1000)^3+測地線補正!$P$26*(lattice!$N1031/1000)^2+測地線補正!$O$26*(lattice!$N1031/1000)+測地線補正!$N$26</f>
        <v>-0.31606833677357038</v>
      </c>
      <c r="U1031">
        <f t="shared" si="817"/>
        <v>-1.5087399048587815E-4</v>
      </c>
      <c r="V1031">
        <v>0</v>
      </c>
      <c r="W1031">
        <f t="shared" si="818"/>
        <v>-1.0096702432251314E-4</v>
      </c>
      <c r="X1031">
        <f>$Z$1030-($Y$1030+$Y$1028)/2</f>
        <v>-0.8175395374460237</v>
      </c>
      <c r="Y1031">
        <f>_xlfn.XLOOKUP($F1031,設計座標!$E$13:$E$2301,設計座標!$L$13:$L$2301," ",0,1)</f>
        <v>160</v>
      </c>
      <c r="Z1031">
        <f>SQRT(($M$1030-$M$1028)^2+($N$1030-$N$1028)^2)</f>
        <v>79.182460462553976</v>
      </c>
      <c r="AA1031">
        <f>_xlfn.XLOOKUP($G1031,magnet_list!$A$2:$A$592,magnet_list!$AJ$2:$AJ$592,"n/a",0,1)</f>
        <v>0.17374887133613809</v>
      </c>
      <c r="AB1031">
        <f>_xlfn.XLOOKUP($G1031,magnet_list!$A$2:$A$592,magnet_list!$L$2:$L$592,"n/a",0,1)</f>
        <v>44</v>
      </c>
      <c r="AD1031" t="s">
        <v>3881</v>
      </c>
    </row>
    <row r="1032" spans="1:30">
      <c r="A1032" t="s">
        <v>797</v>
      </c>
      <c r="B1032">
        <v>1</v>
      </c>
      <c r="C1032" t="s">
        <v>805</v>
      </c>
      <c r="D1032" t="s">
        <v>1152</v>
      </c>
      <c r="E1032" t="s">
        <v>804</v>
      </c>
      <c r="F1032" t="s">
        <v>2083</v>
      </c>
      <c r="G1032" t="s">
        <v>2588</v>
      </c>
      <c r="I1032">
        <f>_xlfn.XLOOKUP($F1032,設計座標!$E$13:$E$2301,設計座標!$G$13:$G$2301,"n/a",0,1)</f>
        <v>305.78102102165889</v>
      </c>
      <c r="J1032">
        <f>_xlfn.XLOOKUP($F1032,設計座標!$E$13:$E$2301,設計座標!$H$13:$H$2301,"n/a",0,1)</f>
        <v>-15000</v>
      </c>
      <c r="K1032">
        <f>_xlfn.XLOOKUP($F1032,設計座標!$E$13:$E$2301,設計座標!$I$13:$I$2301,"n/a",0,1)</f>
        <v>-41318.963555750001</v>
      </c>
      <c r="L1032">
        <f>_xlfn.XLOOKUP($F1032,設計座標!$E$13:$E$2301,設計座標!$J$13:$J$2301,"n/a",0,1)</f>
        <v>-270</v>
      </c>
      <c r="M1032" s="2">
        <f t="shared" si="810"/>
        <v>-14993.404827567318</v>
      </c>
      <c r="N1032" s="2">
        <f t="shared" si="811"/>
        <v>-41318.963555750001</v>
      </c>
      <c r="O1032" s="23">
        <f t="shared" si="812"/>
        <v>-270.65660454092404</v>
      </c>
      <c r="P1032" s="1">
        <f t="shared" si="772"/>
        <v>-270.40534716048035</v>
      </c>
      <c r="Q1032" s="1">
        <f>(Q$1033-Q$1031)/($N$1033-$N$1031)*($N1032-$N$1031)+Q$1031</f>
        <v>6.595172432683138</v>
      </c>
      <c r="R1032">
        <f t="shared" si="794"/>
        <v>0</v>
      </c>
      <c r="S1032" s="23">
        <f>(S$1033-S$1031)/($N$1033-$N$1031)*($N1032-$N$1031)+S$1031</f>
        <v>-0.65660454092402631</v>
      </c>
      <c r="T1032">
        <f>$S1032+測地線補正!$Q$26*(lattice!$N1032/1000)^3+測地線補正!$P$26*(lattice!$N1032/1000)^2+測地線補正!$O$26*(lattice!$N1032/1000)+測地線補正!$N$26</f>
        <v>-0.40534716048032182</v>
      </c>
      <c r="U1032">
        <v>0</v>
      </c>
      <c r="V1032">
        <v>0</v>
      </c>
      <c r="W1032">
        <v>0</v>
      </c>
      <c r="X1032">
        <f>$Z$1032-($Y$1032+$Y$1030)/2</f>
        <v>135.00001040167126</v>
      </c>
      <c r="Y1032">
        <f>_xlfn.XLOOKUP($F1032,設計座標!$E$13:$E$2301,設計座標!$L$13:$L$2301," ",0,1)</f>
        <v>150</v>
      </c>
      <c r="Z1032">
        <f>SQRT(($M$1032-$M$1030)^2+($N$1032-$N$1030)^2)</f>
        <v>290.00001040167126</v>
      </c>
      <c r="AA1032">
        <f>_xlfn.XLOOKUP($G1032,magnet_list!$A$2:$A$592,magnet_list!$AJ$2:$AJ$592,"n/a",0,1)</f>
        <v>0.18992999999999999</v>
      </c>
      <c r="AB1032">
        <f>_xlfn.XLOOKUP($G1032,magnet_list!$A$2:$A$592,magnet_list!$L$2:$L$592,"n/a",0,1)</f>
        <v>35</v>
      </c>
    </row>
    <row r="1033" spans="1:30">
      <c r="A1033" t="s">
        <v>797</v>
      </c>
      <c r="B1033">
        <v>1</v>
      </c>
      <c r="C1033" t="s">
        <v>805</v>
      </c>
      <c r="D1033" t="s">
        <v>806</v>
      </c>
      <c r="F1033" t="s">
        <v>220</v>
      </c>
      <c r="G1033" t="s">
        <v>2589</v>
      </c>
      <c r="I1033">
        <f>_xlfn.XLOOKUP($F1033,設計座標!$E$13:$E$2301,設計座標!$G$13:$G$2301,"n/a",0,1)</f>
        <v>306.0210502173889</v>
      </c>
      <c r="J1033">
        <f>_xlfn.XLOOKUP($F1033,設計座標!$E$13:$E$2301,設計座標!$H$13:$H$2301,"n/a",0,1)</f>
        <v>-15000</v>
      </c>
      <c r="K1033">
        <f>_xlfn.XLOOKUP($F1033,設計座標!$E$13:$E$2301,設計座標!$I$13:$I$2301,"n/a",0,1)</f>
        <v>-41558.99275148</v>
      </c>
      <c r="L1033">
        <f>_xlfn.XLOOKUP($F1033,設計座標!$E$13:$E$2301,設計座標!$J$13:$J$2301,"n/a",0,1)</f>
        <v>90</v>
      </c>
      <c r="M1033" s="2">
        <f>_xlfn.XLOOKUP($F1033,survey_data!$A$2:$A$833,survey_data!$B$2:$B$833,"n/a",0,1)</f>
        <v>-14993.312384270001</v>
      </c>
      <c r="N1033" s="2">
        <f>_xlfn.XLOOKUP($F1033,survey_data!$A$2:$A$833,survey_data!$C$2:$C$833,"n/a",0,1)</f>
        <v>-41558.99275148</v>
      </c>
      <c r="O1033" s="23">
        <f>_xlfn.XLOOKUP($F1033,survey_data!$A$2:$A$833,survey_data!$D$2:$D$833,"n/a",0,1)</f>
        <v>89.237726609999996</v>
      </c>
      <c r="P1033" s="1">
        <f t="shared" si="772"/>
        <v>89.497239809906759</v>
      </c>
      <c r="Q1033" s="1">
        <f t="shared" si="793"/>
        <v>6.6876157299993793</v>
      </c>
      <c r="R1033">
        <f t="shared" si="794"/>
        <v>0</v>
      </c>
      <c r="S1033" s="23">
        <f t="shared" si="795"/>
        <v>-0.76227339000000427</v>
      </c>
      <c r="T1033">
        <f>$S1033+測地線補正!$Q$26*(lattice!$N1033/1000)^3+測地線補正!$P$26*(lattice!$N1033/1000)^2+測地線補正!$O$26*(lattice!$N1033/1000)+測地線補正!$N$26</f>
        <v>-0.50276019009323614</v>
      </c>
      <c r="U1033">
        <f>-ATAN(($P$1035-$P$1033)/ABS($N$1035-$N$1033))</f>
        <v>-1.5291648238903479E-4</v>
      </c>
      <c r="V1033">
        <v>0</v>
      </c>
      <c r="W1033">
        <f>ATAN(($M$1035-$M$1033)/ABS($N$1035-$N$1033))</f>
        <v>2.0985049771951258E-4</v>
      </c>
      <c r="X1033">
        <f>$Z$1034-($Y$1034+$Y$1032)/2</f>
        <v>155.02121424015775</v>
      </c>
      <c r="Y1033">
        <f>_xlfn.XLOOKUP($F1033,設計座標!$E$13:$E$2301,設計座標!$L$13:$L$2301," ",0,1)</f>
        <v>160</v>
      </c>
      <c r="Z1033">
        <f>SQRT(($M$1034-$M$1032)^2+($N$1034-$N$1032)^2)</f>
        <v>310.02121424015775</v>
      </c>
      <c r="AA1033">
        <f>_xlfn.XLOOKUP($G1033,magnet_list!$A$2:$A$592,magnet_list!$AJ$2:$AJ$592,"n/a",0,1)</f>
        <v>0.17374887133613809</v>
      </c>
      <c r="AB1033">
        <f>_xlfn.XLOOKUP($G1033,magnet_list!$A$2:$A$592,magnet_list!$L$2:$L$592,"n/a",0,1)</f>
        <v>44</v>
      </c>
    </row>
    <row r="1034" spans="1:30">
      <c r="A1034" t="s">
        <v>797</v>
      </c>
      <c r="B1034">
        <v>1</v>
      </c>
      <c r="C1034" t="s">
        <v>805</v>
      </c>
      <c r="D1034" t="s">
        <v>1152</v>
      </c>
      <c r="E1034" t="s">
        <v>804</v>
      </c>
      <c r="F1034" t="s">
        <v>655</v>
      </c>
      <c r="G1034" t="s">
        <v>2589</v>
      </c>
      <c r="I1034">
        <f>_xlfn.XLOOKUP($F1034,設計座標!$E$13:$E$2301,設計座標!$G$13:$G$2301,"n/a",0,1)</f>
        <v>306.09104221738892</v>
      </c>
      <c r="J1034">
        <f>_xlfn.XLOOKUP($F1034,設計座標!$E$13:$E$2301,設計座標!$H$13:$H$2301,"n/a",0,1)</f>
        <v>-15000</v>
      </c>
      <c r="K1034">
        <f>_xlfn.XLOOKUP($F1034,設計座標!$E$13:$E$2301,設計座標!$I$13:$I$2301,"n/a",0,1)</f>
        <v>-41628.984751479999</v>
      </c>
      <c r="L1034">
        <f>_xlfn.XLOOKUP($F1034,設計座標!$E$13:$E$2301,設計座標!$J$13:$J$2301,"n/a",0,1)</f>
        <v>90</v>
      </c>
      <c r="M1034" s="2">
        <f t="shared" si="810"/>
        <v>-14993.297696413749</v>
      </c>
      <c r="N1034" s="2">
        <f t="shared" si="811"/>
        <v>-41628.984751479999</v>
      </c>
      <c r="O1034" s="23">
        <f t="shared" si="812"/>
        <v>89.246025931958499</v>
      </c>
      <c r="P1034" s="1">
        <f t="shared" si="772"/>
        <v>89.507943434308302</v>
      </c>
      <c r="Q1034" s="1">
        <f>(Q$1035-Q$1033)/($N$1035-$N$1033)*($N1034-$N$1033)+Q$1033</f>
        <v>6.7023035862513671</v>
      </c>
      <c r="R1034">
        <f t="shared" si="794"/>
        <v>0</v>
      </c>
      <c r="S1034" s="23">
        <f>(S$1035-S$1033)/($N$1035-$N$1033)*($N1034-$N$1033)+S$1033</f>
        <v>-0.75397406804150413</v>
      </c>
      <c r="T1034">
        <f>$S1034+測地線補正!$Q$26*(lattice!$N1034/1000)^3+測地線補正!$P$26*(lattice!$N1034/1000)^2+測地線補正!$O$26*(lattice!$N1034/1000)+測地線補正!$N$26</f>
        <v>-0.49205656569170286</v>
      </c>
      <c r="U1034">
        <f t="shared" ref="U1034:U1035" si="819">-ATAN(($P$1035-$P$1033)/ABS($N$1035-$N$1033))</f>
        <v>-1.5291648238903479E-4</v>
      </c>
      <c r="V1034">
        <v>0</v>
      </c>
      <c r="W1034">
        <f t="shared" ref="W1034:W1035" si="820">ATAN(($M$1035-$M$1033)/ABS($N$1035-$N$1033))</f>
        <v>2.0985049771951258E-4</v>
      </c>
      <c r="X1034">
        <f>$Z$1034-($Y$1034+$Y$1032)/2</f>
        <v>155.02121424015775</v>
      </c>
      <c r="Y1034">
        <f>_xlfn.XLOOKUP($F1034,設計座標!$E$13:$E$2301,設計座標!$L$13:$L$2301," ",0,1)</f>
        <v>160</v>
      </c>
      <c r="Z1034">
        <f>SQRT(($M$1034-$M$1032)^2+($N$1034-$N$1032)^2)</f>
        <v>310.02121424015775</v>
      </c>
      <c r="AA1034">
        <f>_xlfn.XLOOKUP($G1034,magnet_list!$A$2:$A$592,magnet_list!$AJ$2:$AJ$592,"n/a",0,1)</f>
        <v>0.17374887133613809</v>
      </c>
      <c r="AB1034">
        <f>_xlfn.XLOOKUP($G1034,magnet_list!$A$2:$A$592,magnet_list!$L$2:$L$592,"n/a",0,1)</f>
        <v>44</v>
      </c>
    </row>
    <row r="1035" spans="1:30">
      <c r="A1035" t="s">
        <v>797</v>
      </c>
      <c r="B1035">
        <v>1</v>
      </c>
      <c r="C1035" t="s">
        <v>805</v>
      </c>
      <c r="D1035" t="s">
        <v>806</v>
      </c>
      <c r="F1035" t="s">
        <v>221</v>
      </c>
      <c r="G1035" t="s">
        <v>2589</v>
      </c>
      <c r="I1035">
        <f>_xlfn.XLOOKUP($F1035,設計座標!$E$13:$E$2301,設計座標!$G$13:$G$2301,"n/a",0,1)</f>
        <v>306.16098274024893</v>
      </c>
      <c r="J1035">
        <f>_xlfn.XLOOKUP($F1035,設計座標!$E$13:$E$2301,設計座標!$H$13:$H$2301,"n/a",0,1)</f>
        <v>-15000</v>
      </c>
      <c r="K1035">
        <f>_xlfn.XLOOKUP($F1035,設計座標!$E$13:$E$2301,設計座標!$I$13:$I$2301,"n/a",0,1)</f>
        <v>-41698.925274339999</v>
      </c>
      <c r="L1035">
        <f>_xlfn.XLOOKUP($F1035,設計座標!$E$13:$E$2301,設計座標!$J$13:$J$2301,"n/a",0,1)</f>
        <v>90</v>
      </c>
      <c r="M1035" s="2">
        <f>_xlfn.XLOOKUP($F1035,survey_data!$A$2:$A$833,survey_data!$B$2:$B$833,"n/a",0,1)</f>
        <v>-14993.28301936</v>
      </c>
      <c r="N1035" s="2">
        <f>_xlfn.XLOOKUP($F1035,survey_data!$A$2:$A$833,survey_data!$C$2:$C$833,"n/a",0,1)</f>
        <v>-41698.925274339999</v>
      </c>
      <c r="O1035" s="23">
        <f>_xlfn.XLOOKUP($F1035,survey_data!$A$2:$A$833,survey_data!$D$2:$D$833,"n/a",0,1)</f>
        <v>89.254319150000001</v>
      </c>
      <c r="P1035" s="1">
        <f t="shared" si="772"/>
        <v>89.51863779924112</v>
      </c>
      <c r="Q1035" s="1">
        <f t="shared" si="793"/>
        <v>6.7169806399997469</v>
      </c>
      <c r="R1035">
        <f t="shared" si="794"/>
        <v>0</v>
      </c>
      <c r="S1035" s="23">
        <f t="shared" si="795"/>
        <v>-0.7456808499999994</v>
      </c>
      <c r="T1035">
        <f>$S1035+測地線補正!$Q$26*(lattice!$N1035/1000)^3+測地線補正!$P$26*(lattice!$N1035/1000)^2+測地線補正!$O$26*(lattice!$N1035/1000)+測地線補正!$N$26</f>
        <v>-0.48136220075887914</v>
      </c>
      <c r="U1035">
        <f t="shared" si="819"/>
        <v>-1.5291648238903479E-4</v>
      </c>
      <c r="V1035">
        <v>0</v>
      </c>
      <c r="W1035">
        <f t="shared" si="820"/>
        <v>2.0985049771951258E-4</v>
      </c>
      <c r="X1035">
        <f>$Z$1034-($Y$1034+$Y$1032)/2</f>
        <v>155.02121424015775</v>
      </c>
      <c r="Y1035">
        <f>_xlfn.XLOOKUP($F1035,設計座標!$E$13:$E$2301,設計座標!$L$13:$L$2301," ",0,1)</f>
        <v>160</v>
      </c>
      <c r="Z1035">
        <f>SQRT(($M$1034-$M$1032)^2+($N$1034-$N$1032)^2)</f>
        <v>310.02121424015775</v>
      </c>
      <c r="AA1035">
        <f>_xlfn.XLOOKUP($G1035,magnet_list!$A$2:$A$592,magnet_list!$AJ$2:$AJ$592,"n/a",0,1)</f>
        <v>0.17374887133613809</v>
      </c>
      <c r="AB1035">
        <f>_xlfn.XLOOKUP($G1035,magnet_list!$A$2:$A$592,magnet_list!$L$2:$L$592,"n/a",0,1)</f>
        <v>44</v>
      </c>
    </row>
    <row r="1036" spans="1:30">
      <c r="A1036" t="s">
        <v>797</v>
      </c>
      <c r="B1036">
        <v>1</v>
      </c>
      <c r="C1036" t="s">
        <v>805</v>
      </c>
      <c r="D1036" t="s">
        <v>1152</v>
      </c>
      <c r="E1036" t="s">
        <v>804</v>
      </c>
      <c r="F1036" t="s">
        <v>2084</v>
      </c>
      <c r="G1036" t="s">
        <v>2590</v>
      </c>
      <c r="I1036">
        <f>_xlfn.XLOOKUP($F1036,設計座標!$E$13:$E$2301,設計座標!$G$13:$G$2301,"n/a",0,1)</f>
        <v>306.40604221738892</v>
      </c>
      <c r="J1036">
        <f>_xlfn.XLOOKUP($F1036,設計座標!$E$13:$E$2301,設計座標!$H$13:$H$2301,"n/a",0,1)</f>
        <v>-15000</v>
      </c>
      <c r="K1036">
        <f>_xlfn.XLOOKUP($F1036,設計座標!$E$13:$E$2301,設計座標!$I$13:$I$2301,"n/a",0,1)</f>
        <v>-41943.984751479999</v>
      </c>
      <c r="L1036">
        <f>_xlfn.XLOOKUP($F1036,設計座標!$E$13:$E$2301,設計座標!$J$13:$J$2301,"n/a",0,1)</f>
        <v>-270</v>
      </c>
      <c r="M1036" s="2">
        <f t="shared" si="810"/>
        <v>-14993.249172348791</v>
      </c>
      <c r="N1036" s="2">
        <f t="shared" si="811"/>
        <v>-41943.984751479999</v>
      </c>
      <c r="O1036" s="23">
        <f t="shared" si="812"/>
        <v>-270.7538508037116</v>
      </c>
      <c r="P1036" s="1">
        <f t="shared" si="772"/>
        <v>-270.48112988950567</v>
      </c>
      <c r="Q1036" s="1">
        <f>(Q$1037-Q$1035)/($N$1037-$N$1035)*($N1036-$N$1035)+Q$1035</f>
        <v>6.7508276512082031</v>
      </c>
      <c r="R1036">
        <f t="shared" si="794"/>
        <v>0</v>
      </c>
      <c r="S1036" s="23">
        <f>(S$1037-S$1035)/($N$1037-$N$1035)*($N1036-$N$1035)+S$1035</f>
        <v>-0.75385080371161151</v>
      </c>
      <c r="T1036">
        <f>$S1036+測地線補正!$Q$26*(lattice!$N1036/1000)^3+測地線補正!$P$26*(lattice!$N1036/1000)^2+測地線補正!$O$26*(lattice!$N1036/1000)+測地線補正!$N$26</f>
        <v>-0.48112988950568236</v>
      </c>
      <c r="U1036">
        <v>0</v>
      </c>
      <c r="V1036">
        <v>0</v>
      </c>
      <c r="W1036">
        <v>0</v>
      </c>
      <c r="X1036">
        <f>$Z$1036-($Y$1036+$Y$1034)/2</f>
        <v>160.00000373743632</v>
      </c>
      <c r="Y1036">
        <f>_xlfn.XLOOKUP($F1036,設計座標!$E$13:$E$2301,設計座標!$L$13:$L$2301," ",0,1)</f>
        <v>150</v>
      </c>
      <c r="Z1036">
        <f>SQRT(($M$1036-$M$1034)^2+($N$1036-$N$1034)^2)</f>
        <v>315.00000373743632</v>
      </c>
      <c r="AA1036">
        <f>_xlfn.XLOOKUP($G1036,magnet_list!$A$2:$A$592,magnet_list!$AJ$2:$AJ$592,"n/a",0,1)</f>
        <v>0.18626200000000001</v>
      </c>
      <c r="AB1036">
        <f>_xlfn.XLOOKUP($G1036,magnet_list!$A$2:$A$592,magnet_list!$L$2:$L$592,"n/a",0,1)</f>
        <v>35</v>
      </c>
    </row>
    <row r="1037" spans="1:30">
      <c r="A1037" t="s">
        <v>797</v>
      </c>
      <c r="B1037">
        <v>1</v>
      </c>
      <c r="C1037" t="s">
        <v>805</v>
      </c>
      <c r="D1037" t="s">
        <v>806</v>
      </c>
      <c r="F1037" t="s">
        <v>222</v>
      </c>
      <c r="G1037" t="s">
        <v>2591</v>
      </c>
      <c r="I1037">
        <f>_xlfn.XLOOKUP($F1037,設計座標!$E$13:$E$2301,設計座標!$G$13:$G$2301,"n/a",0,1)</f>
        <v>306.62103127385893</v>
      </c>
      <c r="J1037">
        <f>_xlfn.XLOOKUP($F1037,設計座標!$E$13:$E$2301,設計座標!$H$13:$H$2301,"n/a",0,1)</f>
        <v>-15000</v>
      </c>
      <c r="K1037">
        <f>_xlfn.XLOOKUP($F1037,設計座標!$E$13:$E$2301,設計座標!$I$13:$I$2301,"n/a",0,1)</f>
        <v>-42158.973807950002</v>
      </c>
      <c r="L1037">
        <f>_xlfn.XLOOKUP($F1037,設計座標!$E$13:$E$2301,設計座標!$J$13:$J$2301,"n/a",0,1)</f>
        <v>90</v>
      </c>
      <c r="M1037" s="2">
        <f>_xlfn.XLOOKUP($F1037,survey_data!$A$2:$A$833,survey_data!$B$2:$B$833,"n/a",0,1)</f>
        <v>-14993.219478589999</v>
      </c>
      <c r="N1037" s="2">
        <f>_xlfn.XLOOKUP($F1037,survey_data!$A$2:$A$833,survey_data!$C$2:$C$833,"n/a",0,1)</f>
        <v>-42158.973807950002</v>
      </c>
      <c r="O1037" s="23">
        <f>_xlfn.XLOOKUP($F1037,survey_data!$A$2:$A$833,survey_data!$D$2:$D$833,"n/a",0,1)</f>
        <v>89.238981749999994</v>
      </c>
      <c r="P1037" s="1">
        <f t="shared" si="772"/>
        <v>89.519059908516851</v>
      </c>
      <c r="Q1037" s="1">
        <f t="shared" si="793"/>
        <v>6.7805214100008016</v>
      </c>
      <c r="R1037">
        <f t="shared" si="794"/>
        <v>0</v>
      </c>
      <c r="S1037" s="23">
        <f t="shared" si="795"/>
        <v>-0.76101825000000645</v>
      </c>
      <c r="T1037">
        <f>$S1037+測地線補正!$Q$26*(lattice!$N1037/1000)^3+測地線補正!$P$26*(lattice!$N1037/1000)^2+測地線補正!$O$26*(lattice!$N1037/1000)+測地線補正!$N$26</f>
        <v>-0.4809400914831552</v>
      </c>
      <c r="U1037">
        <f>-ATAN(($P$1039-$P$1037)/ABS($N$1039-$N$1037))</f>
        <v>-2.7818275070531993E-4</v>
      </c>
      <c r="V1037">
        <v>0</v>
      </c>
      <c r="W1037">
        <f>ATAN(($M$1039-$M$1037)/ABS($N$1039-$N$1037))</f>
        <v>9.2901798203820019E-4</v>
      </c>
      <c r="X1037">
        <f>$Z$1038-($Y$1038+$Y$1036)/2</f>
        <v>129.98757221204022</v>
      </c>
      <c r="Y1037">
        <f>_xlfn.XLOOKUP($F1037,設計座標!$E$13:$E$2301,設計座標!$L$13:$L$2301," ",0,1)</f>
        <v>160</v>
      </c>
      <c r="Z1037">
        <f>SQRT(($M$1038-$M$1036)^2+($N$1038-$N$1036)^2)</f>
        <v>284.98757221204022</v>
      </c>
      <c r="AA1037">
        <f>_xlfn.XLOOKUP($G1037,magnet_list!$A$2:$A$592,magnet_list!$AJ$2:$AJ$592,"n/a",0,1)</f>
        <v>0.17374887133613809</v>
      </c>
      <c r="AB1037">
        <f>_xlfn.XLOOKUP($G1037,magnet_list!$A$2:$A$592,magnet_list!$L$2:$L$592,"n/a",0,1)</f>
        <v>44</v>
      </c>
    </row>
    <row r="1038" spans="1:30">
      <c r="A1038" t="s">
        <v>797</v>
      </c>
      <c r="B1038">
        <v>1</v>
      </c>
      <c r="C1038" t="s">
        <v>805</v>
      </c>
      <c r="D1038" t="s">
        <v>1152</v>
      </c>
      <c r="E1038" t="s">
        <v>804</v>
      </c>
      <c r="F1038" t="s">
        <v>656</v>
      </c>
      <c r="G1038" t="s">
        <v>2591</v>
      </c>
      <c r="I1038">
        <f>_xlfn.XLOOKUP($F1038,設計座標!$E$13:$E$2301,設計座標!$G$13:$G$2301,"n/a",0,1)</f>
        <v>306.69102977385893</v>
      </c>
      <c r="J1038">
        <f>_xlfn.XLOOKUP($F1038,設計座標!$E$13:$E$2301,設計座標!$H$13:$H$2301,"n/a",0,1)</f>
        <v>-15000</v>
      </c>
      <c r="K1038">
        <f>_xlfn.XLOOKUP($F1038,設計座標!$E$13:$E$2301,設計座標!$I$13:$I$2301,"n/a",0,1)</f>
        <v>-42228.972307950004</v>
      </c>
      <c r="L1038">
        <f>_xlfn.XLOOKUP($F1038,設計座標!$E$13:$E$2301,設計座標!$J$13:$J$2301,"n/a",0,1)</f>
        <v>90</v>
      </c>
      <c r="M1038" s="2">
        <f t="shared" si="810"/>
        <v>-14993.154448706075</v>
      </c>
      <c r="N1038" s="2">
        <f t="shared" si="811"/>
        <v>-42228.972307950004</v>
      </c>
      <c r="O1038" s="23">
        <f t="shared" si="812"/>
        <v>89.256062189852017</v>
      </c>
      <c r="P1038" s="1">
        <f t="shared" si="772"/>
        <v>89.538532977112396</v>
      </c>
      <c r="Q1038" s="1">
        <f>(Q$1039-Q$1037)/($N$1039-$N$1037)*($N1038-$N$1037)+Q$1037</f>
        <v>6.8455512939250482</v>
      </c>
      <c r="R1038">
        <f t="shared" si="794"/>
        <v>0</v>
      </c>
      <c r="S1038" s="23">
        <f>(S$1039-S$1037)/($N$1039-$N$1037)*($N1038-$N$1037)+S$1037</f>
        <v>-0.74393781014797744</v>
      </c>
      <c r="T1038">
        <f>$S1038+測地線補正!$Q$26*(lattice!$N1038/1000)^3+測地線補正!$P$26*(lattice!$N1038/1000)^2+測地線補正!$O$26*(lattice!$N1038/1000)+測地線補正!$N$26</f>
        <v>-0.461467022887603</v>
      </c>
      <c r="U1038">
        <f t="shared" ref="U1038:U1039" si="821">-ATAN(($P$1039-$P$1037)/ABS($N$1039-$N$1037))</f>
        <v>-2.7818275070531993E-4</v>
      </c>
      <c r="V1038">
        <v>0</v>
      </c>
      <c r="W1038">
        <f t="shared" ref="W1038:W1039" si="822">ATAN(($M$1039-$M$1037)/ABS($N$1039-$N$1037))</f>
        <v>9.2901798203820019E-4</v>
      </c>
      <c r="X1038">
        <f>$Z$1038-($Y$1038+$Y$1036)/2</f>
        <v>129.98757221204022</v>
      </c>
      <c r="Y1038">
        <f>_xlfn.XLOOKUP($F1038,設計座標!$E$13:$E$2301,設計座標!$L$13:$L$2301," ",0,1)</f>
        <v>160</v>
      </c>
      <c r="Z1038">
        <f>SQRT(($M$1038-$M$1036)^2+($N$1038-$N$1036)^2)</f>
        <v>284.98757221204022</v>
      </c>
      <c r="AA1038">
        <f>_xlfn.XLOOKUP($G1038,magnet_list!$A$2:$A$592,magnet_list!$AJ$2:$AJ$592,"n/a",0,1)</f>
        <v>0.17374887133613809</v>
      </c>
      <c r="AB1038">
        <f>_xlfn.XLOOKUP($G1038,magnet_list!$A$2:$A$592,magnet_list!$L$2:$L$592,"n/a",0,1)</f>
        <v>44</v>
      </c>
    </row>
    <row r="1039" spans="1:30">
      <c r="A1039" t="s">
        <v>797</v>
      </c>
      <c r="B1039">
        <v>1</v>
      </c>
      <c r="C1039" t="s">
        <v>805</v>
      </c>
      <c r="D1039" t="s">
        <v>806</v>
      </c>
      <c r="F1039" t="s">
        <v>223</v>
      </c>
      <c r="G1039" t="s">
        <v>2591</v>
      </c>
      <c r="I1039">
        <f>_xlfn.XLOOKUP($F1039,設計座標!$E$13:$E$2301,設計座標!$G$13:$G$2301,"n/a",0,1)</f>
        <v>306.76097700699893</v>
      </c>
      <c r="J1039">
        <f>_xlfn.XLOOKUP($F1039,設計座標!$E$13:$E$2301,設計座標!$H$13:$H$2301,"n/a",0,1)</f>
        <v>-15000</v>
      </c>
      <c r="K1039">
        <f>_xlfn.XLOOKUP($F1039,設計座標!$E$13:$E$2301,設計座標!$I$13:$I$2301,"n/a",0,1)</f>
        <v>-42298.919541089999</v>
      </c>
      <c r="L1039">
        <f>_xlfn.XLOOKUP($F1039,設計座標!$E$13:$E$2301,設計座標!$J$13:$J$2301,"n/a",0,1)</f>
        <v>90</v>
      </c>
      <c r="M1039" s="2">
        <f>_xlfn.XLOOKUP($F1039,survey_data!$A$2:$A$833,survey_data!$B$2:$B$833,"n/a",0,1)</f>
        <v>-14993.089466449999</v>
      </c>
      <c r="N1039" s="2">
        <f>_xlfn.XLOOKUP($F1039,survey_data!$A$2:$A$833,survey_data!$C$2:$C$833,"n/a",0,1)</f>
        <v>-42298.919541089999</v>
      </c>
      <c r="O1039" s="23">
        <f>_xlfn.XLOOKUP($F1039,survey_data!$A$2:$A$833,survey_data!$D$2:$D$833,"n/a",0,1)</f>
        <v>89.273130120000005</v>
      </c>
      <c r="P1039" s="1">
        <f t="shared" si="772"/>
        <v>89.557990398515429</v>
      </c>
      <c r="Q1039" s="1">
        <f t="shared" si="793"/>
        <v>6.9105335500007641</v>
      </c>
      <c r="R1039">
        <f t="shared" si="794"/>
        <v>0</v>
      </c>
      <c r="S1039" s="23">
        <f t="shared" si="795"/>
        <v>-0.72686987999999531</v>
      </c>
      <c r="T1039">
        <f>$S1039+測地線補正!$Q$26*(lattice!$N1039/1000)^3+測地線補正!$P$26*(lattice!$N1039/1000)^2+測地線補正!$O$26*(lattice!$N1039/1000)+測地線補正!$N$26</f>
        <v>-0.44200960148457757</v>
      </c>
      <c r="U1039">
        <f t="shared" si="821"/>
        <v>-2.7818275070531993E-4</v>
      </c>
      <c r="V1039">
        <v>0</v>
      </c>
      <c r="W1039">
        <f t="shared" si="822"/>
        <v>9.2901798203820019E-4</v>
      </c>
      <c r="X1039">
        <f>$Z$1038-($Y$1038+$Y$1036)/2</f>
        <v>129.98757221204022</v>
      </c>
      <c r="Y1039">
        <f>_xlfn.XLOOKUP($F1039,設計座標!$E$13:$E$2301,設計座標!$L$13:$L$2301," ",0,1)</f>
        <v>160</v>
      </c>
      <c r="Z1039">
        <f>SQRT(($M$1038-$M$1036)^2+($N$1038-$N$1036)^2)</f>
        <v>284.98757221204022</v>
      </c>
      <c r="AA1039">
        <f>_xlfn.XLOOKUP($G1039,magnet_list!$A$2:$A$592,magnet_list!$AJ$2:$AJ$592,"n/a",0,1)</f>
        <v>0.17374887133613809</v>
      </c>
      <c r="AB1039">
        <f>_xlfn.XLOOKUP($G1039,magnet_list!$A$2:$A$592,magnet_list!$L$2:$L$592,"n/a",0,1)</f>
        <v>44</v>
      </c>
    </row>
    <row r="1040" spans="1:30">
      <c r="A1040" t="s">
        <v>797</v>
      </c>
      <c r="B1040">
        <v>1</v>
      </c>
      <c r="C1040" t="s">
        <v>2288</v>
      </c>
      <c r="D1040" t="s">
        <v>1152</v>
      </c>
      <c r="E1040" t="s">
        <v>804</v>
      </c>
      <c r="F1040" t="s">
        <v>2337</v>
      </c>
      <c r="G1040" t="s">
        <v>2337</v>
      </c>
      <c r="I1040">
        <f>_xlfn.XLOOKUP($F1040,設計座標!$E$13:$E$2301,設計座標!$G$13:$G$2301,"n/a",0,1)</f>
        <v>306.96663756136888</v>
      </c>
      <c r="J1040">
        <f>_xlfn.XLOOKUP($F1040,設計座標!$E$13:$E$2301,設計座標!$H$13:$H$2301,"n/a",0,1)</f>
        <v>-15000</v>
      </c>
      <c r="K1040">
        <f>_xlfn.XLOOKUP($F1040,設計座標!$E$13:$E$2301,設計座標!$I$13:$I$2301,"n/a",0,1)</f>
        <v>-42504.580095460064</v>
      </c>
      <c r="L1040">
        <f>_xlfn.XLOOKUP($F1040,設計座標!$E$13:$E$2301,設計座標!$J$13:$J$2301,"n/a",0,1)</f>
        <v>-270</v>
      </c>
      <c r="M1040" s="2">
        <f t="shared" si="810"/>
        <v>-14993.107728893485</v>
      </c>
      <c r="N1040" s="2">
        <f t="shared" si="811"/>
        <v>-42504.580095460064</v>
      </c>
      <c r="O1040" s="23">
        <f t="shared" si="812"/>
        <v>-270.78820451266887</v>
      </c>
      <c r="P1040" s="1">
        <f t="shared" si="772"/>
        <v>-270.49632661176793</v>
      </c>
      <c r="Q1040" s="1">
        <f>(Q$1042-Q$1039)/($N$1042-$N$1039)*($N1040-$N$1039)+Q$1039</f>
        <v>6.8922711065144497</v>
      </c>
      <c r="R1040">
        <f t="shared" si="794"/>
        <v>0</v>
      </c>
      <c r="S1040" s="23">
        <f t="shared" ref="S1040:S1041" si="823">(S$1042-S$1039)/($N$1042-$N$1039)*($N1040-$N$1039)+S$1039</f>
        <v>-0.7882045126688888</v>
      </c>
      <c r="T1040">
        <f>$S1040+測地線補正!$Q$26*(lattice!$N1040/1000)^3+測地線補正!$P$26*(lattice!$N1040/1000)^2+測地線補正!$O$26*(lattice!$N1040/1000)+測地線補正!$N$26</f>
        <v>-0.49632661176791992</v>
      </c>
      <c r="U1040">
        <v>0</v>
      </c>
      <c r="V1040">
        <v>0</v>
      </c>
      <c r="W1040">
        <v>0</v>
      </c>
      <c r="X1040">
        <f>$Z$1040-($Y$1040+$Y$1038)/2</f>
        <v>195.60779146992792</v>
      </c>
      <c r="Y1040">
        <f>_xlfn.XLOOKUP($F1040,設計座標!$E$13:$E$2301,設計座標!$L$13:$L$2301," ",0,1)</f>
        <v>0</v>
      </c>
      <c r="Z1040">
        <f>SQRT(($M$1040-$M$1038)^2+($N$1040-$N$1038)^2)</f>
        <v>275.60779146992792</v>
      </c>
    </row>
    <row r="1041" spans="1:28">
      <c r="A1041" t="s">
        <v>797</v>
      </c>
      <c r="B1041">
        <v>1</v>
      </c>
      <c r="C1041" t="s">
        <v>804</v>
      </c>
      <c r="D1041" t="s">
        <v>1152</v>
      </c>
      <c r="E1041" t="s">
        <v>804</v>
      </c>
      <c r="F1041" t="s">
        <v>1590</v>
      </c>
      <c r="G1041" t="s">
        <v>2592</v>
      </c>
      <c r="I1041">
        <f>_xlfn.XLOOKUP($F1041,設計座標!$E$13:$E$2301,設計座標!$G$13:$G$2301,"n/a",0,1)</f>
        <v>307.09663716136885</v>
      </c>
      <c r="J1041">
        <f>_xlfn.XLOOKUP($F1041,設計座標!$E$13:$E$2301,設計座標!$H$13:$H$2301,"n/a",0,1)</f>
        <v>-15000</v>
      </c>
      <c r="K1041">
        <f>_xlfn.XLOOKUP($F1041,設計座標!$E$13:$E$2301,設計座標!$I$13:$I$2301,"n/a",0,1)</f>
        <v>-42634.579695460059</v>
      </c>
      <c r="L1041">
        <f>_xlfn.XLOOKUP($F1041,設計座標!$E$13:$E$2301,設計座標!$J$13:$J$2301,"n/a",0,1)</f>
        <v>-270</v>
      </c>
      <c r="M1041" s="2">
        <f t="shared" si="810"/>
        <v>-14993.119272722857</v>
      </c>
      <c r="N1041" s="2">
        <f t="shared" si="811"/>
        <v>-42634.579695460059</v>
      </c>
      <c r="O1041" s="23">
        <f t="shared" si="812"/>
        <v>-270.82697460028987</v>
      </c>
      <c r="P1041" s="1">
        <f t="shared" si="772"/>
        <v>-270.53066697697699</v>
      </c>
      <c r="Q1041" s="1">
        <f>(Q$1042-Q$1039)/($N$1042-$N$1039)*($N1041-$N$1039)+Q$1039</f>
        <v>6.8807272771422339</v>
      </c>
      <c r="R1041">
        <f t="shared" si="794"/>
        <v>0</v>
      </c>
      <c r="S1041" s="23">
        <f t="shared" si="823"/>
        <v>-0.82697460028984993</v>
      </c>
      <c r="T1041">
        <f>$S1041+測地線補正!$Q$26*(lattice!$N1041/1000)^3+測地線補正!$P$26*(lattice!$N1041/1000)^2+測地線補正!$O$26*(lattice!$N1041/1000)+測地線補正!$N$26</f>
        <v>-0.53066697697697629</v>
      </c>
      <c r="U1041">
        <f>-ATAN(($P$1052-$P$1041)/ABS($N$1052-$N$1041))</f>
        <v>2.9576343810594611E-5</v>
      </c>
      <c r="V1041">
        <v>0</v>
      </c>
      <c r="W1041">
        <f>ATAN(($M$1052-$M$1041)/ABS($N$1052-$N$1041))</f>
        <v>6.5112634582472273E-5</v>
      </c>
      <c r="X1041">
        <f>SQRT(($M$1041-$M$1040)^2+($N$1041-$N$1040)^2)</f>
        <v>129.99960051253558</v>
      </c>
      <c r="Y1041">
        <f>_xlfn.XLOOKUP($F1041,設計座標!$E$13:$E$2301,設計座標!$L$13:$L$2301," ",0,1)</f>
        <v>1889.4492</v>
      </c>
      <c r="Z1041">
        <f>SQRT(($M$1047-$M$1046)^2+($N$1047-$N$1046)^2)</f>
        <v>36.957361496000409</v>
      </c>
    </row>
    <row r="1042" spans="1:28">
      <c r="A1042" t="s">
        <v>797</v>
      </c>
      <c r="B1042">
        <v>1</v>
      </c>
      <c r="C1042" t="s">
        <v>805</v>
      </c>
      <c r="D1042" t="s">
        <v>806</v>
      </c>
      <c r="F1042" t="s">
        <v>224</v>
      </c>
      <c r="G1042" t="s">
        <v>2593</v>
      </c>
      <c r="I1042">
        <f>_xlfn.XLOOKUP($F1042,設計座標!$E$13:$E$2301,設計座標!$G$13:$G$2301,"n/a",0,1)</f>
        <v>307.26956178818881</v>
      </c>
      <c r="J1042">
        <f>_xlfn.XLOOKUP($F1042,設計座標!$E$13:$E$2301,設計座標!$H$13:$H$2301,"n/a",0,1)</f>
        <v>-15000</v>
      </c>
      <c r="K1042">
        <f>_xlfn.XLOOKUP($F1042,設計座標!$E$13:$E$2301,設計座標!$I$13:$I$2301,"n/a",0,1)</f>
        <v>-42807.504322280001</v>
      </c>
      <c r="L1042">
        <f>_xlfn.XLOOKUP($F1042,設計座標!$E$13:$E$2301,設計座標!$J$13:$J$2301,"n/a",0,1)</f>
        <v>75</v>
      </c>
      <c r="M1042" s="2">
        <f>_xlfn.XLOOKUP($F1042,survey_data!$A$2:$A$833,survey_data!$B$2:$B$833,"n/a",0,1)</f>
        <v>-14993.13462825</v>
      </c>
      <c r="N1042" s="2">
        <f>_xlfn.XLOOKUP($F1042,survey_data!$A$2:$A$833,survey_data!$C$2:$C$833,"n/a",0,1)</f>
        <v>-42807.504322280001</v>
      </c>
      <c r="O1042" s="23">
        <f>_xlfn.XLOOKUP($F1042,survey_data!$A$2:$A$833,survey_data!$D$2:$D$833,"n/a",0,1)</f>
        <v>74.121453680000002</v>
      </c>
      <c r="P1042" s="1">
        <f t="shared" si="772"/>
        <v>74.423646288096791</v>
      </c>
      <c r="Q1042" s="1">
        <f t="shared" si="793"/>
        <v>6.8653717500001221</v>
      </c>
      <c r="R1042">
        <f t="shared" si="794"/>
        <v>0</v>
      </c>
      <c r="S1042" s="23">
        <f t="shared" si="795"/>
        <v>-0.8785463199999981</v>
      </c>
      <c r="T1042">
        <f>$S1042+測地線補正!$Q$26*(lattice!$N1042/1000)^3+測地線補正!$P$26*(lattice!$N1042/1000)^2+測地線補正!$O$26*(lattice!$N1042/1000)+測地線補正!$N$26</f>
        <v>-0.57635371190321316</v>
      </c>
      <c r="U1042">
        <f>-ATAN(($P$1044-$P$1042)/ABS($N$1044-$N$1042))</f>
        <v>1.3377315522913999E-4</v>
      </c>
      <c r="V1042">
        <v>0</v>
      </c>
      <c r="W1042">
        <f>ATAN(($M$1044-$M$1042)/ABS($N$1044-$N$1042))</f>
        <v>5.6858463935637647E-6</v>
      </c>
      <c r="X1042" t="s">
        <v>3860</v>
      </c>
      <c r="Y1042">
        <f>_xlfn.XLOOKUP($F1042,設計座標!$E$13:$E$2301,設計座標!$L$13:$L$2301," ",0,1)</f>
        <v>300</v>
      </c>
      <c r="Z1042">
        <f>SQRT(($M$1043-$M$1040)^2+($N$1043-$N$1040)^2)</f>
        <v>437.92572759960638</v>
      </c>
      <c r="AA1042">
        <f>_xlfn.XLOOKUP($G1042,magnet_list!$A$2:$A$592,magnet_list!$AJ$2:$AJ$592,"n/a",0,1)</f>
        <v>0.33198863580560978</v>
      </c>
      <c r="AB1042">
        <f>_xlfn.XLOOKUP($G1042,magnet_list!$A$2:$A$592,magnet_list!$L$2:$L$592,"n/a",0,1)</f>
        <v>140</v>
      </c>
    </row>
    <row r="1043" spans="1:28">
      <c r="A1043" t="s">
        <v>797</v>
      </c>
      <c r="B1043">
        <v>1</v>
      </c>
      <c r="C1043" t="s">
        <v>805</v>
      </c>
      <c r="D1043" t="s">
        <v>1152</v>
      </c>
      <c r="E1043" t="s">
        <v>804</v>
      </c>
      <c r="F1043" t="s">
        <v>657</v>
      </c>
      <c r="G1043" t="s">
        <v>2593</v>
      </c>
      <c r="I1043">
        <f>_xlfn.XLOOKUP($F1043,設計座標!$E$13:$E$2301,設計座標!$G$13:$G$2301,"n/a",0,1)</f>
        <v>307.4045632881888</v>
      </c>
      <c r="J1043">
        <f>_xlfn.XLOOKUP($F1043,設計座標!$E$13:$E$2301,設計座標!$H$13:$H$2301,"n/a",0,1)</f>
        <v>-15000</v>
      </c>
      <c r="K1043">
        <f>_xlfn.XLOOKUP($F1043,設計座標!$E$13:$E$2301,設計座標!$I$13:$I$2301,"n/a",0,1)</f>
        <v>-42942.505822280007</v>
      </c>
      <c r="L1043">
        <f>_xlfn.XLOOKUP($F1043,設計座標!$E$13:$E$2301,設計座標!$J$13:$J$2301,"n/a",0,1)</f>
        <v>75</v>
      </c>
      <c r="M1043" s="2">
        <f t="shared" si="810"/>
        <v>-14993.133860652208</v>
      </c>
      <c r="N1043" s="2">
        <f t="shared" si="811"/>
        <v>-42942.505822280007</v>
      </c>
      <c r="O1043" s="23">
        <f t="shared" si="812"/>
        <v>74.09880816762093</v>
      </c>
      <c r="P1043" s="1">
        <f t="shared" si="772"/>
        <v>74.40558928490951</v>
      </c>
      <c r="Q1043" s="1">
        <f>(Q$1044-Q$1042)/($N$1044-$N$1042)*($N1043-$N$1042)+Q$1042</f>
        <v>6.8661393477920312</v>
      </c>
      <c r="R1043">
        <f t="shared" si="794"/>
        <v>0</v>
      </c>
      <c r="S1043" s="23">
        <f>(S$1044-S$1042)/($N$1044-$N$1042)*($N1043-$N$1042)+S$1042</f>
        <v>-0.90119183237907396</v>
      </c>
      <c r="T1043">
        <f>$S1043+測地線補正!$Q$26*(lattice!$N1043/1000)^3+測地線補正!$P$26*(lattice!$N1043/1000)^2+測地線補正!$O$26*(lattice!$N1043/1000)+測地線補正!$N$26</f>
        <v>-0.59441071509049004</v>
      </c>
      <c r="U1043">
        <f t="shared" ref="U1043:U1044" si="824">-ATAN(($P$1044-$P$1042)/ABS($N$1044-$N$1042))</f>
        <v>1.3377315522913999E-4</v>
      </c>
      <c r="V1043">
        <v>0</v>
      </c>
      <c r="W1043">
        <f t="shared" ref="W1043:W1044" si="825">ATAN(($M$1044-$M$1042)/ABS($N$1044-$N$1042))</f>
        <v>5.6858463935637647E-6</v>
      </c>
      <c r="X1043" t="s">
        <v>3860</v>
      </c>
      <c r="Y1043">
        <f>_xlfn.XLOOKUP($F1043,設計座標!$E$13:$E$2301,設計座標!$L$13:$L$2301," ",0,1)</f>
        <v>300</v>
      </c>
      <c r="Z1043">
        <f>SQRT(($M$1043-$M$1040)^2+($N$1043-$N$1040)^2)</f>
        <v>437.92572759960638</v>
      </c>
      <c r="AA1043">
        <f>_xlfn.XLOOKUP($G1043,magnet_list!$A$2:$A$592,magnet_list!$AJ$2:$AJ$592,"n/a",0,1)</f>
        <v>0.33198863580560978</v>
      </c>
      <c r="AB1043">
        <f>_xlfn.XLOOKUP($G1043,magnet_list!$A$2:$A$592,magnet_list!$L$2:$L$592,"n/a",0,1)</f>
        <v>140</v>
      </c>
    </row>
    <row r="1044" spans="1:28">
      <c r="A1044" t="s">
        <v>797</v>
      </c>
      <c r="B1044">
        <v>1</v>
      </c>
      <c r="C1044" t="s">
        <v>805</v>
      </c>
      <c r="D1044" t="s">
        <v>806</v>
      </c>
      <c r="F1044" t="s">
        <v>225</v>
      </c>
      <c r="G1044" t="s">
        <v>2593</v>
      </c>
      <c r="I1044">
        <f>_xlfn.XLOOKUP($F1044,設計座標!$E$13:$E$2301,設計座標!$G$13:$G$2301,"n/a",0,1)</f>
        <v>307.53956028868879</v>
      </c>
      <c r="J1044">
        <f>_xlfn.XLOOKUP($F1044,設計座標!$E$13:$E$2301,設計座標!$H$13:$H$2301,"n/a",0,1)</f>
        <v>-15000</v>
      </c>
      <c r="K1044">
        <f>_xlfn.XLOOKUP($F1044,設計座標!$E$13:$E$2301,設計座標!$I$13:$I$2301,"n/a",0,1)</f>
        <v>-43077.502822779999</v>
      </c>
      <c r="L1044">
        <f>_xlfn.XLOOKUP($F1044,設計座標!$E$13:$E$2301,設計座標!$J$13:$J$2301,"n/a",0,1)</f>
        <v>75</v>
      </c>
      <c r="M1044" s="2">
        <f>_xlfn.XLOOKUP($F1044,survey_data!$A$2:$A$833,survey_data!$B$2:$B$833,"n/a",0,1)</f>
        <v>-14993.13309308</v>
      </c>
      <c r="N1044" s="2">
        <f>_xlfn.XLOOKUP($F1044,survey_data!$A$2:$A$833,survey_data!$C$2:$C$833,"n/a",0,1)</f>
        <v>-43077.502822779999</v>
      </c>
      <c r="O1044" s="23">
        <f>_xlfn.XLOOKUP($F1044,survey_data!$A$2:$A$833,survey_data!$D$2:$D$833,"n/a",0,1)</f>
        <v>74.076163410000007</v>
      </c>
      <c r="P1044" s="1">
        <f t="shared" si="772"/>
        <v>74.387527736562319</v>
      </c>
      <c r="Q1044" s="1">
        <f t="shared" si="793"/>
        <v>6.8669069200004742</v>
      </c>
      <c r="R1044">
        <f t="shared" si="794"/>
        <v>0</v>
      </c>
      <c r="S1044" s="23">
        <f t="shared" si="795"/>
        <v>-0.92383658999999341</v>
      </c>
      <c r="T1044">
        <f>$S1044+測地線補正!$Q$26*(lattice!$N1044/1000)^3+測地線補正!$P$26*(lattice!$N1044/1000)^2+測地線補正!$O$26*(lattice!$N1044/1000)+測地線補正!$N$26</f>
        <v>-0.61247226343767402</v>
      </c>
      <c r="U1044">
        <f t="shared" si="824"/>
        <v>1.3377315522913999E-4</v>
      </c>
      <c r="V1044">
        <v>0</v>
      </c>
      <c r="W1044">
        <f t="shared" si="825"/>
        <v>5.6858463935637647E-6</v>
      </c>
      <c r="X1044" t="s">
        <v>3860</v>
      </c>
      <c r="Y1044">
        <f>_xlfn.XLOOKUP($F1044,設計座標!$E$13:$E$2301,設計座標!$L$13:$L$2301," ",0,1)</f>
        <v>300</v>
      </c>
      <c r="Z1044">
        <f>SQRT(($M$1043-$M$1040)^2+($N$1043-$N$1040)^2)</f>
        <v>437.92572759960638</v>
      </c>
      <c r="AA1044">
        <f>_xlfn.XLOOKUP($G1044,magnet_list!$A$2:$A$592,magnet_list!$AJ$2:$AJ$592,"n/a",0,1)</f>
        <v>0.33198863580560978</v>
      </c>
      <c r="AB1044">
        <f>_xlfn.XLOOKUP($G1044,magnet_list!$A$2:$A$592,magnet_list!$L$2:$L$592,"n/a",0,1)</f>
        <v>140</v>
      </c>
    </row>
    <row r="1045" spans="1:28">
      <c r="A1045" t="s">
        <v>797</v>
      </c>
      <c r="B1045">
        <v>1</v>
      </c>
      <c r="C1045" t="s">
        <v>805</v>
      </c>
      <c r="D1045" t="s">
        <v>806</v>
      </c>
      <c r="F1045" t="s">
        <v>226</v>
      </c>
      <c r="G1045" t="s">
        <v>2594</v>
      </c>
      <c r="I1045">
        <f>_xlfn.XLOOKUP($F1045,設計座標!$E$13:$E$2301,設計座標!$G$13:$G$2301,"n/a",0,1)</f>
        <v>307.86940090017879</v>
      </c>
      <c r="J1045">
        <f>_xlfn.XLOOKUP($F1045,設計座標!$E$13:$E$2301,設計座標!$H$13:$H$2301,"n/a",0,1)</f>
        <v>-15000</v>
      </c>
      <c r="K1045">
        <f>_xlfn.XLOOKUP($F1045,設計座標!$E$13:$E$2301,設計座標!$I$13:$I$2301,"n/a",0,1)</f>
        <v>-43407.343434269998</v>
      </c>
      <c r="L1045">
        <f>_xlfn.XLOOKUP($F1045,設計座標!$E$13:$E$2301,設計座標!$J$13:$J$2301,"n/a",0,1)</f>
        <v>75</v>
      </c>
      <c r="M1045" s="2">
        <f>_xlfn.XLOOKUP($F1045,survey_data!$A$2:$A$833,survey_data!$B$2:$B$833,"n/a",0,1)</f>
        <v>-14993.13115591</v>
      </c>
      <c r="N1045" s="2">
        <f>_xlfn.XLOOKUP($F1045,survey_data!$A$2:$A$833,survey_data!$C$2:$C$833,"n/a",0,1)</f>
        <v>-43407.343434269998</v>
      </c>
      <c r="O1045" s="23">
        <f>_xlfn.XLOOKUP($F1045,survey_data!$A$2:$A$833,survey_data!$D$2:$D$833,"n/a",0,1)</f>
        <v>74.004156269999996</v>
      </c>
      <c r="P1045" s="1">
        <f t="shared" si="772"/>
        <v>74.326697196354132</v>
      </c>
      <c r="Q1045" s="1">
        <f t="shared" si="793"/>
        <v>6.8688440900004935</v>
      </c>
      <c r="R1045">
        <f t="shared" si="794"/>
        <v>0</v>
      </c>
      <c r="S1045" s="23">
        <f t="shared" si="795"/>
        <v>-0.99584373000000426</v>
      </c>
      <c r="T1045">
        <f>$S1045+測地線補正!$Q$26*(lattice!$N1045/1000)^3+測地線補正!$P$26*(lattice!$N1045/1000)^2+測地線補正!$O$26*(lattice!$N1045/1000)+測地線補正!$N$26</f>
        <v>-0.67330280364586947</v>
      </c>
      <c r="U1045">
        <f>-ATAN(($P$1048-$P$1045)/ABS($N$1048-$N$1045))</f>
        <v>-1.4593141335628754E-4</v>
      </c>
      <c r="V1045">
        <v>0</v>
      </c>
      <c r="W1045">
        <f>ATAN(($M$1048-$M$1045)/ABS($N$1048-$N$1045))</f>
        <v>1.2867098944467921E-4</v>
      </c>
      <c r="X1045" t="s">
        <v>3860</v>
      </c>
      <c r="Y1045">
        <f>_xlfn.XLOOKUP($F1045,設計座標!$E$13:$E$2301,設計座標!$L$13:$L$2301," ",0,1)</f>
        <v>300</v>
      </c>
      <c r="Z1045">
        <f>SQRT(($M$1046-$M$1043)^2+($N$1046-$N$1043)^2)</f>
        <v>599.84111232594307</v>
      </c>
      <c r="AA1045">
        <f>_xlfn.XLOOKUP($G1045,magnet_list!$A$2:$A$592,magnet_list!$AJ$2:$AJ$592,"n/a",0,1)</f>
        <v>0.33198863580560978</v>
      </c>
      <c r="AB1045">
        <f>_xlfn.XLOOKUP($G1045,magnet_list!$A$2:$A$592,magnet_list!$L$2:$L$592,"n/a",0,1)</f>
        <v>140</v>
      </c>
    </row>
    <row r="1046" spans="1:28">
      <c r="A1046" t="s">
        <v>797</v>
      </c>
      <c r="B1046">
        <v>1</v>
      </c>
      <c r="C1046" t="s">
        <v>805</v>
      </c>
      <c r="D1046" t="s">
        <v>1152</v>
      </c>
      <c r="E1046" t="s">
        <v>804</v>
      </c>
      <c r="F1046" t="s">
        <v>658</v>
      </c>
      <c r="G1046" t="s">
        <v>2594</v>
      </c>
      <c r="I1046">
        <f>_xlfn.XLOOKUP($F1046,設計座標!$E$13:$E$2301,設計座標!$G$13:$G$2301,"n/a",0,1)</f>
        <v>308.00440440017877</v>
      </c>
      <c r="J1046">
        <f>_xlfn.XLOOKUP($F1046,設計座標!$E$13:$E$2301,設計座標!$H$13:$H$2301,"n/a",0,1)</f>
        <v>-15000</v>
      </c>
      <c r="K1046">
        <f>_xlfn.XLOOKUP($F1046,設計座標!$E$13:$E$2301,設計座標!$I$13:$I$2301,"n/a",0,1)</f>
        <v>-43542.346934269997</v>
      </c>
      <c r="L1046">
        <f>_xlfn.XLOOKUP($F1046,設計座標!$E$13:$E$2301,設計座標!$J$13:$J$2301,"n/a",0,1)</f>
        <v>75</v>
      </c>
      <c r="M1046" s="2">
        <f t="shared" ref="M1046:M1047" si="826">$J1046+$Q1046</f>
        <v>-14993.113784875981</v>
      </c>
      <c r="N1046" s="2">
        <f t="shared" ref="N1046:N1047" si="827">$K1046</f>
        <v>-43542.346934269997</v>
      </c>
      <c r="O1046" s="23">
        <f t="shared" ref="O1046:O1047" si="828">$L1046+$S1046</f>
        <v>74.019294368683887</v>
      </c>
      <c r="P1046" s="1">
        <f t="shared" si="772"/>
        <v>74.346401016901694</v>
      </c>
      <c r="Q1046" s="1">
        <f>(Q$1048-Q$1045)/($N$1048-$N$1045)*($N1046-$N$1045)+Q$1045</f>
        <v>6.8862151240198539</v>
      </c>
      <c r="R1046">
        <f t="shared" si="794"/>
        <v>0</v>
      </c>
      <c r="S1046" s="23">
        <f t="shared" ref="S1046:S1047" si="829">(S$1048-S$1045)/($N$1048-$N$1045)*($N1046-$N$1045)+S$1045</f>
        <v>-0.980705631316106</v>
      </c>
      <c r="T1046">
        <f>$S1046+測地線補正!$Q$26*(lattice!$N1046/1000)^3+測地線補正!$P$26*(lattice!$N1046/1000)^2+測地線補正!$O$26*(lattice!$N1046/1000)+測地線補正!$N$26</f>
        <v>-0.65359898309830622</v>
      </c>
      <c r="U1046">
        <f t="shared" ref="U1046" si="830">-ATAN(($P$1048-$P$1045)/ABS($N$1048-$N$1045))</f>
        <v>-1.4593141335628754E-4</v>
      </c>
      <c r="V1046">
        <v>0</v>
      </c>
      <c r="W1046">
        <f>ATAN(($M$1048-$M$1045)/ABS($N$1048-$N$1045))</f>
        <v>1.2867098944467921E-4</v>
      </c>
      <c r="X1046" t="s">
        <v>3860</v>
      </c>
      <c r="Y1046">
        <f>_xlfn.XLOOKUP($F1046,設計座標!$E$13:$E$2301,設計座標!$L$13:$L$2301," ",0,1)</f>
        <v>300</v>
      </c>
      <c r="Z1046">
        <f>SQRT(($M$1046-$M$1043)^2+($N$1046-$N$1043)^2)</f>
        <v>599.84111232594307</v>
      </c>
      <c r="AA1046">
        <f>_xlfn.XLOOKUP($G1046,magnet_list!$A$2:$A$592,magnet_list!$AJ$2:$AJ$592,"n/a",0,1)</f>
        <v>0.33198863580560978</v>
      </c>
      <c r="AB1046">
        <f>_xlfn.XLOOKUP($G1046,magnet_list!$A$2:$A$592,magnet_list!$L$2:$L$592,"n/a",0,1)</f>
        <v>140</v>
      </c>
    </row>
    <row r="1047" spans="1:28">
      <c r="A1047" t="s">
        <v>797</v>
      </c>
      <c r="B1047">
        <v>1</v>
      </c>
      <c r="C1047" t="s">
        <v>804</v>
      </c>
      <c r="D1047" t="s">
        <v>1152</v>
      </c>
      <c r="E1047" t="s">
        <v>804</v>
      </c>
      <c r="F1047" t="s">
        <v>1191</v>
      </c>
      <c r="G1047" t="s">
        <v>2592</v>
      </c>
      <c r="I1047">
        <f>_xlfn.XLOOKUP($F1047,設計座標!$E$13:$E$2301,設計座標!$G$13:$G$2301,"n/a",0,1)</f>
        <v>308.04136176136888</v>
      </c>
      <c r="J1047">
        <f>_xlfn.XLOOKUP($F1047,設計座標!$E$13:$E$2301,設計座標!$H$13:$H$2301,"n/a",0,1)</f>
        <v>-15000</v>
      </c>
      <c r="K1047">
        <f>_xlfn.XLOOKUP($F1047,設計座標!$E$13:$E$2301,設計座標!$I$13:$I$2301,"n/a",0,1)</f>
        <v>-43579.304295460061</v>
      </c>
      <c r="L1047">
        <f>_xlfn.XLOOKUP($F1047,設計座標!$E$13:$E$2301,設計座標!$J$13:$J$2301,"n/a",0,1)</f>
        <v>-270</v>
      </c>
      <c r="M1047" s="2">
        <f t="shared" si="826"/>
        <v>-14993.109029535723</v>
      </c>
      <c r="N1047" s="2">
        <f t="shared" si="827"/>
        <v>-43579.304295460061</v>
      </c>
      <c r="O1047" s="23">
        <f t="shared" si="828"/>
        <v>-270.97656155963801</v>
      </c>
      <c r="P1047" s="1">
        <f t="shared" si="772"/>
        <v>-270.64820593584125</v>
      </c>
      <c r="Q1047" s="1">
        <f>(Q$1048-Q$1045)/($N$1048-$N$1045)*($N1047-$N$1045)+Q$1045</f>
        <v>6.8909704642776877</v>
      </c>
      <c r="R1047">
        <f t="shared" si="794"/>
        <v>0</v>
      </c>
      <c r="S1047" s="23">
        <f t="shared" si="829"/>
        <v>-0.97656155963802616</v>
      </c>
      <c r="T1047">
        <f>$S1047+測地線補正!$Q$26*(lattice!$N1047/1000)^3+測地線補正!$P$26*(lattice!$N1047/1000)^2+測地線補正!$O$26*(lattice!$N1047/1000)+測地線補正!$N$26</f>
        <v>-0.64820593584125885</v>
      </c>
      <c r="U1047">
        <f>-ATAN(($P$1052-$P$1041)/ABS($N$1052-$N$1041))</f>
        <v>2.9576343810594611E-5</v>
      </c>
      <c r="V1047">
        <v>0</v>
      </c>
      <c r="W1047">
        <f>ATAN(($M$1052-$M$1041)/ABS($N$1052-$N$1041))</f>
        <v>6.5112634582472273E-5</v>
      </c>
      <c r="X1047" t="s">
        <v>3860</v>
      </c>
      <c r="Y1047">
        <f>_xlfn.XLOOKUP($F1047,設計座標!$E$13:$E$2301,設計座標!$L$13:$L$2301," ",0,1)</f>
        <v>1889.4492</v>
      </c>
      <c r="Z1047">
        <f>SQRT(($M$1047-$M$1046)^2+($N$1047-$N$1046)^2)</f>
        <v>36.957361496000409</v>
      </c>
    </row>
    <row r="1048" spans="1:28">
      <c r="A1048" t="s">
        <v>797</v>
      </c>
      <c r="B1048">
        <v>1</v>
      </c>
      <c r="C1048" t="s">
        <v>805</v>
      </c>
      <c r="D1048" t="s">
        <v>806</v>
      </c>
      <c r="F1048" t="s">
        <v>227</v>
      </c>
      <c r="G1048" t="s">
        <v>2594</v>
      </c>
      <c r="I1048">
        <f>_xlfn.XLOOKUP($F1048,設計座標!$E$13:$E$2301,設計座標!$G$13:$G$2301,"n/a",0,1)</f>
        <v>308.13938669850882</v>
      </c>
      <c r="J1048">
        <f>_xlfn.XLOOKUP($F1048,設計座標!$E$13:$E$2301,設計座標!$H$13:$H$2301,"n/a",0,1)</f>
        <v>-15000</v>
      </c>
      <c r="K1048">
        <f>_xlfn.XLOOKUP($F1048,設計座標!$E$13:$E$2301,設計座標!$I$13:$I$2301,"n/a",0,1)</f>
        <v>-43677.329232600001</v>
      </c>
      <c r="L1048">
        <f>_xlfn.XLOOKUP($F1048,設計座標!$E$13:$E$2301,設計座標!$J$13:$J$2301,"n/a",0,1)</f>
        <v>75</v>
      </c>
      <c r="M1048" s="2">
        <f>_xlfn.XLOOKUP($F1048,survey_data!$A$2:$A$833,survey_data!$B$2:$B$833,"n/a",0,1)</f>
        <v>-14993.096416570001</v>
      </c>
      <c r="N1048" s="2">
        <f>_xlfn.XLOOKUP($F1048,survey_data!$A$2:$A$833,survey_data!$C$2:$C$833,"n/a",0,1)</f>
        <v>-43677.329232600001</v>
      </c>
      <c r="O1048" s="23">
        <f>_xlfn.XLOOKUP($F1048,survey_data!$A$2:$A$833,survey_data!$D$2:$D$833,"n/a",0,1)</f>
        <v>74.034430090000001</v>
      </c>
      <c r="P1048" s="1">
        <f t="shared" si="772"/>
        <v>74.366096605770238</v>
      </c>
      <c r="Q1048" s="1">
        <f t="shared" si="793"/>
        <v>6.9035834299993439</v>
      </c>
      <c r="R1048">
        <f t="shared" si="794"/>
        <v>0</v>
      </c>
      <c r="S1048" s="23">
        <f t="shared" si="795"/>
        <v>-0.96556990999999925</v>
      </c>
      <c r="T1048">
        <f>$S1048+測地線補正!$Q$26*(lattice!$N1048/1000)^3+測地線補正!$P$26*(lattice!$N1048/1000)^2+測地線補正!$O$26*(lattice!$N1048/1000)+測地線補正!$N$26</f>
        <v>-0.6339033942297585</v>
      </c>
      <c r="U1048">
        <f>-ATAN(($P$1048-$P$1045)/ABS($N$1048-$N$1045))</f>
        <v>-1.4593141335628754E-4</v>
      </c>
      <c r="V1048">
        <v>0</v>
      </c>
      <c r="W1048">
        <f>ATAN(($M$1048-$M$1045)/ABS($N$1048-$N$1045))</f>
        <v>1.2867098944467921E-4</v>
      </c>
      <c r="X1048" t="s">
        <v>3860</v>
      </c>
      <c r="Y1048">
        <f>_xlfn.XLOOKUP($F1048,設計座標!$E$13:$E$2301,設計座標!$L$13:$L$2301," ",0,1)</f>
        <v>300</v>
      </c>
      <c r="Z1048">
        <f>SQRT(($M$1046-$M$1043)^2+($N$1046-$N$1043)^2)</f>
        <v>599.84111232594307</v>
      </c>
      <c r="AA1048">
        <f>_xlfn.XLOOKUP($G1048,magnet_list!$A$2:$A$592,magnet_list!$AJ$2:$AJ$592,"n/a",0,1)</f>
        <v>0.33198863580560978</v>
      </c>
      <c r="AB1048">
        <f>_xlfn.XLOOKUP($G1048,magnet_list!$A$2:$A$592,magnet_list!$L$2:$L$592,"n/a",0,1)</f>
        <v>140</v>
      </c>
    </row>
    <row r="1049" spans="1:28">
      <c r="A1049" t="s">
        <v>797</v>
      </c>
      <c r="B1049">
        <v>1</v>
      </c>
      <c r="C1049" t="s">
        <v>805</v>
      </c>
      <c r="D1049" t="s">
        <v>806</v>
      </c>
      <c r="F1049" t="s">
        <v>228</v>
      </c>
      <c r="G1049" t="s">
        <v>2595</v>
      </c>
      <c r="I1049">
        <f>_xlfn.XLOOKUP($F1049,設計座標!$E$13:$E$2301,設計座標!$G$13:$G$2301,"n/a",0,1)</f>
        <v>308.47011273781879</v>
      </c>
      <c r="J1049">
        <f>_xlfn.XLOOKUP($F1049,設計座標!$E$13:$E$2301,設計座標!$H$13:$H$2301,"n/a",0,1)</f>
        <v>-15000</v>
      </c>
      <c r="K1049">
        <f>_xlfn.XLOOKUP($F1049,設計座標!$E$13:$E$2301,設計座標!$I$13:$I$2301,"n/a",0,1)</f>
        <v>-44008.055271910001</v>
      </c>
      <c r="L1049">
        <f>_xlfn.XLOOKUP($F1049,設計座標!$E$13:$E$2301,設計座標!$J$13:$J$2301,"n/a",0,1)</f>
        <v>75</v>
      </c>
      <c r="M1049" s="2">
        <f>_xlfn.XLOOKUP($F1049,survey_data!$A$2:$A$833,survey_data!$B$2:$B$833,"n/a",0,1)</f>
        <v>-14993.04643351</v>
      </c>
      <c r="N1049" s="2">
        <f>_xlfn.XLOOKUP($F1049,survey_data!$A$2:$A$833,survey_data!$C$2:$C$833,"n/a",0,1)</f>
        <v>-44008.055271910001</v>
      </c>
      <c r="O1049" s="23">
        <f>_xlfn.XLOOKUP($F1049,survey_data!$A$2:$A$833,survey_data!$D$2:$D$833,"n/a",0,1)</f>
        <v>73.975816109999997</v>
      </c>
      <c r="P1049" s="1">
        <f t="shared" ref="P1049:P1112" si="831">$L1049+$T1049</f>
        <v>74.318633257538309</v>
      </c>
      <c r="Q1049" s="1">
        <f t="shared" si="793"/>
        <v>6.9535664899995027</v>
      </c>
      <c r="R1049">
        <f t="shared" si="794"/>
        <v>0</v>
      </c>
      <c r="S1049" s="23">
        <f t="shared" si="795"/>
        <v>-1.0241838900000033</v>
      </c>
      <c r="T1049">
        <f>$S1049+測地線補正!$Q$26*(lattice!$N1049/1000)^3+測地線補正!$P$26*(lattice!$N1049/1000)^2+測地線補正!$O$26*(lattice!$N1049/1000)+測地線補正!$N$26</f>
        <v>-0.6813667424616916</v>
      </c>
      <c r="U1049">
        <f>-ATAN(($P$1051-$P$1049)/ABS($N$1051-$N$1049))</f>
        <v>-2.2075094255018729E-4</v>
      </c>
      <c r="V1049">
        <v>0</v>
      </c>
      <c r="W1049">
        <f>ATAN(($M$1051-$M$1049)/ABS($N$1051-$N$1049))</f>
        <v>4.20587289591238E-5</v>
      </c>
      <c r="X1049" t="s">
        <v>3860</v>
      </c>
      <c r="Y1049">
        <f>_xlfn.XLOOKUP($F1049,設計座標!$E$13:$E$2301,設計座標!$L$13:$L$2301," ",0,1)</f>
        <v>300</v>
      </c>
      <c r="Z1049">
        <f>SQRT(($M$1050-$M$1047)^2+($N$1050-$N$1047)^2)</f>
        <v>563.75348058415034</v>
      </c>
      <c r="AA1049">
        <f>_xlfn.XLOOKUP($G1049,magnet_list!$A$2:$A$592,magnet_list!$AJ$2:$AJ$592,"n/a",0,1)</f>
        <v>0.33198863580560978</v>
      </c>
      <c r="AB1049">
        <f>_xlfn.XLOOKUP($G1049,magnet_list!$A$2:$A$592,magnet_list!$L$2:$L$592,"n/a",0,1)</f>
        <v>140</v>
      </c>
    </row>
    <row r="1050" spans="1:28">
      <c r="A1050" t="s">
        <v>797</v>
      </c>
      <c r="B1050">
        <v>1</v>
      </c>
      <c r="C1050" t="s">
        <v>805</v>
      </c>
      <c r="D1050" t="s">
        <v>1152</v>
      </c>
      <c r="E1050" t="s">
        <v>804</v>
      </c>
      <c r="F1050" t="s">
        <v>659</v>
      </c>
      <c r="G1050" t="s">
        <v>2595</v>
      </c>
      <c r="I1050">
        <f>_xlfn.XLOOKUP($F1050,設計座標!$E$13:$E$2301,設計座標!$G$13:$G$2301,"n/a",0,1)</f>
        <v>308.60511523781878</v>
      </c>
      <c r="J1050">
        <f>_xlfn.XLOOKUP($F1050,設計座標!$E$13:$E$2301,設計座標!$H$13:$H$2301,"n/a",0,1)</f>
        <v>-15000</v>
      </c>
      <c r="K1050">
        <f>_xlfn.XLOOKUP($F1050,設計座標!$E$13:$E$2301,設計座標!$I$13:$I$2301,"n/a",0,1)</f>
        <v>-44143.057771910004</v>
      </c>
      <c r="L1050">
        <f>_xlfn.XLOOKUP($F1050,設計座標!$E$13:$E$2301,設計座標!$J$13:$J$2301,"n/a",0,1)</f>
        <v>75</v>
      </c>
      <c r="M1050" s="2">
        <f t="shared" ref="M1050:M1058" si="832">$J1050+$Q1050</f>
        <v>-14993.040755476441</v>
      </c>
      <c r="N1050" s="2">
        <f t="shared" ref="N1050:N1058" si="833">$K1050</f>
        <v>-44143.057771910004</v>
      </c>
      <c r="O1050" s="23">
        <f t="shared" ref="O1050:O1058" si="834">$L1050+$S1050</f>
        <v>74.001077764231752</v>
      </c>
      <c r="P1050" s="1">
        <f t="shared" si="831"/>
        <v>74.348437751113096</v>
      </c>
      <c r="Q1050" s="1">
        <f>(Q$1051-Q$1049)/($N$1051-$N$1049)*($N1050-$N$1049)+Q$1049</f>
        <v>6.9592445235591551</v>
      </c>
      <c r="R1050">
        <f t="shared" si="794"/>
        <v>0</v>
      </c>
      <c r="S1050" s="23">
        <f>(S$1051-S$1049)/($N$1051-$N$1049)*($N1050-$N$1049)+S$1049</f>
        <v>-0.99892223576824135</v>
      </c>
      <c r="T1050">
        <f>$S1050+測地線補正!$Q$26*(lattice!$N1050/1000)^3+測地線補正!$P$26*(lattice!$N1050/1000)^2+測地線補正!$O$26*(lattice!$N1050/1000)+測地線補正!$N$26</f>
        <v>-0.65156224888690173</v>
      </c>
      <c r="U1050">
        <f t="shared" ref="U1050:U1051" si="835">-ATAN(($P$1051-$P$1049)/ABS($N$1051-$N$1049))</f>
        <v>-2.2075094255018729E-4</v>
      </c>
      <c r="V1050">
        <v>0</v>
      </c>
      <c r="W1050">
        <f t="shared" ref="W1050:W1051" si="836">ATAN(($M$1051-$M$1049)/ABS($N$1051-$N$1049))</f>
        <v>4.20587289591238E-5</v>
      </c>
      <c r="X1050" t="s">
        <v>3860</v>
      </c>
      <c r="Y1050">
        <f>_xlfn.XLOOKUP($F1050,設計座標!$E$13:$E$2301,設計座標!$L$13:$L$2301," ",0,1)</f>
        <v>300</v>
      </c>
      <c r="Z1050">
        <f>SQRT(($M$1050-$M$1047)^2+($N$1050-$N$1047)^2)</f>
        <v>563.75348058415034</v>
      </c>
      <c r="AA1050">
        <f>_xlfn.XLOOKUP($G1050,magnet_list!$A$2:$A$592,magnet_list!$AJ$2:$AJ$592,"n/a",0,1)</f>
        <v>0.33198863580560978</v>
      </c>
      <c r="AB1050">
        <f>_xlfn.XLOOKUP($G1050,magnet_list!$A$2:$A$592,magnet_list!$L$2:$L$592,"n/a",0,1)</f>
        <v>140</v>
      </c>
    </row>
    <row r="1051" spans="1:28">
      <c r="A1051" t="s">
        <v>797</v>
      </c>
      <c r="B1051">
        <v>1</v>
      </c>
      <c r="C1051" t="s">
        <v>805</v>
      </c>
      <c r="D1051" t="s">
        <v>806</v>
      </c>
      <c r="F1051" t="s">
        <v>229</v>
      </c>
      <c r="G1051" t="s">
        <v>2595</v>
      </c>
      <c r="I1051">
        <f>_xlfn.XLOOKUP($F1051,設計座標!$E$13:$E$2301,設計座標!$G$13:$G$2301,"n/a",0,1)</f>
        <v>308.74007643561879</v>
      </c>
      <c r="J1051">
        <f>_xlfn.XLOOKUP($F1051,設計座標!$E$13:$E$2301,設計座標!$H$13:$H$2301,"n/a",0,1)</f>
        <v>-15000</v>
      </c>
      <c r="K1051">
        <f>_xlfn.XLOOKUP($F1051,設計座標!$E$13:$E$2301,設計座標!$I$13:$I$2301,"n/a",0,1)</f>
        <v>-44278.01896971</v>
      </c>
      <c r="L1051">
        <f>_xlfn.XLOOKUP($F1051,設計座標!$E$13:$E$2301,設計座標!$J$13:$J$2301,"n/a",0,1)</f>
        <v>75</v>
      </c>
      <c r="M1051" s="2">
        <f>_xlfn.XLOOKUP($F1051,survey_data!$A$2:$A$833,survey_data!$B$2:$B$833,"n/a",0,1)</f>
        <v>-14993.035079179999</v>
      </c>
      <c r="N1051" s="2">
        <f>_xlfn.XLOOKUP($F1051,survey_data!$A$2:$A$833,survey_data!$C$2:$C$833,"n/a",0,1)</f>
        <v>-44278.01896971</v>
      </c>
      <c r="O1051" s="23">
        <f>_xlfn.XLOOKUP($F1051,survey_data!$A$2:$A$833,survey_data!$D$2:$D$833,"n/a",0,1)</f>
        <v>74.026331690000006</v>
      </c>
      <c r="P1051" s="1">
        <f t="shared" si="831"/>
        <v>74.378227999250029</v>
      </c>
      <c r="Q1051" s="1">
        <f t="shared" si="793"/>
        <v>6.9649208200007706</v>
      </c>
      <c r="R1051">
        <f t="shared" si="794"/>
        <v>0</v>
      </c>
      <c r="S1051" s="23">
        <f t="shared" si="795"/>
        <v>-0.97366830999999365</v>
      </c>
      <c r="T1051">
        <f>$S1051+測地線補正!$Q$26*(lattice!$N1051/1000)^3+測地線補正!$P$26*(lattice!$N1051/1000)^2+測地線補正!$O$26*(lattice!$N1051/1000)+測地線補正!$N$26</f>
        <v>-0.62177200074997341</v>
      </c>
      <c r="U1051">
        <f t="shared" si="835"/>
        <v>-2.2075094255018729E-4</v>
      </c>
      <c r="V1051">
        <v>0</v>
      </c>
      <c r="W1051">
        <f t="shared" si="836"/>
        <v>4.20587289591238E-5</v>
      </c>
      <c r="X1051" t="s">
        <v>3860</v>
      </c>
      <c r="Y1051">
        <f>_xlfn.XLOOKUP($F1051,設計座標!$E$13:$E$2301,設計座標!$L$13:$L$2301," ",0,1)</f>
        <v>300</v>
      </c>
      <c r="Z1051">
        <f>SQRT(($M$1050-$M$1047)^2+($N$1050-$N$1047)^2)</f>
        <v>563.75348058415034</v>
      </c>
      <c r="AA1051">
        <f>_xlfn.XLOOKUP($G1051,magnet_list!$A$2:$A$592,magnet_list!$AJ$2:$AJ$592,"n/a",0,1)</f>
        <v>0.33198863580560978</v>
      </c>
      <c r="AB1051">
        <f>_xlfn.XLOOKUP($G1051,magnet_list!$A$2:$A$592,magnet_list!$L$2:$L$592,"n/a",0,1)</f>
        <v>140</v>
      </c>
    </row>
    <row r="1052" spans="1:28">
      <c r="A1052" t="s">
        <v>797</v>
      </c>
      <c r="B1052">
        <v>1</v>
      </c>
      <c r="C1052" t="s">
        <v>804</v>
      </c>
      <c r="D1052" t="s">
        <v>1152</v>
      </c>
      <c r="E1052" t="s">
        <v>804</v>
      </c>
      <c r="F1052" t="s">
        <v>1591</v>
      </c>
      <c r="G1052" t="s">
        <v>2592</v>
      </c>
      <c r="I1052">
        <f>_xlfn.XLOOKUP($F1052,設計座標!$E$13:$E$2301,設計座標!$G$13:$G$2301,"n/a",0,1)</f>
        <v>308.9860863613689</v>
      </c>
      <c r="J1052">
        <f>_xlfn.XLOOKUP($F1052,設計座標!$E$13:$E$2301,設計座標!$H$13:$H$2301,"n/a",0,1)</f>
        <v>-15000</v>
      </c>
      <c r="K1052">
        <f>_xlfn.XLOOKUP($F1052,設計座標!$E$13:$E$2301,設計座標!$I$13:$I$2301,"n/a",0,1)</f>
        <v>-44524.028895460062</v>
      </c>
      <c r="L1052">
        <f>_xlfn.XLOOKUP($F1052,設計座標!$E$13:$E$2301,設計座標!$J$13:$J$2301,"n/a",0,1)</f>
        <v>-270</v>
      </c>
      <c r="M1052" s="2">
        <f t="shared" si="832"/>
        <v>-14992.996245707362</v>
      </c>
      <c r="N1052" s="2">
        <f t="shared" si="833"/>
        <v>-44524.028895460062</v>
      </c>
      <c r="O1052" s="23">
        <f t="shared" si="834"/>
        <v>-270.9467020007458</v>
      </c>
      <c r="P1052" s="1">
        <f t="shared" si="831"/>
        <v>-270.58654997614514</v>
      </c>
      <c r="Q1052" s="1">
        <f>(Q$1053-Q$1051)/($N$1053-$N$1051)*($N1052-$N$1051)+Q$1051</f>
        <v>7.0037542926392904</v>
      </c>
      <c r="R1052">
        <f t="shared" si="794"/>
        <v>0</v>
      </c>
      <c r="S1052" s="23">
        <f>(S$1053-S$1051)/($N$1053-$N$1051)*($N1052-$N$1051)+S$1051</f>
        <v>-0.94670200074578259</v>
      </c>
      <c r="T1052">
        <f>$S1052+測地線補正!$Q$26*(lattice!$N1052/1000)^3+測地線補正!$P$26*(lattice!$N1052/1000)^2+測地線補正!$O$26*(lattice!$N1052/1000)+測地線補正!$N$26</f>
        <v>-0.58654997614513804</v>
      </c>
      <c r="U1052">
        <f>-ATAN(($P$1052-$P$1041)/ABS($N$1052-$N$1041))</f>
        <v>2.9576343810594611E-5</v>
      </c>
      <c r="V1052">
        <v>0</v>
      </c>
      <c r="W1052">
        <f>ATAN(($M$1052-$M$1041)/ABS($N$1052-$N$1041))</f>
        <v>6.5112634582472273E-5</v>
      </c>
      <c r="X1052" t="s">
        <v>3860</v>
      </c>
      <c r="Y1052">
        <f>_xlfn.XLOOKUP($F1052,設計座標!$E$13:$E$2301,設計座標!$L$13:$L$2301," ",0,1)</f>
        <v>1889.4492</v>
      </c>
      <c r="Z1052">
        <f>SQRT(($M$1047-$M$1046)^2+($N$1047-$N$1046)^2)</f>
        <v>36.957361496000409</v>
      </c>
    </row>
    <row r="1053" spans="1:28">
      <c r="A1053" t="s">
        <v>797</v>
      </c>
      <c r="B1053">
        <v>1</v>
      </c>
      <c r="C1053" t="s">
        <v>805</v>
      </c>
      <c r="D1053" t="s">
        <v>806</v>
      </c>
      <c r="F1053" t="s">
        <v>230</v>
      </c>
      <c r="G1053" t="s">
        <v>2596</v>
      </c>
      <c r="I1053">
        <f>_xlfn.XLOOKUP($F1053,設計座標!$E$13:$E$2301,設計座標!$G$13:$G$2301,"n/a",0,1)</f>
        <v>309.23033531461886</v>
      </c>
      <c r="J1053">
        <f>_xlfn.XLOOKUP($F1053,設計座標!$E$13:$E$2301,設計座標!$H$13:$H$2301,"n/a",0,1)</f>
        <v>-15000</v>
      </c>
      <c r="K1053">
        <f>_xlfn.XLOOKUP($F1053,設計座標!$E$13:$E$2301,設計座標!$I$13:$I$2301,"n/a",0,1)</f>
        <v>-44768.27784871</v>
      </c>
      <c r="L1053">
        <f>_xlfn.XLOOKUP($F1053,設計座標!$E$13:$E$2301,設計座標!$J$13:$J$2301,"n/a",0,1)</f>
        <v>90</v>
      </c>
      <c r="M1053" s="2">
        <f>_xlfn.XLOOKUP($F1053,survey_data!$A$2:$A$833,survey_data!$B$2:$B$833,"n/a",0,1)</f>
        <v>-14992.95769021</v>
      </c>
      <c r="N1053" s="2">
        <f>_xlfn.XLOOKUP($F1053,survey_data!$A$2:$A$833,survey_data!$C$2:$C$833,"n/a",0,1)</f>
        <v>-44768.27784871</v>
      </c>
      <c r="O1053" s="23">
        <f>_xlfn.XLOOKUP($F1053,survey_data!$A$2:$A$833,survey_data!$D$2:$D$833,"n/a",0,1)</f>
        <v>89.080071279999999</v>
      </c>
      <c r="P1053" s="1">
        <f t="shared" si="831"/>
        <v>89.448403092170807</v>
      </c>
      <c r="Q1053" s="1">
        <f t="shared" si="793"/>
        <v>7.0423097900002176</v>
      </c>
      <c r="R1053">
        <f t="shared" si="794"/>
        <v>0</v>
      </c>
      <c r="S1053" s="23">
        <f t="shared" si="795"/>
        <v>-0.91992872000000148</v>
      </c>
      <c r="T1053">
        <f>$S1053+測地線補正!$Q$26*(lattice!$N1053/1000)^3+測地線補正!$P$26*(lattice!$N1053/1000)^2+測地線補正!$O$26*(lattice!$N1053/1000)+測地線補正!$N$26</f>
        <v>-0.55159690782919713</v>
      </c>
      <c r="U1053">
        <f>-ATAN(($P$1055-$P$1053)/ABS($N$1055-$N$1053))</f>
        <v>-1.7734902088241584E-4</v>
      </c>
      <c r="V1053">
        <v>0</v>
      </c>
      <c r="W1053">
        <f>ATAN(($M$1055-$M$1053)/ABS($N$1055-$N$1053))</f>
        <v>4.331525303348526E-4</v>
      </c>
      <c r="X1053">
        <f>SQRT(($M$1054-$M$1052)^2+($N$1054-$N$1052)^2)-$Y$1054/2</f>
        <v>234.24646079779933</v>
      </c>
      <c r="Y1053">
        <f>_xlfn.XLOOKUP($F1053,設計座標!$E$13:$E$2301,設計座標!$L$13:$L$2301," ",0,1)</f>
        <v>160</v>
      </c>
      <c r="Z1053">
        <f>SQRT(($M$1054-$M$1050)^2+($N$1054-$N$1050)^2)</f>
        <v>695.21758604611193</v>
      </c>
      <c r="AA1053">
        <f>_xlfn.XLOOKUP($G1053,magnet_list!$A$2:$A$592,magnet_list!$AJ$2:$AJ$592,"n/a",0,1)</f>
        <v>0.17374887133613809</v>
      </c>
      <c r="AB1053">
        <f>_xlfn.XLOOKUP($G1053,magnet_list!$A$2:$A$592,magnet_list!$L$2:$L$592,"n/a",0,1)</f>
        <v>44</v>
      </c>
    </row>
    <row r="1054" spans="1:28">
      <c r="A1054" t="s">
        <v>797</v>
      </c>
      <c r="B1054">
        <v>1</v>
      </c>
      <c r="C1054" t="s">
        <v>805</v>
      </c>
      <c r="D1054" t="s">
        <v>1152</v>
      </c>
      <c r="E1054" t="s">
        <v>804</v>
      </c>
      <c r="F1054" t="s">
        <v>660</v>
      </c>
      <c r="G1054" t="s">
        <v>2596</v>
      </c>
      <c r="I1054">
        <f>_xlfn.XLOOKUP($F1054,設計座標!$E$13:$E$2301,設計座標!$G$13:$G$2301,"n/a",0,1)</f>
        <v>309.30033281461886</v>
      </c>
      <c r="J1054">
        <f>_xlfn.XLOOKUP($F1054,設計座標!$E$13:$E$2301,設計座標!$H$13:$H$2301,"n/a",0,1)</f>
        <v>-15000</v>
      </c>
      <c r="K1054">
        <f>_xlfn.XLOOKUP($F1054,設計座標!$E$13:$E$2301,設計座標!$I$13:$I$2301,"n/a",0,1)</f>
        <v>-44838.275348709998</v>
      </c>
      <c r="L1054">
        <f>_xlfn.XLOOKUP($F1054,設計座標!$E$13:$E$2301,設計座標!$J$13:$J$2301,"n/a",0,1)</f>
        <v>90</v>
      </c>
      <c r="M1054" s="2">
        <f t="shared" si="832"/>
        <v>-14992.927370613861</v>
      </c>
      <c r="N1054" s="2">
        <f t="shared" si="833"/>
        <v>-44838.275348709998</v>
      </c>
      <c r="O1054" s="23">
        <f t="shared" si="834"/>
        <v>89.090144861544204</v>
      </c>
      <c r="P1054" s="1">
        <f t="shared" si="831"/>
        <v>89.460817768192882</v>
      </c>
      <c r="Q1054" s="1">
        <f>(Q$1055-Q$1053)/($N$1055-$N$1053)*($N1054-$N$1053)+Q$1053</f>
        <v>7.0726293861385292</v>
      </c>
      <c r="R1054">
        <f t="shared" si="794"/>
        <v>0</v>
      </c>
      <c r="S1054" s="23">
        <f>(S$1055-S$1053)/($N$1055-$N$1053)*($N1054-$N$1053)+S$1053</f>
        <v>-0.90985513845580046</v>
      </c>
      <c r="T1054">
        <f>$S1054+測地線補正!$Q$26*(lattice!$N1054/1000)^3+測地線補正!$P$26*(lattice!$N1054/1000)^2+測地線補正!$O$26*(lattice!$N1054/1000)+測地線補正!$N$26</f>
        <v>-0.53918223180712177</v>
      </c>
      <c r="U1054">
        <f t="shared" ref="U1054:U1055" si="837">-ATAN(($P$1055-$P$1053)/ABS($N$1055-$N$1053))</f>
        <v>-1.7734902088241584E-4</v>
      </c>
      <c r="V1054">
        <v>0</v>
      </c>
      <c r="W1054">
        <f t="shared" ref="W1054:W1055" si="838">ATAN(($M$1055-$M$1053)/ABS($N$1055-$N$1053))</f>
        <v>4.331525303348526E-4</v>
      </c>
      <c r="X1054">
        <f>SQRT(($M$1054-$M$1052)^2+($N$1054-$N$1052)^2)-$Y$1054/2</f>
        <v>234.24646079779933</v>
      </c>
      <c r="Y1054">
        <f>_xlfn.XLOOKUP($F1054,設計座標!$E$13:$E$2301,設計座標!$L$13:$L$2301," ",0,1)</f>
        <v>160</v>
      </c>
      <c r="Z1054">
        <f>SQRT(($M$1054-$M$1050)^2+($N$1054-$N$1050)^2)</f>
        <v>695.21758604611193</v>
      </c>
      <c r="AA1054">
        <f>_xlfn.XLOOKUP($G1054,magnet_list!$A$2:$A$592,magnet_list!$AJ$2:$AJ$592,"n/a",0,1)</f>
        <v>0.17374887133613809</v>
      </c>
      <c r="AB1054">
        <f>_xlfn.XLOOKUP($G1054,magnet_list!$A$2:$A$592,magnet_list!$L$2:$L$592,"n/a",0,1)</f>
        <v>44</v>
      </c>
    </row>
    <row r="1055" spans="1:28">
      <c r="A1055" t="s">
        <v>797</v>
      </c>
      <c r="B1055">
        <v>1</v>
      </c>
      <c r="C1055" t="s">
        <v>805</v>
      </c>
      <c r="D1055" t="s">
        <v>806</v>
      </c>
      <c r="F1055" t="s">
        <v>231</v>
      </c>
      <c r="G1055" t="s">
        <v>2596</v>
      </c>
      <c r="I1055">
        <f>_xlfn.XLOOKUP($F1055,設計座標!$E$13:$E$2301,設計座標!$G$13:$G$2301,"n/a",0,1)</f>
        <v>309.37029985819885</v>
      </c>
      <c r="J1055">
        <f>_xlfn.XLOOKUP($F1055,設計座標!$E$13:$E$2301,設計座標!$H$13:$H$2301,"n/a",0,1)</f>
        <v>-15000</v>
      </c>
      <c r="K1055">
        <f>_xlfn.XLOOKUP($F1055,設計座標!$E$13:$E$2301,設計座標!$I$13:$I$2301,"n/a",0,1)</f>
        <v>-44908.242392289998</v>
      </c>
      <c r="L1055">
        <f>_xlfn.XLOOKUP($F1055,設計座標!$E$13:$E$2301,設計座標!$J$13:$J$2301,"n/a",0,1)</f>
        <v>90</v>
      </c>
      <c r="M1055" s="2">
        <f>_xlfn.XLOOKUP($F1055,survey_data!$A$2:$A$833,survey_data!$B$2:$B$833,"n/a",0,1)</f>
        <v>-14992.897064209999</v>
      </c>
      <c r="N1055" s="2">
        <f>_xlfn.XLOOKUP($F1055,survey_data!$A$2:$A$833,survey_data!$C$2:$C$833,"n/a",0,1)</f>
        <v>-44908.242392289998</v>
      </c>
      <c r="O1055" s="23">
        <f>_xlfn.XLOOKUP($F1055,survey_data!$A$2:$A$833,survey_data!$D$2:$D$833,"n/a",0,1)</f>
        <v>89.100214059999999</v>
      </c>
      <c r="P1055" s="1">
        <f t="shared" si="831"/>
        <v>89.473225667193219</v>
      </c>
      <c r="Q1055" s="1">
        <f t="shared" si="793"/>
        <v>7.1029357900006289</v>
      </c>
      <c r="R1055">
        <f t="shared" si="794"/>
        <v>0</v>
      </c>
      <c r="S1055" s="23">
        <f t="shared" si="795"/>
        <v>-0.89978594000000101</v>
      </c>
      <c r="T1055">
        <f>$S1055+測地線補正!$Q$26*(lattice!$N1055/1000)^3+測地線補正!$P$26*(lattice!$N1055/1000)^2+測地線補正!$O$26*(lattice!$N1055/1000)+測地線補正!$N$26</f>
        <v>-0.52677433280678621</v>
      </c>
      <c r="U1055">
        <f t="shared" si="837"/>
        <v>-1.7734902088241584E-4</v>
      </c>
      <c r="V1055">
        <v>0</v>
      </c>
      <c r="W1055">
        <f t="shared" si="838"/>
        <v>4.331525303348526E-4</v>
      </c>
      <c r="X1055">
        <f>SQRT(($M$1054-$M$1052)^2+($N$1054-$N$1052)^2)-$Y$1054/2</f>
        <v>234.24646079779933</v>
      </c>
      <c r="Y1055">
        <f>_xlfn.XLOOKUP($F1055,設計座標!$E$13:$E$2301,設計座標!$L$13:$L$2301," ",0,1)</f>
        <v>160</v>
      </c>
      <c r="Z1055">
        <f>SQRT(($M$1054-$M$1050)^2+($N$1054-$N$1050)^2)</f>
        <v>695.21758604611193</v>
      </c>
      <c r="AA1055">
        <f>_xlfn.XLOOKUP($G1055,magnet_list!$A$2:$A$592,magnet_list!$AJ$2:$AJ$592,"n/a",0,1)</f>
        <v>0.17374887133613809</v>
      </c>
      <c r="AB1055">
        <f>_xlfn.XLOOKUP($G1055,magnet_list!$A$2:$A$592,magnet_list!$L$2:$L$592,"n/a",0,1)</f>
        <v>44</v>
      </c>
    </row>
    <row r="1056" spans="1:28">
      <c r="A1056" t="s">
        <v>797</v>
      </c>
      <c r="B1056">
        <v>1</v>
      </c>
      <c r="C1056" t="s">
        <v>804</v>
      </c>
      <c r="D1056" t="s">
        <v>1152</v>
      </c>
      <c r="F1056" t="s">
        <v>1592</v>
      </c>
      <c r="G1056" t="s">
        <v>2597</v>
      </c>
      <c r="I1056">
        <f>_xlfn.XLOOKUP($F1056,設計座標!$E$13:$E$2301,設計座標!$G$13:$G$2301,"n/a",0,1)</f>
        <v>309.69462816136883</v>
      </c>
      <c r="J1056">
        <f>_xlfn.XLOOKUP($F1056,設計座標!$E$13:$E$2301,設計座標!$H$13:$H$2301,"n/a",0,1)</f>
        <v>-15000</v>
      </c>
      <c r="K1056">
        <f>_xlfn.XLOOKUP($F1056,設計座標!$E$13:$E$2301,設計座標!$I$13:$I$2301,"n/a",0,1)</f>
        <v>-45232.570695460061</v>
      </c>
      <c r="L1056">
        <f>_xlfn.XLOOKUP($F1056,設計座標!$E$13:$E$2301,設計座標!$J$13:$J$2301,"n/a",0,1)</f>
        <v>-270</v>
      </c>
      <c r="M1056" s="2">
        <f t="shared" si="832"/>
        <v>-14992.84996183271</v>
      </c>
      <c r="N1056" s="2">
        <f t="shared" si="833"/>
        <v>-45232.570695460061</v>
      </c>
      <c r="O1056" s="23">
        <f t="shared" si="834"/>
        <v>-270.94455541001412</v>
      </c>
      <c r="P1056" s="1">
        <f t="shared" si="831"/>
        <v>-270.56072083916894</v>
      </c>
      <c r="Q1056" s="1">
        <f>(Q$1057-Q$1055)/($N$1057-$N$1055)*($N1056-$N$1055)+Q$1055</f>
        <v>7.1500381672900142</v>
      </c>
      <c r="R1056">
        <f t="shared" si="794"/>
        <v>0</v>
      </c>
      <c r="S1056" s="23">
        <f>(S$1057-S$1055)/($N$1057-$N$1055)*($N1056-$N$1055)+S$1055</f>
        <v>-0.94455541001411636</v>
      </c>
      <c r="T1056">
        <f>$S1056+測地線補正!$Q$26*(lattice!$N1056/1000)^3+測地線補正!$P$26*(lattice!$N1056/1000)^2+測地線補正!$O$26*(lattice!$N1056/1000)+測地線補正!$N$26</f>
        <v>-0.56072083916892046</v>
      </c>
      <c r="U1056">
        <f>-ATAN(($P$1067-$P$1056)/ABS($N$1067-$N$1056))</f>
        <v>1.4134991258309352E-4</v>
      </c>
      <c r="V1056">
        <v>0</v>
      </c>
      <c r="W1056">
        <f>ATAN(($M$1067-$M$1056)/ABS($N$1067-$N$1056))</f>
        <v>1.7348219537026018E-4</v>
      </c>
      <c r="X1056">
        <f>SQRT(($M$1056-$M$1054)^2+($N$1056-$N$1054)^2)-$Y$1054/2</f>
        <v>314.29535434857934</v>
      </c>
      <c r="Y1056">
        <f>_xlfn.XLOOKUP($F1056,設計座標!$E$13:$E$2301,設計座標!$L$13:$L$2301," ",0,1)</f>
        <v>1889.4492</v>
      </c>
      <c r="Z1056">
        <f>SQRT(($M$1062-$M$1061)^2+($N$1062-$N$1061)^2)</f>
        <v>41.908492925407685</v>
      </c>
    </row>
    <row r="1057" spans="1:28">
      <c r="A1057" t="s">
        <v>797</v>
      </c>
      <c r="B1057">
        <v>1</v>
      </c>
      <c r="C1057" t="s">
        <v>805</v>
      </c>
      <c r="D1057" t="s">
        <v>806</v>
      </c>
      <c r="F1057" t="s">
        <v>232</v>
      </c>
      <c r="G1057" t="s">
        <v>2598</v>
      </c>
      <c r="I1057">
        <f>_xlfn.XLOOKUP($F1057,設計座標!$E$13:$E$2301,設計座標!$G$13:$G$2301,"n/a",0,1)</f>
        <v>309.86238648081877</v>
      </c>
      <c r="J1057">
        <f>_xlfn.XLOOKUP($F1057,設計座標!$E$13:$E$2301,設計座標!$H$13:$H$2301,"n/a",0,1)</f>
        <v>-15000</v>
      </c>
      <c r="K1057">
        <f>_xlfn.XLOOKUP($F1057,設計座標!$E$13:$E$2301,設計座標!$I$13:$I$2301,"n/a",0,1)</f>
        <v>-45400.329014909999</v>
      </c>
      <c r="L1057">
        <f>_xlfn.XLOOKUP($F1057,設計座標!$E$13:$E$2301,設計座標!$J$13:$J$2301,"n/a",0,1)</f>
        <v>75</v>
      </c>
      <c r="M1057" s="2">
        <f>_xlfn.XLOOKUP($F1057,survey_data!$A$2:$A$833,survey_data!$B$2:$B$833,"n/a",0,1)</f>
        <v>-14992.825598199999</v>
      </c>
      <c r="N1057" s="2">
        <f>_xlfn.XLOOKUP($F1057,survey_data!$A$2:$A$833,survey_data!$C$2:$C$833,"n/a",0,1)</f>
        <v>-45400.329014909999</v>
      </c>
      <c r="O1057" s="23">
        <f>_xlfn.XLOOKUP($F1057,survey_data!$A$2:$A$833,survey_data!$D$2:$D$833,"n/a",0,1)</f>
        <v>74.032287650000001</v>
      </c>
      <c r="P1057" s="1">
        <f t="shared" si="831"/>
        <v>74.421708800289039</v>
      </c>
      <c r="Q1057" s="1">
        <f t="shared" si="793"/>
        <v>7.1744018000008509</v>
      </c>
      <c r="R1057">
        <f t="shared" si="794"/>
        <v>0</v>
      </c>
      <c r="S1057" s="23">
        <f t="shared" si="795"/>
        <v>-0.96771234999999933</v>
      </c>
      <c r="T1057">
        <f>$S1057+測地線補正!$Q$26*(lattice!$N1057/1000)^3+測地線補正!$P$26*(lattice!$N1057/1000)^2+測地線補正!$O$26*(lattice!$N1057/1000)+測地線補正!$N$26</f>
        <v>-0.57829119971095921</v>
      </c>
      <c r="U1057">
        <f>-ATAN(($P$1059-$P$1057)/ABS($N$1059-$N$1057))</f>
        <v>6.3709574952199792E-5</v>
      </c>
      <c r="V1057">
        <v>0</v>
      </c>
      <c r="W1057">
        <f>ATAN(($M$1059-$M$1057)/ABS($N$1059-$N$1057))</f>
        <v>1.5347358305129065E-4</v>
      </c>
      <c r="X1057" t="s">
        <v>3860</v>
      </c>
      <c r="Y1057">
        <f>_xlfn.XLOOKUP($F1057,設計座標!$E$13:$E$2301,設計座標!$L$13:$L$2301," ",0,1)</f>
        <v>300</v>
      </c>
      <c r="Z1057">
        <f>SQRT(($M$1058-$M$1054)^2+($N$1058-$N$1054)^2)</f>
        <v>697.05667696257603</v>
      </c>
      <c r="AA1057">
        <f>_xlfn.XLOOKUP($G1057,magnet_list!$A$2:$A$592,magnet_list!$AJ$2:$AJ$592,"n/a",0,1)</f>
        <v>0.33198863580560978</v>
      </c>
      <c r="AB1057">
        <f>_xlfn.XLOOKUP($G1057,magnet_list!$A$2:$A$592,magnet_list!$L$2:$L$592,"n/a",0,1)</f>
        <v>140</v>
      </c>
    </row>
    <row r="1058" spans="1:28">
      <c r="A1058" t="s">
        <v>797</v>
      </c>
      <c r="B1058">
        <v>1</v>
      </c>
      <c r="C1058" t="s">
        <v>805</v>
      </c>
      <c r="D1058" t="s">
        <v>1152</v>
      </c>
      <c r="E1058" t="s">
        <v>804</v>
      </c>
      <c r="F1058" t="s">
        <v>661</v>
      </c>
      <c r="G1058" t="s">
        <v>2598</v>
      </c>
      <c r="I1058">
        <f>_xlfn.XLOOKUP($F1058,設計座標!$E$13:$E$2301,設計座標!$G$13:$G$2301,"n/a",0,1)</f>
        <v>309.99738948081875</v>
      </c>
      <c r="J1058">
        <f>_xlfn.XLOOKUP($F1058,設計座標!$E$13:$E$2301,設計座標!$H$13:$H$2301,"n/a",0,1)</f>
        <v>-15000</v>
      </c>
      <c r="K1058">
        <f>_xlfn.XLOOKUP($F1058,設計座標!$E$13:$E$2301,設計座標!$I$13:$I$2301,"n/a",0,1)</f>
        <v>-45535.332014910004</v>
      </c>
      <c r="L1058">
        <f>_xlfn.XLOOKUP($F1058,設計座標!$E$13:$E$2301,設計座標!$J$13:$J$2301,"n/a",0,1)</f>
        <v>75</v>
      </c>
      <c r="M1058" s="2">
        <f t="shared" si="832"/>
        <v>-14992.804878805704</v>
      </c>
      <c r="N1058" s="2">
        <f t="shared" si="833"/>
        <v>-45535.332014910004</v>
      </c>
      <c r="O1058" s="23">
        <f t="shared" si="834"/>
        <v>74.019199168859799</v>
      </c>
      <c r="P1058" s="1">
        <f t="shared" si="831"/>
        <v>74.413110370961817</v>
      </c>
      <c r="Q1058" s="1">
        <f>(Q$1059-Q$1057)/($N$1059-$N$1057)*($N1058-$N$1057)+Q$1057</f>
        <v>7.1951211942962008</v>
      </c>
      <c r="R1058">
        <f t="shared" si="794"/>
        <v>0</v>
      </c>
      <c r="S1058" s="23">
        <f>(S$1059-S$1057)/($N$1059-$N$1057)*($N1058-$N$1057)+S$1057</f>
        <v>-0.98080083114019567</v>
      </c>
      <c r="T1058">
        <f>$S1058+測地線補正!$Q$26*(lattice!$N1058/1000)^3+測地線補正!$P$26*(lattice!$N1058/1000)^2+測地線補正!$O$26*(lattice!$N1058/1000)+測地線補正!$N$26</f>
        <v>-0.58688962903818065</v>
      </c>
      <c r="U1058">
        <f t="shared" ref="U1058:U1059" si="839">-ATAN(($P$1059-$P$1057)/ABS($N$1059-$N$1057))</f>
        <v>6.3709574952199792E-5</v>
      </c>
      <c r="V1058">
        <v>0</v>
      </c>
      <c r="W1058">
        <f t="shared" ref="W1058:W1059" si="840">ATAN(($M$1059-$M$1057)/ABS($N$1059-$N$1057))</f>
        <v>1.5347358305129065E-4</v>
      </c>
      <c r="X1058" t="s">
        <v>3860</v>
      </c>
      <c r="Y1058">
        <f>_xlfn.XLOOKUP($F1058,設計座標!$E$13:$E$2301,設計座標!$L$13:$L$2301," ",0,1)</f>
        <v>300</v>
      </c>
      <c r="Z1058">
        <f>SQRT(($M$1058-$M$1054)^2+($N$1058-$N$1054)^2)</f>
        <v>697.05667696257603</v>
      </c>
      <c r="AA1058">
        <f>_xlfn.XLOOKUP($G1058,magnet_list!$A$2:$A$592,magnet_list!$AJ$2:$AJ$592,"n/a",0,1)</f>
        <v>0.33198863580560978</v>
      </c>
      <c r="AB1058">
        <f>_xlfn.XLOOKUP($G1058,magnet_list!$A$2:$A$592,magnet_list!$L$2:$L$592,"n/a",0,1)</f>
        <v>140</v>
      </c>
    </row>
    <row r="1059" spans="1:28">
      <c r="A1059" t="s">
        <v>797</v>
      </c>
      <c r="B1059">
        <v>1</v>
      </c>
      <c r="C1059" t="s">
        <v>805</v>
      </c>
      <c r="D1059" t="s">
        <v>806</v>
      </c>
      <c r="F1059" t="s">
        <v>233</v>
      </c>
      <c r="G1059" t="s">
        <v>2598</v>
      </c>
      <c r="I1059">
        <f>_xlfn.XLOOKUP($F1059,設計座標!$E$13:$E$2301,設計座標!$G$13:$G$2301,"n/a",0,1)</f>
        <v>310.13239183841876</v>
      </c>
      <c r="J1059">
        <f>_xlfn.XLOOKUP($F1059,設計座標!$E$13:$E$2301,設計座標!$H$13:$H$2301,"n/a",0,1)</f>
        <v>-15000</v>
      </c>
      <c r="K1059">
        <f>_xlfn.XLOOKUP($F1059,設計座標!$E$13:$E$2301,設計座標!$I$13:$I$2301,"n/a",0,1)</f>
        <v>-45670.334372509999</v>
      </c>
      <c r="L1059">
        <f>_xlfn.XLOOKUP($F1059,設計座標!$E$13:$E$2301,設計座標!$J$13:$J$2301,"n/a",0,1)</f>
        <v>75</v>
      </c>
      <c r="M1059" s="2">
        <f>_xlfn.XLOOKUP($F1059,survey_data!$A$2:$A$833,survey_data!$B$2:$B$833,"n/a",0,1)</f>
        <v>-14992.78415951</v>
      </c>
      <c r="N1059" s="2">
        <f>_xlfn.XLOOKUP($F1059,survey_data!$A$2:$A$833,survey_data!$C$2:$C$833,"n/a",0,1)</f>
        <v>-45670.334372509999</v>
      </c>
      <c r="O1059" s="23">
        <f>_xlfn.XLOOKUP($F1059,survey_data!$A$2:$A$833,survey_data!$D$2:$D$833,"n/a",0,1)</f>
        <v>74.006110750000005</v>
      </c>
      <c r="P1059" s="1">
        <f t="shared" si="831"/>
        <v>74.404506873698253</v>
      </c>
      <c r="Q1059" s="1">
        <f t="shared" si="793"/>
        <v>7.2158404900001187</v>
      </c>
      <c r="R1059">
        <f t="shared" si="794"/>
        <v>0</v>
      </c>
      <c r="S1059" s="23">
        <f t="shared" si="795"/>
        <v>-0.99388924999999517</v>
      </c>
      <c r="T1059">
        <f>$S1059+測地線補正!$Q$26*(lattice!$N1059/1000)^3+測地線補正!$P$26*(lattice!$N1059/1000)^2+測地線補正!$O$26*(lattice!$N1059/1000)+測地線補正!$N$26</f>
        <v>-0.595493126301746</v>
      </c>
      <c r="U1059">
        <f t="shared" si="839"/>
        <v>6.3709574952199792E-5</v>
      </c>
      <c r="V1059">
        <v>0</v>
      </c>
      <c r="W1059">
        <f t="shared" si="840"/>
        <v>1.5347358305129065E-4</v>
      </c>
      <c r="X1059" t="s">
        <v>3860</v>
      </c>
      <c r="Y1059">
        <f>_xlfn.XLOOKUP($F1059,設計座標!$E$13:$E$2301,設計座標!$L$13:$L$2301," ",0,1)</f>
        <v>300</v>
      </c>
      <c r="Z1059">
        <f>SQRT(($M$1058-$M$1054)^2+($N$1058-$N$1054)^2)</f>
        <v>697.05667696257603</v>
      </c>
      <c r="AA1059">
        <f>_xlfn.XLOOKUP($G1059,magnet_list!$A$2:$A$592,magnet_list!$AJ$2:$AJ$592,"n/a",0,1)</f>
        <v>0.33198863580560978</v>
      </c>
      <c r="AB1059">
        <f>_xlfn.XLOOKUP($G1059,magnet_list!$A$2:$A$592,magnet_list!$L$2:$L$592,"n/a",0,1)</f>
        <v>140</v>
      </c>
    </row>
    <row r="1060" spans="1:28">
      <c r="A1060" t="s">
        <v>797</v>
      </c>
      <c r="B1060">
        <v>1</v>
      </c>
      <c r="C1060" t="s">
        <v>805</v>
      </c>
      <c r="D1060" t="s">
        <v>806</v>
      </c>
      <c r="F1060" t="s">
        <v>234</v>
      </c>
      <c r="G1060" t="s">
        <v>2599</v>
      </c>
      <c r="I1060">
        <f>_xlfn.XLOOKUP($F1060,設計座標!$E$13:$E$2301,設計座標!$G$13:$G$2301,"n/a",0,1)</f>
        <v>310.46243176845877</v>
      </c>
      <c r="J1060">
        <f>_xlfn.XLOOKUP($F1060,設計座標!$E$13:$E$2301,設計座標!$H$13:$H$2301,"n/a",0,1)</f>
        <v>-15000</v>
      </c>
      <c r="K1060">
        <f>_xlfn.XLOOKUP($F1060,設計座標!$E$13:$E$2301,設計座標!$I$13:$I$2301,"n/a",0,1)</f>
        <v>-46000.374302550001</v>
      </c>
      <c r="L1060">
        <f>_xlfn.XLOOKUP($F1060,設計座標!$E$13:$E$2301,設計座標!$J$13:$J$2301,"n/a",0,1)</f>
        <v>75</v>
      </c>
      <c r="M1060" s="2">
        <f>_xlfn.XLOOKUP($F1060,survey_data!$A$2:$A$833,survey_data!$B$2:$B$833,"n/a",0,1)</f>
        <v>-14992.718519489999</v>
      </c>
      <c r="N1060" s="2">
        <f>_xlfn.XLOOKUP($F1060,survey_data!$A$2:$A$833,survey_data!$C$2:$C$833,"n/a",0,1)</f>
        <v>-46000.374302550001</v>
      </c>
      <c r="O1060" s="23">
        <f>_xlfn.XLOOKUP($F1060,survey_data!$A$2:$A$833,survey_data!$D$2:$D$833,"n/a",0,1)</f>
        <v>73.851552650000002</v>
      </c>
      <c r="P1060" s="1">
        <f t="shared" si="831"/>
        <v>74.260891551549193</v>
      </c>
      <c r="Q1060" s="1">
        <f t="shared" si="793"/>
        <v>7.2814805100006197</v>
      </c>
      <c r="R1060">
        <f t="shared" si="794"/>
        <v>0</v>
      </c>
      <c r="S1060" s="23">
        <f t="shared" si="795"/>
        <v>-1.1484473499999979</v>
      </c>
      <c r="T1060">
        <f>$S1060+測地線補正!$Q$26*(lattice!$N1060/1000)^3+測地線補正!$P$26*(lattice!$N1060/1000)^2+測地線補正!$O$26*(lattice!$N1060/1000)+測地線補正!$N$26</f>
        <v>-0.73910844845080903</v>
      </c>
      <c r="U1060">
        <f>-ATAN(($P$1063-$P$1060)/ABS($N$1063-$N$1060))</f>
        <v>1.1365209082361076E-4</v>
      </c>
      <c r="V1060">
        <v>0</v>
      </c>
      <c r="W1060">
        <f>ATAN(($M$1063-$M$1060)/ABS($N$1063-$N$1060))</f>
        <v>2.7066015996159897E-5</v>
      </c>
      <c r="X1060" t="s">
        <v>3860</v>
      </c>
      <c r="Y1060">
        <f>_xlfn.XLOOKUP($F1060,設計座標!$E$13:$E$2301,設計座標!$L$13:$L$2301," ",0,1)</f>
        <v>300</v>
      </c>
      <c r="Z1060">
        <f>SQRT(($M$1061-$M$1058)^2+($N$1061-$N$1058)^2)</f>
        <v>600.05479439141993</v>
      </c>
      <c r="AA1060">
        <f>_xlfn.XLOOKUP($G1060,magnet_list!$A$2:$A$592,magnet_list!$AJ$2:$AJ$592,"n/a",0,1)</f>
        <v>0.33198863580560978</v>
      </c>
      <c r="AB1060">
        <f>_xlfn.XLOOKUP($G1060,magnet_list!$A$2:$A$592,magnet_list!$L$2:$L$592,"n/a",0,1)</f>
        <v>140</v>
      </c>
    </row>
    <row r="1061" spans="1:28">
      <c r="A1061" t="s">
        <v>797</v>
      </c>
      <c r="B1061">
        <v>1</v>
      </c>
      <c r="C1061" t="s">
        <v>805</v>
      </c>
      <c r="D1061" t="s">
        <v>1152</v>
      </c>
      <c r="E1061" t="s">
        <v>804</v>
      </c>
      <c r="F1061" t="s">
        <v>662</v>
      </c>
      <c r="G1061" t="s">
        <v>2599</v>
      </c>
      <c r="I1061">
        <f>_xlfn.XLOOKUP($F1061,設計座標!$E$13:$E$2301,設計座標!$G$13:$G$2301,"n/a",0,1)</f>
        <v>310.59744426845879</v>
      </c>
      <c r="J1061">
        <f>_xlfn.XLOOKUP($F1061,設計座標!$E$13:$E$2301,設計座標!$H$13:$H$2301,"n/a",0,1)</f>
        <v>-15000</v>
      </c>
      <c r="K1061">
        <f>_xlfn.XLOOKUP($F1061,設計座標!$E$13:$E$2301,設計座標!$I$13:$I$2301,"n/a",0,1)</f>
        <v>-46135.386802550005</v>
      </c>
      <c r="L1061">
        <f>_xlfn.XLOOKUP($F1061,設計座標!$E$13:$E$2301,設計座標!$J$13:$J$2301,"n/a",0,1)</f>
        <v>75</v>
      </c>
      <c r="M1061" s="2">
        <f t="shared" ref="M1061:M1070" si="841">$J1061+$Q1061</f>
        <v>-14992.714865239514</v>
      </c>
      <c r="N1061" s="2">
        <f t="shared" ref="N1061:N1062" si="842">$K1061</f>
        <v>-46135.386802550005</v>
      </c>
      <c r="O1061" s="23">
        <f t="shared" ref="O1061:O1070" si="843">$L1061+$S1061</f>
        <v>73.831743072923018</v>
      </c>
      <c r="P1061" s="1">
        <f t="shared" si="831"/>
        <v>74.245549648425822</v>
      </c>
      <c r="Q1061" s="1">
        <f>(Q$1063-Q$1060)/($N$1063-$N$1060)*($N1061-$N$1060)+Q$1060</f>
        <v>7.2851347604861934</v>
      </c>
      <c r="R1061">
        <f t="shared" si="794"/>
        <v>0</v>
      </c>
      <c r="S1061" s="23">
        <f t="shared" ref="S1061:S1062" si="844">(S$1063-S$1060)/($N$1063-$N$1060)*($N1061-$N$1060)+S$1060</f>
        <v>-1.1682569270769814</v>
      </c>
      <c r="T1061">
        <f>$S1061+測地線補正!$Q$26*(lattice!$N1061/1000)^3+測地線補正!$P$26*(lattice!$N1061/1000)^2+測地線補正!$O$26*(lattice!$N1061/1000)+測地線補正!$N$26</f>
        <v>-0.75445035157418294</v>
      </c>
      <c r="U1061">
        <f t="shared" ref="U1061" si="845">-ATAN(($P$1063-$P$1060)/ABS($N$1063-$N$1060))</f>
        <v>1.1365209082361076E-4</v>
      </c>
      <c r="V1061">
        <v>0</v>
      </c>
      <c r="W1061">
        <f>ATAN(($M$1063-$M$1060)/ABS($N$1063-$N$1060))</f>
        <v>2.7066015996159897E-5</v>
      </c>
      <c r="X1061" t="s">
        <v>3860</v>
      </c>
      <c r="Y1061">
        <f>_xlfn.XLOOKUP($F1061,設計座標!$E$13:$E$2301,設計座標!$L$13:$L$2301," ",0,1)</f>
        <v>300</v>
      </c>
      <c r="Z1061">
        <f>SQRT(($M$1061-$M$1058)^2+($N$1061-$N$1058)^2)</f>
        <v>600.05479439141993</v>
      </c>
      <c r="AA1061">
        <f>_xlfn.XLOOKUP($G1061,magnet_list!$A$2:$A$592,magnet_list!$AJ$2:$AJ$592,"n/a",0,1)</f>
        <v>0.33198863580560978</v>
      </c>
      <c r="AB1061">
        <f>_xlfn.XLOOKUP($G1061,magnet_list!$A$2:$A$592,magnet_list!$L$2:$L$592,"n/a",0,1)</f>
        <v>140</v>
      </c>
    </row>
    <row r="1062" spans="1:28">
      <c r="A1062" t="s">
        <v>797</v>
      </c>
      <c r="B1062">
        <v>1</v>
      </c>
      <c r="C1062" t="s">
        <v>804</v>
      </c>
      <c r="D1062" t="s">
        <v>1152</v>
      </c>
      <c r="E1062" t="s">
        <v>804</v>
      </c>
      <c r="F1062" t="s">
        <v>1247</v>
      </c>
      <c r="G1062" t="s">
        <v>2597</v>
      </c>
      <c r="I1062">
        <f>_xlfn.XLOOKUP($F1062,設計座標!$E$13:$E$2301,設計座標!$G$13:$G$2301,"n/a",0,1)</f>
        <v>310.63935276136885</v>
      </c>
      <c r="J1062">
        <f>_xlfn.XLOOKUP($F1062,設計座標!$E$13:$E$2301,設計座標!$H$13:$H$2301,"n/a",0,1)</f>
        <v>-15000</v>
      </c>
      <c r="K1062">
        <f>_xlfn.XLOOKUP($F1062,設計座標!$E$13:$E$2301,設計座標!$I$13:$I$2301,"n/a",0,1)</f>
        <v>-46177.295295460062</v>
      </c>
      <c r="L1062">
        <f>_xlfn.XLOOKUP($F1062,設計座標!$E$13:$E$2301,設計座標!$J$13:$J$2301,"n/a",0,1)</f>
        <v>-270</v>
      </c>
      <c r="M1062" s="2">
        <f t="shared" si="841"/>
        <v>-14992.713730943575</v>
      </c>
      <c r="N1062" s="2">
        <f t="shared" si="842"/>
        <v>-46177.295295460062</v>
      </c>
      <c r="O1062" s="23">
        <f t="shared" si="843"/>
        <v>-271.1744059097303</v>
      </c>
      <c r="P1062" s="1">
        <f t="shared" si="831"/>
        <v>-270.7592135854137</v>
      </c>
      <c r="Q1062" s="1">
        <f>(Q$1063-Q$1060)/($N$1063-$N$1060)*($N1062-$N$1060)+Q$1060</f>
        <v>7.2862690564259491</v>
      </c>
      <c r="R1062">
        <f t="shared" si="794"/>
        <v>0</v>
      </c>
      <c r="S1062" s="23">
        <f t="shared" si="844"/>
        <v>-1.1744059097303057</v>
      </c>
      <c r="T1062">
        <f>$S1062+測地線補正!$Q$26*(lattice!$N1062/1000)^3+測地線補正!$P$26*(lattice!$N1062/1000)^2+測地線補正!$O$26*(lattice!$N1062/1000)+測地線補正!$N$26</f>
        <v>-0.75921358541367634</v>
      </c>
      <c r="U1062">
        <f>-ATAN(($P$1067-$P$1056)/ABS($N$1067-$N$1056))</f>
        <v>1.4134991258309352E-4</v>
      </c>
      <c r="V1062">
        <v>0</v>
      </c>
      <c r="W1062">
        <f>ATAN(($M$1067-$M$1056)/ABS($N$1067-$N$1056))</f>
        <v>1.7348219537026018E-4</v>
      </c>
      <c r="X1062" t="s">
        <v>3860</v>
      </c>
      <c r="Y1062">
        <f>_xlfn.XLOOKUP($F1062,設計座標!$E$13:$E$2301,設計座標!$L$13:$L$2301," ",0,1)</f>
        <v>1889.4492</v>
      </c>
      <c r="Z1062">
        <f>SQRT(($M$1062-$M$1061)^2+($N$1062-$N$1061)^2)</f>
        <v>41.908492925407685</v>
      </c>
    </row>
    <row r="1063" spans="1:28">
      <c r="A1063" t="s">
        <v>797</v>
      </c>
      <c r="B1063">
        <v>1</v>
      </c>
      <c r="C1063" t="s">
        <v>805</v>
      </c>
      <c r="D1063" t="s">
        <v>806</v>
      </c>
      <c r="F1063" t="s">
        <v>235</v>
      </c>
      <c r="G1063" t="s">
        <v>2599</v>
      </c>
      <c r="I1063">
        <f>_xlfn.XLOOKUP($F1063,設計座標!$E$13:$E$2301,設計座標!$G$13:$G$2301,"n/a",0,1)</f>
        <v>310.73243050040878</v>
      </c>
      <c r="J1063">
        <f>_xlfn.XLOOKUP($F1063,設計座標!$E$13:$E$2301,設計座標!$H$13:$H$2301,"n/a",0,1)</f>
        <v>-15000</v>
      </c>
      <c r="K1063">
        <f>_xlfn.XLOOKUP($F1063,設計座標!$E$13:$E$2301,設計座標!$I$13:$I$2301,"n/a",0,1)</f>
        <v>-46270.3730345</v>
      </c>
      <c r="L1063">
        <f>_xlfn.XLOOKUP($F1063,設計座標!$E$13:$E$2301,設計座標!$J$13:$J$2301,"n/a",0,1)</f>
        <v>75</v>
      </c>
      <c r="M1063" s="2">
        <f>_xlfn.XLOOKUP($F1063,survey_data!$A$2:$A$833,survey_data!$B$2:$B$833,"n/a",0,1)</f>
        <v>-14992.7112117</v>
      </c>
      <c r="N1063" s="2">
        <f>_xlfn.XLOOKUP($F1063,survey_data!$A$2:$A$833,survey_data!$C$2:$C$833,"n/a",0,1)</f>
        <v>-46270.3730345</v>
      </c>
      <c r="O1063" s="23">
        <f>_xlfn.XLOOKUP($F1063,survey_data!$A$2:$A$833,survey_data!$D$2:$D$833,"n/a",0,1)</f>
        <v>73.811937349999994</v>
      </c>
      <c r="P1063" s="1">
        <f t="shared" si="831"/>
        <v>74.230205631011231</v>
      </c>
      <c r="Q1063" s="1">
        <f t="shared" si="793"/>
        <v>7.2887883000003058</v>
      </c>
      <c r="R1063">
        <f t="shared" si="794"/>
        <v>0</v>
      </c>
      <c r="S1063" s="23">
        <f t="shared" si="795"/>
        <v>-1.1880626500000062</v>
      </c>
      <c r="T1063">
        <f>$S1063+測地線補正!$Q$26*(lattice!$N1063/1000)^3+測地線補正!$P$26*(lattice!$N1063/1000)^2+測地線補正!$O$26*(lattice!$N1063/1000)+測地線補正!$N$26</f>
        <v>-0.76979436898876963</v>
      </c>
      <c r="U1063">
        <f>-ATAN(($P$1063-$P$1060)/ABS($N$1063-$N$1060))</f>
        <v>1.1365209082361076E-4</v>
      </c>
      <c r="V1063">
        <v>0</v>
      </c>
      <c r="W1063">
        <f>ATAN(($M$1063-$M$1060)/ABS($N$1063-$N$1060))</f>
        <v>2.7066015996159897E-5</v>
      </c>
      <c r="X1063" t="s">
        <v>3860</v>
      </c>
      <c r="Y1063">
        <f>_xlfn.XLOOKUP($F1063,設計座標!$E$13:$E$2301,設計座標!$L$13:$L$2301," ",0,1)</f>
        <v>300</v>
      </c>
      <c r="Z1063">
        <f>SQRT(($M$1061-$M$1058)^2+($N$1061-$N$1058)^2)</f>
        <v>600.05479439141993</v>
      </c>
      <c r="AA1063">
        <f>_xlfn.XLOOKUP($G1063,magnet_list!$A$2:$A$592,magnet_list!$AJ$2:$AJ$592,"n/a",0,1)</f>
        <v>0.33198863580560978</v>
      </c>
      <c r="AB1063">
        <f>_xlfn.XLOOKUP($G1063,magnet_list!$A$2:$A$592,magnet_list!$L$2:$L$592,"n/a",0,1)</f>
        <v>140</v>
      </c>
    </row>
    <row r="1064" spans="1:28">
      <c r="A1064" t="s">
        <v>797</v>
      </c>
      <c r="B1064">
        <v>1</v>
      </c>
      <c r="C1064" t="s">
        <v>805</v>
      </c>
      <c r="D1064" t="s">
        <v>806</v>
      </c>
      <c r="F1064" t="s">
        <v>236</v>
      </c>
      <c r="G1064" t="s">
        <v>2600</v>
      </c>
      <c r="I1064">
        <f>_xlfn.XLOOKUP($F1064,設計座標!$E$13:$E$2301,設計座標!$G$13:$G$2301,"n/a",0,1)</f>
        <v>311.06242676055876</v>
      </c>
      <c r="J1064">
        <f>_xlfn.XLOOKUP($F1064,設計座標!$E$13:$E$2301,設計座標!$H$13:$H$2301,"n/a",0,1)</f>
        <v>-15000</v>
      </c>
      <c r="K1064">
        <f>_xlfn.XLOOKUP($F1064,設計座標!$E$13:$E$2301,設計座標!$I$13:$I$2301,"n/a",0,1)</f>
        <v>-46600.369294650001</v>
      </c>
      <c r="L1064">
        <f>_xlfn.XLOOKUP($F1064,設計座標!$E$13:$E$2301,設計座標!$J$13:$J$2301,"n/a",0,1)</f>
        <v>75</v>
      </c>
      <c r="M1064" s="2">
        <f>_xlfn.XLOOKUP($F1064,survey_data!$A$2:$A$833,survey_data!$B$2:$B$833,"n/a",0,1)</f>
        <v>-14992.60809498</v>
      </c>
      <c r="N1064" s="2">
        <f>_xlfn.XLOOKUP($F1064,survey_data!$A$2:$A$833,survey_data!$C$2:$C$833,"n/a",0,1)</f>
        <v>-46600.369294650001</v>
      </c>
      <c r="O1064" s="23">
        <f>_xlfn.XLOOKUP($F1064,survey_data!$A$2:$A$833,survey_data!$D$2:$D$833,"n/a",0,1)</f>
        <v>73.75434826</v>
      </c>
      <c r="P1064" s="1">
        <f t="shared" si="831"/>
        <v>74.183502465239982</v>
      </c>
      <c r="Q1064" s="1">
        <f t="shared" si="793"/>
        <v>7.3919050200001948</v>
      </c>
      <c r="R1064">
        <f t="shared" si="794"/>
        <v>0</v>
      </c>
      <c r="S1064" s="23">
        <f t="shared" si="795"/>
        <v>-1.2456517399999996</v>
      </c>
      <c r="T1064">
        <f>$S1064+測地線補正!$Q$26*(lattice!$N1064/1000)^3+測地線補正!$P$26*(lattice!$N1064/1000)^2+測地線補正!$O$26*(lattice!$N1064/1000)+測地線補正!$N$26</f>
        <v>-0.81649753476001741</v>
      </c>
      <c r="U1064">
        <f>-ATAN(($P$1066-$P$1064)/ABS($N$1066-$N$1064))</f>
        <v>-1.2844592789402299E-4</v>
      </c>
      <c r="V1064">
        <v>0</v>
      </c>
      <c r="W1064">
        <f>ATAN(($M$1066-$M$1064)/ABS($N$1066-$N$1064))</f>
        <v>-4.6431793983983083E-5</v>
      </c>
      <c r="X1064" t="s">
        <v>3860</v>
      </c>
      <c r="Y1064">
        <f>_xlfn.XLOOKUP($F1064,設計座標!$E$13:$E$2301,設計座標!$L$13:$L$2301," ",0,1)</f>
        <v>300</v>
      </c>
      <c r="Z1064">
        <f>SQRT(($M$1065-$M$1062)^2+($N$1065-$N$1062)^2)</f>
        <v>558.08550803610012</v>
      </c>
      <c r="AA1064">
        <f>_xlfn.XLOOKUP($G1064,magnet_list!$A$2:$A$592,magnet_list!$AJ$2:$AJ$592,"n/a",0,1)</f>
        <v>0.33198863580560978</v>
      </c>
      <c r="AB1064">
        <f>_xlfn.XLOOKUP($G1064,magnet_list!$A$2:$A$592,magnet_list!$L$2:$L$592,"n/a",0,1)</f>
        <v>140</v>
      </c>
    </row>
    <row r="1065" spans="1:28">
      <c r="A1065" t="s">
        <v>797</v>
      </c>
      <c r="B1065">
        <v>1</v>
      </c>
      <c r="C1065" t="s">
        <v>805</v>
      </c>
      <c r="D1065" t="s">
        <v>1152</v>
      </c>
      <c r="E1065" t="s">
        <v>804</v>
      </c>
      <c r="F1065" t="s">
        <v>663</v>
      </c>
      <c r="G1065" t="s">
        <v>2600</v>
      </c>
      <c r="I1065">
        <f>_xlfn.XLOOKUP($F1065,設計座標!$E$13:$E$2301,設計座標!$G$13:$G$2301,"n/a",0,1)</f>
        <v>311.19743826055878</v>
      </c>
      <c r="J1065">
        <f>_xlfn.XLOOKUP($F1065,設計座標!$E$13:$E$2301,設計座標!$H$13:$H$2301,"n/a",0,1)</f>
        <v>-15000</v>
      </c>
      <c r="K1065">
        <f>_xlfn.XLOOKUP($F1065,設計座標!$E$13:$E$2301,設計座標!$I$13:$I$2301,"n/a",0,1)</f>
        <v>-46735.380794650002</v>
      </c>
      <c r="L1065">
        <f>_xlfn.XLOOKUP($F1065,設計座標!$E$13:$E$2301,設計座標!$J$13:$J$2301,"n/a",0,1)</f>
        <v>75</v>
      </c>
      <c r="M1065" s="2">
        <f t="shared" si="841"/>
        <v>-14992.614363806159</v>
      </c>
      <c r="N1065" s="2">
        <f t="shared" ref="N1065:N1070" si="846">$K1065</f>
        <v>-46735.380794650002</v>
      </c>
      <c r="O1065" s="23">
        <f t="shared" si="843"/>
        <v>73.767247493814821</v>
      </c>
      <c r="P1065" s="1">
        <f t="shared" si="831"/>
        <v>74.200846687936192</v>
      </c>
      <c r="Q1065" s="1">
        <f>(Q$1066-Q$1064)/($N$1066-$N$1064)*($N1065-$N$1064)+Q$1064</f>
        <v>7.3856361938422213</v>
      </c>
      <c r="R1065">
        <f t="shared" si="794"/>
        <v>0</v>
      </c>
      <c r="S1065" s="23">
        <f>(S$1066-S$1064)/($N$1066-$N$1064)*($N1065-$N$1064)+S$1064</f>
        <v>-1.232752506185181</v>
      </c>
      <c r="T1065">
        <f>$S1065+測地線補正!$Q$26*(lattice!$N1065/1000)^3+測地線補正!$P$26*(lattice!$N1065/1000)^2+測地線補正!$O$26*(lattice!$N1065/1000)+測地線補正!$N$26</f>
        <v>-0.79915331206381257</v>
      </c>
      <c r="U1065">
        <f t="shared" ref="U1065:U1066" si="847">-ATAN(($P$1066-$P$1064)/ABS($N$1066-$N$1064))</f>
        <v>-1.2844592789402299E-4</v>
      </c>
      <c r="V1065">
        <v>0</v>
      </c>
      <c r="W1065">
        <f t="shared" ref="W1065:W1066" si="848">ATAN(($M$1066-$M$1064)/ABS($N$1066-$N$1064))</f>
        <v>-4.6431793983983083E-5</v>
      </c>
      <c r="X1065" t="s">
        <v>3860</v>
      </c>
      <c r="Y1065">
        <f>_xlfn.XLOOKUP($F1065,設計座標!$E$13:$E$2301,設計座標!$L$13:$L$2301," ",0,1)</f>
        <v>300</v>
      </c>
      <c r="Z1065">
        <f>SQRT(($M$1065-$M$1062)^2+($N$1065-$N$1062)^2)</f>
        <v>558.08550803610012</v>
      </c>
      <c r="AA1065">
        <f>_xlfn.XLOOKUP($G1065,magnet_list!$A$2:$A$592,magnet_list!$AJ$2:$AJ$592,"n/a",0,1)</f>
        <v>0.33198863580560978</v>
      </c>
      <c r="AB1065">
        <f>_xlfn.XLOOKUP($G1065,magnet_list!$A$2:$A$592,magnet_list!$L$2:$L$592,"n/a",0,1)</f>
        <v>140</v>
      </c>
    </row>
    <row r="1066" spans="1:28">
      <c r="A1066" t="s">
        <v>797</v>
      </c>
      <c r="B1066">
        <v>1</v>
      </c>
      <c r="C1066" t="s">
        <v>805</v>
      </c>
      <c r="D1066" t="s">
        <v>806</v>
      </c>
      <c r="F1066" t="s">
        <v>237</v>
      </c>
      <c r="G1066" t="s">
        <v>2600</v>
      </c>
      <c r="I1066">
        <f>_xlfn.XLOOKUP($F1066,設計座標!$E$13:$E$2301,設計座標!$G$13:$G$2301,"n/a",0,1)</f>
        <v>311.33241503615881</v>
      </c>
      <c r="J1066">
        <f>_xlfn.XLOOKUP($F1066,設計座標!$E$13:$E$2301,設計座標!$H$13:$H$2301,"n/a",0,1)</f>
        <v>-15000</v>
      </c>
      <c r="K1066">
        <f>_xlfn.XLOOKUP($F1066,設計座標!$E$13:$E$2301,設計座標!$I$13:$I$2301,"n/a",0,1)</f>
        <v>-46870.357570250002</v>
      </c>
      <c r="L1066">
        <f>_xlfn.XLOOKUP($F1066,設計座標!$E$13:$E$2301,設計座標!$J$13:$J$2301,"n/a",0,1)</f>
        <v>75</v>
      </c>
      <c r="M1066" s="2">
        <f>_xlfn.XLOOKUP($F1066,survey_data!$A$2:$A$833,survey_data!$B$2:$B$833,"n/a",0,1)</f>
        <v>-14992.62063102</v>
      </c>
      <c r="N1066" s="2">
        <f>_xlfn.XLOOKUP($F1066,survey_data!$A$2:$A$833,survey_data!$C$2:$C$833,"n/a",0,1)</f>
        <v>-46870.357570250002</v>
      </c>
      <c r="O1066" s="23">
        <f>_xlfn.XLOOKUP($F1066,survey_data!$A$2:$A$833,survey_data!$D$2:$D$833,"n/a",0,1)</f>
        <v>73.780143409999994</v>
      </c>
      <c r="P1066" s="1">
        <f t="shared" si="831"/>
        <v>74.218181360010647</v>
      </c>
      <c r="Q1066" s="1">
        <f t="shared" si="793"/>
        <v>7.3793689800004358</v>
      </c>
      <c r="R1066">
        <f t="shared" si="794"/>
        <v>0</v>
      </c>
      <c r="S1066" s="23">
        <f t="shared" si="795"/>
        <v>-1.2198565900000062</v>
      </c>
      <c r="T1066">
        <f>$S1066+測地線補正!$Q$26*(lattice!$N1066/1000)^3+測地線補正!$P$26*(lattice!$N1066/1000)^2+測地線補正!$O$26*(lattice!$N1066/1000)+測地線補正!$N$26</f>
        <v>-0.78181863998935519</v>
      </c>
      <c r="U1066">
        <f t="shared" si="847"/>
        <v>-1.2844592789402299E-4</v>
      </c>
      <c r="V1066">
        <v>0</v>
      </c>
      <c r="W1066">
        <f t="shared" si="848"/>
        <v>-4.6431793983983083E-5</v>
      </c>
      <c r="X1066" t="s">
        <v>3860</v>
      </c>
      <c r="Y1066">
        <f>_xlfn.XLOOKUP($F1066,設計座標!$E$13:$E$2301,設計座標!$L$13:$L$2301," ",0,1)</f>
        <v>300</v>
      </c>
      <c r="Z1066">
        <f>SQRT(($M$1065-$M$1062)^2+($N$1065-$N$1062)^2)</f>
        <v>558.08550803610012</v>
      </c>
      <c r="AA1066">
        <f>_xlfn.XLOOKUP($G1066,magnet_list!$A$2:$A$592,magnet_list!$AJ$2:$AJ$592,"n/a",0,1)</f>
        <v>0.33198863580560978</v>
      </c>
      <c r="AB1066">
        <f>_xlfn.XLOOKUP($G1066,magnet_list!$A$2:$A$592,magnet_list!$L$2:$L$592,"n/a",0,1)</f>
        <v>140</v>
      </c>
    </row>
    <row r="1067" spans="1:28">
      <c r="A1067" t="s">
        <v>797</v>
      </c>
      <c r="B1067">
        <v>1</v>
      </c>
      <c r="C1067" t="s">
        <v>804</v>
      </c>
      <c r="D1067" t="s">
        <v>1152</v>
      </c>
      <c r="E1067" t="s">
        <v>804</v>
      </c>
      <c r="F1067" t="s">
        <v>1593</v>
      </c>
      <c r="G1067" t="s">
        <v>2597</v>
      </c>
      <c r="I1067">
        <f>_xlfn.XLOOKUP($F1067,設計座標!$E$13:$E$2301,設計座標!$G$13:$G$2301,"n/a",0,1)</f>
        <v>311.58407736136888</v>
      </c>
      <c r="J1067">
        <f>_xlfn.XLOOKUP($F1067,設計座標!$E$13:$E$2301,設計座標!$H$13:$H$2301,"n/a",0,1)</f>
        <v>-15000</v>
      </c>
      <c r="K1067">
        <f>_xlfn.XLOOKUP($F1067,設計座標!$E$13:$E$2301,設計座標!$I$13:$I$2301,"n/a",0,1)</f>
        <v>-47122.019895460064</v>
      </c>
      <c r="L1067">
        <f>_xlfn.XLOOKUP($F1067,設計座標!$E$13:$E$2301,設計座標!$J$13:$J$2301,"n/a",0,1)</f>
        <v>-270</v>
      </c>
      <c r="M1067" s="2">
        <f t="shared" si="841"/>
        <v>-14992.522176034165</v>
      </c>
      <c r="N1067" s="2">
        <f t="shared" si="846"/>
        <v>-47122.019895460064</v>
      </c>
      <c r="O1067" s="23">
        <f t="shared" si="843"/>
        <v>-271.2740946859285</v>
      </c>
      <c r="P1067" s="1">
        <f t="shared" si="831"/>
        <v>-270.82779432019782</v>
      </c>
      <c r="Q1067" s="1">
        <f>(Q$1069-Q$1066)/($N$1069-$N$1066)*($N1067-$N$1066)+Q$1066</f>
        <v>7.4778239658346024</v>
      </c>
      <c r="R1067">
        <f t="shared" si="794"/>
        <v>0</v>
      </c>
      <c r="S1067" s="23">
        <f t="shared" ref="S1067:S1068" si="849">(S$1069-S$1066)/($N$1069-$N$1066)*($N1067-$N$1066)+S$1066</f>
        <v>-1.2740946859284925</v>
      </c>
      <c r="T1067">
        <f>$S1067+測地線補正!$Q$26*(lattice!$N1067/1000)^3+測地線補正!$P$26*(lattice!$N1067/1000)^2+測地線補正!$O$26*(lattice!$N1067/1000)+測地線補正!$N$26</f>
        <v>-0.82779432019781285</v>
      </c>
      <c r="U1067">
        <f>-ATAN(($P$1067-$P$1056)/ABS($N$1067-$N$1056))</f>
        <v>1.4134991258309352E-4</v>
      </c>
      <c r="V1067">
        <v>0</v>
      </c>
      <c r="W1067">
        <f>ATAN(($M$1067-$M$1056)/ABS($N$1067-$N$1056))</f>
        <v>1.7348219537026018E-4</v>
      </c>
      <c r="X1067" t="s">
        <v>3860</v>
      </c>
      <c r="Y1067">
        <f>_xlfn.XLOOKUP($F1067,設計座標!$E$13:$E$2301,設計座標!$L$13:$L$2301," ",0,1)</f>
        <v>1889.4492</v>
      </c>
      <c r="Z1067">
        <f>SQRT(($M$1062-$M$1061)^2+($N$1062-$N$1061)^2)</f>
        <v>41.908492925407685</v>
      </c>
    </row>
    <row r="1068" spans="1:28">
      <c r="A1068" t="s">
        <v>797</v>
      </c>
      <c r="B1068">
        <v>1</v>
      </c>
      <c r="C1068" t="s">
        <v>1152</v>
      </c>
      <c r="D1068" t="s">
        <v>1152</v>
      </c>
      <c r="E1068" t="s">
        <v>804</v>
      </c>
      <c r="F1068" t="s">
        <v>2077</v>
      </c>
      <c r="G1068" t="s">
        <v>2077</v>
      </c>
      <c r="I1068">
        <f>_xlfn.XLOOKUP($F1068,設計座標!$E$13:$E$2301,設計座標!$G$13:$G$2301,"n/a",0,1)</f>
        <v>311.77807786136884</v>
      </c>
      <c r="J1068">
        <f>_xlfn.XLOOKUP($F1068,設計座標!$E$13:$E$2301,設計座標!$H$13:$H$2301,"n/a",0,1)</f>
        <v>-15000</v>
      </c>
      <c r="K1068">
        <f>_xlfn.XLOOKUP($F1068,設計座標!$E$13:$E$2301,設計座標!$I$13:$I$2301,"n/a",0,1)</f>
        <v>-47316.020395460066</v>
      </c>
      <c r="L1068">
        <f>_xlfn.XLOOKUP($F1068,設計座標!$E$13:$E$2301,設計座標!$J$13:$J$2301,"n/a",0,1)</f>
        <v>-270</v>
      </c>
      <c r="M1068" s="2">
        <f t="shared" si="841"/>
        <v>-14992.446279427617</v>
      </c>
      <c r="N1068" s="2">
        <f t="shared" si="846"/>
        <v>-47316.020395460066</v>
      </c>
      <c r="O1068" s="23">
        <f t="shared" si="843"/>
        <v>-271.3159055438723</v>
      </c>
      <c r="P1068" s="1">
        <f t="shared" si="831"/>
        <v>-270.86324794090598</v>
      </c>
      <c r="Q1068" s="1">
        <f>(Q$1069-Q$1066)/($N$1069-$N$1066)*($N1068-$N$1066)+Q$1066</f>
        <v>7.5537205723821996</v>
      </c>
      <c r="R1068">
        <f t="shared" si="794"/>
        <v>0</v>
      </c>
      <c r="S1068" s="23">
        <f t="shared" si="849"/>
        <v>-1.3159055438723326</v>
      </c>
      <c r="T1068">
        <f>$S1068+測地線補正!$Q$26*(lattice!$N1068/1000)^3+測地線補正!$P$26*(lattice!$N1068/1000)^2+測地線補正!$O$26*(lattice!$N1068/1000)+測地線補正!$N$26</f>
        <v>-0.86324794090598544</v>
      </c>
      <c r="U1068">
        <v>0</v>
      </c>
      <c r="V1068">
        <v>0</v>
      </c>
      <c r="W1068">
        <v>0</v>
      </c>
      <c r="X1068">
        <f>SQRT(($M$1068-$M$1067)^2+($N$1068-$N$1067)^2)</f>
        <v>194.00051484608395</v>
      </c>
      <c r="Y1068">
        <f>_xlfn.XLOOKUP($F1068,設計座標!$E$13:$E$2301,設計座標!$L$13:$L$2301," ",0,1)</f>
        <v>0</v>
      </c>
      <c r="Z1068">
        <f>SQRT(($M$1068-$M$1065)^2+($N$1068-$N$1065)^2)</f>
        <v>580.63962513871581</v>
      </c>
    </row>
    <row r="1069" spans="1:28">
      <c r="A1069" t="s">
        <v>797</v>
      </c>
      <c r="B1069">
        <v>1</v>
      </c>
      <c r="C1069" t="s">
        <v>805</v>
      </c>
      <c r="D1069" t="s">
        <v>806</v>
      </c>
      <c r="F1069" t="s">
        <v>238</v>
      </c>
      <c r="G1069" t="s">
        <v>2601</v>
      </c>
      <c r="I1069">
        <f>_xlfn.XLOOKUP($F1069,設計座標!$E$13:$E$2301,設計座標!$G$13:$G$2301,"n/a",0,1)</f>
        <v>311.80746091532876</v>
      </c>
      <c r="J1069">
        <f>_xlfn.XLOOKUP($F1069,設計座標!$E$13:$E$2301,設計座標!$H$13:$H$2301,"n/a",0,1)</f>
        <v>-15000</v>
      </c>
      <c r="K1069">
        <f>_xlfn.XLOOKUP($F1069,設計座標!$E$13:$E$2301,設計座標!$I$13:$I$2301,"n/a",0,1)</f>
        <v>-47345.403449420002</v>
      </c>
      <c r="L1069">
        <f>_xlfn.XLOOKUP($F1069,設計座標!$E$13:$E$2301,設計座標!$J$13:$J$2301,"n/a",0,1)</f>
        <v>90</v>
      </c>
      <c r="M1069" s="2">
        <f>_xlfn.XLOOKUP($F1069,survey_data!$A$2:$A$833,survey_data!$B$2:$B$833,"n/a",0,1)</f>
        <v>-14992.434784229999</v>
      </c>
      <c r="N1069" s="2">
        <f>_xlfn.XLOOKUP($F1069,survey_data!$A$2:$A$833,survey_data!$C$2:$C$833,"n/a",0,1)</f>
        <v>-47345.403449420002</v>
      </c>
      <c r="O1069" s="23">
        <f>_xlfn.XLOOKUP($F1069,survey_data!$A$2:$A$833,survey_data!$D$2:$D$833,"n/a",0,1)</f>
        <v>88.677761840000002</v>
      </c>
      <c r="P1069" s="1">
        <f t="shared" si="831"/>
        <v>89.131381386214841</v>
      </c>
      <c r="Q1069" s="1">
        <f t="shared" si="793"/>
        <v>7.5652157700005773</v>
      </c>
      <c r="R1069">
        <f t="shared" si="794"/>
        <v>0</v>
      </c>
      <c r="S1069" s="23">
        <f t="shared" si="795"/>
        <v>-1.3222381599999977</v>
      </c>
      <c r="T1069">
        <f>$S1069+測地線補正!$Q$26*(lattice!$N1069/1000)^3+測地線補正!$P$26*(lattice!$N1069/1000)^2+測地線補正!$O$26*(lattice!$N1069/1000)+測地線補正!$N$26</f>
        <v>-0.86861861378516392</v>
      </c>
      <c r="U1069">
        <f>-ATAN(($P$1071-$P$1069)/ABS($N$1071-$N$1069))</f>
        <v>1.9761702544015565E-4</v>
      </c>
      <c r="V1069">
        <v>0</v>
      </c>
      <c r="W1069">
        <f>ATAN(($M$1071-$M$1069)/ABS($N$1071-$N$1069))</f>
        <v>-3.6565082515924705E-4</v>
      </c>
      <c r="X1069">
        <f>$Z$1070-($Y$1070+$Y$1068)/2</f>
        <v>19.369054959620556</v>
      </c>
      <c r="Y1069">
        <f>_xlfn.XLOOKUP($F1069,設計座標!$E$13:$E$2301,設計座標!$L$13:$L$2301," ",0,1)</f>
        <v>160</v>
      </c>
      <c r="Z1069">
        <f>SQRT(($M$1070-$M$1068)^2+($N$1070-$N$1068)^2)</f>
        <v>99.369054959620556</v>
      </c>
      <c r="AA1069">
        <f>_xlfn.XLOOKUP($G1069,magnet_list!$A$2:$A$592,magnet_list!$AJ$2:$AJ$592,"n/a",0,1)</f>
        <v>0.17374887133613809</v>
      </c>
      <c r="AB1069">
        <f>_xlfn.XLOOKUP($G1069,magnet_list!$A$2:$A$592,magnet_list!$L$2:$L$592,"n/a",0,1)</f>
        <v>44</v>
      </c>
    </row>
    <row r="1070" spans="1:28">
      <c r="A1070" t="s">
        <v>797</v>
      </c>
      <c r="B1070">
        <v>1</v>
      </c>
      <c r="C1070" t="s">
        <v>805</v>
      </c>
      <c r="D1070" t="s">
        <v>1152</v>
      </c>
      <c r="E1070" t="s">
        <v>804</v>
      </c>
      <c r="F1070" t="s">
        <v>664</v>
      </c>
      <c r="G1070" t="s">
        <v>2601</v>
      </c>
      <c r="I1070">
        <f>_xlfn.XLOOKUP($F1070,設計座標!$E$13:$E$2301,設計座標!$G$13:$G$2301,"n/a",0,1)</f>
        <v>311.87744691532873</v>
      </c>
      <c r="J1070">
        <f>_xlfn.XLOOKUP($F1070,設計座標!$E$13:$E$2301,設計座標!$H$13:$H$2301,"n/a",0,1)</f>
        <v>-15000</v>
      </c>
      <c r="K1070">
        <f>_xlfn.XLOOKUP($F1070,設計座標!$E$13:$E$2301,設計座標!$I$13:$I$2301,"n/a",0,1)</f>
        <v>-47415.389449419999</v>
      </c>
      <c r="L1070">
        <f>_xlfn.XLOOKUP($F1070,設計座標!$E$13:$E$2301,設計座標!$J$13:$J$2301,"n/a",0,1)</f>
        <v>90</v>
      </c>
      <c r="M1070" s="2">
        <f t="shared" si="841"/>
        <v>-14992.46037466979</v>
      </c>
      <c r="N1070" s="2">
        <f t="shared" si="846"/>
        <v>-47415.389449419999</v>
      </c>
      <c r="O1070" s="23">
        <f t="shared" si="843"/>
        <v>88.661641863281716</v>
      </c>
      <c r="P1070" s="1">
        <f t="shared" si="831"/>
        <v>89.117551643596769</v>
      </c>
      <c r="Q1070" s="1">
        <f>(Q$1071-Q$1069)/($N$1071-$N$1069)*($N1070-$N$1069)+Q$1069</f>
        <v>7.5396253302104981</v>
      </c>
      <c r="R1070">
        <f t="shared" si="794"/>
        <v>0</v>
      </c>
      <c r="S1070" s="23">
        <f>(S$1071-S$1069)/($N$1071-$N$1069)*($N1070-$N$1069)+S$1069</f>
        <v>-1.3383581367182784</v>
      </c>
      <c r="T1070">
        <f>$S1070+測地線補正!$Q$26*(lattice!$N1070/1000)^3+測地線補正!$P$26*(lattice!$N1070/1000)^2+測地線補正!$O$26*(lattice!$N1070/1000)+測地線補正!$N$26</f>
        <v>-0.88244835640323593</v>
      </c>
      <c r="U1070">
        <f t="shared" ref="U1070:U1071" si="850">-ATAN(($P$1071-$P$1069)/ABS($N$1071-$N$1069))</f>
        <v>1.9761702544015565E-4</v>
      </c>
      <c r="V1070">
        <v>0</v>
      </c>
      <c r="W1070">
        <f t="shared" ref="W1070:W1071" si="851">ATAN(($M$1071-$M$1069)/ABS($N$1071-$N$1069))</f>
        <v>-3.6565082515924705E-4</v>
      </c>
      <c r="X1070">
        <f>$Z$1070-($Y$1070+$Y$1068)/2</f>
        <v>19.369054959620556</v>
      </c>
      <c r="Y1070">
        <f>_xlfn.XLOOKUP($F1070,設計座標!$E$13:$E$2301,設計座標!$L$13:$L$2301," ",0,1)</f>
        <v>160</v>
      </c>
      <c r="Z1070">
        <f>SQRT(($M$1070-$M$1068)^2+($N$1070-$N$1068)^2)</f>
        <v>99.369054959620556</v>
      </c>
      <c r="AA1070">
        <f>_xlfn.XLOOKUP($G1070,magnet_list!$A$2:$A$592,magnet_list!$AJ$2:$AJ$592,"n/a",0,1)</f>
        <v>0.17374887133613809</v>
      </c>
      <c r="AB1070">
        <f>_xlfn.XLOOKUP($G1070,magnet_list!$A$2:$A$592,magnet_list!$L$2:$L$592,"n/a",0,1)</f>
        <v>44</v>
      </c>
    </row>
    <row r="1071" spans="1:28">
      <c r="A1071" t="s">
        <v>797</v>
      </c>
      <c r="B1071">
        <v>1</v>
      </c>
      <c r="C1071" t="s">
        <v>805</v>
      </c>
      <c r="D1071" t="s">
        <v>806</v>
      </c>
      <c r="F1071" t="s">
        <v>239</v>
      </c>
      <c r="G1071" t="s">
        <v>2601</v>
      </c>
      <c r="I1071">
        <f>_xlfn.XLOOKUP($F1071,設計座標!$E$13:$E$2301,設計座標!$G$13:$G$2301,"n/a",0,1)</f>
        <v>311.94742947056875</v>
      </c>
      <c r="J1071">
        <f>_xlfn.XLOOKUP($F1071,設計座標!$E$13:$E$2301,設計座標!$H$13:$H$2301,"n/a",0,1)</f>
        <v>-15000</v>
      </c>
      <c r="K1071">
        <f>_xlfn.XLOOKUP($F1071,設計座標!$E$13:$E$2301,設計座標!$I$13:$I$2301,"n/a",0,1)</f>
        <v>-47485.372004659999</v>
      </c>
      <c r="L1071">
        <f>_xlfn.XLOOKUP($F1071,設計座標!$E$13:$E$2301,設計座標!$J$13:$J$2301,"n/a",0,1)</f>
        <v>90</v>
      </c>
      <c r="M1071" s="2">
        <f>_xlfn.XLOOKUP($F1071,survey_data!$A$2:$A$833,survey_data!$B$2:$B$833,"n/a",0,1)</f>
        <v>-14992.48596385</v>
      </c>
      <c r="N1071" s="2">
        <f>_xlfn.XLOOKUP($F1071,survey_data!$A$2:$A$833,survey_data!$C$2:$C$833,"n/a",0,1)</f>
        <v>-47485.372004659999</v>
      </c>
      <c r="O1071" s="23">
        <f>_xlfn.XLOOKUP($F1071,survey_data!$A$2:$A$833,survey_data!$D$2:$D$833,"n/a",0,1)</f>
        <v>88.645522679999999</v>
      </c>
      <c r="P1071" s="1">
        <f t="shared" si="831"/>
        <v>89.10372121631309</v>
      </c>
      <c r="Q1071" s="1">
        <f t="shared" si="793"/>
        <v>7.5140361499998107</v>
      </c>
      <c r="R1071">
        <f t="shared" si="794"/>
        <v>0</v>
      </c>
      <c r="S1071" s="23">
        <f t="shared" si="795"/>
        <v>-1.3544773200000009</v>
      </c>
      <c r="T1071">
        <f>$S1071+測地線補正!$Q$26*(lattice!$N1071/1000)^3+測地線補正!$P$26*(lattice!$N1071/1000)^2+測地線補正!$O$26*(lattice!$N1071/1000)+測地線補正!$N$26</f>
        <v>-0.8962787836869055</v>
      </c>
      <c r="U1071">
        <f t="shared" si="850"/>
        <v>1.9761702544015565E-4</v>
      </c>
      <c r="V1071">
        <v>0</v>
      </c>
      <c r="W1071">
        <f t="shared" si="851"/>
        <v>-3.6565082515924705E-4</v>
      </c>
      <c r="X1071">
        <f>$Z$1070-($Y$1070+$Y$1068)/2</f>
        <v>19.369054959620556</v>
      </c>
      <c r="Y1071">
        <f>_xlfn.XLOOKUP($F1071,設計座標!$E$13:$E$2301,設計座標!$L$13:$L$2301," ",0,1)</f>
        <v>160</v>
      </c>
      <c r="Z1071">
        <f>SQRT(($M$1070-$M$1068)^2+($N$1070-$N$1068)^2)</f>
        <v>99.369054959620556</v>
      </c>
      <c r="AA1071">
        <f>_xlfn.XLOOKUP($G1071,magnet_list!$A$2:$A$592,magnet_list!$AJ$2:$AJ$592,"n/a",0,1)</f>
        <v>0.17374887133613809</v>
      </c>
      <c r="AB1071">
        <f>_xlfn.XLOOKUP($G1071,magnet_list!$A$2:$A$592,magnet_list!$L$2:$L$592,"n/a",0,1)</f>
        <v>44</v>
      </c>
    </row>
    <row r="1072" spans="1:28">
      <c r="A1072" t="s">
        <v>797</v>
      </c>
      <c r="B1072">
        <v>1</v>
      </c>
      <c r="C1072" t="s">
        <v>805</v>
      </c>
      <c r="D1072" t="s">
        <v>806</v>
      </c>
      <c r="F1072" t="s">
        <v>240</v>
      </c>
      <c r="G1072" t="s">
        <v>240</v>
      </c>
      <c r="I1072">
        <f>_xlfn.XLOOKUP($F1072,設計座標!$E$13:$E$2301,設計座標!$G$13:$G$2301,"n/a",0,1)</f>
        <v>312.14229423174874</v>
      </c>
      <c r="J1072">
        <f>_xlfn.XLOOKUP($F1072,設計座標!$E$13:$E$2301,設計座標!$H$13:$H$2301,"n/a",0,1)</f>
        <v>-15000</v>
      </c>
      <c r="K1072">
        <f>_xlfn.XLOOKUP($F1072,設計座標!$E$13:$E$2301,設計座標!$I$13:$I$2301,"n/a",0,1)</f>
        <v>-47680.236765840003</v>
      </c>
      <c r="L1072">
        <f>_xlfn.XLOOKUP($F1072,設計座標!$E$13:$E$2301,設計座標!$J$13:$J$2301,"n/a",0,1)</f>
        <v>5</v>
      </c>
      <c r="M1072" s="2">
        <f>_xlfn.XLOOKUP($F1072,survey_data!$A$2:$A$833,survey_data!$B$2:$B$833,"n/a",0,1)</f>
        <v>-14992.515315000001</v>
      </c>
      <c r="N1072" s="2">
        <f>_xlfn.XLOOKUP($F1072,survey_data!$A$2:$A$833,survey_data!$C$2:$C$833,"n/a",0,1)</f>
        <v>-47680.236765840003</v>
      </c>
      <c r="O1072" s="23">
        <f>_xlfn.XLOOKUP($F1072,survey_data!$A$2:$A$833,survey_data!$D$2:$D$833,"n/a",0,1)</f>
        <v>3.6502507</v>
      </c>
      <c r="P1072" s="1">
        <f t="shared" si="831"/>
        <v>4.1148150314798606</v>
      </c>
      <c r="Q1072" s="1">
        <f t="shared" ref="Q1072:Q1135" si="852">$M1072-$J1072</f>
        <v>7.4846849999994447</v>
      </c>
      <c r="R1072">
        <f t="shared" ref="R1072:R1135" si="853">$N1072-$K1072</f>
        <v>0</v>
      </c>
      <c r="S1072" s="23">
        <f t="shared" ref="S1072:S1135" si="854">$O1072-$L1072</f>
        <v>-1.3497493</v>
      </c>
      <c r="T1072">
        <f>$S1072+測地線補正!$Q$26*(lattice!$N1072/1000)^3+測地線補正!$P$26*(lattice!$N1072/1000)^2+測地線補正!$O$26*(lattice!$N1072/1000)+測地線補正!$N$26</f>
        <v>-0.88518496852013961</v>
      </c>
      <c r="U1072">
        <v>0</v>
      </c>
      <c r="V1072">
        <v>0</v>
      </c>
      <c r="W1072">
        <v>0</v>
      </c>
      <c r="X1072">
        <f>$Z$1073-($Y$1073+$Y$1070)/2</f>
        <v>144.84732211845682</v>
      </c>
      <c r="Y1072">
        <f>_xlfn.XLOOKUP($F1072,設計座標!$E$13:$E$2301,設計座標!$L$13:$L$2301," ",0,1)</f>
        <v>80</v>
      </c>
      <c r="Z1072">
        <f>SQRT(($M$1073-$M$1070)^2+($N$1073-$N$1070)^2)</f>
        <v>264.84732211845682</v>
      </c>
      <c r="AA1072">
        <f>_xlfn.XLOOKUP($G1072,magnet_list!$A$2:$A$592,magnet_list!$AJ$2:$AJ$592,"n/a",0,1)</f>
        <v>0.1204063936938909</v>
      </c>
      <c r="AB1072">
        <f>_xlfn.XLOOKUP($G1072,magnet_list!$A$2:$A$592,magnet_list!$L$2:$L$592,"n/a",0,1)</f>
        <v>39</v>
      </c>
    </row>
    <row r="1073" spans="1:28">
      <c r="A1073" t="s">
        <v>797</v>
      </c>
      <c r="B1073">
        <v>1</v>
      </c>
      <c r="C1073" t="s">
        <v>805</v>
      </c>
      <c r="D1073" t="s">
        <v>1152</v>
      </c>
      <c r="E1073" t="s">
        <v>804</v>
      </c>
      <c r="F1073" t="s">
        <v>1882</v>
      </c>
      <c r="G1073" t="s">
        <v>240</v>
      </c>
      <c r="I1073">
        <f>_xlfn.XLOOKUP($F1073,設計座標!$E$13:$E$2301,設計座標!$G$13:$G$2301,"n/a",0,1)</f>
        <v>312.14229423174874</v>
      </c>
      <c r="J1073">
        <f>_xlfn.XLOOKUP($F1073,設計座標!$E$13:$E$2301,設計座標!$H$13:$H$2301,"n/a",0,1)</f>
        <v>-15000</v>
      </c>
      <c r="K1073">
        <f>_xlfn.XLOOKUP($F1073,設計座標!$E$13:$E$2301,設計座標!$I$13:$I$2301,"n/a",0,1)</f>
        <v>-47680.236765840003</v>
      </c>
      <c r="L1073">
        <f>_xlfn.XLOOKUP($F1073,設計座標!$E$13:$E$2301,設計座標!$J$13:$J$2301,"n/a",0,1)</f>
        <v>5</v>
      </c>
      <c r="M1073" s="2">
        <f t="shared" ref="M1073:M1081" si="855">$J1073+$Q1073</f>
        <v>-14992.515315000001</v>
      </c>
      <c r="N1073" s="2">
        <f t="shared" ref="N1073:N1081" si="856">$K1073</f>
        <v>-47680.236765840003</v>
      </c>
      <c r="O1073" s="23">
        <f t="shared" ref="O1073:O1081" si="857">$L1073+$S1073</f>
        <v>3.6502507</v>
      </c>
      <c r="P1073" s="1">
        <f t="shared" si="831"/>
        <v>4.1148150314798606</v>
      </c>
      <c r="Q1073" s="1">
        <f>(Q$1074-Q$1072)/($N$1074-$N$1072)*($N1073-$N$1072)+Q$1072</f>
        <v>7.4846849999994447</v>
      </c>
      <c r="R1073">
        <f t="shared" si="853"/>
        <v>0</v>
      </c>
      <c r="S1073" s="23">
        <f>(S$1074-S$1072)/($N$1074-$N$1072)*($N1073-$N$1072)+S$1072</f>
        <v>-1.3497493</v>
      </c>
      <c r="T1073">
        <f>$S1073+測地線補正!$Q$26*(lattice!$N1073/1000)^3+測地線補正!$P$26*(lattice!$N1073/1000)^2+測地線補正!$O$26*(lattice!$N1073/1000)+測地線補正!$N$26</f>
        <v>-0.88518496852013961</v>
      </c>
      <c r="U1073">
        <v>0</v>
      </c>
      <c r="V1073">
        <v>0</v>
      </c>
      <c r="W1073">
        <v>0</v>
      </c>
      <c r="X1073">
        <f>$Z$1073-($Y$1073+$Y$1070)/2</f>
        <v>144.84732211845682</v>
      </c>
      <c r="Y1073">
        <f>_xlfn.XLOOKUP($F1073,設計座標!$E$13:$E$2301,設計座標!$L$13:$L$2301," ",0,1)</f>
        <v>80</v>
      </c>
      <c r="Z1073">
        <f>SQRT(($M$1073-$M$1070)^2+($N$1073-$N$1070)^2)</f>
        <v>264.84732211845682</v>
      </c>
      <c r="AA1073">
        <f>_xlfn.XLOOKUP($G1073,magnet_list!$A$2:$A$592,magnet_list!$AJ$2:$AJ$592,"n/a",0,1)</f>
        <v>0.1204063936938909</v>
      </c>
      <c r="AB1073">
        <f>_xlfn.XLOOKUP($G1073,magnet_list!$A$2:$A$592,magnet_list!$L$2:$L$592,"n/a",0,1)</f>
        <v>39</v>
      </c>
    </row>
    <row r="1074" spans="1:28">
      <c r="A1074" t="s">
        <v>797</v>
      </c>
      <c r="B1074">
        <v>1</v>
      </c>
      <c r="C1074" t="s">
        <v>805</v>
      </c>
      <c r="D1074" t="s">
        <v>806</v>
      </c>
      <c r="F1074" t="s">
        <v>241</v>
      </c>
      <c r="G1074" t="s">
        <v>241</v>
      </c>
      <c r="I1074">
        <f>_xlfn.XLOOKUP($F1074,設計座標!$E$13:$E$2301,設計座標!$G$13:$G$2301,"n/a",0,1)</f>
        <v>312.36148370157872</v>
      </c>
      <c r="J1074">
        <f>_xlfn.XLOOKUP($F1074,設計座標!$E$13:$E$2301,設計座標!$H$13:$H$2301,"n/a",0,1)</f>
        <v>-15000</v>
      </c>
      <c r="K1074">
        <f>_xlfn.XLOOKUP($F1074,設計座標!$E$13:$E$2301,設計座標!$I$13:$I$2301,"n/a",0,1)</f>
        <v>-47899.426235669998</v>
      </c>
      <c r="L1074">
        <f>_xlfn.XLOOKUP($F1074,設計座標!$E$13:$E$2301,設計座標!$J$13:$J$2301,"n/a",0,1)</f>
        <v>5</v>
      </c>
      <c r="M1074" s="2">
        <f>_xlfn.XLOOKUP($F1074,survey_data!$A$2:$A$833,survey_data!$B$2:$B$833,"n/a",0,1)</f>
        <v>-14992.3972689</v>
      </c>
      <c r="N1074" s="2">
        <f>_xlfn.XLOOKUP($F1074,survey_data!$A$2:$A$833,survey_data!$C$2:$C$833,"n/a",0,1)</f>
        <v>-47899.426235669998</v>
      </c>
      <c r="O1074" s="23">
        <f>_xlfn.XLOOKUP($F1074,survey_data!$A$2:$A$833,survey_data!$D$2:$D$833,"n/a",0,1)</f>
        <v>3.5616020900000001</v>
      </c>
      <c r="P1074" s="1">
        <f t="shared" si="831"/>
        <v>4.0333142099356802</v>
      </c>
      <c r="Q1074" s="1">
        <f t="shared" si="852"/>
        <v>7.6027310999998008</v>
      </c>
      <c r="R1074">
        <f t="shared" si="853"/>
        <v>0</v>
      </c>
      <c r="S1074" s="23">
        <f t="shared" si="854"/>
        <v>-1.4383979099999999</v>
      </c>
      <c r="T1074">
        <f>$S1074+測地線補正!$Q$26*(lattice!$N1074/1000)^3+測地線補正!$P$26*(lattice!$N1074/1000)^2+測地線補正!$O$26*(lattice!$N1074/1000)+測地線補正!$N$26</f>
        <v>-0.96668579006431954</v>
      </c>
      <c r="U1074">
        <v>0</v>
      </c>
      <c r="V1074">
        <v>0</v>
      </c>
      <c r="W1074">
        <v>0</v>
      </c>
      <c r="X1074">
        <f>$Z$1075-($Y$1075+$Y$1073)/2</f>
        <v>139.18950161728986</v>
      </c>
      <c r="Y1074">
        <f>_xlfn.XLOOKUP($F1074,設計座標!$E$13:$E$2301,設計座標!$L$13:$L$2301," ",0,1)</f>
        <v>80</v>
      </c>
      <c r="Z1074">
        <f>SQRT(($M$1075-$M$1073)^2+($N$1075-$N$1073)^2)</f>
        <v>219.18950161728986</v>
      </c>
      <c r="AA1074">
        <f>_xlfn.XLOOKUP($G1074,magnet_list!$A$2:$A$592,magnet_list!$AJ$2:$AJ$592,"n/a",0,1)</f>
        <v>0.1204063936938909</v>
      </c>
      <c r="AB1074">
        <f>_xlfn.XLOOKUP($G1074,magnet_list!$A$2:$A$592,magnet_list!$L$2:$L$592,"n/a",0,1)</f>
        <v>39</v>
      </c>
    </row>
    <row r="1075" spans="1:28">
      <c r="A1075" t="s">
        <v>797</v>
      </c>
      <c r="B1075">
        <v>1</v>
      </c>
      <c r="C1075" t="s">
        <v>805</v>
      </c>
      <c r="D1075" t="s">
        <v>1152</v>
      </c>
      <c r="E1075" t="s">
        <v>804</v>
      </c>
      <c r="F1075" t="s">
        <v>1883</v>
      </c>
      <c r="G1075" t="s">
        <v>241</v>
      </c>
      <c r="I1075">
        <f>_xlfn.XLOOKUP($F1075,設計座標!$E$13:$E$2301,設計座標!$G$13:$G$2301,"n/a",0,1)</f>
        <v>312.36148370157872</v>
      </c>
      <c r="J1075">
        <f>_xlfn.XLOOKUP($F1075,設計座標!$E$13:$E$2301,設計座標!$H$13:$H$2301,"n/a",0,1)</f>
        <v>-15000</v>
      </c>
      <c r="K1075">
        <f>_xlfn.XLOOKUP($F1075,設計座標!$E$13:$E$2301,設計座標!$I$13:$I$2301,"n/a",0,1)</f>
        <v>-47899.426235669998</v>
      </c>
      <c r="L1075">
        <f>_xlfn.XLOOKUP($F1075,設計座標!$E$13:$E$2301,設計座標!$J$13:$J$2301,"n/a",0,1)</f>
        <v>5</v>
      </c>
      <c r="M1075" s="2">
        <f t="shared" si="855"/>
        <v>-14992.3972689</v>
      </c>
      <c r="N1075" s="2">
        <f t="shared" si="856"/>
        <v>-47899.426235669998</v>
      </c>
      <c r="O1075" s="23">
        <f t="shared" si="857"/>
        <v>3.5616020900000001</v>
      </c>
      <c r="P1075" s="1">
        <f t="shared" si="831"/>
        <v>4.0333142099356802</v>
      </c>
      <c r="Q1075" s="1">
        <f>(Q$1076-Q$1074)/($N$1076-$N$1074)*($N1075-$N$1074)+Q$1074</f>
        <v>7.6027310999998008</v>
      </c>
      <c r="R1075">
        <f t="shared" si="853"/>
        <v>0</v>
      </c>
      <c r="S1075" s="23">
        <f>(S$1076-S$1074)/($N$1076-$N$1074)*($N1075-$N$1074)+S$1074</f>
        <v>-1.4383979099999999</v>
      </c>
      <c r="T1075">
        <f>$S1075+測地線補正!$Q$26*(lattice!$N1075/1000)^3+測地線補正!$P$26*(lattice!$N1075/1000)^2+測地線補正!$O$26*(lattice!$N1075/1000)+測地線補正!$N$26</f>
        <v>-0.96668579006431954</v>
      </c>
      <c r="U1075">
        <v>0</v>
      </c>
      <c r="V1075">
        <v>0</v>
      </c>
      <c r="W1075">
        <v>0</v>
      </c>
      <c r="X1075">
        <f>$Z$1075-($Y$1075+$Y$1073)/2</f>
        <v>139.18950161728986</v>
      </c>
      <c r="Y1075">
        <f>_xlfn.XLOOKUP($F1075,設計座標!$E$13:$E$2301,設計座標!$L$13:$L$2301," ",0,1)</f>
        <v>80</v>
      </c>
      <c r="Z1075">
        <f>SQRT(($M$1075-$M$1073)^2+($N$1075-$N$1073)^2)</f>
        <v>219.18950161728986</v>
      </c>
      <c r="AA1075">
        <f>_xlfn.XLOOKUP($G1075,magnet_list!$A$2:$A$592,magnet_list!$AJ$2:$AJ$592,"n/a",0,1)</f>
        <v>0.1204063936938909</v>
      </c>
      <c r="AB1075">
        <f>_xlfn.XLOOKUP($G1075,magnet_list!$A$2:$A$592,magnet_list!$L$2:$L$592,"n/a",0,1)</f>
        <v>39</v>
      </c>
    </row>
    <row r="1076" spans="1:28">
      <c r="A1076" t="s">
        <v>797</v>
      </c>
      <c r="B1076">
        <v>1</v>
      </c>
      <c r="C1076" t="s">
        <v>805</v>
      </c>
      <c r="D1076" t="s">
        <v>806</v>
      </c>
      <c r="F1076" t="s">
        <v>242</v>
      </c>
      <c r="G1076" t="s">
        <v>2602</v>
      </c>
      <c r="I1076">
        <f>_xlfn.XLOOKUP($F1076,設計座標!$E$13:$E$2301,設計座標!$G$13:$G$2301,"n/a",0,1)</f>
        <v>312.55941382278871</v>
      </c>
      <c r="J1076">
        <f>_xlfn.XLOOKUP($F1076,設計座標!$E$13:$E$2301,設計座標!$H$13:$H$2301,"n/a",0,1)</f>
        <v>-15000</v>
      </c>
      <c r="K1076">
        <f>_xlfn.XLOOKUP($F1076,設計座標!$E$13:$E$2301,設計座標!$I$13:$I$2301,"n/a",0,1)</f>
        <v>-48097.356356880002</v>
      </c>
      <c r="L1076">
        <f>_xlfn.XLOOKUP($F1076,設計座標!$E$13:$E$2301,設計座標!$J$13:$J$2301,"n/a",0,1)</f>
        <v>90</v>
      </c>
      <c r="M1076" s="2">
        <f>_xlfn.XLOOKUP($F1076,survey_data!$A$2:$A$833,survey_data!$B$2:$B$833,"n/a",0,1)</f>
        <v>-14992.43453635</v>
      </c>
      <c r="N1076" s="2">
        <f>_xlfn.XLOOKUP($F1076,survey_data!$A$2:$A$833,survey_data!$C$2:$C$833,"n/a",0,1)</f>
        <v>-48097.356356880002</v>
      </c>
      <c r="O1076" s="23">
        <f>_xlfn.XLOOKUP($F1076,survey_data!$A$2:$A$833,survey_data!$D$2:$D$833,"n/a",0,1)</f>
        <v>88.498287899999994</v>
      </c>
      <c r="P1076" s="1">
        <f t="shared" si="831"/>
        <v>88.976443047020638</v>
      </c>
      <c r="Q1076" s="1">
        <f t="shared" si="852"/>
        <v>7.5654636500003107</v>
      </c>
      <c r="R1076">
        <f t="shared" si="853"/>
        <v>0</v>
      </c>
      <c r="S1076" s="23">
        <f t="shared" si="854"/>
        <v>-1.501712100000006</v>
      </c>
      <c r="T1076">
        <f>$S1076+測地線補正!$Q$26*(lattice!$N1076/1000)^3+測地線補正!$P$26*(lattice!$N1076/1000)^2+測地線補正!$O$26*(lattice!$N1076/1000)+測地線補正!$N$26</f>
        <v>-1.0235569529793651</v>
      </c>
      <c r="U1076">
        <f>-ATAN(($P$1078-$P$1076)/ABS($N$1078-$N$1076))</f>
        <v>-1.7225557291218301E-4</v>
      </c>
      <c r="V1076">
        <v>0</v>
      </c>
      <c r="W1076">
        <f>ATAN(($M$1078-$M$1076)/ABS($N$1078-$N$1076))</f>
        <v>-9.7340045632052783E-4</v>
      </c>
      <c r="X1076">
        <f>$Z$1077-($Y$1077+$Y$1075)/2</f>
        <v>147.9341419448412</v>
      </c>
      <c r="Y1076">
        <f>_xlfn.XLOOKUP($F1076,設計座標!$E$13:$E$2301,設計座標!$L$13:$L$2301," ",0,1)</f>
        <v>160</v>
      </c>
      <c r="Z1076">
        <f>SQRT(($M$1077-$M$1075)^2+($N$1077-$N$1075)^2)</f>
        <v>267.9341419448412</v>
      </c>
      <c r="AA1076">
        <f>_xlfn.XLOOKUP($G1076,magnet_list!$A$2:$A$592,magnet_list!$AJ$2:$AJ$592,"n/a",0,1)</f>
        <v>0.17374887133613809</v>
      </c>
      <c r="AB1076">
        <f>_xlfn.XLOOKUP($G1076,magnet_list!$A$2:$A$592,magnet_list!$L$2:$L$592,"n/a",0,1)</f>
        <v>44</v>
      </c>
    </row>
    <row r="1077" spans="1:28">
      <c r="A1077" t="s">
        <v>797</v>
      </c>
      <c r="B1077">
        <v>1</v>
      </c>
      <c r="C1077" t="s">
        <v>805</v>
      </c>
      <c r="D1077" t="s">
        <v>1152</v>
      </c>
      <c r="E1077" t="s">
        <v>804</v>
      </c>
      <c r="F1077" t="s">
        <v>665</v>
      </c>
      <c r="G1077" t="s">
        <v>2602</v>
      </c>
      <c r="I1077">
        <f>_xlfn.XLOOKUP($F1077,設計座標!$E$13:$E$2301,設計座標!$G$13:$G$2301,"n/a",0,1)</f>
        <v>312.6294178227887</v>
      </c>
      <c r="J1077">
        <f>_xlfn.XLOOKUP($F1077,設計座標!$E$13:$E$2301,設計座標!$H$13:$H$2301,"n/a",0,1)</f>
        <v>-15000</v>
      </c>
      <c r="K1077">
        <f>_xlfn.XLOOKUP($F1077,設計座標!$E$13:$E$2301,設計座標!$I$13:$I$2301,"n/a",0,1)</f>
        <v>-48167.360356880003</v>
      </c>
      <c r="L1077">
        <f>_xlfn.XLOOKUP($F1077,設計座標!$E$13:$E$2301,設計座標!$J$13:$J$2301,"n/a",0,1)</f>
        <v>90</v>
      </c>
      <c r="M1077" s="2">
        <f t="shared" si="855"/>
        <v>-14992.502678297065</v>
      </c>
      <c r="N1077" s="2">
        <f t="shared" si="856"/>
        <v>-48167.360356880003</v>
      </c>
      <c r="O1077" s="23">
        <f t="shared" si="857"/>
        <v>88.508070996603962</v>
      </c>
      <c r="P1077" s="1">
        <f t="shared" si="831"/>
        <v>88.98850230629391</v>
      </c>
      <c r="Q1077" s="1">
        <f>(Q$1078-Q$1076)/($N$1078-$N$1076)*($N1077-$N$1076)+Q$1076</f>
        <v>7.4973217029343564</v>
      </c>
      <c r="R1077">
        <f t="shared" si="853"/>
        <v>0</v>
      </c>
      <c r="S1077" s="23">
        <f>(S$1078-S$1076)/($N$1078-$N$1076)*($N1077-$N$1076)+S$1076</f>
        <v>-1.491929003396042</v>
      </c>
      <c r="T1077">
        <f>$S1077+測地線補正!$Q$26*(lattice!$N1077/1000)^3+測地線補正!$P$26*(lattice!$N1077/1000)^2+測地線補正!$O$26*(lattice!$N1077/1000)+測地線補正!$N$26</f>
        <v>-1.011497693706094</v>
      </c>
      <c r="U1077">
        <f t="shared" ref="U1077:U1078" si="858">-ATAN(($P$1078-$P$1076)/ABS($N$1078-$N$1076))</f>
        <v>-1.7225557291218301E-4</v>
      </c>
      <c r="V1077">
        <v>0</v>
      </c>
      <c r="W1077">
        <f t="shared" ref="W1077:W1078" si="859">ATAN(($M$1078-$M$1076)/ABS($N$1078-$N$1076))</f>
        <v>-9.7340045632052783E-4</v>
      </c>
      <c r="X1077">
        <f>$Z$1077-($Y$1077+$Y$1075)/2</f>
        <v>147.9341419448412</v>
      </c>
      <c r="Y1077">
        <f>_xlfn.XLOOKUP($F1077,設計座標!$E$13:$E$2301,設計座標!$L$13:$L$2301," ",0,1)</f>
        <v>160</v>
      </c>
      <c r="Z1077">
        <f>SQRT(($M$1077-$M$1075)^2+($N$1077-$N$1075)^2)</f>
        <v>267.9341419448412</v>
      </c>
      <c r="AA1077">
        <f>_xlfn.XLOOKUP($G1077,magnet_list!$A$2:$A$592,magnet_list!$AJ$2:$AJ$592,"n/a",0,1)</f>
        <v>0.17374887133613809</v>
      </c>
      <c r="AB1077">
        <f>_xlfn.XLOOKUP($G1077,magnet_list!$A$2:$A$592,magnet_list!$L$2:$L$592,"n/a",0,1)</f>
        <v>44</v>
      </c>
    </row>
    <row r="1078" spans="1:28">
      <c r="A1078" t="s">
        <v>797</v>
      </c>
      <c r="B1078">
        <v>1</v>
      </c>
      <c r="C1078" t="s">
        <v>805</v>
      </c>
      <c r="D1078" t="s">
        <v>806</v>
      </c>
      <c r="F1078" t="s">
        <v>243</v>
      </c>
      <c r="G1078" t="s">
        <v>2602</v>
      </c>
      <c r="I1078">
        <f>_xlfn.XLOOKUP($F1078,設計座標!$E$13:$E$2301,設計座標!$G$13:$G$2301,"n/a",0,1)</f>
        <v>312.69926144266867</v>
      </c>
      <c r="J1078">
        <f>_xlfn.XLOOKUP($F1078,設計座標!$E$13:$E$2301,設計座標!$H$13:$H$2301,"n/a",0,1)</f>
        <v>-15000</v>
      </c>
      <c r="K1078">
        <f>_xlfn.XLOOKUP($F1078,設計座標!$E$13:$E$2301,設計座標!$I$13:$I$2301,"n/a",0,1)</f>
        <v>-48237.20397676</v>
      </c>
      <c r="L1078">
        <f>_xlfn.XLOOKUP($F1078,設計座標!$E$13:$E$2301,設計座標!$J$13:$J$2301,"n/a",0,1)</f>
        <v>90</v>
      </c>
      <c r="M1078" s="2">
        <f>_xlfn.XLOOKUP($F1078,survey_data!$A$2:$A$833,survey_data!$B$2:$B$833,"n/a",0,1)</f>
        <v>-14992.57066413</v>
      </c>
      <c r="N1078" s="2">
        <f>_xlfn.XLOOKUP($F1078,survey_data!$A$2:$A$833,survey_data!$C$2:$C$833,"n/a",0,1)</f>
        <v>-48237.20397676</v>
      </c>
      <c r="O1078" s="23">
        <f>_xlfn.XLOOKUP($F1078,survey_data!$A$2:$A$833,survey_data!$D$2:$D$833,"n/a",0,1)</f>
        <v>88.51783168</v>
      </c>
      <c r="P1078" s="1">
        <f t="shared" si="831"/>
        <v>89.000532579141733</v>
      </c>
      <c r="Q1078" s="1">
        <f t="shared" si="852"/>
        <v>7.4293358699997043</v>
      </c>
      <c r="R1078">
        <f t="shared" si="853"/>
        <v>0</v>
      </c>
      <c r="S1078" s="23">
        <f t="shared" si="854"/>
        <v>-1.4821683199999995</v>
      </c>
      <c r="T1078">
        <f>$S1078+測地線補正!$Q$26*(lattice!$N1078/1000)^3+測地線補正!$P$26*(lattice!$N1078/1000)^2+測地線補正!$O$26*(lattice!$N1078/1000)+測地線補正!$N$26</f>
        <v>-0.99946742085826679</v>
      </c>
      <c r="U1078">
        <f t="shared" si="858"/>
        <v>-1.7225557291218301E-4</v>
      </c>
      <c r="V1078">
        <v>0</v>
      </c>
      <c r="W1078">
        <f t="shared" si="859"/>
        <v>-9.7340045632052783E-4</v>
      </c>
      <c r="X1078">
        <f>$Z$1077-($Y$1077+$Y$1075)/2</f>
        <v>147.9341419448412</v>
      </c>
      <c r="Y1078">
        <f>_xlfn.XLOOKUP($F1078,設計座標!$E$13:$E$2301,設計座標!$L$13:$L$2301," ",0,1)</f>
        <v>160</v>
      </c>
      <c r="Z1078">
        <f>SQRT(($M$1077-$M$1075)^2+($N$1077-$N$1075)^2)</f>
        <v>267.9341419448412</v>
      </c>
      <c r="AA1078">
        <f>_xlfn.XLOOKUP($G1078,magnet_list!$A$2:$A$592,magnet_list!$AJ$2:$AJ$592,"n/a",0,1)</f>
        <v>0.17374887133613809</v>
      </c>
      <c r="AB1078">
        <f>_xlfn.XLOOKUP($G1078,magnet_list!$A$2:$A$592,magnet_list!$L$2:$L$592,"n/a",0,1)</f>
        <v>44</v>
      </c>
    </row>
    <row r="1079" spans="1:28">
      <c r="A1079" t="s">
        <v>797</v>
      </c>
      <c r="B1079">
        <v>1</v>
      </c>
      <c r="C1079" t="s">
        <v>804</v>
      </c>
      <c r="D1079" t="s">
        <v>1152</v>
      </c>
      <c r="E1079" t="s">
        <v>804</v>
      </c>
      <c r="F1079" t="s">
        <v>1594</v>
      </c>
      <c r="G1079" t="s">
        <v>2603</v>
      </c>
      <c r="I1079">
        <f>_xlfn.XLOOKUP($F1079,設計座標!$E$13:$E$2301,設計座標!$G$13:$G$2301,"n/a",0,1)</f>
        <v>313.00116216136882</v>
      </c>
      <c r="J1079">
        <f>_xlfn.XLOOKUP($F1079,設計座標!$E$13:$E$2301,設計座標!$H$13:$H$2301,"n/a",0,1)</f>
        <v>-15000</v>
      </c>
      <c r="K1079">
        <f>_xlfn.XLOOKUP($F1079,設計座標!$E$13:$E$2301,設計座標!$I$13:$I$2301,"n/a",0,1)</f>
        <v>-48539.104695460061</v>
      </c>
      <c r="L1079">
        <f>_xlfn.XLOOKUP($F1079,設計座標!$E$13:$E$2301,設計座標!$J$13:$J$2301,"n/a",0,1)</f>
        <v>-270</v>
      </c>
      <c r="M1079" s="2">
        <f t="shared" si="855"/>
        <v>-14992.500414534708</v>
      </c>
      <c r="N1079" s="2">
        <f t="shared" si="856"/>
        <v>-48539.104695460061</v>
      </c>
      <c r="O1079" s="23">
        <f t="shared" si="857"/>
        <v>-271.4455676562319</v>
      </c>
      <c r="P1079" s="1">
        <f t="shared" si="831"/>
        <v>-270.95307200501225</v>
      </c>
      <c r="Q1079" s="1">
        <f>(Q$1080-Q$1078)/($N$1080-$N$1078)*($N1079-$N$1078)+Q$1078</f>
        <v>7.4995854652915934</v>
      </c>
      <c r="R1079">
        <f t="shared" si="853"/>
        <v>0</v>
      </c>
      <c r="S1079" s="23">
        <f>(S$1080-S$1078)/($N$1080-$N$1078)*($N1079-$N$1078)+S$1078</f>
        <v>-1.4455676562318893</v>
      </c>
      <c r="T1079">
        <f>$S1079+測地線補正!$Q$26*(lattice!$N1079/1000)^3+測地線補正!$P$26*(lattice!$N1079/1000)^2+測地線補正!$O$26*(lattice!$N1079/1000)+測地線補正!$N$26</f>
        <v>-0.95307200501226363</v>
      </c>
      <c r="U1079">
        <f>-ATAN(($P$1090-$P$1079)/ABS($N$1090-$N$1079))</f>
        <v>5.2239163979259281E-5</v>
      </c>
      <c r="V1079">
        <v>0</v>
      </c>
      <c r="W1079">
        <f>ATAN(($M$1090-$M$1079)/ABS($N$1090-$N$1079))</f>
        <v>1.7105964902654845E-4</v>
      </c>
      <c r="X1079">
        <f>SQRT(($M$1079-$M$1077)^2+($N$1079-$N$1077)^2)-$Y$1077/2</f>
        <v>291.74433858695062</v>
      </c>
      <c r="Y1079">
        <f>_xlfn.XLOOKUP($F1079,設計座標!$E$13:$E$2301,設計座標!$L$13:$L$2301," ",0,1)</f>
        <v>1889.4492</v>
      </c>
      <c r="Z1079">
        <f>SQRT(($M$1085-$M$1084)^2+($N$1085-$N$1084)^2)</f>
        <v>37.223214119143861</v>
      </c>
    </row>
    <row r="1080" spans="1:28">
      <c r="A1080" t="s">
        <v>797</v>
      </c>
      <c r="B1080">
        <v>1</v>
      </c>
      <c r="C1080" t="s">
        <v>805</v>
      </c>
      <c r="D1080" t="s">
        <v>806</v>
      </c>
      <c r="F1080" t="s">
        <v>244</v>
      </c>
      <c r="G1080" t="s">
        <v>2604</v>
      </c>
      <c r="I1080">
        <f>_xlfn.XLOOKUP($F1080,設計座標!$E$13:$E$2301,設計座標!$G$13:$G$2301,"n/a",0,1)</f>
        <v>313.17353812800877</v>
      </c>
      <c r="J1080">
        <f>_xlfn.XLOOKUP($F1080,設計座標!$E$13:$E$2301,設計座標!$H$13:$H$2301,"n/a",0,1)</f>
        <v>-15000</v>
      </c>
      <c r="K1080">
        <f>_xlfn.XLOOKUP($F1080,設計座標!$E$13:$E$2301,設計座標!$I$13:$I$2301,"n/a",0,1)</f>
        <v>-48711.480662100003</v>
      </c>
      <c r="L1080">
        <f>_xlfn.XLOOKUP($F1080,設計座標!$E$13:$E$2301,設計座標!$J$13:$J$2301,"n/a",0,1)</f>
        <v>75</v>
      </c>
      <c r="M1080" s="2">
        <f>_xlfn.XLOOKUP($F1080,survey_data!$A$2:$A$833,survey_data!$B$2:$B$833,"n/a",0,1)</f>
        <v>-14992.460304190001</v>
      </c>
      <c r="N1080" s="2">
        <f>_xlfn.XLOOKUP($F1080,survey_data!$A$2:$A$833,survey_data!$C$2:$C$833,"n/a",0,1)</f>
        <v>-48711.480662100003</v>
      </c>
      <c r="O1080" s="23">
        <f>_xlfn.XLOOKUP($F1080,survey_data!$A$2:$A$833,survey_data!$D$2:$D$833,"n/a",0,1)</f>
        <v>73.575330190000003</v>
      </c>
      <c r="P1080" s="1">
        <f t="shared" si="831"/>
        <v>74.07340698178902</v>
      </c>
      <c r="Q1080" s="1">
        <f t="shared" si="852"/>
        <v>7.5396958099991025</v>
      </c>
      <c r="R1080">
        <f t="shared" si="853"/>
        <v>0</v>
      </c>
      <c r="S1080" s="23">
        <f t="shared" si="854"/>
        <v>-1.4246698099999975</v>
      </c>
      <c r="T1080">
        <f>$S1080+測地線補正!$Q$26*(lattice!$N1080/1000)^3+測地線補正!$P$26*(lattice!$N1080/1000)^2+測地線補正!$O$26*(lattice!$N1080/1000)+測地線補正!$N$26</f>
        <v>-0.92659301821098472</v>
      </c>
      <c r="U1080">
        <f>-ATAN(($P$1082-$P$1080)/ABS($N$1082-$N$1080))</f>
        <v>4.8318728335963583E-4</v>
      </c>
      <c r="V1080">
        <v>0</v>
      </c>
      <c r="W1080">
        <f>ATAN(($M$1082-$M$1080)/ABS($N$1082-$N$1080))</f>
        <v>-1.1188738018801344E-5</v>
      </c>
      <c r="X1080" t="s">
        <v>3860</v>
      </c>
      <c r="Y1080">
        <f>_xlfn.XLOOKUP($F1080,設計座標!$E$13:$E$2301,設計座標!$L$13:$L$2301," ",0,1)</f>
        <v>300</v>
      </c>
      <c r="Z1080">
        <f>SQRT(($M$1081-$M$1077)^2+($N$1081-$N$1077)^2)</f>
        <v>679.13730644936857</v>
      </c>
      <c r="AA1080">
        <f>_xlfn.XLOOKUP($G1080,magnet_list!$A$2:$A$592,magnet_list!$AJ$2:$AJ$592,"n/a",0,1)</f>
        <v>0.33198863580560978</v>
      </c>
      <c r="AB1080">
        <f>_xlfn.XLOOKUP($G1080,magnet_list!$A$2:$A$592,magnet_list!$L$2:$L$592,"n/a",0,1)</f>
        <v>140</v>
      </c>
    </row>
    <row r="1081" spans="1:28">
      <c r="A1081" t="s">
        <v>797</v>
      </c>
      <c r="B1081">
        <v>1</v>
      </c>
      <c r="C1081" t="s">
        <v>805</v>
      </c>
      <c r="D1081" t="s">
        <v>1152</v>
      </c>
      <c r="E1081" t="s">
        <v>804</v>
      </c>
      <c r="F1081" t="s">
        <v>666</v>
      </c>
      <c r="G1081" t="s">
        <v>2604</v>
      </c>
      <c r="I1081">
        <f>_xlfn.XLOOKUP($F1081,設計座標!$E$13:$E$2301,設計座標!$G$13:$G$2301,"n/a",0,1)</f>
        <v>313.30855512800878</v>
      </c>
      <c r="J1081">
        <f>_xlfn.XLOOKUP($F1081,設計座標!$E$13:$E$2301,設計座標!$H$13:$H$2301,"n/a",0,1)</f>
        <v>-15000</v>
      </c>
      <c r="K1081">
        <f>_xlfn.XLOOKUP($F1081,設計座標!$E$13:$E$2301,設計座標!$I$13:$I$2301,"n/a",0,1)</f>
        <v>-48846.497662100002</v>
      </c>
      <c r="L1081">
        <f>_xlfn.XLOOKUP($F1081,設計座標!$E$13:$E$2301,設計座標!$J$13:$J$2301,"n/a",0,1)</f>
        <v>75</v>
      </c>
      <c r="M1081" s="2">
        <f t="shared" si="855"/>
        <v>-14992.461814859842</v>
      </c>
      <c r="N1081" s="2">
        <f t="shared" si="856"/>
        <v>-48846.497662100002</v>
      </c>
      <c r="O1081" s="23">
        <f t="shared" si="857"/>
        <v>73.505728438492341</v>
      </c>
      <c r="P1081" s="1">
        <f t="shared" si="831"/>
        <v>74.008171009277405</v>
      </c>
      <c r="Q1081" s="1">
        <f>(Q$1082-Q$1080)/($N$1082-$N$1080)*($N1081-$N$1080)+Q$1080</f>
        <v>7.5381851401579549</v>
      </c>
      <c r="R1081">
        <f t="shared" si="853"/>
        <v>0</v>
      </c>
      <c r="S1081" s="23">
        <f>(S$1082-S$1080)/($N$1082-$N$1080)*($N1081-$N$1080)+S$1080</f>
        <v>-1.494271561507664</v>
      </c>
      <c r="T1081">
        <f>$S1081+測地線補正!$Q$26*(lattice!$N1081/1000)^3+測地線補正!$P$26*(lattice!$N1081/1000)^2+測地線補正!$O$26*(lattice!$N1081/1000)+測地線補正!$N$26</f>
        <v>-0.99182899072259967</v>
      </c>
      <c r="U1081">
        <f t="shared" ref="U1081:U1082" si="860">-ATAN(($P$1082-$P$1080)/ABS($N$1082-$N$1080))</f>
        <v>4.8318728335963583E-4</v>
      </c>
      <c r="V1081">
        <v>0</v>
      </c>
      <c r="W1081">
        <f t="shared" ref="W1081:W1082" si="861">ATAN(($M$1082-$M$1080)/ABS($N$1082-$N$1080))</f>
        <v>-1.1188738018801344E-5</v>
      </c>
      <c r="X1081" t="s">
        <v>3860</v>
      </c>
      <c r="Y1081">
        <f>_xlfn.XLOOKUP($F1081,設計座標!$E$13:$E$2301,設計座標!$L$13:$L$2301," ",0,1)</f>
        <v>300</v>
      </c>
      <c r="Z1081">
        <f>SQRT(($M$1081-$M$1077)^2+($N$1081-$N$1077)^2)</f>
        <v>679.13730644936857</v>
      </c>
      <c r="AA1081">
        <f>_xlfn.XLOOKUP($G1081,magnet_list!$A$2:$A$592,magnet_list!$AJ$2:$AJ$592,"n/a",0,1)</f>
        <v>0.33198863580560978</v>
      </c>
      <c r="AB1081">
        <f>_xlfn.XLOOKUP($G1081,magnet_list!$A$2:$A$592,magnet_list!$L$2:$L$592,"n/a",0,1)</f>
        <v>140</v>
      </c>
    </row>
    <row r="1082" spans="1:28">
      <c r="A1082" t="s">
        <v>797</v>
      </c>
      <c r="B1082">
        <v>1</v>
      </c>
      <c r="C1082" t="s">
        <v>805</v>
      </c>
      <c r="D1082" t="s">
        <v>806</v>
      </c>
      <c r="F1082" t="s">
        <v>245</v>
      </c>
      <c r="G1082" t="s">
        <v>2604</v>
      </c>
      <c r="I1082">
        <f>_xlfn.XLOOKUP($F1082,設計座標!$E$13:$E$2301,設計座標!$G$13:$G$2301,"n/a",0,1)</f>
        <v>313.44355070620878</v>
      </c>
      <c r="J1082">
        <f>_xlfn.XLOOKUP($F1082,設計座標!$E$13:$E$2301,設計座標!$H$13:$H$2301,"n/a",0,1)</f>
        <v>-15000</v>
      </c>
      <c r="K1082">
        <f>_xlfn.XLOOKUP($F1082,設計座標!$E$13:$E$2301,設計座標!$I$13:$I$2301,"n/a",0,1)</f>
        <v>-48981.493240299998</v>
      </c>
      <c r="L1082">
        <f>_xlfn.XLOOKUP($F1082,設計座標!$E$13:$E$2301,設計座標!$J$13:$J$2301,"n/a",0,1)</f>
        <v>75</v>
      </c>
      <c r="M1082" s="2">
        <f>_xlfn.XLOOKUP($F1082,survey_data!$A$2:$A$833,survey_data!$B$2:$B$833,"n/a",0,1)</f>
        <v>-14992.46332529</v>
      </c>
      <c r="N1082" s="2">
        <f>_xlfn.XLOOKUP($F1082,survey_data!$A$2:$A$833,survey_data!$C$2:$C$833,"n/a",0,1)</f>
        <v>-48981.493240299998</v>
      </c>
      <c r="O1082" s="23">
        <f>_xlfn.XLOOKUP($F1082,survey_data!$A$2:$A$833,survey_data!$D$2:$D$833,"n/a",0,1)</f>
        <v>73.436137729999999</v>
      </c>
      <c r="P1082" s="1">
        <f t="shared" si="831"/>
        <v>73.942940327502285</v>
      </c>
      <c r="Q1082" s="1">
        <f t="shared" si="852"/>
        <v>7.5366747099997156</v>
      </c>
      <c r="R1082">
        <f t="shared" si="853"/>
        <v>0</v>
      </c>
      <c r="S1082" s="23">
        <f t="shared" si="854"/>
        <v>-1.5638622700000013</v>
      </c>
      <c r="T1082">
        <f>$S1082+測地線補正!$Q$26*(lattice!$N1082/1000)^3+測地線補正!$P$26*(lattice!$N1082/1000)^2+測地線補正!$O$26*(lattice!$N1082/1000)+測地線補正!$N$26</f>
        <v>-1.0570596724977144</v>
      </c>
      <c r="U1082">
        <f t="shared" si="860"/>
        <v>4.8318728335963583E-4</v>
      </c>
      <c r="V1082">
        <v>0</v>
      </c>
      <c r="W1082">
        <f t="shared" si="861"/>
        <v>-1.1188738018801344E-5</v>
      </c>
      <c r="X1082" t="s">
        <v>3860</v>
      </c>
      <c r="Y1082">
        <f>_xlfn.XLOOKUP($F1082,設計座標!$E$13:$E$2301,設計座標!$L$13:$L$2301," ",0,1)</f>
        <v>300</v>
      </c>
      <c r="Z1082">
        <f>SQRT(($M$1081-$M$1077)^2+($N$1081-$N$1077)^2)</f>
        <v>679.13730644936857</v>
      </c>
      <c r="AA1082">
        <f>_xlfn.XLOOKUP($G1082,magnet_list!$A$2:$A$592,magnet_list!$AJ$2:$AJ$592,"n/a",0,1)</f>
        <v>0.33198863580560978</v>
      </c>
      <c r="AB1082">
        <f>_xlfn.XLOOKUP($G1082,magnet_list!$A$2:$A$592,magnet_list!$L$2:$L$592,"n/a",0,1)</f>
        <v>140</v>
      </c>
    </row>
    <row r="1083" spans="1:28">
      <c r="A1083" t="s">
        <v>797</v>
      </c>
      <c r="B1083">
        <v>1</v>
      </c>
      <c r="C1083" t="s">
        <v>805</v>
      </c>
      <c r="D1083" t="s">
        <v>806</v>
      </c>
      <c r="F1083" t="s">
        <v>246</v>
      </c>
      <c r="G1083" t="s">
        <v>2605</v>
      </c>
      <c r="I1083">
        <f>_xlfn.XLOOKUP($F1083,設計座標!$E$13:$E$2301,設計座標!$G$13:$G$2301,"n/a",0,1)</f>
        <v>313.77365704748877</v>
      </c>
      <c r="J1083">
        <f>_xlfn.XLOOKUP($F1083,設計座標!$E$13:$E$2301,設計座標!$H$13:$H$2301,"n/a",0,1)</f>
        <v>-15000</v>
      </c>
      <c r="K1083">
        <f>_xlfn.XLOOKUP($F1083,設計座標!$E$13:$E$2301,設計座標!$I$13:$I$2301,"n/a",0,1)</f>
        <v>-49311.599581579998</v>
      </c>
      <c r="L1083">
        <f>_xlfn.XLOOKUP($F1083,設計座標!$E$13:$E$2301,設計座標!$J$13:$J$2301,"n/a",0,1)</f>
        <v>75</v>
      </c>
      <c r="M1083" s="2">
        <f>_xlfn.XLOOKUP($F1083,survey_data!$A$2:$A$833,survey_data!$B$2:$B$833,"n/a",0,1)</f>
        <v>-14992.35287875</v>
      </c>
      <c r="N1083" s="2">
        <f>_xlfn.XLOOKUP($F1083,survey_data!$A$2:$A$833,survey_data!$C$2:$C$833,"n/a",0,1)</f>
        <v>-49311.599581579998</v>
      </c>
      <c r="O1083" s="23">
        <f>_xlfn.XLOOKUP($F1083,survey_data!$A$2:$A$833,survey_data!$D$2:$D$833,"n/a",0,1)</f>
        <v>73.372572719999994</v>
      </c>
      <c r="P1083" s="1">
        <f t="shared" si="831"/>
        <v>73.890015645203803</v>
      </c>
      <c r="Q1083" s="1">
        <f t="shared" si="852"/>
        <v>7.6471212500000547</v>
      </c>
      <c r="R1083">
        <f t="shared" si="853"/>
        <v>0</v>
      </c>
      <c r="S1083" s="23">
        <f t="shared" si="854"/>
        <v>-1.6274272800000062</v>
      </c>
      <c r="T1083">
        <f>$S1083+測地線補正!$Q$26*(lattice!$N1083/1000)^3+測地線補正!$P$26*(lattice!$N1083/1000)^2+測地線補正!$O$26*(lattice!$N1083/1000)+測地線補正!$N$26</f>
        <v>-1.1099843547961925</v>
      </c>
      <c r="U1083">
        <f>-ATAN(($P$1086-$P$1083)/ABS($N$1086-$N$1083))</f>
        <v>-3.1953561216457283E-5</v>
      </c>
      <c r="V1083">
        <v>0</v>
      </c>
      <c r="W1083">
        <f>ATAN(($M$1086-$M$1083)/ABS($N$1086-$N$1083))</f>
        <v>-1.1333977435235682E-4</v>
      </c>
      <c r="X1083" t="s">
        <v>3860</v>
      </c>
      <c r="Y1083">
        <f>_xlfn.XLOOKUP($F1083,設計座標!$E$13:$E$2301,設計座標!$L$13:$L$2301," ",0,1)</f>
        <v>300</v>
      </c>
      <c r="Z1083">
        <f>SQRT(($M$1084-$M$1081)^2+($N$1084-$N$1081)^2)</f>
        <v>600.10842678486222</v>
      </c>
      <c r="AA1083">
        <f>_xlfn.XLOOKUP($G1083,magnet_list!$A$2:$A$592,magnet_list!$AJ$2:$AJ$592,"n/a",0,1)</f>
        <v>0.33198863580560978</v>
      </c>
      <c r="AB1083">
        <f>_xlfn.XLOOKUP($G1083,magnet_list!$A$2:$A$592,magnet_list!$L$2:$L$592,"n/a",0,1)</f>
        <v>140</v>
      </c>
    </row>
    <row r="1084" spans="1:28">
      <c r="A1084" t="s">
        <v>797</v>
      </c>
      <c r="B1084">
        <v>1</v>
      </c>
      <c r="C1084" t="s">
        <v>805</v>
      </c>
      <c r="D1084" t="s">
        <v>1152</v>
      </c>
      <c r="E1084" t="s">
        <v>804</v>
      </c>
      <c r="F1084" t="s">
        <v>667</v>
      </c>
      <c r="G1084" t="s">
        <v>2605</v>
      </c>
      <c r="I1084">
        <f>_xlfn.XLOOKUP($F1084,設計座標!$E$13:$E$2301,設計座標!$G$13:$G$2301,"n/a",0,1)</f>
        <v>313.9086635474888</v>
      </c>
      <c r="J1084">
        <f>_xlfn.XLOOKUP($F1084,設計座標!$E$13:$E$2301,設計座標!$H$13:$H$2301,"n/a",0,1)</f>
        <v>-15000</v>
      </c>
      <c r="K1084">
        <f>_xlfn.XLOOKUP($F1084,設計座標!$E$13:$E$2301,設計座標!$I$13:$I$2301,"n/a",0,1)</f>
        <v>-49446.606081580001</v>
      </c>
      <c r="L1084">
        <f>_xlfn.XLOOKUP($F1084,設計座標!$E$13:$E$2301,設計座標!$J$13:$J$2301,"n/a",0,1)</f>
        <v>75</v>
      </c>
      <c r="M1084" s="2">
        <f t="shared" ref="M1084:M1085" si="862">$J1084+$Q1084</f>
        <v>-14992.368180356312</v>
      </c>
      <c r="N1084" s="2">
        <f t="shared" ref="N1084:N1085" si="863">$K1084</f>
        <v>-49446.606081580001</v>
      </c>
      <c r="O1084" s="23">
        <f t="shared" ref="O1084:O1085" si="864">$L1084+$S1084</f>
        <v>73.372546220512334</v>
      </c>
      <c r="P1084" s="1">
        <f t="shared" si="831"/>
        <v>73.894332108370833</v>
      </c>
      <c r="Q1084" s="1">
        <f>(Q$1086-Q$1083)/($N$1086-$N$1083)*($N1084-$N$1083)+Q$1083</f>
        <v>7.6318196436884316</v>
      </c>
      <c r="R1084">
        <f t="shared" si="853"/>
        <v>0</v>
      </c>
      <c r="S1084" s="23">
        <f t="shared" ref="S1084:S1085" si="865">(S$1086-S$1083)/($N$1086-$N$1083)*($N1084-$N$1083)+S$1083</f>
        <v>-1.627453779487668</v>
      </c>
      <c r="T1084">
        <f>$S1084+測地線補正!$Q$26*(lattice!$N1084/1000)^3+測地線補正!$P$26*(lattice!$N1084/1000)^2+測地線補正!$O$26*(lattice!$N1084/1000)+測地線補正!$N$26</f>
        <v>-1.1056678916291673</v>
      </c>
      <c r="U1084">
        <f t="shared" ref="U1084" si="866">-ATAN(($P$1086-$P$1083)/ABS($N$1086-$N$1083))</f>
        <v>-3.1953561216457283E-5</v>
      </c>
      <c r="V1084">
        <v>0</v>
      </c>
      <c r="W1084">
        <f>ATAN(($M$1086-$M$1083)/ABS($N$1086-$N$1083))</f>
        <v>-1.1333977435235682E-4</v>
      </c>
      <c r="X1084" t="s">
        <v>3860</v>
      </c>
      <c r="Y1084">
        <f>_xlfn.XLOOKUP($F1084,設計座標!$E$13:$E$2301,設計座標!$L$13:$L$2301," ",0,1)</f>
        <v>300</v>
      </c>
      <c r="Z1084">
        <f>SQRT(($M$1084-$M$1081)^2+($N$1084-$N$1081)^2)</f>
        <v>600.10842678486222</v>
      </c>
      <c r="AA1084">
        <f>_xlfn.XLOOKUP($G1084,magnet_list!$A$2:$A$592,magnet_list!$AJ$2:$AJ$592,"n/a",0,1)</f>
        <v>0.33198863580560978</v>
      </c>
      <c r="AB1084">
        <f>_xlfn.XLOOKUP($G1084,magnet_list!$A$2:$A$592,magnet_list!$L$2:$L$592,"n/a",0,1)</f>
        <v>140</v>
      </c>
    </row>
    <row r="1085" spans="1:28">
      <c r="A1085" t="s">
        <v>797</v>
      </c>
      <c r="B1085">
        <v>1</v>
      </c>
      <c r="C1085" t="s">
        <v>804</v>
      </c>
      <c r="D1085" t="s">
        <v>1152</v>
      </c>
      <c r="E1085" t="s">
        <v>804</v>
      </c>
      <c r="F1085" t="s">
        <v>1301</v>
      </c>
      <c r="G1085" t="s">
        <v>2603</v>
      </c>
      <c r="I1085">
        <f>_xlfn.XLOOKUP($F1085,設計座標!$E$13:$E$2301,設計座標!$G$13:$G$2301,"n/a",0,1)</f>
        <v>313.94588676136885</v>
      </c>
      <c r="J1085">
        <f>_xlfn.XLOOKUP($F1085,設計座標!$E$13:$E$2301,設計座標!$H$13:$H$2301,"n/a",0,1)</f>
        <v>-15000</v>
      </c>
      <c r="K1085">
        <f>_xlfn.XLOOKUP($F1085,設計座標!$E$13:$E$2301,設計座標!$I$13:$I$2301,"n/a",0,1)</f>
        <v>-49483.829295460062</v>
      </c>
      <c r="L1085">
        <f>_xlfn.XLOOKUP($F1085,設計座標!$E$13:$E$2301,設計座標!$J$13:$J$2301,"n/a",0,1)</f>
        <v>-270</v>
      </c>
      <c r="M1085" s="2">
        <f t="shared" si="862"/>
        <v>-14992.372399226992</v>
      </c>
      <c r="N1085" s="2">
        <f t="shared" si="863"/>
        <v>-49483.829295460062</v>
      </c>
      <c r="O1085" s="23">
        <f t="shared" si="864"/>
        <v>-271.62746108577363</v>
      </c>
      <c r="P1085" s="1">
        <f t="shared" si="831"/>
        <v>-271.10447866969503</v>
      </c>
      <c r="Q1085" s="1">
        <f>(Q$1086-Q$1083)/($N$1086-$N$1083)*($N1085-$N$1083)+Q$1083</f>
        <v>7.6276007730085311</v>
      </c>
      <c r="R1085">
        <f t="shared" si="853"/>
        <v>0</v>
      </c>
      <c r="S1085" s="23">
        <f t="shared" si="865"/>
        <v>-1.6274610857736391</v>
      </c>
      <c r="T1085">
        <f>$S1085+測地線補正!$Q$26*(lattice!$N1085/1000)^3+測地線補正!$P$26*(lattice!$N1085/1000)^2+測地線補正!$O$26*(lattice!$N1085/1000)+測地線補正!$N$26</f>
        <v>-1.1044786696950066</v>
      </c>
      <c r="U1085">
        <f>-ATAN(($P$1090-$P$1079)/ABS($N$1090-$N$1079))</f>
        <v>5.2239163979259281E-5</v>
      </c>
      <c r="V1085">
        <v>0</v>
      </c>
      <c r="W1085">
        <f>ATAN(($M$1090-$M$1079)/ABS($N$1090-$N$1079))</f>
        <v>1.7105964902654845E-4</v>
      </c>
      <c r="X1085" t="s">
        <v>3860</v>
      </c>
      <c r="Y1085">
        <f>_xlfn.XLOOKUP($F1085,設計座標!$E$13:$E$2301,設計座標!$L$13:$L$2301," ",0,1)</f>
        <v>1889.4492</v>
      </c>
      <c r="Z1085">
        <f>SQRT(($M$1085-$M$1084)^2+($N$1085-$N$1084)^2)</f>
        <v>37.223214119143861</v>
      </c>
    </row>
    <row r="1086" spans="1:28">
      <c r="A1086" t="s">
        <v>797</v>
      </c>
      <c r="B1086">
        <v>1</v>
      </c>
      <c r="C1086" t="s">
        <v>805</v>
      </c>
      <c r="D1086" t="s">
        <v>806</v>
      </c>
      <c r="F1086" t="s">
        <v>247</v>
      </c>
      <c r="G1086" t="s">
        <v>2605</v>
      </c>
      <c r="I1086">
        <f>_xlfn.XLOOKUP($F1086,設計座標!$E$13:$E$2301,設計座標!$G$13:$G$2301,"n/a",0,1)</f>
        <v>314.04362432105881</v>
      </c>
      <c r="J1086">
        <f>_xlfn.XLOOKUP($F1086,設計座標!$E$13:$E$2301,設計座標!$H$13:$H$2301,"n/a",0,1)</f>
        <v>-15000</v>
      </c>
      <c r="K1086">
        <f>_xlfn.XLOOKUP($F1086,設計座標!$E$13:$E$2301,設計座標!$I$13:$I$2301,"n/a",0,1)</f>
        <v>-49581.566855149998</v>
      </c>
      <c r="L1086">
        <f>_xlfn.XLOOKUP($F1086,設計座標!$E$13:$E$2301,設計座標!$J$13:$J$2301,"n/a",0,1)</f>
        <v>75</v>
      </c>
      <c r="M1086" s="2">
        <f>_xlfn.XLOOKUP($F1086,survey_data!$A$2:$A$833,survey_data!$B$2:$B$833,"n/a",0,1)</f>
        <v>-14992.38347678</v>
      </c>
      <c r="N1086" s="2">
        <f>_xlfn.XLOOKUP($F1086,survey_data!$A$2:$A$833,survey_data!$C$2:$C$833,"n/a",0,1)</f>
        <v>-49581.566855149998</v>
      </c>
      <c r="O1086" s="23">
        <f>_xlfn.XLOOKUP($F1086,survey_data!$A$2:$A$833,survey_data!$D$2:$D$833,"n/a",0,1)</f>
        <v>73.372519729999993</v>
      </c>
      <c r="P1086" s="1">
        <f t="shared" si="831"/>
        <v>73.898642061009198</v>
      </c>
      <c r="Q1086" s="1">
        <f t="shared" si="852"/>
        <v>7.6165232200000901</v>
      </c>
      <c r="R1086">
        <f t="shared" si="853"/>
        <v>0</v>
      </c>
      <c r="S1086" s="23">
        <f t="shared" si="854"/>
        <v>-1.6274802700000066</v>
      </c>
      <c r="T1086">
        <f>$S1086+測地線補正!$Q$26*(lattice!$N1086/1000)^3+測地線補正!$P$26*(lattice!$N1086/1000)^2+測地線補正!$O$26*(lattice!$N1086/1000)+測地線補正!$N$26</f>
        <v>-1.1013579389908041</v>
      </c>
      <c r="U1086">
        <f>-ATAN(($P$1086-$P$1083)/ABS($N$1086-$N$1083))</f>
        <v>-3.1953561216457283E-5</v>
      </c>
      <c r="V1086">
        <v>0</v>
      </c>
      <c r="W1086">
        <f>ATAN(($M$1086-$M$1083)/ABS($N$1086-$N$1083))</f>
        <v>-1.1333977435235682E-4</v>
      </c>
      <c r="X1086" t="s">
        <v>3860</v>
      </c>
      <c r="Y1086">
        <f>_xlfn.XLOOKUP($F1086,設計座標!$E$13:$E$2301,設計座標!$L$13:$L$2301," ",0,1)</f>
        <v>300</v>
      </c>
      <c r="Z1086">
        <f>SQRT(($M$1084-$M$1081)^2+($N$1084-$N$1081)^2)</f>
        <v>600.10842678486222</v>
      </c>
      <c r="AA1086">
        <f>_xlfn.XLOOKUP($G1086,magnet_list!$A$2:$A$592,magnet_list!$AJ$2:$AJ$592,"n/a",0,1)</f>
        <v>0.33198863580560978</v>
      </c>
      <c r="AB1086">
        <f>_xlfn.XLOOKUP($G1086,magnet_list!$A$2:$A$592,magnet_list!$L$2:$L$592,"n/a",0,1)</f>
        <v>140</v>
      </c>
    </row>
    <row r="1087" spans="1:28">
      <c r="A1087" t="s">
        <v>797</v>
      </c>
      <c r="B1087">
        <v>1</v>
      </c>
      <c r="C1087" t="s">
        <v>805</v>
      </c>
      <c r="D1087" t="s">
        <v>806</v>
      </c>
      <c r="F1087" t="s">
        <v>248</v>
      </c>
      <c r="G1087" t="s">
        <v>2606</v>
      </c>
      <c r="I1087">
        <f>_xlfn.XLOOKUP($F1087,設計座標!$E$13:$E$2301,設計座標!$G$13:$G$2301,"n/a",0,1)</f>
        <v>314.37372578391881</v>
      </c>
      <c r="J1087">
        <f>_xlfn.XLOOKUP($F1087,設計座標!$E$13:$E$2301,設計座標!$H$13:$H$2301,"n/a",0,1)</f>
        <v>-15000</v>
      </c>
      <c r="K1087">
        <f>_xlfn.XLOOKUP($F1087,設計座標!$E$13:$E$2301,設計座標!$I$13:$I$2301,"n/a",0,1)</f>
        <v>-49911.668318010001</v>
      </c>
      <c r="L1087">
        <f>_xlfn.XLOOKUP($F1087,設計座標!$E$13:$E$2301,設計座標!$J$13:$J$2301,"n/a",0,1)</f>
        <v>75</v>
      </c>
      <c r="M1087" s="2">
        <f>_xlfn.XLOOKUP($F1087,survey_data!$A$2:$A$833,survey_data!$B$2:$B$833,"n/a",0,1)</f>
        <v>-14992.24092152</v>
      </c>
      <c r="N1087" s="2">
        <f>_xlfn.XLOOKUP($F1087,survey_data!$A$2:$A$833,survey_data!$C$2:$C$833,"n/a",0,1)</f>
        <v>-49911.668318010001</v>
      </c>
      <c r="O1087" s="23">
        <f>_xlfn.XLOOKUP($F1087,survey_data!$A$2:$A$833,survey_data!$D$2:$D$833,"n/a",0,1)</f>
        <v>73.453052979999995</v>
      </c>
      <c r="P1087" s="1">
        <f t="shared" si="831"/>
        <v>73.989760587030204</v>
      </c>
      <c r="Q1087" s="1">
        <f t="shared" si="852"/>
        <v>7.7590784799995163</v>
      </c>
      <c r="R1087">
        <f t="shared" si="853"/>
        <v>0</v>
      </c>
      <c r="S1087" s="23">
        <f t="shared" si="854"/>
        <v>-1.5469470200000046</v>
      </c>
      <c r="T1087">
        <f>$S1087+測地線補正!$Q$26*(lattice!$N1087/1000)^3+測地線補正!$P$26*(lattice!$N1087/1000)^2+測地線補正!$O$26*(lattice!$N1087/1000)+測地線補正!$N$26</f>
        <v>-1.0102394129697914</v>
      </c>
      <c r="U1087">
        <f>-ATAN(($P$1089-$P$1087)/ABS($N$1089-$N$1087))</f>
        <v>7.7888488416022209E-5</v>
      </c>
      <c r="V1087">
        <v>0</v>
      </c>
      <c r="W1087">
        <f>ATAN(($M$1089-$M$1087)/ABS($N$1089-$N$1087))</f>
        <v>1.4565846563603223E-4</v>
      </c>
      <c r="X1087" t="s">
        <v>3860</v>
      </c>
      <c r="Y1087">
        <f>_xlfn.XLOOKUP($F1087,設計座標!$E$13:$E$2301,設計座標!$L$13:$L$2301," ",0,1)</f>
        <v>300</v>
      </c>
      <c r="Z1087">
        <f>SQRT(($M$1088-$M$1085)^2+($N$1088-$N$1085)^2)</f>
        <v>562.8450428433049</v>
      </c>
      <c r="AA1087">
        <f>_xlfn.XLOOKUP($G1087,magnet_list!$A$2:$A$592,magnet_list!$AJ$2:$AJ$592,"n/a",0,1)</f>
        <v>0.33198863580560978</v>
      </c>
      <c r="AB1087">
        <f>_xlfn.XLOOKUP($G1087,magnet_list!$A$2:$A$592,magnet_list!$L$2:$L$592,"n/a",0,1)</f>
        <v>140</v>
      </c>
    </row>
    <row r="1088" spans="1:28">
      <c r="A1088" t="s">
        <v>797</v>
      </c>
      <c r="B1088">
        <v>1</v>
      </c>
      <c r="C1088" t="s">
        <v>805</v>
      </c>
      <c r="D1088" t="s">
        <v>1152</v>
      </c>
      <c r="E1088" t="s">
        <v>804</v>
      </c>
      <c r="F1088" t="s">
        <v>668</v>
      </c>
      <c r="G1088" t="s">
        <v>2606</v>
      </c>
      <c r="I1088">
        <f>_xlfn.XLOOKUP($F1088,設計座標!$E$13:$E$2301,設計座標!$G$13:$G$2301,"n/a",0,1)</f>
        <v>314.50873178391879</v>
      </c>
      <c r="J1088">
        <f>_xlfn.XLOOKUP($F1088,設計座標!$E$13:$E$2301,設計座標!$H$13:$H$2301,"n/a",0,1)</f>
        <v>-15000</v>
      </c>
      <c r="K1088">
        <f>_xlfn.XLOOKUP($F1088,設計座標!$E$13:$E$2301,設計座標!$I$13:$I$2301,"n/a",0,1)</f>
        <v>-50046.674318009995</v>
      </c>
      <c r="L1088">
        <f>_xlfn.XLOOKUP($F1088,設計座標!$E$13:$E$2301,設計座標!$J$13:$J$2301,"n/a",0,1)</f>
        <v>75</v>
      </c>
      <c r="M1088" s="2">
        <f t="shared" ref="M1088:M1096" si="867">$J1088+$Q1088</f>
        <v>-14992.22125675305</v>
      </c>
      <c r="N1088" s="2">
        <f t="shared" ref="N1088:N1096" si="868">$K1088</f>
        <v>-50046.674318009995</v>
      </c>
      <c r="O1088" s="23">
        <f t="shared" ref="O1088:O1096" si="869">$L1088+$S1088</f>
        <v>73.438219576347507</v>
      </c>
      <c r="P1088" s="1">
        <f t="shared" si="831"/>
        <v>73.979247694476726</v>
      </c>
      <c r="Q1088" s="1">
        <f>(Q$1089-Q$1087)/($N$1089-$N$1087)*($N1088-$N$1087)+Q$1087</f>
        <v>7.7787432469502455</v>
      </c>
      <c r="R1088">
        <f t="shared" si="853"/>
        <v>0</v>
      </c>
      <c r="S1088" s="23">
        <f>(S$1089-S$1087)/($N$1089-$N$1087)*($N1088-$N$1087)+S$1087</f>
        <v>-1.5617804236524908</v>
      </c>
      <c r="T1088">
        <f>$S1088+測地線補正!$Q$26*(lattice!$N1088/1000)^3+測地線補正!$P$26*(lattice!$N1088/1000)^2+測地線補正!$O$26*(lattice!$N1088/1000)+測地線補正!$N$26</f>
        <v>-1.020752305523277</v>
      </c>
      <c r="U1088">
        <f t="shared" ref="U1088:U1089" si="870">-ATAN(($P$1089-$P$1087)/ABS($N$1089-$N$1087))</f>
        <v>7.7888488416022209E-5</v>
      </c>
      <c r="V1088">
        <v>0</v>
      </c>
      <c r="W1088">
        <f t="shared" ref="W1088:W1089" si="871">ATAN(($M$1089-$M$1087)/ABS($N$1089-$N$1087))</f>
        <v>1.4565846563603223E-4</v>
      </c>
      <c r="X1088" t="s">
        <v>3860</v>
      </c>
      <c r="Y1088">
        <f>_xlfn.XLOOKUP($F1088,設計座標!$E$13:$E$2301,設計座標!$L$13:$L$2301," ",0,1)</f>
        <v>300</v>
      </c>
      <c r="Z1088">
        <f>SQRT(($M$1088-$M$1085)^2+($N$1088-$N$1085)^2)</f>
        <v>562.8450428433049</v>
      </c>
      <c r="AA1088">
        <f>_xlfn.XLOOKUP($G1088,magnet_list!$A$2:$A$592,magnet_list!$AJ$2:$AJ$592,"n/a",0,1)</f>
        <v>0.33198863580560978</v>
      </c>
      <c r="AB1088">
        <f>_xlfn.XLOOKUP($G1088,magnet_list!$A$2:$A$592,magnet_list!$L$2:$L$592,"n/a",0,1)</f>
        <v>140</v>
      </c>
    </row>
    <row r="1089" spans="1:28">
      <c r="A1089" t="s">
        <v>797</v>
      </c>
      <c r="B1089">
        <v>1</v>
      </c>
      <c r="C1089" t="s">
        <v>805</v>
      </c>
      <c r="D1089" t="s">
        <v>806</v>
      </c>
      <c r="F1089" t="s">
        <v>249</v>
      </c>
      <c r="G1089" t="s">
        <v>2606</v>
      </c>
      <c r="I1089">
        <f>_xlfn.XLOOKUP($F1089,設計座標!$E$13:$E$2301,設計座標!$G$13:$G$2301,"n/a",0,1)</f>
        <v>314.64371887735876</v>
      </c>
      <c r="J1089">
        <f>_xlfn.XLOOKUP($F1089,設計座標!$E$13:$E$2301,設計座標!$H$13:$H$2301,"n/a",0,1)</f>
        <v>-15000</v>
      </c>
      <c r="K1089">
        <f>_xlfn.XLOOKUP($F1089,設計座標!$E$13:$E$2301,設計座標!$I$13:$I$2301,"n/a",0,1)</f>
        <v>-50181.661411449997</v>
      </c>
      <c r="L1089">
        <f>_xlfn.XLOOKUP($F1089,設計座標!$E$13:$E$2301,設計座標!$J$13:$J$2301,"n/a",0,1)</f>
        <v>75</v>
      </c>
      <c r="M1089" s="2">
        <f>_xlfn.XLOOKUP($F1089,survey_data!$A$2:$A$833,survey_data!$B$2:$B$833,"n/a",0,1)</f>
        <v>-14992.20159474</v>
      </c>
      <c r="N1089" s="2">
        <f>_xlfn.XLOOKUP($F1089,survey_data!$A$2:$A$833,survey_data!$C$2:$C$833,"n/a",0,1)</f>
        <v>-50181.661411449997</v>
      </c>
      <c r="O1089" s="23">
        <f>_xlfn.XLOOKUP($F1089,survey_data!$A$2:$A$833,survey_data!$D$2:$D$833,"n/a",0,1)</f>
        <v>73.423388250000002</v>
      </c>
      <c r="P1089" s="1">
        <f t="shared" si="831"/>
        <v>73.968731233056872</v>
      </c>
      <c r="Q1089" s="1">
        <f t="shared" si="852"/>
        <v>7.7984052600004361</v>
      </c>
      <c r="R1089">
        <f t="shared" si="853"/>
        <v>0</v>
      </c>
      <c r="S1089" s="23">
        <f t="shared" si="854"/>
        <v>-1.5766117499999979</v>
      </c>
      <c r="T1089">
        <f>$S1089+測地線補正!$Q$26*(lattice!$N1089/1000)^3+測地線補正!$P$26*(lattice!$N1089/1000)^2+測地線補正!$O$26*(lattice!$N1089/1000)+測地線補正!$N$26</f>
        <v>-1.0312687669431313</v>
      </c>
      <c r="U1089">
        <f t="shared" si="870"/>
        <v>7.7888488416022209E-5</v>
      </c>
      <c r="V1089">
        <v>0</v>
      </c>
      <c r="W1089">
        <f t="shared" si="871"/>
        <v>1.4565846563603223E-4</v>
      </c>
      <c r="X1089" t="s">
        <v>3860</v>
      </c>
      <c r="Y1089">
        <f>_xlfn.XLOOKUP($F1089,設計座標!$E$13:$E$2301,設計座標!$L$13:$L$2301," ",0,1)</f>
        <v>300</v>
      </c>
      <c r="Z1089">
        <f>SQRT(($M$1088-$M$1085)^2+($N$1088-$N$1085)^2)</f>
        <v>562.8450428433049</v>
      </c>
      <c r="AA1089">
        <f>_xlfn.XLOOKUP($G1089,magnet_list!$A$2:$A$592,magnet_list!$AJ$2:$AJ$592,"n/a",0,1)</f>
        <v>0.33198863580560978</v>
      </c>
      <c r="AB1089">
        <f>_xlfn.XLOOKUP($G1089,magnet_list!$A$2:$A$592,magnet_list!$L$2:$L$592,"n/a",0,1)</f>
        <v>140</v>
      </c>
    </row>
    <row r="1090" spans="1:28">
      <c r="A1090" t="s">
        <v>797</v>
      </c>
      <c r="B1090">
        <v>1</v>
      </c>
      <c r="C1090" t="s">
        <v>804</v>
      </c>
      <c r="D1090" t="s">
        <v>1152</v>
      </c>
      <c r="E1090" t="s">
        <v>804</v>
      </c>
      <c r="F1090" t="s">
        <v>1595</v>
      </c>
      <c r="G1090" t="s">
        <v>2603</v>
      </c>
      <c r="I1090">
        <f>_xlfn.XLOOKUP($F1090,設計座標!$E$13:$E$2301,設計座標!$G$13:$G$2301,"n/a",0,1)</f>
        <v>314.89061136136888</v>
      </c>
      <c r="J1090">
        <f>_xlfn.XLOOKUP($F1090,設計座標!$E$13:$E$2301,設計座標!$H$13:$H$2301,"n/a",0,1)</f>
        <v>-15000</v>
      </c>
      <c r="K1090">
        <f>_xlfn.XLOOKUP($F1090,設計座標!$E$13:$E$2301,設計座標!$I$13:$I$2301,"n/a",0,1)</f>
        <v>-50428.553895460063</v>
      </c>
      <c r="L1090">
        <f>_xlfn.XLOOKUP($F1090,設計座標!$E$13:$E$2301,設計座標!$J$13:$J$2301,"n/a",0,1)</f>
        <v>-270</v>
      </c>
      <c r="M1090" s="2">
        <f t="shared" si="867"/>
        <v>-14992.17720601455</v>
      </c>
      <c r="N1090" s="2">
        <f t="shared" si="868"/>
        <v>-50428.553895460063</v>
      </c>
      <c r="O1090" s="23">
        <f t="shared" si="869"/>
        <v>-271.60499712300037</v>
      </c>
      <c r="P1090" s="1">
        <f t="shared" si="831"/>
        <v>-271.05177525169131</v>
      </c>
      <c r="Q1090" s="1">
        <f>(Q$1091-Q$1089)/($N$1091-$N$1089)*($N1090-$N$1089)+Q$1089</f>
        <v>7.8227939854497306</v>
      </c>
      <c r="R1090">
        <f t="shared" si="853"/>
        <v>0</v>
      </c>
      <c r="S1090" s="23">
        <f>(S$1091-S$1089)/($N$1091-$N$1089)*($N1090-$N$1089)+S$1089</f>
        <v>-1.6049971230003721</v>
      </c>
      <c r="T1090">
        <f>$S1090+測地線補正!$Q$26*(lattice!$N1090/1000)^3+測地線補正!$P$26*(lattice!$N1090/1000)^2+測地線補正!$O$26*(lattice!$N1090/1000)+測地線補正!$N$26</f>
        <v>-1.0517752516913101</v>
      </c>
      <c r="U1090">
        <f>-ATAN(($P$1090-$P$1079)/ABS($N$1090-$N$1079))</f>
        <v>5.2239163979259281E-5</v>
      </c>
      <c r="V1090">
        <v>0</v>
      </c>
      <c r="W1090">
        <f>ATAN(($M$1090-$M$1079)/ABS($N$1090-$N$1079))</f>
        <v>1.7105964902654845E-4</v>
      </c>
      <c r="X1090" t="s">
        <v>3860</v>
      </c>
      <c r="Y1090">
        <f>_xlfn.XLOOKUP($F1090,設計座標!$E$13:$E$2301,設計座標!$L$13:$L$2301," ",0,1)</f>
        <v>1889.4492</v>
      </c>
      <c r="Z1090">
        <f>SQRT(($M$1085-$M$1084)^2+($N$1085-$N$1084)^2)</f>
        <v>37.223214119143861</v>
      </c>
    </row>
    <row r="1091" spans="1:28">
      <c r="A1091" t="s">
        <v>797</v>
      </c>
      <c r="B1091">
        <v>1</v>
      </c>
      <c r="C1091" t="s">
        <v>805</v>
      </c>
      <c r="D1091" t="s">
        <v>806</v>
      </c>
      <c r="F1091" t="s">
        <v>250</v>
      </c>
      <c r="G1091" t="s">
        <v>2607</v>
      </c>
      <c r="I1091">
        <f>_xlfn.XLOOKUP($F1091,設計座標!$E$13:$E$2301,設計座標!$G$13:$G$2301,"n/a",0,1)</f>
        <v>315.13479223001883</v>
      </c>
      <c r="J1091">
        <f>_xlfn.XLOOKUP($F1091,設計座標!$E$13:$E$2301,設計座標!$H$13:$H$2301,"n/a",0,1)</f>
        <v>-15000</v>
      </c>
      <c r="K1091">
        <f>_xlfn.XLOOKUP($F1091,設計座標!$E$13:$E$2301,設計座標!$I$13:$I$2301,"n/a",0,1)</f>
        <v>-50672.734764109999</v>
      </c>
      <c r="L1091">
        <f>_xlfn.XLOOKUP($F1091,設計座標!$E$13:$E$2301,設計座標!$J$13:$J$2301,"n/a",0,1)</f>
        <v>90</v>
      </c>
      <c r="M1091" s="2">
        <f>_xlfn.XLOOKUP($F1091,survey_data!$A$2:$A$833,survey_data!$B$2:$B$833,"n/a",0,1)</f>
        <v>-14992.153085149999</v>
      </c>
      <c r="N1091" s="2">
        <f>_xlfn.XLOOKUP($F1091,survey_data!$A$2:$A$833,survey_data!$C$2:$C$833,"n/a",0,1)</f>
        <v>-50672.734764109999</v>
      </c>
      <c r="O1091" s="23">
        <f>_xlfn.XLOOKUP($F1091,survey_data!$A$2:$A$833,survey_data!$D$2:$D$833,"n/a",0,1)</f>
        <v>88.366929260000006</v>
      </c>
      <c r="P1091" s="1">
        <f t="shared" si="831"/>
        <v>88.927926918548565</v>
      </c>
      <c r="Q1091" s="1">
        <f t="shared" si="852"/>
        <v>7.8469148500007577</v>
      </c>
      <c r="R1091">
        <f t="shared" si="853"/>
        <v>0</v>
      </c>
      <c r="S1091" s="23">
        <f t="shared" si="854"/>
        <v>-1.6330707399999937</v>
      </c>
      <c r="T1091">
        <f>$S1091+測地線補正!$Q$26*(lattice!$N1091/1000)^3+測地線補正!$P$26*(lattice!$N1091/1000)^2+測地線補正!$O$26*(lattice!$N1091/1000)+測地線補正!$N$26</f>
        <v>-1.0720730814514383</v>
      </c>
      <c r="U1091">
        <f>-ATAN(($P$1093-$P$1091)/ABS($N$1093-$N$1091))</f>
        <v>-2.2204324244720806E-4</v>
      </c>
      <c r="V1091">
        <v>0</v>
      </c>
      <c r="W1091">
        <f>ATAN(($M$1093-$M$1091)/ABS($N$1093-$N$1091))</f>
        <v>-1.9248457402620432E-4</v>
      </c>
      <c r="X1091">
        <f>SQRT(($M$1092-$M$1090)^2+($N$1092-$N$1090)^2)-$Y$1092/2</f>
        <v>234.18486883030926</v>
      </c>
      <c r="Y1091">
        <f>_xlfn.XLOOKUP($F1091,設計座標!$E$13:$E$2301,設計座標!$L$13:$L$2301," ",0,1)</f>
        <v>160</v>
      </c>
      <c r="Z1091">
        <f>SQRT(($M$1092-$M$1088)^2+($N$1092-$N$1088)^2)</f>
        <v>696.06444824905304</v>
      </c>
      <c r="AA1091">
        <f>_xlfn.XLOOKUP($G1091,magnet_list!$A$2:$A$592,magnet_list!$AJ$2:$AJ$592,"n/a",0,1)</f>
        <v>0.17374887133613809</v>
      </c>
      <c r="AB1091">
        <f>_xlfn.XLOOKUP($G1091,magnet_list!$A$2:$A$592,magnet_list!$L$2:$L$592,"n/a",0,1)</f>
        <v>44</v>
      </c>
    </row>
    <row r="1092" spans="1:28">
      <c r="A1092" t="s">
        <v>797</v>
      </c>
      <c r="B1092">
        <v>1</v>
      </c>
      <c r="C1092" t="s">
        <v>805</v>
      </c>
      <c r="D1092" t="s">
        <v>1152</v>
      </c>
      <c r="E1092" t="s">
        <v>804</v>
      </c>
      <c r="F1092" t="s">
        <v>669</v>
      </c>
      <c r="G1092" t="s">
        <v>2607</v>
      </c>
      <c r="I1092">
        <f>_xlfn.XLOOKUP($F1092,設計座標!$E$13:$E$2301,設計座標!$G$13:$G$2301,"n/a",0,1)</f>
        <v>315.20479623001881</v>
      </c>
      <c r="J1092">
        <f>_xlfn.XLOOKUP($F1092,設計座標!$E$13:$E$2301,設計座標!$H$13:$H$2301,"n/a",0,1)</f>
        <v>-15000</v>
      </c>
      <c r="K1092">
        <f>_xlfn.XLOOKUP($F1092,設計座標!$E$13:$E$2301,設計座標!$I$13:$I$2301,"n/a",0,1)</f>
        <v>-50742.738764109999</v>
      </c>
      <c r="L1092">
        <f>_xlfn.XLOOKUP($F1092,設計座標!$E$13:$E$2301,設計座標!$J$13:$J$2301,"n/a",0,1)</f>
        <v>90</v>
      </c>
      <c r="M1092" s="2">
        <f t="shared" si="867"/>
        <v>-14992.166559840285</v>
      </c>
      <c r="N1092" s="2">
        <f t="shared" si="868"/>
        <v>-50742.738764109999</v>
      </c>
      <c r="O1092" s="23">
        <f t="shared" si="869"/>
        <v>88.380247655067279</v>
      </c>
      <c r="P1092" s="1">
        <f t="shared" si="831"/>
        <v>88.943471510138849</v>
      </c>
      <c r="Q1092" s="1">
        <f>(Q$1093-Q$1091)/($N$1093-$N$1091)*($N1092-$N$1091)+Q$1091</f>
        <v>7.8334401597142129</v>
      </c>
      <c r="R1092">
        <f t="shared" si="853"/>
        <v>0</v>
      </c>
      <c r="S1092" s="23">
        <f>(S$1093-S$1091)/($N$1093-$N$1091)*($N1092-$N$1091)+S$1091</f>
        <v>-1.6197523449327167</v>
      </c>
      <c r="T1092">
        <f>$S1092+測地線補正!$Q$26*(lattice!$N1092/1000)^3+測地線補正!$P$26*(lattice!$N1092/1000)^2+測地線補正!$O$26*(lattice!$N1092/1000)+測地線補正!$N$26</f>
        <v>-1.0565284898611538</v>
      </c>
      <c r="U1092">
        <f t="shared" ref="U1092:U1093" si="872">-ATAN(($P$1093-$P$1091)/ABS($N$1093-$N$1091))</f>
        <v>-2.2204324244720806E-4</v>
      </c>
      <c r="V1092">
        <v>0</v>
      </c>
      <c r="W1092">
        <f t="shared" ref="W1092:W1093" si="873">ATAN(($M$1093-$M$1091)/ABS($N$1093-$N$1091))</f>
        <v>-1.9248457402620432E-4</v>
      </c>
      <c r="X1092">
        <f>SQRT(($M$1092-$M$1090)^2+($N$1092-$N$1090)^2)-$Y$1092/2</f>
        <v>234.18486883030926</v>
      </c>
      <c r="Y1092">
        <f>_xlfn.XLOOKUP($F1092,設計座標!$E$13:$E$2301,設計座標!$L$13:$L$2301," ",0,1)</f>
        <v>160</v>
      </c>
      <c r="Z1092">
        <f>SQRT(($M$1092-$M$1088)^2+($N$1092-$N$1088)^2)</f>
        <v>696.06444824905304</v>
      </c>
      <c r="AA1092">
        <f>_xlfn.XLOOKUP($G1092,magnet_list!$A$2:$A$592,magnet_list!$AJ$2:$AJ$592,"n/a",0,1)</f>
        <v>0.17374887133613809</v>
      </c>
      <c r="AB1092">
        <f>_xlfn.XLOOKUP($G1092,magnet_list!$A$2:$A$592,magnet_list!$L$2:$L$592,"n/a",0,1)</f>
        <v>44</v>
      </c>
    </row>
    <row r="1093" spans="1:28">
      <c r="A1093" t="s">
        <v>797</v>
      </c>
      <c r="B1093">
        <v>1</v>
      </c>
      <c r="C1093" t="s">
        <v>805</v>
      </c>
      <c r="D1093" t="s">
        <v>806</v>
      </c>
      <c r="F1093" t="s">
        <v>251</v>
      </c>
      <c r="G1093" t="s">
        <v>2607</v>
      </c>
      <c r="I1093">
        <f>_xlfn.XLOOKUP($F1093,設計座標!$E$13:$E$2301,設計座標!$G$13:$G$2301,"n/a",0,1)</f>
        <v>315.27477315993883</v>
      </c>
      <c r="J1093">
        <f>_xlfn.XLOOKUP($F1093,設計座標!$E$13:$E$2301,設計座標!$H$13:$H$2301,"n/a",0,1)</f>
        <v>-15000</v>
      </c>
      <c r="K1093">
        <f>_xlfn.XLOOKUP($F1093,設計座標!$E$13:$E$2301,設計座標!$I$13:$I$2301,"n/a",0,1)</f>
        <v>-50812.715694029997</v>
      </c>
      <c r="L1093">
        <f>_xlfn.XLOOKUP($F1093,設計座標!$E$13:$E$2301,設計座標!$J$13:$J$2301,"n/a",0,1)</f>
        <v>90</v>
      </c>
      <c r="M1093" s="2">
        <f>_xlfn.XLOOKUP($F1093,survey_data!$A$2:$A$833,survey_data!$B$2:$B$833,"n/a",0,1)</f>
        <v>-14992.180029319999</v>
      </c>
      <c r="N1093" s="2">
        <f>_xlfn.XLOOKUP($F1093,survey_data!$A$2:$A$833,survey_data!$C$2:$C$833,"n/a",0,1)</f>
        <v>-50812.715694029997</v>
      </c>
      <c r="O1093" s="23">
        <f>_xlfn.XLOOKUP($F1093,survey_data!$A$2:$A$833,survey_data!$D$2:$D$833,"n/a",0,1)</f>
        <v>88.393560899999997</v>
      </c>
      <c r="P1093" s="1">
        <f t="shared" si="831"/>
        <v>88.959008738619588</v>
      </c>
      <c r="Q1093" s="1">
        <f t="shared" si="852"/>
        <v>7.8199706800005515</v>
      </c>
      <c r="R1093">
        <f t="shared" si="853"/>
        <v>0</v>
      </c>
      <c r="S1093" s="23">
        <f t="shared" si="854"/>
        <v>-1.6064391000000029</v>
      </c>
      <c r="T1093">
        <f>$S1093+測地線補正!$Q$26*(lattice!$N1093/1000)^3+測地線補正!$P$26*(lattice!$N1093/1000)^2+測地線補正!$O$26*(lattice!$N1093/1000)+測地線補正!$N$26</f>
        <v>-1.0409912613804078</v>
      </c>
      <c r="U1093">
        <f t="shared" si="872"/>
        <v>-2.2204324244720806E-4</v>
      </c>
      <c r="V1093">
        <v>0</v>
      </c>
      <c r="W1093">
        <f t="shared" si="873"/>
        <v>-1.9248457402620432E-4</v>
      </c>
      <c r="X1093">
        <f>SQRT(($M$1092-$M$1090)^2+($N$1092-$N$1090)^2)-$Y$1092/2</f>
        <v>234.18486883030926</v>
      </c>
      <c r="Y1093">
        <f>_xlfn.XLOOKUP($F1093,設計座標!$E$13:$E$2301,設計座標!$L$13:$L$2301," ",0,1)</f>
        <v>160</v>
      </c>
      <c r="Z1093">
        <f>SQRT(($M$1092-$M$1088)^2+($N$1092-$N$1088)^2)</f>
        <v>696.06444824905304</v>
      </c>
      <c r="AA1093">
        <f>_xlfn.XLOOKUP($G1093,magnet_list!$A$2:$A$592,magnet_list!$AJ$2:$AJ$592,"n/a",0,1)</f>
        <v>0.17374887133613809</v>
      </c>
      <c r="AB1093">
        <f>_xlfn.XLOOKUP($G1093,magnet_list!$A$2:$A$592,magnet_list!$L$2:$L$592,"n/a",0,1)</f>
        <v>44</v>
      </c>
    </row>
    <row r="1094" spans="1:28">
      <c r="A1094" t="s">
        <v>797</v>
      </c>
      <c r="B1094">
        <v>1</v>
      </c>
      <c r="C1094" t="s">
        <v>804</v>
      </c>
      <c r="D1094" t="s">
        <v>1152</v>
      </c>
      <c r="E1094" t="s">
        <v>804</v>
      </c>
      <c r="F1094" t="s">
        <v>1596</v>
      </c>
      <c r="G1094" t="s">
        <v>2608</v>
      </c>
      <c r="I1094">
        <f>_xlfn.XLOOKUP($F1094,設計座標!$E$13:$E$2301,設計座標!$G$13:$G$2301,"n/a",0,1)</f>
        <v>315.5991531613688</v>
      </c>
      <c r="J1094">
        <f>_xlfn.XLOOKUP($F1094,設計座標!$E$13:$E$2301,設計座標!$H$13:$H$2301,"n/a",0,1)</f>
        <v>-15000</v>
      </c>
      <c r="K1094">
        <f>_xlfn.XLOOKUP($F1094,設計座標!$E$13:$E$2301,設計座標!$I$13:$I$2301,"n/a",0,1)</f>
        <v>-51137.095695460062</v>
      </c>
      <c r="L1094">
        <f>_xlfn.XLOOKUP($F1094,設計座標!$E$13:$E$2301,設計座標!$J$13:$J$2301,"n/a",0,1)</f>
        <v>-270</v>
      </c>
      <c r="M1094" s="2">
        <f t="shared" si="867"/>
        <v>-14992.078991995717</v>
      </c>
      <c r="N1094" s="2">
        <f t="shared" si="868"/>
        <v>-51137.095695460062</v>
      </c>
      <c r="O1094" s="23">
        <f t="shared" si="869"/>
        <v>-271.48214981830216</v>
      </c>
      <c r="P1094" s="1">
        <f t="shared" si="831"/>
        <v>-270.90641029187248</v>
      </c>
      <c r="Q1094" s="1">
        <f>(Q$1095-Q$1093)/($N$1095-$N$1093)*($N1094-$N$1093)+Q$1093</f>
        <v>7.9210080042825997</v>
      </c>
      <c r="R1094">
        <f t="shared" si="853"/>
        <v>0</v>
      </c>
      <c r="S1094" s="23">
        <f>(S$1095-S$1093)/($N$1095-$N$1093)*($N1094-$N$1093)+S$1093</f>
        <v>-1.482149818302162</v>
      </c>
      <c r="T1094">
        <f>$S1094+測地線補正!$Q$26*(lattice!$N1094/1000)^3+測地線補正!$P$26*(lattice!$N1094/1000)^2+測地線補正!$O$26*(lattice!$N1094/1000)+測地線補正!$N$26</f>
        <v>-0.90641029187247479</v>
      </c>
      <c r="U1094">
        <f>-ATAN(($P$1105-$P$1094)/ABS($N$1105-$N$1094))</f>
        <v>1.5138894673243184E-4</v>
      </c>
      <c r="V1094">
        <v>0</v>
      </c>
      <c r="W1094">
        <f>ATAN(($M$1105-$M$1094)/ABS($N$1105-$N$1094))</f>
        <v>1.9261504353615852E-4</v>
      </c>
      <c r="X1094">
        <f>SQRT(($M$1094-$M$1092)^2+($N$1094-$N$1092)^2)-$Y$1092/2</f>
        <v>314.35694107238135</v>
      </c>
      <c r="Y1094">
        <f>_xlfn.XLOOKUP($F1094,設計座標!$E$13:$E$2301,設計座標!$L$13:$L$2301," ",0,1)</f>
        <v>1889.4492</v>
      </c>
      <c r="Z1094">
        <f>SQRT(($M$1100-$M$1099)^2+($N$1100-$N$1099)^2)</f>
        <v>42.723151221362983</v>
      </c>
    </row>
    <row r="1095" spans="1:28">
      <c r="A1095" t="s">
        <v>797</v>
      </c>
      <c r="B1095">
        <v>1</v>
      </c>
      <c r="C1095" t="s">
        <v>805</v>
      </c>
      <c r="D1095" t="s">
        <v>806</v>
      </c>
      <c r="F1095" t="s">
        <v>252</v>
      </c>
      <c r="G1095" t="s">
        <v>2609</v>
      </c>
      <c r="I1095">
        <f>_xlfn.XLOOKUP($F1095,設計座標!$E$13:$E$2301,設計座標!$G$13:$G$2301,"n/a",0,1)</f>
        <v>315.76614000886872</v>
      </c>
      <c r="J1095">
        <f>_xlfn.XLOOKUP($F1095,設計座標!$E$13:$E$2301,設計座標!$H$13:$H$2301,"n/a",0,1)</f>
        <v>-15000</v>
      </c>
      <c r="K1095">
        <f>_xlfn.XLOOKUP($F1095,設計座標!$E$13:$E$2301,設計座標!$I$13:$I$2301,"n/a",0,1)</f>
        <v>-51304.082542960001</v>
      </c>
      <c r="L1095">
        <f>_xlfn.XLOOKUP($F1095,設計座標!$E$13:$E$2301,設計座標!$J$13:$J$2301,"n/a",0,1)</f>
        <v>75</v>
      </c>
      <c r="M1095" s="2">
        <f>_xlfn.XLOOKUP($F1095,survey_data!$A$2:$A$833,survey_data!$B$2:$B$833,"n/a",0,1)</f>
        <v>-14992.02697922</v>
      </c>
      <c r="N1095" s="2">
        <f>_xlfn.XLOOKUP($F1095,survey_data!$A$2:$A$833,survey_data!$C$2:$C$833,"n/a",0,1)</f>
        <v>-51304.082542960001</v>
      </c>
      <c r="O1095" s="23">
        <f>_xlfn.XLOOKUP($F1095,survey_data!$A$2:$A$833,survey_data!$D$2:$D$833,"n/a",0,1)</f>
        <v>73.581832779999999</v>
      </c>
      <c r="P1095" s="1">
        <f t="shared" si="831"/>
        <v>74.162859026470386</v>
      </c>
      <c r="Q1095" s="1">
        <f t="shared" si="852"/>
        <v>7.9730207800002972</v>
      </c>
      <c r="R1095">
        <f t="shared" si="853"/>
        <v>0</v>
      </c>
      <c r="S1095" s="23">
        <f t="shared" si="854"/>
        <v>-1.4181672200000008</v>
      </c>
      <c r="T1095">
        <f>$S1095+測地線補正!$Q$26*(lattice!$N1095/1000)^3+測地線補正!$P$26*(lattice!$N1095/1000)^2+測地線補正!$O$26*(lattice!$N1095/1000)+測地線補正!$N$26</f>
        <v>-0.83714097352962047</v>
      </c>
      <c r="U1095">
        <f>-ATAN(($P$1097-$P$1095)/ABS($N$1097-$N$1095))</f>
        <v>3.8591766723892638E-4</v>
      </c>
      <c r="V1095">
        <v>0</v>
      </c>
      <c r="W1095">
        <f>ATAN(($M$1097-$M$1095)/ABS($N$1097-$N$1095))</f>
        <v>-7.1276494661949436E-5</v>
      </c>
      <c r="X1095" t="s">
        <v>3860</v>
      </c>
      <c r="Y1095">
        <f>_xlfn.XLOOKUP($F1095,設計座標!$E$13:$E$2301,設計座標!$L$13:$L$2301," ",0,1)</f>
        <v>300</v>
      </c>
      <c r="Z1095">
        <f>SQRT(($M$1096-$M$1092)^2+($N$1096-$N$1092)^2)</f>
        <v>696.34729097691854</v>
      </c>
      <c r="AA1095">
        <f>_xlfn.XLOOKUP($G1095,magnet_list!$A$2:$A$592,magnet_list!$AJ$2:$AJ$592,"n/a",0,1)</f>
        <v>0.33198863580560978</v>
      </c>
      <c r="AB1095">
        <f>_xlfn.XLOOKUP($G1095,magnet_list!$A$2:$A$592,magnet_list!$L$2:$L$592,"n/a",0,1)</f>
        <v>140</v>
      </c>
    </row>
    <row r="1096" spans="1:28">
      <c r="A1096" t="s">
        <v>797</v>
      </c>
      <c r="B1096">
        <v>1</v>
      </c>
      <c r="C1096" t="s">
        <v>805</v>
      </c>
      <c r="D1096" t="s">
        <v>1152</v>
      </c>
      <c r="E1096" t="s">
        <v>804</v>
      </c>
      <c r="F1096" t="s">
        <v>670</v>
      </c>
      <c r="G1096" t="s">
        <v>2609</v>
      </c>
      <c r="I1096">
        <f>_xlfn.XLOOKUP($F1096,設計座標!$E$13:$E$2301,設計座標!$G$13:$G$2301,"n/a",0,1)</f>
        <v>315.9011435088687</v>
      </c>
      <c r="J1096">
        <f>_xlfn.XLOOKUP($F1096,設計座標!$E$13:$E$2301,設計座標!$H$13:$H$2301,"n/a",0,1)</f>
        <v>-15000</v>
      </c>
      <c r="K1096">
        <f>_xlfn.XLOOKUP($F1096,設計座標!$E$13:$E$2301,設計座標!$I$13:$I$2301,"n/a",0,1)</f>
        <v>-51439.08604296</v>
      </c>
      <c r="L1096">
        <f>_xlfn.XLOOKUP($F1096,設計座標!$E$13:$E$2301,設計座標!$J$13:$J$2301,"n/a",0,1)</f>
        <v>75</v>
      </c>
      <c r="M1096" s="2">
        <f t="shared" si="867"/>
        <v>-14992.036601796262</v>
      </c>
      <c r="N1096" s="2">
        <f t="shared" si="868"/>
        <v>-51439.08604296</v>
      </c>
      <c r="O1096" s="23">
        <f t="shared" si="869"/>
        <v>73.525466527185344</v>
      </c>
      <c r="P1096" s="1">
        <f t="shared" si="831"/>
        <v>74.110761298375323</v>
      </c>
      <c r="Q1096" s="1">
        <f>(Q$1097-Q$1095)/($N$1097-$N$1095)*($N1096-$N$1095)+Q$1095</f>
        <v>7.9633982037369071</v>
      </c>
      <c r="R1096">
        <f t="shared" si="853"/>
        <v>0</v>
      </c>
      <c r="S1096" s="23">
        <f>(S$1097-S$1095)/($N$1097-$N$1095)*($N1096-$N$1095)+S$1095</f>
        <v>-1.474533472814652</v>
      </c>
      <c r="T1096">
        <f>$S1096+測地線補正!$Q$26*(lattice!$N1096/1000)^3+測地線補正!$P$26*(lattice!$N1096/1000)^2+測地線補正!$O$26*(lattice!$N1096/1000)+測地線補正!$N$26</f>
        <v>-0.88923870162468188</v>
      </c>
      <c r="U1096">
        <f t="shared" ref="U1096:U1097" si="874">-ATAN(($P$1097-$P$1095)/ABS($N$1097-$N$1095))</f>
        <v>3.8591766723892638E-4</v>
      </c>
      <c r="V1096">
        <v>0</v>
      </c>
      <c r="W1096">
        <f t="shared" ref="W1096:W1097" si="875">ATAN(($M$1097-$M$1095)/ABS($N$1097-$N$1095))</f>
        <v>-7.1276494661949436E-5</v>
      </c>
      <c r="X1096" t="s">
        <v>3860</v>
      </c>
      <c r="Y1096">
        <f>_xlfn.XLOOKUP($F1096,設計座標!$E$13:$E$2301,設計座標!$L$13:$L$2301," ",0,1)</f>
        <v>300</v>
      </c>
      <c r="Z1096">
        <f>SQRT(($M$1096-$M$1092)^2+($N$1096-$N$1092)^2)</f>
        <v>696.34729097691854</v>
      </c>
      <c r="AA1096">
        <f>_xlfn.XLOOKUP($G1096,magnet_list!$A$2:$A$592,magnet_list!$AJ$2:$AJ$592,"n/a",0,1)</f>
        <v>0.33198863580560978</v>
      </c>
      <c r="AB1096">
        <f>_xlfn.XLOOKUP($G1096,magnet_list!$A$2:$A$592,magnet_list!$L$2:$L$592,"n/a",0,1)</f>
        <v>140</v>
      </c>
    </row>
    <row r="1097" spans="1:28">
      <c r="A1097" t="s">
        <v>797</v>
      </c>
      <c r="B1097">
        <v>1</v>
      </c>
      <c r="C1097" t="s">
        <v>805</v>
      </c>
      <c r="D1097" t="s">
        <v>806</v>
      </c>
      <c r="F1097" t="s">
        <v>253</v>
      </c>
      <c r="G1097" t="s">
        <v>2609</v>
      </c>
      <c r="I1097">
        <f>_xlfn.XLOOKUP($F1097,設計座標!$E$13:$E$2301,設計座標!$G$13:$G$2301,"n/a",0,1)</f>
        <v>316.03612634951872</v>
      </c>
      <c r="J1097">
        <f>_xlfn.XLOOKUP($F1097,設計座標!$E$13:$E$2301,設計座標!$H$13:$H$2301,"n/a",0,1)</f>
        <v>-15000</v>
      </c>
      <c r="K1097">
        <f>_xlfn.XLOOKUP($F1097,設計座標!$E$13:$E$2301,設計座標!$I$13:$I$2301,"n/a",0,1)</f>
        <v>-51574.068883610002</v>
      </c>
      <c r="L1097">
        <f>_xlfn.XLOOKUP($F1097,設計座標!$E$13:$E$2301,設計座標!$J$13:$J$2301,"n/a",0,1)</f>
        <v>75</v>
      </c>
      <c r="M1097" s="2">
        <f>_xlfn.XLOOKUP($F1097,survey_data!$A$2:$A$833,survey_data!$B$2:$B$833,"n/a",0,1)</f>
        <v>-14992.0462229</v>
      </c>
      <c r="N1097" s="2">
        <f>_xlfn.XLOOKUP($F1097,survey_data!$A$2:$A$833,survey_data!$C$2:$C$833,"n/a",0,1)</f>
        <v>-51574.068883610002</v>
      </c>
      <c r="O1097" s="23">
        <f>_xlfn.XLOOKUP($F1097,survey_data!$A$2:$A$833,survey_data!$D$2:$D$833,"n/a",0,1)</f>
        <v>73.469108899999995</v>
      </c>
      <c r="P1097" s="1">
        <f t="shared" si="831"/>
        <v>74.058666522527815</v>
      </c>
      <c r="Q1097" s="1">
        <f t="shared" si="852"/>
        <v>7.9537770999995701</v>
      </c>
      <c r="R1097">
        <f t="shared" si="853"/>
        <v>0</v>
      </c>
      <c r="S1097" s="23">
        <f t="shared" si="854"/>
        <v>-1.5308911000000052</v>
      </c>
      <c r="T1097">
        <f>$S1097+測地線補正!$Q$26*(lattice!$N1097/1000)^3+測地線補正!$P$26*(lattice!$N1097/1000)^2+測地線補正!$O$26*(lattice!$N1097/1000)+測地線補正!$N$26</f>
        <v>-0.94133347747218576</v>
      </c>
      <c r="U1097">
        <f t="shared" si="874"/>
        <v>3.8591766723892638E-4</v>
      </c>
      <c r="V1097">
        <v>0</v>
      </c>
      <c r="W1097">
        <f t="shared" si="875"/>
        <v>-7.1276494661949436E-5</v>
      </c>
      <c r="X1097" t="s">
        <v>3860</v>
      </c>
      <c r="Y1097">
        <f>_xlfn.XLOOKUP($F1097,設計座標!$E$13:$E$2301,設計座標!$L$13:$L$2301," ",0,1)</f>
        <v>300</v>
      </c>
      <c r="Z1097">
        <f>SQRT(($M$1096-$M$1092)^2+($N$1096-$N$1092)^2)</f>
        <v>696.34729097691854</v>
      </c>
      <c r="AA1097">
        <f>_xlfn.XLOOKUP($G1097,magnet_list!$A$2:$A$592,magnet_list!$AJ$2:$AJ$592,"n/a",0,1)</f>
        <v>0.33198863580560978</v>
      </c>
      <c r="AB1097">
        <f>_xlfn.XLOOKUP($G1097,magnet_list!$A$2:$A$592,magnet_list!$L$2:$L$592,"n/a",0,1)</f>
        <v>140</v>
      </c>
    </row>
    <row r="1098" spans="1:28">
      <c r="A1098" t="s">
        <v>797</v>
      </c>
      <c r="B1098">
        <v>1</v>
      </c>
      <c r="C1098" t="s">
        <v>805</v>
      </c>
      <c r="D1098" t="s">
        <v>806</v>
      </c>
      <c r="F1098" t="s">
        <v>254</v>
      </c>
      <c r="G1098" t="s">
        <v>2610</v>
      </c>
      <c r="I1098">
        <f>_xlfn.XLOOKUP($F1098,設計座標!$E$13:$E$2301,設計座標!$G$13:$G$2301,"n/a",0,1)</f>
        <v>316.36615711367875</v>
      </c>
      <c r="J1098">
        <f>_xlfn.XLOOKUP($F1098,設計座標!$E$13:$E$2301,設計座標!$H$13:$H$2301,"n/a",0,1)</f>
        <v>-15000</v>
      </c>
      <c r="K1098">
        <f>_xlfn.XLOOKUP($F1098,設計座標!$E$13:$E$2301,設計座標!$I$13:$I$2301,"n/a",0,1)</f>
        <v>-51904.099647770003</v>
      </c>
      <c r="L1098">
        <f>_xlfn.XLOOKUP($F1098,設計座標!$E$13:$E$2301,設計座標!$J$13:$J$2301,"n/a",0,1)</f>
        <v>75</v>
      </c>
      <c r="M1098" s="2">
        <f>_xlfn.XLOOKUP($F1098,survey_data!$A$2:$A$833,survey_data!$B$2:$B$833,"n/a",0,1)</f>
        <v>-14992.00633208</v>
      </c>
      <c r="N1098" s="2">
        <f>_xlfn.XLOOKUP($F1098,survey_data!$A$2:$A$833,survey_data!$C$2:$C$833,"n/a",0,1)</f>
        <v>-51904.099647770003</v>
      </c>
      <c r="O1098" s="23">
        <f>_xlfn.XLOOKUP($F1098,survey_data!$A$2:$A$833,survey_data!$D$2:$D$833,"n/a",0,1)</f>
        <v>73.350002169999996</v>
      </c>
      <c r="P1098" s="1">
        <f t="shared" si="831"/>
        <v>73.949961263830104</v>
      </c>
      <c r="Q1098" s="1">
        <f t="shared" si="852"/>
        <v>7.9936679200000071</v>
      </c>
      <c r="R1098">
        <f t="shared" si="853"/>
        <v>0</v>
      </c>
      <c r="S1098" s="23">
        <f t="shared" si="854"/>
        <v>-1.6499978300000038</v>
      </c>
      <c r="T1098">
        <f>$S1098+測地線補正!$Q$26*(lattice!$N1098/1000)^3+測地線補正!$P$26*(lattice!$N1098/1000)^2+測地線補正!$O$26*(lattice!$N1098/1000)+測地線補正!$N$26</f>
        <v>-1.0500387361698975</v>
      </c>
      <c r="U1098">
        <f>-ATAN(($P$1101-$P$1098)/ABS($N$1101-$N$1098))</f>
        <v>3.4267728530548574E-5</v>
      </c>
      <c r="V1098">
        <v>0</v>
      </c>
      <c r="W1098">
        <f>ATAN(($M$1101-$M$1098)/ABS($N$1101-$N$1098))</f>
        <v>4.0658475816745848E-4</v>
      </c>
      <c r="X1098" t="s">
        <v>3860</v>
      </c>
      <c r="Y1098">
        <f>_xlfn.XLOOKUP($F1098,設計座標!$E$13:$E$2301,設計座標!$L$13:$L$2301," ",0,1)</f>
        <v>300</v>
      </c>
      <c r="Z1098">
        <f>SQRT(($M$1099-$M$1096)^2+($N$1099-$N$1096)^2)</f>
        <v>600.01111085308321</v>
      </c>
      <c r="AA1098">
        <f>_xlfn.XLOOKUP($G1098,magnet_list!$A$2:$A$592,magnet_list!$AJ$2:$AJ$592,"n/a",0,1)</f>
        <v>0.33198863580560978</v>
      </c>
      <c r="AB1098">
        <f>_xlfn.XLOOKUP($G1098,magnet_list!$A$2:$A$592,magnet_list!$L$2:$L$592,"n/a",0,1)</f>
        <v>140</v>
      </c>
    </row>
    <row r="1099" spans="1:28">
      <c r="A1099" t="s">
        <v>797</v>
      </c>
      <c r="B1099">
        <v>1</v>
      </c>
      <c r="C1099" t="s">
        <v>805</v>
      </c>
      <c r="D1099" t="s">
        <v>1152</v>
      </c>
      <c r="E1099" t="s">
        <v>804</v>
      </c>
      <c r="F1099" t="s">
        <v>671</v>
      </c>
      <c r="G1099" t="s">
        <v>2610</v>
      </c>
      <c r="I1099">
        <f>_xlfn.XLOOKUP($F1099,設計座標!$E$13:$E$2301,設計座標!$G$13:$G$2301,"n/a",0,1)</f>
        <v>316.50115461367875</v>
      </c>
      <c r="J1099">
        <f>_xlfn.XLOOKUP($F1099,設計座標!$E$13:$E$2301,設計座標!$H$13:$H$2301,"n/a",0,1)</f>
        <v>-15000</v>
      </c>
      <c r="K1099">
        <f>_xlfn.XLOOKUP($F1099,設計座標!$E$13:$E$2301,設計座標!$I$13:$I$2301,"n/a",0,1)</f>
        <v>-52039.097147770008</v>
      </c>
      <c r="L1099">
        <f>_xlfn.XLOOKUP($F1099,設計座標!$E$13:$E$2301,設計座標!$J$13:$J$2301,"n/a",0,1)</f>
        <v>75</v>
      </c>
      <c r="M1099" s="2">
        <f t="shared" ref="M1099:M1100" si="876">$J1099+$Q1099</f>
        <v>-14991.951444151086</v>
      </c>
      <c r="N1099" s="2">
        <f t="shared" ref="N1099:N1100" si="877">$K1099</f>
        <v>-52039.097147770008</v>
      </c>
      <c r="O1099" s="23">
        <f t="shared" ref="O1099:O1100" si="878">$L1099+$S1099</f>
        <v>73.341132583957915</v>
      </c>
      <c r="P1099" s="1">
        <f t="shared" si="831"/>
        <v>73.94533771215859</v>
      </c>
      <c r="Q1099" s="1">
        <f>(Q$1101-Q$1098)/($N$1101-$N$1098)*($N1099-$N$1098)+Q$1098</f>
        <v>8.0485558489152496</v>
      </c>
      <c r="R1099">
        <f t="shared" si="853"/>
        <v>0</v>
      </c>
      <c r="S1099" s="23">
        <f t="shared" ref="S1099:S1100" si="879">(S$1101-S$1098)/($N$1101-$N$1098)*($N1099-$N$1098)+S$1098</f>
        <v>-1.6588674160420853</v>
      </c>
      <c r="T1099">
        <f>$S1099+測地線補正!$Q$26*(lattice!$N1099/1000)^3+測地線補正!$P$26*(lattice!$N1099/1000)^2+測地線補正!$O$26*(lattice!$N1099/1000)+測地線補正!$N$26</f>
        <v>-1.0546622878414109</v>
      </c>
      <c r="U1099">
        <f t="shared" ref="U1099" si="880">-ATAN(($P$1101-$P$1098)/ABS($N$1101-$N$1098))</f>
        <v>3.4267728530548574E-5</v>
      </c>
      <c r="V1099">
        <v>0</v>
      </c>
      <c r="W1099">
        <f>ATAN(($M$1101-$M$1098)/ABS($N$1101-$N$1098))</f>
        <v>4.0658475816745848E-4</v>
      </c>
      <c r="X1099" t="s">
        <v>3860</v>
      </c>
      <c r="Y1099">
        <f>_xlfn.XLOOKUP($F1099,設計座標!$E$13:$E$2301,設計座標!$L$13:$L$2301," ",0,1)</f>
        <v>300</v>
      </c>
      <c r="Z1099">
        <f>SQRT(($M$1099-$M$1096)^2+($N$1099-$N$1096)^2)</f>
        <v>600.01111085308321</v>
      </c>
      <c r="AA1099">
        <f>_xlfn.XLOOKUP($G1099,magnet_list!$A$2:$A$592,magnet_list!$AJ$2:$AJ$592,"n/a",0,1)</f>
        <v>0.33198863580560978</v>
      </c>
      <c r="AB1099">
        <f>_xlfn.XLOOKUP($G1099,magnet_list!$A$2:$A$592,magnet_list!$L$2:$L$592,"n/a",0,1)</f>
        <v>140</v>
      </c>
    </row>
    <row r="1100" spans="1:28">
      <c r="A1100" t="s">
        <v>797</v>
      </c>
      <c r="B1100">
        <v>1</v>
      </c>
      <c r="C1100" t="s">
        <v>804</v>
      </c>
      <c r="D1100" t="s">
        <v>1152</v>
      </c>
      <c r="E1100" t="s">
        <v>804</v>
      </c>
      <c r="F1100" t="s">
        <v>1355</v>
      </c>
      <c r="G1100" t="s">
        <v>2608</v>
      </c>
      <c r="I1100">
        <f>_xlfn.XLOOKUP($F1100,設計座標!$E$13:$E$2301,設計座標!$G$13:$G$2301,"n/a",0,1)</f>
        <v>316.54387776136883</v>
      </c>
      <c r="J1100">
        <f>_xlfn.XLOOKUP($F1100,設計座標!$E$13:$E$2301,設計座標!$H$13:$H$2301,"n/a",0,1)</f>
        <v>-15000</v>
      </c>
      <c r="K1100">
        <f>_xlfn.XLOOKUP($F1100,設計座標!$E$13:$E$2301,設計座標!$I$13:$I$2301,"n/a",0,1)</f>
        <v>-52081.820295460064</v>
      </c>
      <c r="L1100">
        <f>_xlfn.XLOOKUP($F1100,設計座標!$E$13:$E$2301,設計座標!$J$13:$J$2301,"n/a",0,1)</f>
        <v>-270</v>
      </c>
      <c r="M1100" s="2">
        <f t="shared" si="876"/>
        <v>-14991.934073569455</v>
      </c>
      <c r="N1100" s="2">
        <f t="shared" si="877"/>
        <v>-52081.820295460064</v>
      </c>
      <c r="O1100" s="23">
        <f t="shared" si="878"/>
        <v>-271.66167440605614</v>
      </c>
      <c r="P1100" s="1">
        <f t="shared" si="831"/>
        <v>-271.05612656414598</v>
      </c>
      <c r="Q1100" s="1">
        <f>(Q$1101-Q$1098)/($N$1101-$N$1098)*($N1100-$N$1098)+Q$1098</f>
        <v>8.0659264305441472</v>
      </c>
      <c r="R1100">
        <f t="shared" si="853"/>
        <v>0</v>
      </c>
      <c r="S1100" s="23">
        <f t="shared" si="879"/>
        <v>-1.6616744060561635</v>
      </c>
      <c r="T1100">
        <f>$S1100+測地線補正!$Q$26*(lattice!$N1100/1000)^3+測地線補正!$P$26*(lattice!$N1100/1000)^2+測地線補正!$O$26*(lattice!$N1100/1000)+測地線補正!$N$26</f>
        <v>-1.0561265641459652</v>
      </c>
      <c r="U1100">
        <f>-ATAN(($P$1105-$P$1094)/ABS($N$1105-$N$1094))</f>
        <v>1.5138894673243184E-4</v>
      </c>
      <c r="V1100">
        <v>0</v>
      </c>
      <c r="W1100">
        <f>ATAN(($M$1105-$M$1094)/ABS($N$1105-$N$1094))</f>
        <v>1.9261504353615852E-4</v>
      </c>
      <c r="X1100" t="s">
        <v>3860</v>
      </c>
      <c r="Y1100">
        <f>_xlfn.XLOOKUP($F1100,設計座標!$E$13:$E$2301,設計座標!$L$13:$L$2301," ",0,1)</f>
        <v>1889.4492</v>
      </c>
      <c r="Z1100">
        <f>SQRT(($M$1100-$M$1099)^2+($N$1100-$N$1099)^2)</f>
        <v>42.723151221362983</v>
      </c>
    </row>
    <row r="1101" spans="1:28">
      <c r="A1101" t="s">
        <v>797</v>
      </c>
      <c r="B1101">
        <v>1</v>
      </c>
      <c r="C1101" t="s">
        <v>805</v>
      </c>
      <c r="D1101" t="s">
        <v>806</v>
      </c>
      <c r="F1101" t="s">
        <v>255</v>
      </c>
      <c r="G1101" t="s">
        <v>2610</v>
      </c>
      <c r="I1101">
        <f>_xlfn.XLOOKUP($F1101,設計座標!$E$13:$E$2301,設計座標!$G$13:$G$2301,"n/a",0,1)</f>
        <v>316.63615329957878</v>
      </c>
      <c r="J1101">
        <f>_xlfn.XLOOKUP($F1101,設計座標!$E$13:$E$2301,設計座標!$H$13:$H$2301,"n/a",0,1)</f>
        <v>-15000</v>
      </c>
      <c r="K1101">
        <f>_xlfn.XLOOKUP($F1101,設計座標!$E$13:$E$2301,設計座標!$I$13:$I$2301,"n/a",0,1)</f>
        <v>-52174.095833669999</v>
      </c>
      <c r="L1101">
        <f>_xlfn.XLOOKUP($F1101,設計座標!$E$13:$E$2301,設計座標!$J$13:$J$2301,"n/a",0,1)</f>
        <v>75</v>
      </c>
      <c r="M1101" s="2">
        <f>_xlfn.XLOOKUP($F1101,survey_data!$A$2:$A$833,survey_data!$B$2:$B$833,"n/a",0,1)</f>
        <v>-14991.896555740001</v>
      </c>
      <c r="N1101" s="2">
        <f>_xlfn.XLOOKUP($F1101,survey_data!$A$2:$A$833,survey_data!$C$2:$C$833,"n/a",0,1)</f>
        <v>-52174.095833669999</v>
      </c>
      <c r="O1101" s="23">
        <f>_xlfn.XLOOKUP($F1101,survey_data!$A$2:$A$833,survey_data!$D$2:$D$833,"n/a",0,1)</f>
        <v>73.332262920000005</v>
      </c>
      <c r="P1101" s="1">
        <f t="shared" si="831"/>
        <v>73.940709107823778</v>
      </c>
      <c r="Q1101" s="1">
        <f t="shared" si="852"/>
        <v>8.1034442599993781</v>
      </c>
      <c r="R1101">
        <f t="shared" si="853"/>
        <v>0</v>
      </c>
      <c r="S1101" s="23">
        <f t="shared" si="854"/>
        <v>-1.6677370799999949</v>
      </c>
      <c r="T1101">
        <f>$S1101+測地線補正!$Q$26*(lattice!$N1101/1000)^3+測地線補正!$P$26*(lattice!$N1101/1000)^2+測地線補正!$O$26*(lattice!$N1101/1000)+測地線補正!$N$26</f>
        <v>-1.0592908921762263</v>
      </c>
      <c r="U1101">
        <f>-ATAN(($P$1101-$P$1098)/ABS($N$1101-$N$1098))</f>
        <v>3.4267728530548574E-5</v>
      </c>
      <c r="V1101">
        <v>0</v>
      </c>
      <c r="W1101">
        <f>ATAN(($M$1101-$M$1098)/ABS($N$1101-$N$1098))</f>
        <v>4.0658475816745848E-4</v>
      </c>
      <c r="X1101" t="s">
        <v>3860</v>
      </c>
      <c r="Y1101">
        <f>_xlfn.XLOOKUP($F1101,設計座標!$E$13:$E$2301,設計座標!$L$13:$L$2301," ",0,1)</f>
        <v>300</v>
      </c>
      <c r="Z1101">
        <f>SQRT(($M$1099-$M$1096)^2+($N$1099-$N$1096)^2)</f>
        <v>600.01111085308321</v>
      </c>
      <c r="AA1101">
        <f>_xlfn.XLOOKUP($G1101,magnet_list!$A$2:$A$592,magnet_list!$AJ$2:$AJ$592,"n/a",0,1)</f>
        <v>0.33198863580560978</v>
      </c>
      <c r="AB1101">
        <f>_xlfn.XLOOKUP($G1101,magnet_list!$A$2:$A$592,magnet_list!$L$2:$L$592,"n/a",0,1)</f>
        <v>140</v>
      </c>
    </row>
    <row r="1102" spans="1:28">
      <c r="A1102" t="s">
        <v>797</v>
      </c>
      <c r="B1102">
        <v>1</v>
      </c>
      <c r="C1102" t="s">
        <v>805</v>
      </c>
      <c r="D1102" t="s">
        <v>806</v>
      </c>
      <c r="F1102" t="s">
        <v>256</v>
      </c>
      <c r="G1102" t="s">
        <v>2611</v>
      </c>
      <c r="I1102">
        <f>_xlfn.XLOOKUP($F1102,設計座標!$E$13:$E$2301,設計座標!$G$13:$G$2301,"n/a",0,1)</f>
        <v>316.96600586379878</v>
      </c>
      <c r="J1102">
        <f>_xlfn.XLOOKUP($F1102,設計座標!$E$13:$E$2301,設計座標!$H$13:$H$2301,"n/a",0,1)</f>
        <v>-15000</v>
      </c>
      <c r="K1102">
        <f>_xlfn.XLOOKUP($F1102,設計座標!$E$13:$E$2301,設計座標!$I$13:$I$2301,"n/a",0,1)</f>
        <v>-52503.948397890003</v>
      </c>
      <c r="L1102">
        <f>_xlfn.XLOOKUP($F1102,設計座標!$E$13:$E$2301,設計座標!$J$13:$J$2301,"n/a",0,1)</f>
        <v>75</v>
      </c>
      <c r="M1102" s="2">
        <f>_xlfn.XLOOKUP($F1102,survey_data!$A$2:$A$833,survey_data!$B$2:$B$833,"n/a",0,1)</f>
        <v>-14991.78181079</v>
      </c>
      <c r="N1102" s="2">
        <f>_xlfn.XLOOKUP($F1102,survey_data!$A$2:$A$833,survey_data!$C$2:$C$833,"n/a",0,1)</f>
        <v>-52503.948397890003</v>
      </c>
      <c r="O1102" s="23">
        <f>_xlfn.XLOOKUP($F1102,survey_data!$A$2:$A$833,survey_data!$D$2:$D$833,"n/a",0,1)</f>
        <v>73.171878669999998</v>
      </c>
      <c r="P1102" s="1">
        <f t="shared" si="831"/>
        <v>73.79066628964452</v>
      </c>
      <c r="Q1102" s="1">
        <f t="shared" si="852"/>
        <v>8.218189209999764</v>
      </c>
      <c r="R1102">
        <f t="shared" si="853"/>
        <v>0</v>
      </c>
      <c r="S1102" s="23">
        <f t="shared" si="854"/>
        <v>-1.8281213300000019</v>
      </c>
      <c r="T1102">
        <f>$S1102+測地線補正!$Q$26*(lattice!$N1102/1000)^3+測地線補正!$P$26*(lattice!$N1102/1000)^2+測地線補正!$O$26*(lattice!$N1102/1000)+測地線補正!$N$26</f>
        <v>-1.2093337103554822</v>
      </c>
      <c r="U1102">
        <f>-ATAN(($P$1104-$P$1102)/ABS($N$1104-$N$1102))</f>
        <v>-3.7342200005423173E-4</v>
      </c>
      <c r="V1102">
        <v>0</v>
      </c>
      <c r="W1102">
        <f>ATAN(($M$1104-$M$1102)/ABS($N$1104-$N$1102))</f>
        <v>-1.1042673079251494E-4</v>
      </c>
      <c r="X1102" t="s">
        <v>3860</v>
      </c>
      <c r="Y1102">
        <f>_xlfn.XLOOKUP($F1102,設計座標!$E$13:$E$2301,設計座標!$L$13:$L$2301," ",0,1)</f>
        <v>300</v>
      </c>
      <c r="Z1102">
        <f>SQRT(($M$1103-$M$1100)^2+($N$1103-$N$1100)^2)</f>
        <v>557.12961936172212</v>
      </c>
      <c r="AA1102">
        <f>_xlfn.XLOOKUP($G1102,magnet_list!$A$2:$A$592,magnet_list!$AJ$2:$AJ$592,"n/a",0,1)</f>
        <v>0.33198863580560978</v>
      </c>
      <c r="AB1102">
        <f>_xlfn.XLOOKUP($G1102,magnet_list!$A$2:$A$592,magnet_list!$L$2:$L$592,"n/a",0,1)</f>
        <v>140</v>
      </c>
    </row>
    <row r="1103" spans="1:28">
      <c r="A1103" t="s">
        <v>797</v>
      </c>
      <c r="B1103">
        <v>1</v>
      </c>
      <c r="C1103" t="s">
        <v>805</v>
      </c>
      <c r="D1103" t="s">
        <v>1152</v>
      </c>
      <c r="E1103" t="s">
        <v>804</v>
      </c>
      <c r="F1103" t="s">
        <v>672</v>
      </c>
      <c r="G1103" t="s">
        <v>2611</v>
      </c>
      <c r="I1103">
        <f>_xlfn.XLOOKUP($F1103,設計座標!$E$13:$E$2301,設計座標!$G$13:$G$2301,"n/a",0,1)</f>
        <v>317.10100736379877</v>
      </c>
      <c r="J1103">
        <f>_xlfn.XLOOKUP($F1103,設計座標!$E$13:$E$2301,設計座標!$H$13:$H$2301,"n/a",0,1)</f>
        <v>-15000</v>
      </c>
      <c r="K1103">
        <f>_xlfn.XLOOKUP($F1103,設計座標!$E$13:$E$2301,設計座標!$I$13:$I$2301,"n/a",0,1)</f>
        <v>-52638.949897890001</v>
      </c>
      <c r="L1103">
        <f>_xlfn.XLOOKUP($F1103,設計座標!$E$13:$E$2301,設計座標!$J$13:$J$2301,"n/a",0,1)</f>
        <v>75</v>
      </c>
      <c r="M1103" s="2">
        <f t="shared" ref="M1103:M1136" si="881">$J1103+$Q1103</f>
        <v>-14991.796718564357</v>
      </c>
      <c r="N1103" s="2">
        <f t="shared" ref="N1103:N1136" si="882">$K1103</f>
        <v>-52638.949897890001</v>
      </c>
      <c r="O1103" s="23">
        <f t="shared" ref="O1103:O1136" si="883">$L1103+$S1103</f>
        <v>73.218069799021038</v>
      </c>
      <c r="P1103" s="1">
        <f t="shared" si="831"/>
        <v>73.841081323166378</v>
      </c>
      <c r="Q1103" s="1">
        <f>(Q$1104-Q$1102)/($N$1104-$N$1102)*($N1103-$N$1102)+Q$1102</f>
        <v>8.2032814356420829</v>
      </c>
      <c r="R1103">
        <f t="shared" si="853"/>
        <v>0</v>
      </c>
      <c r="S1103" s="23">
        <f>(S$1104-S$1102)/($N$1104-$N$1102)*($N1103-$N$1102)+S$1102</f>
        <v>-1.7819302009789626</v>
      </c>
      <c r="T1103">
        <f>$S1103+測地線補正!$Q$26*(lattice!$N1103/1000)^3+測地線補正!$P$26*(lattice!$N1103/1000)^2+測地線補正!$O$26*(lattice!$N1103/1000)+測地線補正!$N$26</f>
        <v>-1.1589186768336173</v>
      </c>
      <c r="U1103">
        <f t="shared" ref="U1103:U1104" si="884">-ATAN(($P$1104-$P$1102)/ABS($N$1104-$N$1102))</f>
        <v>-3.7342200005423173E-4</v>
      </c>
      <c r="V1103">
        <v>0</v>
      </c>
      <c r="W1103">
        <f t="shared" ref="W1103:W1104" si="885">ATAN(($M$1104-$M$1102)/ABS($N$1104-$N$1102))</f>
        <v>-1.1042673079251494E-4</v>
      </c>
      <c r="X1103" t="s">
        <v>3860</v>
      </c>
      <c r="Y1103">
        <f>_xlfn.XLOOKUP($F1103,設計座標!$E$13:$E$2301,設計座標!$L$13:$L$2301," ",0,1)</f>
        <v>300</v>
      </c>
      <c r="Z1103">
        <f>SQRT(($M$1103-$M$1100)^2+($N$1103-$N$1100)^2)</f>
        <v>557.12961936172212</v>
      </c>
      <c r="AA1103">
        <f>_xlfn.XLOOKUP($G1103,magnet_list!$A$2:$A$592,magnet_list!$AJ$2:$AJ$592,"n/a",0,1)</f>
        <v>0.33198863580560978</v>
      </c>
      <c r="AB1103">
        <f>_xlfn.XLOOKUP($G1103,magnet_list!$A$2:$A$592,magnet_list!$L$2:$L$592,"n/a",0,1)</f>
        <v>140</v>
      </c>
    </row>
    <row r="1104" spans="1:28">
      <c r="A1104" t="s">
        <v>797</v>
      </c>
      <c r="B1104">
        <v>1</v>
      </c>
      <c r="C1104" t="s">
        <v>805</v>
      </c>
      <c r="D1104" t="s">
        <v>806</v>
      </c>
      <c r="F1104" t="s">
        <v>257</v>
      </c>
      <c r="G1104" t="s">
        <v>2611</v>
      </c>
      <c r="I1104">
        <f>_xlfn.XLOOKUP($F1104,設計座標!$E$13:$E$2301,設計座標!$G$13:$G$2301,"n/a",0,1)</f>
        <v>317.23597373900878</v>
      </c>
      <c r="J1104">
        <f>_xlfn.XLOOKUP($F1104,設計座標!$E$13:$E$2301,設計座標!$H$13:$H$2301,"n/a",0,1)</f>
        <v>-15000</v>
      </c>
      <c r="K1104">
        <f>_xlfn.XLOOKUP($F1104,設計座標!$E$13:$E$2301,設計座標!$I$13:$I$2301,"n/a",0,1)</f>
        <v>-52773.916273100003</v>
      </c>
      <c r="L1104">
        <f>_xlfn.XLOOKUP($F1104,設計座標!$E$13:$E$2301,設計座標!$J$13:$J$2301,"n/a",0,1)</f>
        <v>75</v>
      </c>
      <c r="M1104" s="2">
        <f>_xlfn.XLOOKUP($F1104,survey_data!$A$2:$A$833,survey_data!$B$2:$B$833,"n/a",0,1)</f>
        <v>-14991.81162246</v>
      </c>
      <c r="N1104" s="2">
        <f>_xlfn.XLOOKUP($F1104,survey_data!$A$2:$A$833,survey_data!$C$2:$C$833,"n/a",0,1)</f>
        <v>-52773.916273100003</v>
      </c>
      <c r="O1104" s="23">
        <f>_xlfn.XLOOKUP($F1104,survey_data!$A$2:$A$833,survey_data!$D$2:$D$833,"n/a",0,1)</f>
        <v>73.264248910000006</v>
      </c>
      <c r="P1104" s="1">
        <f t="shared" si="831"/>
        <v>73.891478238241703</v>
      </c>
      <c r="Q1104" s="1">
        <f t="shared" si="852"/>
        <v>8.1883775400001468</v>
      </c>
      <c r="R1104">
        <f t="shared" si="853"/>
        <v>0</v>
      </c>
      <c r="S1104" s="23">
        <f t="shared" si="854"/>
        <v>-1.7357510899999937</v>
      </c>
      <c r="T1104">
        <f>$S1104+測地線補正!$Q$26*(lattice!$N1104/1000)^3+測地線補正!$P$26*(lattice!$N1104/1000)^2+測地線補正!$O$26*(lattice!$N1104/1000)+測地線補正!$N$26</f>
        <v>-1.1085217617583034</v>
      </c>
      <c r="U1104">
        <f t="shared" si="884"/>
        <v>-3.7342200005423173E-4</v>
      </c>
      <c r="V1104">
        <v>0</v>
      </c>
      <c r="W1104">
        <f t="shared" si="885"/>
        <v>-1.1042673079251494E-4</v>
      </c>
      <c r="X1104" t="s">
        <v>3860</v>
      </c>
      <c r="Y1104">
        <f>_xlfn.XLOOKUP($F1104,設計座標!$E$13:$E$2301,設計座標!$L$13:$L$2301," ",0,1)</f>
        <v>300</v>
      </c>
      <c r="Z1104">
        <f>SQRT(($M$1103-$M$1100)^2+($N$1103-$N$1100)^2)</f>
        <v>557.12961936172212</v>
      </c>
      <c r="AA1104">
        <f>_xlfn.XLOOKUP($G1104,magnet_list!$A$2:$A$592,magnet_list!$AJ$2:$AJ$592,"n/a",0,1)</f>
        <v>0.33198863580560978</v>
      </c>
      <c r="AB1104">
        <f>_xlfn.XLOOKUP($G1104,magnet_list!$A$2:$A$592,magnet_list!$L$2:$L$592,"n/a",0,1)</f>
        <v>140</v>
      </c>
    </row>
    <row r="1105" spans="1:29">
      <c r="A1105" t="s">
        <v>797</v>
      </c>
      <c r="B1105">
        <v>1</v>
      </c>
      <c r="C1105" t="s">
        <v>804</v>
      </c>
      <c r="D1105" t="s">
        <v>1152</v>
      </c>
      <c r="E1105" t="s">
        <v>804</v>
      </c>
      <c r="F1105" t="s">
        <v>1597</v>
      </c>
      <c r="G1105" t="s">
        <v>2608</v>
      </c>
      <c r="I1105">
        <f>_xlfn.XLOOKUP($F1105,設計座標!$E$13:$E$2301,設計座標!$G$13:$G$2301,"n/a",0,1)</f>
        <v>317.48860236136886</v>
      </c>
      <c r="J1105">
        <f>_xlfn.XLOOKUP($F1105,設計座標!$E$13:$E$2301,設計座標!$H$13:$H$2301,"n/a",0,1)</f>
        <v>-15000</v>
      </c>
      <c r="K1105">
        <f>_xlfn.XLOOKUP($F1105,設計座標!$E$13:$E$2301,設計座標!$I$13:$I$2301,"n/a",0,1)</f>
        <v>-53026.544895460065</v>
      </c>
      <c r="L1105">
        <f>_xlfn.XLOOKUP($F1105,設計座標!$E$13:$E$2301,設計座標!$J$13:$J$2301,"n/a",0,1)</f>
        <v>-270</v>
      </c>
      <c r="M1105" s="2">
        <f t="shared" si="881"/>
        <v>-14991.715055651299</v>
      </c>
      <c r="N1105" s="2">
        <f t="shared" si="882"/>
        <v>-53026.544895460065</v>
      </c>
      <c r="O1105" s="23">
        <f t="shared" si="883"/>
        <v>-271.82756275373487</v>
      </c>
      <c r="P1105" s="1">
        <f t="shared" si="831"/>
        <v>-271.19245201835014</v>
      </c>
      <c r="Q1105" s="1">
        <f>(Q$1107-Q$1104)/($N$1107-$N$1104)*($N1105-$N$1104)+Q$1104</f>
        <v>8.2849443487018206</v>
      </c>
      <c r="R1105">
        <f t="shared" si="853"/>
        <v>0</v>
      </c>
      <c r="S1105" s="23">
        <f t="shared" ref="S1105:S1106" si="886">(S$1107-S$1104)/($N$1107-$N$1104)*($N1105-$N$1104)+S$1104</f>
        <v>-1.8275627537348775</v>
      </c>
      <c r="T1105">
        <f>$S1105+測地線補正!$Q$26*(lattice!$N1105/1000)^3+測地線補正!$P$26*(lattice!$N1105/1000)^2+測地線補正!$O$26*(lattice!$N1105/1000)+測地線補正!$N$26</f>
        <v>-1.1924520183501122</v>
      </c>
      <c r="U1105">
        <f>-ATAN(($P$1105-$P$1094)/ABS($N$1105-$N$1094))</f>
        <v>1.5138894673243184E-4</v>
      </c>
      <c r="V1105">
        <v>0</v>
      </c>
      <c r="W1105">
        <f>ATAN(($M$1105-$M$1094)/ABS($N$1105-$N$1094))</f>
        <v>1.9261504353615852E-4</v>
      </c>
      <c r="X1105" t="s">
        <v>3860</v>
      </c>
      <c r="Y1105">
        <f>_xlfn.XLOOKUP($F1105,設計座標!$E$13:$E$2301,設計座標!$L$13:$L$2301," ",0,1)</f>
        <v>1889.4492</v>
      </c>
      <c r="Z1105">
        <f>SQRT(($M$1100-$M$1099)^2+($N$1100-$N$1099)^2)</f>
        <v>42.723151221362983</v>
      </c>
    </row>
    <row r="1106" spans="1:29">
      <c r="A1106" t="s">
        <v>797</v>
      </c>
      <c r="B1106">
        <v>1</v>
      </c>
      <c r="C1106" t="s">
        <v>2288</v>
      </c>
      <c r="D1106" t="s">
        <v>1152</v>
      </c>
      <c r="E1106" t="s">
        <v>804</v>
      </c>
      <c r="F1106" t="s">
        <v>2338</v>
      </c>
      <c r="G1106" t="s">
        <v>2338</v>
      </c>
      <c r="I1106">
        <f>_xlfn.XLOOKUP($F1106,設計座標!$E$13:$E$2301,設計座標!$G$13:$G$2301,"n/a",0,1)</f>
        <v>317.61860286136886</v>
      </c>
      <c r="J1106">
        <f>_xlfn.XLOOKUP($F1106,設計座標!$E$13:$E$2301,設計座標!$H$13:$H$2301,"n/a",0,1)</f>
        <v>-15000</v>
      </c>
      <c r="K1106">
        <f>_xlfn.XLOOKUP($F1106,設計座標!$E$13:$E$2301,設計座標!$I$13:$I$2301,"n/a",0,1)</f>
        <v>-53156.545395460067</v>
      </c>
      <c r="L1106">
        <f>_xlfn.XLOOKUP($F1106,設計座標!$E$13:$E$2301,設計座標!$J$13:$J$2301,"n/a",0,1)</f>
        <v>-270</v>
      </c>
      <c r="M1106" s="2">
        <f t="shared" si="881"/>
        <v>-14991.665363208307</v>
      </c>
      <c r="N1106" s="2">
        <f t="shared" si="882"/>
        <v>-53156.545395460067</v>
      </c>
      <c r="O1106" s="23">
        <f t="shared" si="883"/>
        <v>-271.87480824033042</v>
      </c>
      <c r="P1106" s="1">
        <f t="shared" si="831"/>
        <v>-271.23564862187834</v>
      </c>
      <c r="Q1106" s="1">
        <f>(Q$1107-Q$1104)/($N$1107-$N$1104)*($N1106-$N$1104)+Q$1104</f>
        <v>8.3346367916932156</v>
      </c>
      <c r="R1106">
        <f t="shared" si="853"/>
        <v>0</v>
      </c>
      <c r="S1106" s="23">
        <f t="shared" si="886"/>
        <v>-1.8748082403304371</v>
      </c>
      <c r="T1106">
        <f>$S1106+測地線補正!$Q$26*(lattice!$N1106/1000)^3+測地線補正!$P$26*(lattice!$N1106/1000)^2+測地線補正!$O$26*(lattice!$N1106/1000)+測地線補正!$N$26</f>
        <v>-1.2356486218783538</v>
      </c>
      <c r="U1106">
        <v>0</v>
      </c>
      <c r="V1106">
        <v>0</v>
      </c>
      <c r="W1106">
        <v>0</v>
      </c>
      <c r="X1106">
        <f>SQRT(($M$1106-$M$1105)^2+($N$1106-$N$1105)^2)</f>
        <v>130.00050949742231</v>
      </c>
      <c r="Y1106">
        <f>_xlfn.XLOOKUP($F1106,設計座標!$E$13:$E$2301,設計座標!$L$13:$L$2301," ",0,1)</f>
        <v>0</v>
      </c>
      <c r="Z1106">
        <f>SQRT(($M$1106-$M$1103)^2+($N$1106-$N$1103)^2)</f>
        <v>517.59551423774326</v>
      </c>
    </row>
    <row r="1107" spans="1:29">
      <c r="A1107" t="s">
        <v>797</v>
      </c>
      <c r="B1107">
        <v>1</v>
      </c>
      <c r="C1107" t="s">
        <v>805</v>
      </c>
      <c r="D1107" t="s">
        <v>806</v>
      </c>
      <c r="F1107" t="s">
        <v>258</v>
      </c>
      <c r="G1107" t="s">
        <v>2612</v>
      </c>
      <c r="I1107">
        <f>_xlfn.XLOOKUP($F1107,設計座標!$E$13:$E$2301,設計座標!$G$13:$G$2301,"n/a",0,1)</f>
        <v>317.8304298139488</v>
      </c>
      <c r="J1107">
        <f>_xlfn.XLOOKUP($F1107,設計座標!$E$13:$E$2301,設計座標!$H$13:$H$2301,"n/a",0,1)</f>
        <v>-15000</v>
      </c>
      <c r="K1107">
        <f>_xlfn.XLOOKUP($F1107,設計座標!$E$13:$E$2301,設計座標!$I$13:$I$2301,"n/a",0,1)</f>
        <v>-53368.37234804</v>
      </c>
      <c r="L1107">
        <f>_xlfn.XLOOKUP($F1107,設計座標!$E$13:$E$2301,設計座標!$J$13:$J$2301,"n/a",0,1)</f>
        <v>90</v>
      </c>
      <c r="M1107" s="2">
        <f>_xlfn.XLOOKUP($F1107,survey_data!$A$2:$A$833,survey_data!$B$2:$B$833,"n/a",0,1)</f>
        <v>-14991.58439276</v>
      </c>
      <c r="N1107" s="2">
        <f>_xlfn.XLOOKUP($F1107,survey_data!$A$2:$A$833,survey_data!$C$2:$C$833,"n/a",0,1)</f>
        <v>-53368.37234804</v>
      </c>
      <c r="O1107" s="23">
        <f>_xlfn.XLOOKUP($F1107,survey_data!$A$2:$A$833,survey_data!$D$2:$D$833,"n/a",0,1)</f>
        <v>88.048208459999998</v>
      </c>
      <c r="P1107" s="1">
        <f t="shared" si="831"/>
        <v>88.693955534418819</v>
      </c>
      <c r="Q1107" s="1">
        <f t="shared" si="852"/>
        <v>8.4156072400000994</v>
      </c>
      <c r="R1107">
        <f t="shared" si="853"/>
        <v>0</v>
      </c>
      <c r="S1107" s="23">
        <f t="shared" si="854"/>
        <v>-1.9517915400000021</v>
      </c>
      <c r="T1107">
        <f>$S1107+測地線補正!$Q$26*(lattice!$N1107/1000)^3+測地線補正!$P$26*(lattice!$N1107/1000)^2+測地線補正!$O$26*(lattice!$N1107/1000)+測地線補正!$N$26</f>
        <v>-1.3060444655811765</v>
      </c>
      <c r="U1107">
        <f>-ATAN(($P$1109-$P$1107)/ABS($N$1109-$N$1107))</f>
        <v>4.3600257674908735E-4</v>
      </c>
      <c r="V1107">
        <v>0</v>
      </c>
      <c r="W1107">
        <f>ATAN(($M$1109-$M$1107)/ABS($N$1109-$N$1107))</f>
        <v>1.3490132609505679E-4</v>
      </c>
      <c r="X1107">
        <f>$Z$1108-($Y$1108+$Y$1106)/2</f>
        <v>201.82246708285317</v>
      </c>
      <c r="Y1107">
        <f>_xlfn.XLOOKUP($F1107,設計座標!$E$13:$E$2301,設計座標!$L$13:$L$2301," ",0,1)</f>
        <v>160</v>
      </c>
      <c r="Z1107">
        <f>SQRT(($M$1108-$M$1106)^2+($N$1108-$N$1106)^2)</f>
        <v>281.82246708285317</v>
      </c>
      <c r="AA1107">
        <f>_xlfn.XLOOKUP($G1107,magnet_list!$A$2:$A$592,magnet_list!$AJ$2:$AJ$592,"n/a",0,1)</f>
        <v>0.17374887133613809</v>
      </c>
      <c r="AB1107">
        <f>_xlfn.XLOOKUP($G1107,magnet_list!$A$2:$A$592,magnet_list!$L$2:$L$592,"n/a",0,1)</f>
        <v>44</v>
      </c>
    </row>
    <row r="1108" spans="1:29">
      <c r="A1108" t="s">
        <v>797</v>
      </c>
      <c r="B1108">
        <v>1</v>
      </c>
      <c r="C1108" t="s">
        <v>805</v>
      </c>
      <c r="D1108" t="s">
        <v>1152</v>
      </c>
      <c r="E1108" t="s">
        <v>804</v>
      </c>
      <c r="F1108" t="s">
        <v>673</v>
      </c>
      <c r="G1108" t="s">
        <v>2612</v>
      </c>
      <c r="I1108">
        <f>_xlfn.XLOOKUP($F1108,設計座標!$E$13:$E$2301,設計座標!$G$13:$G$2301,"n/a",0,1)</f>
        <v>317.9004253139488</v>
      </c>
      <c r="J1108">
        <f>_xlfn.XLOOKUP($F1108,設計座標!$E$13:$E$2301,設計座標!$H$13:$H$2301,"n/a",0,1)</f>
        <v>-15000</v>
      </c>
      <c r="K1108">
        <f>_xlfn.XLOOKUP($F1108,設計座標!$E$13:$E$2301,設計座標!$I$13:$I$2301,"n/a",0,1)</f>
        <v>-53438.367848039998</v>
      </c>
      <c r="L1108">
        <f>_xlfn.XLOOKUP($F1108,設計座標!$E$13:$E$2301,設計座標!$J$13:$J$2301,"n/a",0,1)</f>
        <v>90</v>
      </c>
      <c r="M1108" s="2">
        <f t="shared" si="881"/>
        <v>-14991.574950274173</v>
      </c>
      <c r="N1108" s="2">
        <f t="shared" si="882"/>
        <v>-53438.367848039998</v>
      </c>
      <c r="O1108" s="23">
        <f t="shared" si="883"/>
        <v>88.015516872388318</v>
      </c>
      <c r="P1108" s="1">
        <f t="shared" si="831"/>
        <v>88.663437984922481</v>
      </c>
      <c r="Q1108" s="1">
        <f>(Q$1109-Q$1107)/($N$1109-$N$1107)*($N1108-$N$1107)+Q$1107</f>
        <v>8.4250497258280657</v>
      </c>
      <c r="R1108">
        <f t="shared" si="853"/>
        <v>0</v>
      </c>
      <c r="S1108" s="23">
        <f>(S$1109-S$1107)/($N$1109-$N$1107)*($N1108-$N$1107)+S$1107</f>
        <v>-1.9844831276116788</v>
      </c>
      <c r="T1108">
        <f>$S1108+測地線補正!$Q$26*(lattice!$N1108/1000)^3+測地線補正!$P$26*(lattice!$N1108/1000)^2+測地線補正!$O$26*(lattice!$N1108/1000)+測地線補正!$N$26</f>
        <v>-1.3365620150775144</v>
      </c>
      <c r="U1108">
        <f t="shared" ref="U1108:U1109" si="887">-ATAN(($P$1109-$P$1107)/ABS($N$1109-$N$1107))</f>
        <v>4.3600257674908735E-4</v>
      </c>
      <c r="V1108">
        <v>0</v>
      </c>
      <c r="W1108">
        <f t="shared" ref="W1108:W1109" si="888">ATAN(($M$1109-$M$1107)/ABS($N$1109-$N$1107))</f>
        <v>1.3490132609505679E-4</v>
      </c>
      <c r="X1108">
        <f>$Z$1108-($Y$1108+$Y$1106)/2</f>
        <v>201.82246708285317</v>
      </c>
      <c r="Y1108">
        <f>_xlfn.XLOOKUP($F1108,設計座標!$E$13:$E$2301,設計座標!$L$13:$L$2301," ",0,1)</f>
        <v>160</v>
      </c>
      <c r="Z1108">
        <f>SQRT(($M$1108-$M$1106)^2+($N$1108-$N$1106)^2)</f>
        <v>281.82246708285317</v>
      </c>
      <c r="AA1108">
        <f>_xlfn.XLOOKUP($G1108,magnet_list!$A$2:$A$592,magnet_list!$AJ$2:$AJ$592,"n/a",0,1)</f>
        <v>0.17374887133613809</v>
      </c>
      <c r="AB1108">
        <f>_xlfn.XLOOKUP($G1108,magnet_list!$A$2:$A$592,magnet_list!$L$2:$L$592,"n/a",0,1)</f>
        <v>44</v>
      </c>
    </row>
    <row r="1109" spans="1:29">
      <c r="A1109" t="s">
        <v>797</v>
      </c>
      <c r="B1109">
        <v>1</v>
      </c>
      <c r="C1109" t="s">
        <v>805</v>
      </c>
      <c r="D1109" t="s">
        <v>806</v>
      </c>
      <c r="F1109" t="s">
        <v>259</v>
      </c>
      <c r="G1109" t="s">
        <v>2612</v>
      </c>
      <c r="I1109">
        <f>_xlfn.XLOOKUP($F1109,設計座標!$E$13:$E$2301,設計座標!$G$13:$G$2301,"n/a",0,1)</f>
        <v>317.97040894114883</v>
      </c>
      <c r="J1109">
        <f>_xlfn.XLOOKUP($F1109,設計座標!$E$13:$E$2301,設計座標!$H$13:$H$2301,"n/a",0,1)</f>
        <v>-15000</v>
      </c>
      <c r="K1109">
        <f>_xlfn.XLOOKUP($F1109,設計座標!$E$13:$E$2301,設計座標!$I$13:$I$2301,"n/a",0,1)</f>
        <v>-53508.351475240001</v>
      </c>
      <c r="L1109">
        <f>_xlfn.XLOOKUP($F1109,設計座標!$E$13:$E$2301,設計座標!$J$13:$J$2301,"n/a",0,1)</f>
        <v>90</v>
      </c>
      <c r="M1109" s="2">
        <f>_xlfn.XLOOKUP($F1109,survey_data!$A$2:$A$833,survey_data!$B$2:$B$833,"n/a",0,1)</f>
        <v>-14991.56550939</v>
      </c>
      <c r="N1109" s="2">
        <f>_xlfn.XLOOKUP($F1109,survey_data!$A$2:$A$833,survey_data!$C$2:$C$833,"n/a",0,1)</f>
        <v>-53508.351475240001</v>
      </c>
      <c r="O1109" s="23">
        <f>_xlfn.XLOOKUP($F1109,survey_data!$A$2:$A$833,survey_data!$D$2:$D$833,"n/a",0,1)</f>
        <v>87.982830829999997</v>
      </c>
      <c r="P1109" s="1">
        <f t="shared" si="831"/>
        <v>88.632924270401219</v>
      </c>
      <c r="Q1109" s="1">
        <f t="shared" si="852"/>
        <v>8.4344906099995569</v>
      </c>
      <c r="R1109">
        <f t="shared" si="853"/>
        <v>0</v>
      </c>
      <c r="S1109" s="23">
        <f t="shared" si="854"/>
        <v>-2.0171691700000025</v>
      </c>
      <c r="T1109">
        <f>$S1109+測地線補正!$Q$26*(lattice!$N1109/1000)^3+測地線補正!$P$26*(lattice!$N1109/1000)^2+測地線補正!$O$26*(lattice!$N1109/1000)+測地線補正!$N$26</f>
        <v>-1.3670757295987868</v>
      </c>
      <c r="U1109">
        <f t="shared" si="887"/>
        <v>4.3600257674908735E-4</v>
      </c>
      <c r="V1109">
        <v>0</v>
      </c>
      <c r="W1109">
        <f t="shared" si="888"/>
        <v>1.3490132609505679E-4</v>
      </c>
      <c r="X1109">
        <f>$Z$1108-($Y$1108+$Y$1106)/2</f>
        <v>201.82246708285317</v>
      </c>
      <c r="Y1109">
        <f>_xlfn.XLOOKUP($F1109,設計座標!$E$13:$E$2301,設計座標!$L$13:$L$2301," ",0,1)</f>
        <v>160</v>
      </c>
      <c r="Z1109">
        <f>SQRT(($M$1108-$M$1106)^2+($N$1108-$N$1106)^2)</f>
        <v>281.82246708285317</v>
      </c>
      <c r="AA1109">
        <f>_xlfn.XLOOKUP($G1109,magnet_list!$A$2:$A$592,magnet_list!$AJ$2:$AJ$592,"n/a",0,1)</f>
        <v>0.17374887133613809</v>
      </c>
      <c r="AB1109">
        <f>_xlfn.XLOOKUP($G1109,magnet_list!$A$2:$A$592,magnet_list!$L$2:$L$592,"n/a",0,1)</f>
        <v>44</v>
      </c>
    </row>
    <row r="1110" spans="1:29">
      <c r="A1110" t="s">
        <v>797</v>
      </c>
      <c r="B1110">
        <v>1</v>
      </c>
      <c r="C1110" t="s">
        <v>2288</v>
      </c>
      <c r="D1110" t="s">
        <v>1152</v>
      </c>
      <c r="E1110" t="s">
        <v>804</v>
      </c>
      <c r="F1110" t="s">
        <v>2078</v>
      </c>
      <c r="G1110" t="s">
        <v>2078</v>
      </c>
      <c r="I1110">
        <f>_xlfn.XLOOKUP($F1110,設計座標!$E$13:$E$2301,設計座標!$G$13:$G$2301,"n/a",0,1)</f>
        <v>318.25610286136884</v>
      </c>
      <c r="J1110">
        <f>_xlfn.XLOOKUP($F1110,設計座標!$E$13:$E$2301,設計座標!$H$13:$H$2301,"n/a",0,1)</f>
        <v>-15000</v>
      </c>
      <c r="K1110">
        <f>_xlfn.XLOOKUP($F1110,設計座標!$E$13:$E$2301,設計座標!$I$13:$I$2301,"n/a",0,1)</f>
        <v>-53794.045395460067</v>
      </c>
      <c r="L1110">
        <f>_xlfn.XLOOKUP($F1110,設計座標!$E$13:$E$2301,設計座標!$J$13:$J$2301,"n/a",0,1)</f>
        <v>-270</v>
      </c>
      <c r="M1110" s="2">
        <f t="shared" si="881"/>
        <v>-14991.50110985908</v>
      </c>
      <c r="N1110" s="2">
        <f t="shared" si="882"/>
        <v>-53794.045395460067</v>
      </c>
      <c r="O1110" s="23">
        <f t="shared" si="883"/>
        <v>-272.16448667792764</v>
      </c>
      <c r="P1110" s="1">
        <f t="shared" si="831"/>
        <v>-271.50553906007832</v>
      </c>
      <c r="Q1110" s="1">
        <f>(Q$1111-Q$1109)/($N$1111-$N$1109)*($N1110-$N$1109)+Q$1109</f>
        <v>8.4988901409192312</v>
      </c>
      <c r="R1110">
        <f t="shared" si="853"/>
        <v>0</v>
      </c>
      <c r="S1110" s="23">
        <f>(S$1111-S$1109)/($N$1111-$N$1109)*($N1110-$N$1109)+S$1109</f>
        <v>-2.1644866779276657</v>
      </c>
      <c r="T1110">
        <f>$S1110+測地線補正!$Q$26*(lattice!$N1110/1000)^3+測地線補正!$P$26*(lattice!$N1110/1000)^2+測地線補正!$O$26*(lattice!$N1110/1000)+測地線補正!$N$26</f>
        <v>-1.5055390600783036</v>
      </c>
      <c r="U1110">
        <v>0</v>
      </c>
      <c r="V1110">
        <v>0</v>
      </c>
      <c r="W1110">
        <v>0</v>
      </c>
      <c r="X1110">
        <f>$Z$1110-($Y$1110+$Y$1108)/2</f>
        <v>250.67755508488676</v>
      </c>
      <c r="Y1110">
        <f>_xlfn.XLOOKUP($F1110,設計座標!$E$13:$E$2301,設計座標!$L$13:$L$2301," ",0,1)</f>
        <v>50</v>
      </c>
      <c r="Z1110">
        <f>SQRT(($M$1110-$M$1108)^2+($N$1110-$N$1108)^2)</f>
        <v>355.67755508488676</v>
      </c>
      <c r="AC1110">
        <f>_xlfn.XLOOKUP($F1110,設計座標!$E$14:$E$2301,設計座標!$M$14:$M$2301,"n/a",0,1)</f>
        <v>30</v>
      </c>
    </row>
    <row r="1111" spans="1:29">
      <c r="A1111" t="s">
        <v>797</v>
      </c>
      <c r="B1111">
        <v>1</v>
      </c>
      <c r="C1111" t="s">
        <v>805</v>
      </c>
      <c r="D1111" t="s">
        <v>806</v>
      </c>
      <c r="F1111" t="s">
        <v>260</v>
      </c>
      <c r="G1111" t="s">
        <v>2613</v>
      </c>
      <c r="I1111">
        <f>_xlfn.XLOOKUP($F1111,設計座標!$E$13:$E$2301,設計座標!$G$13:$G$2301,"n/a",0,1)</f>
        <v>318.43027019328878</v>
      </c>
      <c r="J1111">
        <f>_xlfn.XLOOKUP($F1111,設計座標!$E$13:$E$2301,設計座標!$H$13:$H$2301,"n/a",0,1)</f>
        <v>-15000</v>
      </c>
      <c r="K1111">
        <f>_xlfn.XLOOKUP($F1111,設計座標!$E$13:$E$2301,設計座標!$I$13:$I$2301,"n/a",0,1)</f>
        <v>-53968.21272738</v>
      </c>
      <c r="L1111">
        <f>_xlfn.XLOOKUP($F1111,設計座標!$E$13:$E$2301,設計座標!$J$13:$J$2301,"n/a",0,1)</f>
        <v>90</v>
      </c>
      <c r="M1111" s="2">
        <f>_xlfn.XLOOKUP($F1111,survey_data!$A$2:$A$833,survey_data!$B$2:$B$833,"n/a",0,1)</f>
        <v>-14991.46185003</v>
      </c>
      <c r="N1111" s="2">
        <f>_xlfn.XLOOKUP($F1111,survey_data!$A$2:$A$833,survey_data!$C$2:$C$833,"n/a",0,1)</f>
        <v>-53968.21272738</v>
      </c>
      <c r="O1111" s="23">
        <f>_xlfn.XLOOKUP($F1111,survey_data!$A$2:$A$833,survey_data!$D$2:$D$833,"n/a",0,1)</f>
        <v>87.745704279999998</v>
      </c>
      <c r="P1111" s="1">
        <f t="shared" si="831"/>
        <v>88.410038704815406</v>
      </c>
      <c r="Q1111" s="1">
        <f t="shared" si="852"/>
        <v>8.5381499699997221</v>
      </c>
      <c r="R1111">
        <f t="shared" si="853"/>
        <v>0</v>
      </c>
      <c r="S1111" s="23">
        <f t="shared" si="854"/>
        <v>-2.2542957200000018</v>
      </c>
      <c r="T1111">
        <f>$S1111+測地線補正!$Q$26*(lattice!$N1111/1000)^3+測地線補正!$P$26*(lattice!$N1111/1000)^2+測地線補正!$O$26*(lattice!$N1111/1000)+測地線補正!$N$26</f>
        <v>-1.5899612951845976</v>
      </c>
      <c r="U1111">
        <f>-ATAN(($P$1113-$P$1111)/ABS($N$1113-$N$1111))</f>
        <v>3.3942474407778782E-5</v>
      </c>
      <c r="V1111">
        <v>0</v>
      </c>
      <c r="W1111">
        <f>ATAN(($M$1113-$M$1111)/ABS($N$1113-$N$1111))</f>
        <v>-6.8302153803975697E-5</v>
      </c>
      <c r="X1111">
        <f>$Z$1112-($Y$1112+$Y$1110)/2</f>
        <v>139.15133435459686</v>
      </c>
      <c r="Y1111">
        <f>_xlfn.XLOOKUP($F1111,設計座標!$E$13:$E$2301,設計座標!$L$13:$L$2301," ",0,1)</f>
        <v>160</v>
      </c>
      <c r="Z1111">
        <f>SQRT(($M$1112-$M$1110)^2+($N$1112-$N$1110)^2)</f>
        <v>244.15133435459686</v>
      </c>
      <c r="AA1111">
        <f>_xlfn.XLOOKUP($G1111,magnet_list!$A$2:$A$592,magnet_list!$AJ$2:$AJ$592,"n/a",0,1)</f>
        <v>0.17374887133613809</v>
      </c>
      <c r="AB1111">
        <f>_xlfn.XLOOKUP($G1111,magnet_list!$A$2:$A$592,magnet_list!$L$2:$L$592,"n/a",0,1)</f>
        <v>44</v>
      </c>
    </row>
    <row r="1112" spans="1:29">
      <c r="A1112" t="s">
        <v>797</v>
      </c>
      <c r="B1112">
        <v>1</v>
      </c>
      <c r="C1112" t="s">
        <v>805</v>
      </c>
      <c r="D1112" t="s">
        <v>1152</v>
      </c>
      <c r="E1112" t="s">
        <v>804</v>
      </c>
      <c r="F1112" t="s">
        <v>674</v>
      </c>
      <c r="G1112" t="s">
        <v>2613</v>
      </c>
      <c r="I1112">
        <f>_xlfn.XLOOKUP($F1112,設計座標!$E$13:$E$2301,設計座標!$G$13:$G$2301,"n/a",0,1)</f>
        <v>318.50025419328875</v>
      </c>
      <c r="J1112">
        <f>_xlfn.XLOOKUP($F1112,設計座標!$E$13:$E$2301,設計座標!$H$13:$H$2301,"n/a",0,1)</f>
        <v>-15000</v>
      </c>
      <c r="K1112">
        <f>_xlfn.XLOOKUP($F1112,設計座標!$E$13:$E$2301,設計座標!$I$13:$I$2301,"n/a",0,1)</f>
        <v>-54038.196727379996</v>
      </c>
      <c r="L1112">
        <f>_xlfn.XLOOKUP($F1112,設計座標!$E$13:$E$2301,設計座標!$J$13:$J$2301,"n/a",0,1)</f>
        <v>90</v>
      </c>
      <c r="M1112" s="2">
        <f t="shared" si="881"/>
        <v>-14991.46663008794</v>
      </c>
      <c r="N1112" s="2">
        <f t="shared" si="882"/>
        <v>-54038.196727379996</v>
      </c>
      <c r="O1112" s="23">
        <f t="shared" si="883"/>
        <v>87.741167326609542</v>
      </c>
      <c r="P1112" s="1">
        <f t="shared" si="831"/>
        <v>88.407663944376665</v>
      </c>
      <c r="Q1112" s="1">
        <f>(Q$1113-Q$1111)/($N$1113-$N$1111)*($N1112-$N$1111)+Q$1111</f>
        <v>8.533369912060472</v>
      </c>
      <c r="R1112">
        <f t="shared" si="853"/>
        <v>0</v>
      </c>
      <c r="S1112" s="23">
        <f>(S$1113-S$1111)/($N$1113-$N$1111)*($N1112-$N$1111)+S$1111</f>
        <v>-2.2588326733904589</v>
      </c>
      <c r="T1112">
        <f>$S1112+測地線補正!$Q$26*(lattice!$N1112/1000)^3+測地線補正!$P$26*(lattice!$N1112/1000)^2+測地線補正!$O$26*(lattice!$N1112/1000)+測地線補正!$N$26</f>
        <v>-1.5923360556233417</v>
      </c>
      <c r="U1112">
        <f t="shared" ref="U1112:U1113" si="889">-ATAN(($P$1113-$P$1111)/ABS($N$1113-$N$1111))</f>
        <v>3.3942474407778782E-5</v>
      </c>
      <c r="V1112">
        <v>0</v>
      </c>
      <c r="W1112">
        <f t="shared" ref="W1112:W1113" si="890">ATAN(($M$1113-$M$1111)/ABS($N$1113-$N$1111))</f>
        <v>-6.8302153803975697E-5</v>
      </c>
      <c r="X1112">
        <f>$Z$1112-($Y$1112+$Y$1110)/2</f>
        <v>139.15133435459686</v>
      </c>
      <c r="Y1112">
        <f>_xlfn.XLOOKUP($F1112,設計座標!$E$13:$E$2301,設計座標!$L$13:$L$2301," ",0,1)</f>
        <v>160</v>
      </c>
      <c r="Z1112">
        <f>SQRT(($M$1112-$M$1110)^2+($N$1112-$N$1110)^2)</f>
        <v>244.15133435459686</v>
      </c>
      <c r="AA1112">
        <f>_xlfn.XLOOKUP($G1112,magnet_list!$A$2:$A$592,magnet_list!$AJ$2:$AJ$592,"n/a",0,1)</f>
        <v>0.17374887133613809</v>
      </c>
      <c r="AB1112">
        <f>_xlfn.XLOOKUP($G1112,magnet_list!$A$2:$A$592,magnet_list!$L$2:$L$592,"n/a",0,1)</f>
        <v>44</v>
      </c>
    </row>
    <row r="1113" spans="1:29">
      <c r="A1113" t="s">
        <v>797</v>
      </c>
      <c r="B1113">
        <v>1</v>
      </c>
      <c r="C1113" t="s">
        <v>805</v>
      </c>
      <c r="D1113" t="s">
        <v>806</v>
      </c>
      <c r="F1113" t="s">
        <v>261</v>
      </c>
      <c r="G1113" t="s">
        <v>2613</v>
      </c>
      <c r="I1113">
        <f>_xlfn.XLOOKUP($F1113,設計座標!$E$13:$E$2301,設計座標!$G$13:$G$2301,"n/a",0,1)</f>
        <v>318.57025860437875</v>
      </c>
      <c r="J1113">
        <f>_xlfn.XLOOKUP($F1113,設計座標!$E$13:$E$2301,設計座標!$H$13:$H$2301,"n/a",0,1)</f>
        <v>-15000</v>
      </c>
      <c r="K1113">
        <f>_xlfn.XLOOKUP($F1113,設計座標!$E$13:$E$2301,設計座標!$I$13:$I$2301,"n/a",0,1)</f>
        <v>-54108.201138470002</v>
      </c>
      <c r="L1113">
        <f>_xlfn.XLOOKUP($F1113,設計座標!$E$13:$E$2301,設計座標!$J$13:$J$2301,"n/a",0,1)</f>
        <v>90</v>
      </c>
      <c r="M1113" s="2">
        <f>_xlfn.XLOOKUP($F1113,survey_data!$A$2:$A$833,survey_data!$B$2:$B$833,"n/a",0,1)</f>
        <v>-14991.47141154</v>
      </c>
      <c r="N1113" s="2">
        <f>_xlfn.XLOOKUP($F1113,survey_data!$A$2:$A$833,survey_data!$C$2:$C$833,"n/a",0,1)</f>
        <v>-54108.201138470002</v>
      </c>
      <c r="O1113" s="23">
        <f>_xlfn.XLOOKUP($F1113,survey_data!$A$2:$A$833,survey_data!$D$2:$D$833,"n/a",0,1)</f>
        <v>87.736629050000005</v>
      </c>
      <c r="P1113" s="1">
        <f t="shared" ref="P1113:P1176" si="891">$L1113+$T1113</f>
        <v>88.405287151752773</v>
      </c>
      <c r="Q1113" s="1">
        <f t="shared" si="852"/>
        <v>8.5285884599998099</v>
      </c>
      <c r="R1113">
        <f t="shared" si="853"/>
        <v>0</v>
      </c>
      <c r="S1113" s="23">
        <f t="shared" si="854"/>
        <v>-2.2633709499999952</v>
      </c>
      <c r="T1113">
        <f>$S1113+測地線補正!$Q$26*(lattice!$N1113/1000)^3+測地線補正!$P$26*(lattice!$N1113/1000)^2+測地線補正!$O$26*(lattice!$N1113/1000)+測地線補正!$N$26</f>
        <v>-1.5947128482472264</v>
      </c>
      <c r="U1113">
        <f t="shared" si="889"/>
        <v>3.3942474407778782E-5</v>
      </c>
      <c r="V1113">
        <v>0</v>
      </c>
      <c r="W1113">
        <f t="shared" si="890"/>
        <v>-6.8302153803975697E-5</v>
      </c>
      <c r="X1113">
        <f>$Z$1112-($Y$1112+$Y$1110)/2</f>
        <v>139.15133435459686</v>
      </c>
      <c r="Y1113">
        <f>_xlfn.XLOOKUP($F1113,設計座標!$E$13:$E$2301,設計座標!$L$13:$L$2301," ",0,1)</f>
        <v>160</v>
      </c>
      <c r="Z1113">
        <f>SQRT(($M$1112-$M$1110)^2+($N$1112-$N$1110)^2)</f>
        <v>244.15133435459686</v>
      </c>
      <c r="AA1113">
        <f>_xlfn.XLOOKUP($G1113,magnet_list!$A$2:$A$592,magnet_list!$AJ$2:$AJ$592,"n/a",0,1)</f>
        <v>0.17374887133613809</v>
      </c>
      <c r="AB1113">
        <f>_xlfn.XLOOKUP($G1113,magnet_list!$A$2:$A$592,magnet_list!$L$2:$L$592,"n/a",0,1)</f>
        <v>44</v>
      </c>
    </row>
    <row r="1114" spans="1:29">
      <c r="A1114" t="s">
        <v>797</v>
      </c>
      <c r="B1114">
        <v>1</v>
      </c>
      <c r="C1114" t="s">
        <v>805</v>
      </c>
      <c r="D1114" t="s">
        <v>1152</v>
      </c>
      <c r="F1114" t="s">
        <v>1834</v>
      </c>
      <c r="G1114" t="s">
        <v>1834</v>
      </c>
      <c r="I1114">
        <f>_xlfn.XLOOKUP($F1114,設計座標!$E$13:$E$2301,設計座標!$G$13:$G$2301,"n/a",0,1)</f>
        <v>318.80025860437877</v>
      </c>
      <c r="J1114">
        <f>_xlfn.XLOOKUP($F1114,設計座標!$E$13:$E$2301,設計座標!$H$13:$H$2301,"n/a",0,1)</f>
        <v>-15000</v>
      </c>
      <c r="K1114">
        <f>_xlfn.XLOOKUP($F1114,設計座標!$E$13:$E$2301,設計座標!$I$13:$I$2301,"n/a",0,1)</f>
        <v>-54338.201138470002</v>
      </c>
      <c r="L1114">
        <f>_xlfn.XLOOKUP($F1114,設計座標!$E$13:$E$2301,設計座標!$J$13:$J$2301,"n/a",0,1)</f>
        <v>-370</v>
      </c>
      <c r="M1114" s="2">
        <f t="shared" si="881"/>
        <v>-14991.398383728389</v>
      </c>
      <c r="N1114" s="2">
        <f t="shared" si="882"/>
        <v>-54338.201138470002</v>
      </c>
      <c r="O1114" s="23">
        <f t="shared" si="883"/>
        <v>-372.24779884572234</v>
      </c>
      <c r="P1114" s="1">
        <f t="shared" si="891"/>
        <v>-371.57204860125</v>
      </c>
      <c r="Q1114" s="1">
        <f>(Q$1116-Q$1113)/($N$1116-$N$1113)*($N1114-$N$1113)+Q$1113</f>
        <v>8.6016162716115492</v>
      </c>
      <c r="R1114">
        <f t="shared" si="853"/>
        <v>0</v>
      </c>
      <c r="S1114" s="23">
        <f t="shared" ref="S1114:S1115" si="892">(S$1116-S$1113)/($N$1116-$N$1113)*($N1114-$N$1113)+S$1113</f>
        <v>-2.2477988457223606</v>
      </c>
      <c r="T1114">
        <f>$S1114+測地線補正!$Q$26*(lattice!$N1114/1000)^3+測地線補正!$P$26*(lattice!$N1114/1000)^2+測地線補正!$O$26*(lattice!$N1114/1000)+測地線補正!$N$26</f>
        <v>-1.5720486012499821</v>
      </c>
      <c r="U1114">
        <v>0</v>
      </c>
      <c r="V1114">
        <v>0</v>
      </c>
      <c r="W1114">
        <v>0</v>
      </c>
      <c r="X1114">
        <f>$Z$1115-($Y$1115+$Y$1112)/2</f>
        <v>145.00441885250041</v>
      </c>
      <c r="Y1114">
        <f>_xlfn.XLOOKUP($F1114,設計座標!$E$13:$E$2301,設計座標!$L$13:$L$2301," ",0,1)</f>
        <v>150</v>
      </c>
      <c r="Z1114">
        <f>SQRT(($M$1115-$M$1112)^2+($N$1115-$N$1112)^2)</f>
        <v>300.00441885250041</v>
      </c>
      <c r="AA1114">
        <f>_xlfn.XLOOKUP($G1114,magnet_list!$A$2:$A$592,magnet_list!$AJ$2:$AJ$592,"n/a",0,1)</f>
        <v>0.18626200000000001</v>
      </c>
      <c r="AB1114">
        <f>_xlfn.XLOOKUP($G1114,magnet_list!$A$2:$A$592,magnet_list!$L$2:$L$592,"n/a",0,1)</f>
        <v>35</v>
      </c>
    </row>
    <row r="1115" spans="1:29">
      <c r="A1115" t="s">
        <v>797</v>
      </c>
      <c r="B1115">
        <v>1</v>
      </c>
      <c r="C1115" t="s">
        <v>805</v>
      </c>
      <c r="D1115" t="s">
        <v>1152</v>
      </c>
      <c r="E1115" t="s">
        <v>804</v>
      </c>
      <c r="F1115" t="s">
        <v>1884</v>
      </c>
      <c r="G1115" t="s">
        <v>1834</v>
      </c>
      <c r="I1115">
        <f>_xlfn.XLOOKUP($F1115,設計座標!$E$13:$E$2301,設計座標!$G$13:$G$2301,"n/a",0,1)</f>
        <v>318.80025860437877</v>
      </c>
      <c r="J1115">
        <f>_xlfn.XLOOKUP($F1115,設計座標!$E$13:$E$2301,設計座標!$H$13:$H$2301,"n/a",0,1)</f>
        <v>-15000</v>
      </c>
      <c r="K1115">
        <f>_xlfn.XLOOKUP($F1115,設計座標!$E$13:$E$2301,設計座標!$I$13:$I$2301,"n/a",0,1)</f>
        <v>-54338.201138470002</v>
      </c>
      <c r="L1115">
        <f>_xlfn.XLOOKUP($F1115,設計座標!$E$13:$E$2301,設計座標!$J$13:$J$2301,"n/a",0,1)</f>
        <v>-370</v>
      </c>
      <c r="M1115" s="2">
        <f t="shared" si="881"/>
        <v>-14991.398383728389</v>
      </c>
      <c r="N1115" s="2">
        <f t="shared" si="882"/>
        <v>-54338.201138470002</v>
      </c>
      <c r="O1115" s="23">
        <f t="shared" si="883"/>
        <v>-372.24779884572234</v>
      </c>
      <c r="P1115" s="1">
        <f t="shared" si="891"/>
        <v>-371.57204860125</v>
      </c>
      <c r="Q1115" s="1">
        <f>(Q$1116-Q$1113)/($N$1116-$N$1113)*($N1115-$N$1113)+Q$1113</f>
        <v>8.6016162716115492</v>
      </c>
      <c r="R1115">
        <f t="shared" si="853"/>
        <v>0</v>
      </c>
      <c r="S1115" s="23">
        <f t="shared" si="892"/>
        <v>-2.2477988457223606</v>
      </c>
      <c r="T1115">
        <f>$S1115+測地線補正!$Q$26*(lattice!$N1115/1000)^3+測地線補正!$P$26*(lattice!$N1115/1000)^2+測地線補正!$O$26*(lattice!$N1115/1000)+測地線補正!$N$26</f>
        <v>-1.5720486012499821</v>
      </c>
      <c r="U1115">
        <v>0</v>
      </c>
      <c r="V1115">
        <v>0</v>
      </c>
      <c r="W1115">
        <v>0</v>
      </c>
      <c r="X1115">
        <f>$Z$1115-($Y$1115+$Y$1112)/2</f>
        <v>145.00441885250041</v>
      </c>
      <c r="Y1115">
        <f>_xlfn.XLOOKUP($F1115,設計座標!$E$13:$E$2301,設計座標!$L$13:$L$2301," ",0,1)</f>
        <v>150</v>
      </c>
      <c r="Z1115">
        <f>SQRT(($M$1115-$M$1112)^2+($N$1115-$N$1112)^2)</f>
        <v>300.00441885250041</v>
      </c>
      <c r="AA1115">
        <f>_xlfn.XLOOKUP($G1115,magnet_list!$A$2:$A$592,magnet_list!$AJ$2:$AJ$592,"n/a",0,1)</f>
        <v>0.18626200000000001</v>
      </c>
      <c r="AB1115">
        <f>_xlfn.XLOOKUP($G1115,magnet_list!$A$2:$A$592,magnet_list!$L$2:$L$592,"n/a",0,1)</f>
        <v>35</v>
      </c>
    </row>
    <row r="1116" spans="1:29">
      <c r="A1116" t="s">
        <v>797</v>
      </c>
      <c r="B1116">
        <v>1</v>
      </c>
      <c r="C1116" t="s">
        <v>805</v>
      </c>
      <c r="D1116" t="s">
        <v>806</v>
      </c>
      <c r="F1116" t="s">
        <v>262</v>
      </c>
      <c r="G1116" t="s">
        <v>2614</v>
      </c>
      <c r="I1116">
        <f>_xlfn.XLOOKUP($F1116,設計座標!$E$13:$E$2301,設計座標!$G$13:$G$2301,"n/a",0,1)</f>
        <v>319.03027575891878</v>
      </c>
      <c r="J1116">
        <f>_xlfn.XLOOKUP($F1116,設計座標!$E$13:$E$2301,設計座標!$H$13:$H$2301,"n/a",0,1)</f>
        <v>-15000</v>
      </c>
      <c r="K1116">
        <f>_xlfn.XLOOKUP($F1116,設計座標!$E$13:$E$2301,設計座標!$I$13:$I$2301,"n/a",0,1)</f>
        <v>-54568.218293010003</v>
      </c>
      <c r="L1116">
        <f>_xlfn.XLOOKUP($F1116,設計座標!$E$13:$E$2301,設計座標!$J$13:$J$2301,"n/a",0,1)</f>
        <v>90</v>
      </c>
      <c r="M1116" s="2">
        <f>_xlfn.XLOOKUP($F1116,survey_data!$A$2:$A$833,survey_data!$B$2:$B$833,"n/a",0,1)</f>
        <v>-14991.325350470001</v>
      </c>
      <c r="N1116" s="2">
        <f>_xlfn.XLOOKUP($F1116,survey_data!$A$2:$A$833,survey_data!$C$2:$C$833,"n/a",0,1)</f>
        <v>-54568.218293010003</v>
      </c>
      <c r="O1116" s="23">
        <f>_xlfn.XLOOKUP($F1116,survey_data!$A$2:$A$833,survey_data!$D$2:$D$833,"n/a",0,1)</f>
        <v>87.767774419999995</v>
      </c>
      <c r="P1116" s="1">
        <f t="shared" si="891"/>
        <v>88.450602885206294</v>
      </c>
      <c r="Q1116" s="1">
        <f t="shared" si="852"/>
        <v>8.6746495299994422</v>
      </c>
      <c r="R1116">
        <f t="shared" si="853"/>
        <v>0</v>
      </c>
      <c r="S1116" s="23">
        <f t="shared" si="854"/>
        <v>-2.232225580000005</v>
      </c>
      <c r="T1116">
        <f>$S1116+測地線補正!$Q$26*(lattice!$N1116/1000)^3+測地線補正!$P$26*(lattice!$N1116/1000)^2+測地線補正!$O$26*(lattice!$N1116/1000)+測地線補正!$N$26</f>
        <v>-1.5493971147937067</v>
      </c>
      <c r="U1116">
        <f>-ATAN(($P$1118-$P$1116)/ABS($N$1118-$N$1116))</f>
        <v>-1.571404692314158E-4</v>
      </c>
      <c r="V1116">
        <v>0</v>
      </c>
      <c r="W1116">
        <f>ATAN(($M$1118-$M$1116)/ABS($N$1118-$N$1116))</f>
        <v>3.3734222115881188E-5</v>
      </c>
      <c r="X1116">
        <f>$Z$1117-($Y$1117+$Y$1115)/2</f>
        <v>145.00566401364711</v>
      </c>
      <c r="Y1116">
        <f>_xlfn.XLOOKUP($F1116,設計座標!$E$13:$E$2301,設計座標!$L$13:$L$2301," ",0,1)</f>
        <v>160</v>
      </c>
      <c r="Z1116">
        <f>SQRT(($M$1117-$M$1115)^2+($N$1117-$N$1115)^2)</f>
        <v>300.00566401364711</v>
      </c>
      <c r="AA1116">
        <f>_xlfn.XLOOKUP($G1116,magnet_list!$A$2:$A$592,magnet_list!$AJ$2:$AJ$592,"n/a",0,1)</f>
        <v>0.17374887133613809</v>
      </c>
      <c r="AB1116">
        <f>_xlfn.XLOOKUP($G1116,magnet_list!$A$2:$A$592,magnet_list!$L$2:$L$592,"n/a",0,1)</f>
        <v>44</v>
      </c>
    </row>
    <row r="1117" spans="1:29">
      <c r="A1117" t="s">
        <v>797</v>
      </c>
      <c r="B1117">
        <v>1</v>
      </c>
      <c r="C1117" t="s">
        <v>805</v>
      </c>
      <c r="D1117" t="s">
        <v>1152</v>
      </c>
      <c r="E1117" t="s">
        <v>804</v>
      </c>
      <c r="F1117" t="s">
        <v>675</v>
      </c>
      <c r="G1117" t="s">
        <v>2614</v>
      </c>
      <c r="I1117">
        <f>_xlfn.XLOOKUP($F1117,設計座標!$E$13:$E$2301,設計座標!$G$13:$G$2301,"n/a",0,1)</f>
        <v>319.1002642589188</v>
      </c>
      <c r="J1117">
        <f>_xlfn.XLOOKUP($F1117,設計座標!$E$13:$E$2301,設計座標!$H$13:$H$2301,"n/a",0,1)</f>
        <v>-15000</v>
      </c>
      <c r="K1117">
        <f>_xlfn.XLOOKUP($F1117,設計座標!$E$13:$E$2301,設計座標!$I$13:$I$2301,"n/a",0,1)</f>
        <v>-54638.206793010002</v>
      </c>
      <c r="L1117">
        <f>_xlfn.XLOOKUP($F1117,設計座標!$E$13:$E$2301,設計座標!$J$13:$J$2301,"n/a",0,1)</f>
        <v>90</v>
      </c>
      <c r="M1117" s="2">
        <f t="shared" si="881"/>
        <v>-14991.322989462395</v>
      </c>
      <c r="N1117" s="2">
        <f t="shared" si="882"/>
        <v>-54638.206793010002</v>
      </c>
      <c r="O1117" s="23">
        <f t="shared" si="883"/>
        <v>87.776622253453468</v>
      </c>
      <c r="P1117" s="1">
        <f t="shared" si="891"/>
        <v>88.461601579117399</v>
      </c>
      <c r="Q1117" s="1">
        <f>(Q$1118-Q$1116)/($N$1118-$N$1116)*($N1117-$N$1116)+Q$1116</f>
        <v>8.6770105376048949</v>
      </c>
      <c r="R1117">
        <f t="shared" si="853"/>
        <v>0</v>
      </c>
      <c r="S1117" s="23">
        <f>(S$1118-S$1116)/($N$1118-$N$1116)*($N1117-$N$1116)+S$1116</f>
        <v>-2.2233777465465359</v>
      </c>
      <c r="T1117">
        <f>$S1117+測地線補正!$Q$26*(lattice!$N1117/1000)^3+測地線補正!$P$26*(lattice!$N1117/1000)^2+測地線補正!$O$26*(lattice!$N1117/1000)+測地線補正!$N$26</f>
        <v>-1.5383984208826049</v>
      </c>
      <c r="U1117">
        <f t="shared" ref="U1117:U1118" si="893">-ATAN(($P$1118-$P$1116)/ABS($N$1118-$N$1116))</f>
        <v>-1.571404692314158E-4</v>
      </c>
      <c r="V1117">
        <v>0</v>
      </c>
      <c r="W1117">
        <f t="shared" ref="W1117:W1118" si="894">ATAN(($M$1118-$M$1116)/ABS($N$1118-$N$1116))</f>
        <v>3.3734222115881188E-5</v>
      </c>
      <c r="X1117">
        <f>$Z$1117-($Y$1117+$Y$1115)/2</f>
        <v>145.00566401364711</v>
      </c>
      <c r="Y1117">
        <f>_xlfn.XLOOKUP($F1117,設計座標!$E$13:$E$2301,設計座標!$L$13:$L$2301," ",0,1)</f>
        <v>160</v>
      </c>
      <c r="Z1117">
        <f>SQRT(($M$1117-$M$1115)^2+($N$1117-$N$1115)^2)</f>
        <v>300.00566401364711</v>
      </c>
      <c r="AA1117">
        <f>_xlfn.XLOOKUP($G1117,magnet_list!$A$2:$A$592,magnet_list!$AJ$2:$AJ$592,"n/a",0,1)</f>
        <v>0.17374887133613809</v>
      </c>
      <c r="AB1117">
        <f>_xlfn.XLOOKUP($G1117,magnet_list!$A$2:$A$592,magnet_list!$L$2:$L$592,"n/a",0,1)</f>
        <v>44</v>
      </c>
    </row>
    <row r="1118" spans="1:29">
      <c r="A1118" t="s">
        <v>797</v>
      </c>
      <c r="B1118">
        <v>1</v>
      </c>
      <c r="C1118" t="s">
        <v>805</v>
      </c>
      <c r="D1118" t="s">
        <v>806</v>
      </c>
      <c r="F1118" t="s">
        <v>263</v>
      </c>
      <c r="G1118" t="s">
        <v>2614</v>
      </c>
      <c r="I1118">
        <f>_xlfn.XLOOKUP($F1118,設計座標!$E$13:$E$2301,設計座標!$G$13:$G$2301,"n/a",0,1)</f>
        <v>319.17022177523882</v>
      </c>
      <c r="J1118">
        <f>_xlfn.XLOOKUP($F1118,設計座標!$E$13:$E$2301,設計座標!$H$13:$H$2301,"n/a",0,1)</f>
        <v>-15000</v>
      </c>
      <c r="K1118">
        <f>_xlfn.XLOOKUP($F1118,設計座標!$E$13:$E$2301,設計座標!$I$13:$I$2301,"n/a",0,1)</f>
        <v>-54708.164309330001</v>
      </c>
      <c r="L1118">
        <f>_xlfn.XLOOKUP($F1118,設計座標!$E$13:$E$2301,設計座標!$J$13:$J$2301,"n/a",0,1)</f>
        <v>90</v>
      </c>
      <c r="M1118" s="2">
        <f>_xlfn.XLOOKUP($F1118,survey_data!$A$2:$A$833,survey_data!$B$2:$B$833,"n/a",0,1)</f>
        <v>-14991.3206295</v>
      </c>
      <c r="N1118" s="2">
        <f>_xlfn.XLOOKUP($F1118,survey_data!$A$2:$A$833,survey_data!$C$2:$C$833,"n/a",0,1)</f>
        <v>-54708.164309330001</v>
      </c>
      <c r="O1118" s="23">
        <f>_xlfn.XLOOKUP($F1118,survey_data!$A$2:$A$833,survey_data!$D$2:$D$833,"n/a",0,1)</f>
        <v>87.785466170000007</v>
      </c>
      <c r="P1118" s="1">
        <f t="shared" si="891"/>
        <v>88.472594068058896</v>
      </c>
      <c r="Q1118" s="1">
        <f t="shared" si="852"/>
        <v>8.6793705000000045</v>
      </c>
      <c r="R1118">
        <f t="shared" si="853"/>
        <v>0</v>
      </c>
      <c r="S1118" s="23">
        <f t="shared" si="854"/>
        <v>-2.2145338299999935</v>
      </c>
      <c r="T1118">
        <f>$S1118+測地線補正!$Q$26*(lattice!$N1118/1000)^3+測地線補正!$P$26*(lattice!$N1118/1000)^2+測地線補正!$O$26*(lattice!$N1118/1000)+測地線補正!$N$26</f>
        <v>-1.5274059319411106</v>
      </c>
      <c r="U1118">
        <f t="shared" si="893"/>
        <v>-1.571404692314158E-4</v>
      </c>
      <c r="V1118">
        <v>0</v>
      </c>
      <c r="W1118">
        <f t="shared" si="894"/>
        <v>3.3734222115881188E-5</v>
      </c>
      <c r="X1118">
        <f>$Z$1117-($Y$1117+$Y$1115)/2</f>
        <v>145.00566401364711</v>
      </c>
      <c r="Y1118">
        <f>_xlfn.XLOOKUP($F1118,設計座標!$E$13:$E$2301,設計座標!$L$13:$L$2301," ",0,1)</f>
        <v>160</v>
      </c>
      <c r="Z1118">
        <f>SQRT(($M$1117-$M$1115)^2+($N$1117-$N$1115)^2)</f>
        <v>300.00566401364711</v>
      </c>
      <c r="AA1118">
        <f>_xlfn.XLOOKUP($G1118,magnet_list!$A$2:$A$592,magnet_list!$AJ$2:$AJ$592,"n/a",0,1)</f>
        <v>0.17374887133613809</v>
      </c>
      <c r="AB1118">
        <f>_xlfn.XLOOKUP($G1118,magnet_list!$A$2:$A$592,magnet_list!$L$2:$L$592,"n/a",0,1)</f>
        <v>44</v>
      </c>
    </row>
    <row r="1119" spans="1:29">
      <c r="A1119" t="s">
        <v>797</v>
      </c>
      <c r="B1119">
        <v>1</v>
      </c>
      <c r="C1119" t="s">
        <v>2288</v>
      </c>
      <c r="D1119" t="s">
        <v>1152</v>
      </c>
      <c r="E1119" t="s">
        <v>804</v>
      </c>
      <c r="F1119" t="s">
        <v>2079</v>
      </c>
      <c r="G1119" t="s">
        <v>2079</v>
      </c>
      <c r="I1119">
        <f>_xlfn.XLOOKUP($F1119,設計座標!$E$13:$E$2301,設計座標!$G$13:$G$2301,"n/a",0,1)</f>
        <v>319.46110306136887</v>
      </c>
      <c r="J1119">
        <f>_xlfn.XLOOKUP($F1119,設計座標!$E$13:$E$2301,設計座標!$H$13:$H$2301,"n/a",0,1)</f>
        <v>-15000</v>
      </c>
      <c r="K1119">
        <f>_xlfn.XLOOKUP($F1119,設計座標!$E$13:$E$2301,設計座標!$I$13:$I$2301,"n/a",0,1)</f>
        <v>-54999.045595460069</v>
      </c>
      <c r="L1119">
        <f>_xlfn.XLOOKUP($F1119,設計座標!$E$13:$E$2301,設計座標!$J$13:$J$2301,"n/a",0,1)</f>
        <v>-270</v>
      </c>
      <c r="M1119" s="2">
        <f t="shared" si="881"/>
        <v>-14991.240657276398</v>
      </c>
      <c r="N1119" s="2">
        <f t="shared" si="882"/>
        <v>-54999.045595460069</v>
      </c>
      <c r="O1119" s="23">
        <f t="shared" si="883"/>
        <v>-272.17652766172415</v>
      </c>
      <c r="P1119" s="1">
        <f t="shared" si="891"/>
        <v>-271.48048037895649</v>
      </c>
      <c r="Q1119" s="1">
        <f>(Q$1120-Q$1118)/($N$1120-$N$1118)*($N1119-$N$1118)+Q$1118</f>
        <v>8.7593427236032451</v>
      </c>
      <c r="R1119">
        <f t="shared" si="853"/>
        <v>0</v>
      </c>
      <c r="S1119" s="23">
        <f>(S$1120-S$1118)/($N$1120-$N$1118)*($N1119-$N$1118)+S$1118</f>
        <v>-2.1765276617241613</v>
      </c>
      <c r="T1119">
        <f>$S1119+測地線補正!$Q$26*(lattice!$N1119/1000)^3+測地線補正!$P$26*(lattice!$N1119/1000)^2+測地線補正!$O$26*(lattice!$N1119/1000)+測地線補正!$N$26</f>
        <v>-1.4804803789564887</v>
      </c>
      <c r="U1119">
        <v>0</v>
      </c>
      <c r="V1119">
        <v>0</v>
      </c>
      <c r="W1119">
        <v>0</v>
      </c>
      <c r="X1119">
        <f>$Z$1119-($Y$1119+$Y$1117)/2</f>
        <v>255.83881184288856</v>
      </c>
      <c r="Y1119">
        <f>_xlfn.XLOOKUP($F1119,設計座標!$E$13:$E$2301,設計座標!$L$13:$L$2301," ",0,1)</f>
        <v>50</v>
      </c>
      <c r="Z1119">
        <f>SQRT(($M$1119-$M$1117)^2+($N$1119-$N$1117)^2)</f>
        <v>360.83881184288856</v>
      </c>
      <c r="AC1119">
        <f>_xlfn.XLOOKUP($F1119,設計座標!$E$14:$E$2301,設計座標!$M$14:$M$2301,"n/a",0,1)</f>
        <v>30</v>
      </c>
    </row>
    <row r="1120" spans="1:29">
      <c r="A1120" t="s">
        <v>797</v>
      </c>
      <c r="B1120">
        <v>1</v>
      </c>
      <c r="C1120" t="s">
        <v>805</v>
      </c>
      <c r="D1120" t="s">
        <v>806</v>
      </c>
      <c r="F1120" t="s">
        <v>264</v>
      </c>
      <c r="G1120" t="s">
        <v>2615</v>
      </c>
      <c r="I1120">
        <f>_xlfn.XLOOKUP($F1120,設計座標!$E$13:$E$2301,設計座標!$G$13:$G$2301,"n/a",0,1)</f>
        <v>319.6302489592988</v>
      </c>
      <c r="J1120">
        <f>_xlfn.XLOOKUP($F1120,設計座標!$E$13:$E$2301,設計座標!$H$13:$H$2301,"n/a",0,1)</f>
        <v>-15000</v>
      </c>
      <c r="K1120">
        <f>_xlfn.XLOOKUP($F1120,設計座標!$E$13:$E$2301,設計座標!$I$13:$I$2301,"n/a",0,1)</f>
        <v>-55168.191493389997</v>
      </c>
      <c r="L1120">
        <f>_xlfn.XLOOKUP($F1120,設計座標!$E$13:$E$2301,設計座標!$J$13:$J$2301,"n/a",0,1)</f>
        <v>90</v>
      </c>
      <c r="M1120" s="2">
        <f>_xlfn.XLOOKUP($F1120,survey_data!$A$2:$A$833,survey_data!$B$2:$B$833,"n/a",0,1)</f>
        <v>-14991.19415386</v>
      </c>
      <c r="N1120" s="2">
        <f>_xlfn.XLOOKUP($F1120,survey_data!$A$2:$A$833,survey_data!$C$2:$C$833,"n/a",0,1)</f>
        <v>-55168.191493389997</v>
      </c>
      <c r="O1120" s="23">
        <f>_xlfn.XLOOKUP($F1120,survey_data!$A$2:$A$833,survey_data!$D$2:$D$833,"n/a",0,1)</f>
        <v>87.845572720000007</v>
      </c>
      <c r="P1120" s="1">
        <f t="shared" si="891"/>
        <v>88.546795969566276</v>
      </c>
      <c r="Q1120" s="1">
        <f t="shared" si="852"/>
        <v>8.8058461399996304</v>
      </c>
      <c r="R1120">
        <f t="shared" si="853"/>
        <v>0</v>
      </c>
      <c r="S1120" s="23">
        <f t="shared" si="854"/>
        <v>-2.1544272799999931</v>
      </c>
      <c r="T1120">
        <f>$S1120+測地線補正!$Q$26*(lattice!$N1120/1000)^3+測地線補正!$P$26*(lattice!$N1120/1000)^2+測地線補正!$O$26*(lattice!$N1120/1000)+測地線補正!$N$26</f>
        <v>-1.4532040304337224</v>
      </c>
      <c r="U1120">
        <f>-ATAN(($P$1122-$P$1120)/ABS($N$1122-$N$1120))</f>
        <v>-2.0376368060404058E-4</v>
      </c>
      <c r="V1120">
        <v>0</v>
      </c>
      <c r="W1120">
        <f>ATAN(($M$1122-$M$1120)/ABS($N$1122-$N$1120))</f>
        <v>8.2517081868747377E-6</v>
      </c>
      <c r="X1120">
        <f>$Z$1121-($Y$1121+$Y$1119)/2</f>
        <v>134.13540256456966</v>
      </c>
      <c r="Y1120">
        <f>_xlfn.XLOOKUP($F1120,設計座標!$E$13:$E$2301,設計座標!$L$13:$L$2301," ",0,1)</f>
        <v>160</v>
      </c>
      <c r="Z1120">
        <f>SQRT(($M$1121-$M$1119)^2+($N$1121-$N$1119)^2)</f>
        <v>239.13540256456966</v>
      </c>
      <c r="AA1120">
        <f>_xlfn.XLOOKUP($G1120,magnet_list!$A$2:$A$592,magnet_list!$AJ$2:$AJ$592,"n/a",0,1)</f>
        <v>0.17374887133613809</v>
      </c>
      <c r="AB1120">
        <f>_xlfn.XLOOKUP($G1120,magnet_list!$A$2:$A$592,magnet_list!$L$2:$L$592,"n/a",0,1)</f>
        <v>44</v>
      </c>
    </row>
    <row r="1121" spans="1:29">
      <c r="A1121" t="s">
        <v>797</v>
      </c>
      <c r="B1121">
        <v>1</v>
      </c>
      <c r="C1121" t="s">
        <v>805</v>
      </c>
      <c r="D1121" t="s">
        <v>1152</v>
      </c>
      <c r="E1121" t="s">
        <v>804</v>
      </c>
      <c r="F1121" t="s">
        <v>676</v>
      </c>
      <c r="G1121" t="s">
        <v>2615</v>
      </c>
      <c r="I1121">
        <f>_xlfn.XLOOKUP($F1121,設計座標!$E$13:$E$2301,設計座標!$G$13:$G$2301,"n/a",0,1)</f>
        <v>319.70023845929882</v>
      </c>
      <c r="J1121">
        <f>_xlfn.XLOOKUP($F1121,設計座標!$E$13:$E$2301,設計座標!$H$13:$H$2301,"n/a",0,1)</f>
        <v>-15000</v>
      </c>
      <c r="K1121">
        <f>_xlfn.XLOOKUP($F1121,設計座標!$E$13:$E$2301,設計座標!$I$13:$I$2301,"n/a",0,1)</f>
        <v>-55238.180993389993</v>
      </c>
      <c r="L1121">
        <f>_xlfn.XLOOKUP($F1121,設計座標!$E$13:$E$2301,設計座標!$J$13:$J$2301,"n/a",0,1)</f>
        <v>90</v>
      </c>
      <c r="M1121" s="2">
        <f t="shared" si="881"/>
        <v>-14991.19357632707</v>
      </c>
      <c r="N1121" s="2">
        <f t="shared" si="882"/>
        <v>-55238.180993389993</v>
      </c>
      <c r="O1121" s="23">
        <f t="shared" si="883"/>
        <v>87.857695264350269</v>
      </c>
      <c r="P1121" s="1">
        <f t="shared" si="891"/>
        <v>88.56105795458069</v>
      </c>
      <c r="Q1121" s="1">
        <f>(Q$1122-Q$1120)/($N$1122-$N$1120)*($N1121-$N$1120)+Q$1120</f>
        <v>8.8064236729297889</v>
      </c>
      <c r="R1121">
        <f t="shared" si="853"/>
        <v>0</v>
      </c>
      <c r="S1121" s="23">
        <f>(S$1122-S$1120)/($N$1122-$N$1120)*($N1121-$N$1120)+S$1120</f>
        <v>-2.1423047356497302</v>
      </c>
      <c r="T1121">
        <f>$S1121+測地線補正!$Q$26*(lattice!$N1121/1000)^3+測地線補正!$P$26*(lattice!$N1121/1000)^2+測地線補正!$O$26*(lattice!$N1121/1000)+測地線補正!$N$26</f>
        <v>-1.4389420454193032</v>
      </c>
      <c r="U1121">
        <f t="shared" ref="U1121:U1122" si="895">-ATAN(($P$1122-$P$1120)/ABS($N$1122-$N$1120))</f>
        <v>-2.0376368060404058E-4</v>
      </c>
      <c r="V1121">
        <v>0</v>
      </c>
      <c r="W1121">
        <f t="shared" ref="W1121:W1122" si="896">ATAN(($M$1122-$M$1120)/ABS($N$1122-$N$1120))</f>
        <v>8.2517081868747377E-6</v>
      </c>
      <c r="X1121">
        <f>$Z$1121-($Y$1121+$Y$1119)/2</f>
        <v>134.13540256456966</v>
      </c>
      <c r="Y1121">
        <f>_xlfn.XLOOKUP($F1121,設計座標!$E$13:$E$2301,設計座標!$L$13:$L$2301," ",0,1)</f>
        <v>160</v>
      </c>
      <c r="Z1121">
        <f>SQRT(($M$1121-$M$1119)^2+($N$1121-$N$1119)^2)</f>
        <v>239.13540256456966</v>
      </c>
      <c r="AA1121">
        <f>_xlfn.XLOOKUP($G1121,magnet_list!$A$2:$A$592,magnet_list!$AJ$2:$AJ$592,"n/a",0,1)</f>
        <v>0.17374887133613809</v>
      </c>
      <c r="AB1121">
        <f>_xlfn.XLOOKUP($G1121,magnet_list!$A$2:$A$592,magnet_list!$L$2:$L$592,"n/a",0,1)</f>
        <v>44</v>
      </c>
    </row>
    <row r="1122" spans="1:29">
      <c r="A1122" t="s">
        <v>797</v>
      </c>
      <c r="B1122">
        <v>1</v>
      </c>
      <c r="C1122" t="s">
        <v>805</v>
      </c>
      <c r="D1122" t="s">
        <v>806</v>
      </c>
      <c r="F1122" t="s">
        <v>265</v>
      </c>
      <c r="G1122" t="s">
        <v>2615</v>
      </c>
      <c r="I1122">
        <f>_xlfn.XLOOKUP($F1122,設計座標!$E$13:$E$2301,設計座標!$G$13:$G$2301,"n/a",0,1)</f>
        <v>319.77017392684883</v>
      </c>
      <c r="J1122">
        <f>_xlfn.XLOOKUP($F1122,設計座標!$E$13:$E$2301,設計座標!$H$13:$H$2301,"n/a",0,1)</f>
        <v>-15000</v>
      </c>
      <c r="K1122">
        <f>_xlfn.XLOOKUP($F1122,設計座標!$E$13:$E$2301,設計座標!$I$13:$I$2301,"n/a",0,1)</f>
        <v>-55308.11646094</v>
      </c>
      <c r="L1122">
        <f>_xlfn.XLOOKUP($F1122,設計座標!$E$13:$E$2301,設計座標!$J$13:$J$2301,"n/a",0,1)</f>
        <v>90</v>
      </c>
      <c r="M1122" s="2">
        <f>_xlfn.XLOOKUP($F1122,survey_data!$A$2:$A$833,survey_data!$B$2:$B$833,"n/a",0,1)</f>
        <v>-14991.19299924</v>
      </c>
      <c r="N1122" s="2">
        <f>_xlfn.XLOOKUP($F1122,survey_data!$A$2:$A$833,survey_data!$C$2:$C$833,"n/a",0,1)</f>
        <v>-55308.11646094</v>
      </c>
      <c r="O1122" s="23">
        <f>_xlfn.XLOOKUP($F1122,survey_data!$A$2:$A$833,survey_data!$D$2:$D$833,"n/a",0,1)</f>
        <v>87.869808449999994</v>
      </c>
      <c r="P1122" s="1">
        <f t="shared" si="891"/>
        <v>88.575307596357263</v>
      </c>
      <c r="Q1122" s="1">
        <f t="shared" si="852"/>
        <v>8.8070007599999371</v>
      </c>
      <c r="R1122">
        <f t="shared" si="853"/>
        <v>0</v>
      </c>
      <c r="S1122" s="23">
        <f t="shared" si="854"/>
        <v>-2.1301915500000064</v>
      </c>
      <c r="T1122">
        <f>$S1122+測地線補正!$Q$26*(lattice!$N1122/1000)^3+測地線補正!$P$26*(lattice!$N1122/1000)^2+測地線補正!$O$26*(lattice!$N1122/1000)+測地線補正!$N$26</f>
        <v>-1.4246924036427326</v>
      </c>
      <c r="U1122">
        <f t="shared" si="895"/>
        <v>-2.0376368060404058E-4</v>
      </c>
      <c r="V1122">
        <v>0</v>
      </c>
      <c r="W1122">
        <f t="shared" si="896"/>
        <v>8.2517081868747377E-6</v>
      </c>
      <c r="X1122">
        <f>$Z$1121-($Y$1121+$Y$1119)/2</f>
        <v>134.13540256456966</v>
      </c>
      <c r="Y1122">
        <f>_xlfn.XLOOKUP($F1122,設計座標!$E$13:$E$2301,設計座標!$L$13:$L$2301," ",0,1)</f>
        <v>160</v>
      </c>
      <c r="Z1122">
        <f>SQRT(($M$1121-$M$1119)^2+($N$1121-$N$1119)^2)</f>
        <v>239.13540256456966</v>
      </c>
      <c r="AA1122">
        <f>_xlfn.XLOOKUP($G1122,magnet_list!$A$2:$A$592,magnet_list!$AJ$2:$AJ$592,"n/a",0,1)</f>
        <v>0.17374887133613809</v>
      </c>
      <c r="AB1122">
        <f>_xlfn.XLOOKUP($G1122,magnet_list!$A$2:$A$592,magnet_list!$L$2:$L$592,"n/a",0,1)</f>
        <v>44</v>
      </c>
    </row>
    <row r="1123" spans="1:29">
      <c r="A1123" t="s">
        <v>797</v>
      </c>
      <c r="B1123">
        <v>1</v>
      </c>
      <c r="C1123" t="s">
        <v>805</v>
      </c>
      <c r="D1123" t="s">
        <v>1152</v>
      </c>
      <c r="F1123" t="s">
        <v>1835</v>
      </c>
      <c r="G1123" t="s">
        <v>1835</v>
      </c>
      <c r="I1123">
        <f>_xlfn.XLOOKUP($F1123,設計座標!$E$13:$E$2301,設計座標!$G$13:$G$2301,"n/a",0,1)</f>
        <v>320.07157929505883</v>
      </c>
      <c r="J1123">
        <f>_xlfn.XLOOKUP($F1123,設計座標!$E$13:$E$2301,設計座標!$H$13:$H$2301,"n/a",0,1)</f>
        <v>-15000</v>
      </c>
      <c r="K1123">
        <f>_xlfn.XLOOKUP($F1123,設計座標!$E$13:$E$2301,設計座標!$I$13:$I$2301,"n/a",0,1)</f>
        <v>-55609.521829149999</v>
      </c>
      <c r="L1123">
        <f>_xlfn.XLOOKUP($F1123,設計座標!$E$13:$E$2301,設計座標!$J$13:$J$2301,"n/a",0,1)</f>
        <v>-96.5</v>
      </c>
      <c r="M1123" s="2">
        <f t="shared" si="881"/>
        <v>-14991.226951771314</v>
      </c>
      <c r="N1123" s="2">
        <f t="shared" si="882"/>
        <v>-55609.521829149999</v>
      </c>
      <c r="O1123" s="23">
        <f t="shared" si="883"/>
        <v>-98.585097052371779</v>
      </c>
      <c r="P1123" s="1">
        <f t="shared" si="891"/>
        <v>-97.870405522090948</v>
      </c>
      <c r="Q1123" s="1">
        <f>(Q$1125-Q$1122)/($N$1125-$N$1122)*($N1123-$N$1122)+Q$1122</f>
        <v>8.7730482286868376</v>
      </c>
      <c r="R1123">
        <f t="shared" si="853"/>
        <v>0</v>
      </c>
      <c r="S1123" s="23">
        <f t="shared" ref="S1123:S1124" si="897">(S$1125-S$1122)/($N$1125-$N$1122)*($N1123-$N$1122)+S$1122</f>
        <v>-2.0850970523717742</v>
      </c>
      <c r="T1123">
        <f>$S1123+測地線補正!$Q$26*(lattice!$N1123/1000)^3+測地線補正!$P$26*(lattice!$N1123/1000)^2+測地線補正!$O$26*(lattice!$N1123/1000)+測地線補正!$N$26</f>
        <v>-1.3704055220909479</v>
      </c>
      <c r="U1123">
        <v>0</v>
      </c>
      <c r="V1123">
        <v>0</v>
      </c>
      <c r="W1123">
        <v>0</v>
      </c>
      <c r="X1123">
        <f>$Z$1124-($Y$1124+$Y$1121)/2</f>
        <v>216.34083725986795</v>
      </c>
      <c r="Y1123">
        <f>_xlfn.XLOOKUP($F1123,設計座標!$E$13:$E$2301,設計座標!$L$13:$L$2301," ",0,1)</f>
        <v>150</v>
      </c>
      <c r="Z1123">
        <f>SQRT(($M$1124-$M$1121)^2+($N$1124-$N$1121)^2)</f>
        <v>371.34083725986795</v>
      </c>
      <c r="AA1123">
        <f>_xlfn.XLOOKUP($G1123,magnet_list!$A$2:$A$592,magnet_list!$AJ$2:$AJ$592,"n/a",0,1)</f>
        <v>0.18992999999999999</v>
      </c>
      <c r="AB1123">
        <f>_xlfn.XLOOKUP($G1123,magnet_list!$A$2:$A$592,magnet_list!$L$2:$L$592,"n/a",0,1)</f>
        <v>35</v>
      </c>
    </row>
    <row r="1124" spans="1:29">
      <c r="A1124" t="s">
        <v>797</v>
      </c>
      <c r="B1124">
        <v>1</v>
      </c>
      <c r="C1124" t="s">
        <v>805</v>
      </c>
      <c r="D1124" t="s">
        <v>1152</v>
      </c>
      <c r="E1124" t="s">
        <v>804</v>
      </c>
      <c r="F1124" t="s">
        <v>1885</v>
      </c>
      <c r="G1124" t="s">
        <v>1835</v>
      </c>
      <c r="I1124">
        <f>_xlfn.XLOOKUP($F1124,設計座標!$E$13:$E$2301,設計座標!$G$13:$G$2301,"n/a",0,1)</f>
        <v>320.07157929505883</v>
      </c>
      <c r="J1124">
        <f>_xlfn.XLOOKUP($F1124,設計座標!$E$13:$E$2301,設計座標!$H$13:$H$2301,"n/a",0,1)</f>
        <v>-15000</v>
      </c>
      <c r="K1124">
        <f>_xlfn.XLOOKUP($F1124,設計座標!$E$13:$E$2301,設計座標!$I$13:$I$2301,"n/a",0,1)</f>
        <v>-55609.521829149999</v>
      </c>
      <c r="L1124">
        <f>_xlfn.XLOOKUP($F1124,設計座標!$E$13:$E$2301,設計座標!$J$13:$J$2301,"n/a",0,1)</f>
        <v>-96.5</v>
      </c>
      <c r="M1124" s="2">
        <f t="shared" si="881"/>
        <v>-14991.226951771314</v>
      </c>
      <c r="N1124" s="2">
        <f t="shared" si="882"/>
        <v>-55609.521829149999</v>
      </c>
      <c r="O1124" s="23">
        <f t="shared" si="883"/>
        <v>-98.585097052371779</v>
      </c>
      <c r="P1124" s="1">
        <f t="shared" si="891"/>
        <v>-97.870405522090948</v>
      </c>
      <c r="Q1124" s="1">
        <f>(Q$1125-Q$1122)/($N$1125-$N$1122)*($N1124-$N$1122)+Q$1122</f>
        <v>8.7730482286868376</v>
      </c>
      <c r="R1124">
        <f t="shared" si="853"/>
        <v>0</v>
      </c>
      <c r="S1124" s="23">
        <f t="shared" si="897"/>
        <v>-2.0850970523717742</v>
      </c>
      <c r="T1124">
        <f>$S1124+測地線補正!$Q$26*(lattice!$N1124/1000)^3+測地線補正!$P$26*(lattice!$N1124/1000)^2+測地線補正!$O$26*(lattice!$N1124/1000)+測地線補正!$N$26</f>
        <v>-1.3704055220909479</v>
      </c>
      <c r="U1124">
        <v>0</v>
      </c>
      <c r="V1124">
        <v>0</v>
      </c>
      <c r="W1124">
        <v>0</v>
      </c>
      <c r="X1124">
        <f>$Z$1124-($Y$1124+$Y$1121)/2</f>
        <v>216.34083725986795</v>
      </c>
      <c r="Y1124">
        <f>_xlfn.XLOOKUP($F1124,設計座標!$E$13:$E$2301,設計座標!$L$13:$L$2301," ",0,1)</f>
        <v>150</v>
      </c>
      <c r="Z1124">
        <f>SQRT(($M$1124-$M$1121)^2+($N$1124-$N$1121)^2)</f>
        <v>371.34083725986795</v>
      </c>
      <c r="AA1124">
        <f>_xlfn.XLOOKUP($G1124,magnet_list!$A$2:$A$592,magnet_list!$AJ$2:$AJ$592,"n/a",0,1)</f>
        <v>0.18992999999999999</v>
      </c>
      <c r="AB1124">
        <f>_xlfn.XLOOKUP($G1124,magnet_list!$A$2:$A$592,magnet_list!$L$2:$L$592,"n/a",0,1)</f>
        <v>35</v>
      </c>
    </row>
    <row r="1125" spans="1:29">
      <c r="A1125" t="s">
        <v>797</v>
      </c>
      <c r="B1125">
        <v>1</v>
      </c>
      <c r="C1125" t="s">
        <v>805</v>
      </c>
      <c r="D1125" t="s">
        <v>806</v>
      </c>
      <c r="F1125" t="s">
        <v>266</v>
      </c>
      <c r="G1125" t="s">
        <v>2616</v>
      </c>
      <c r="I1125">
        <f>_xlfn.XLOOKUP($F1125,設計座標!$E$13:$E$2301,設計座標!$G$13:$G$2301,"n/a",0,1)</f>
        <v>320.23019235280884</v>
      </c>
      <c r="J1125">
        <f>_xlfn.XLOOKUP($F1125,設計座標!$E$13:$E$2301,設計座標!$H$13:$H$2301,"n/a",0,1)</f>
        <v>-15000</v>
      </c>
      <c r="K1125">
        <f>_xlfn.XLOOKUP($F1125,設計座標!$E$13:$E$2301,設計座標!$I$13:$I$2301,"n/a",0,1)</f>
        <v>-55768.134886899999</v>
      </c>
      <c r="L1125">
        <f>_xlfn.XLOOKUP($F1125,設計座標!$E$13:$E$2301,設計座標!$J$13:$J$2301,"n/a",0,1)</f>
        <v>90</v>
      </c>
      <c r="M1125" s="2">
        <f>_xlfn.XLOOKUP($F1125,survey_data!$A$2:$A$833,survey_data!$B$2:$B$833,"n/a",0,1)</f>
        <v>-14991.24481912</v>
      </c>
      <c r="N1125" s="2">
        <f>_xlfn.XLOOKUP($F1125,survey_data!$A$2:$A$833,survey_data!$C$2:$C$833,"n/a",0,1)</f>
        <v>-55768.134886899999</v>
      </c>
      <c r="O1125" s="23">
        <f>_xlfn.XLOOKUP($F1125,survey_data!$A$2:$A$833,survey_data!$D$2:$D$833,"n/a",0,1)</f>
        <v>87.938633699999997</v>
      </c>
      <c r="P1125" s="1">
        <f t="shared" si="891"/>
        <v>88.658152747411066</v>
      </c>
      <c r="Q1125" s="1">
        <f t="shared" si="852"/>
        <v>8.755180879999898</v>
      </c>
      <c r="R1125">
        <f t="shared" si="853"/>
        <v>0</v>
      </c>
      <c r="S1125" s="23">
        <f t="shared" si="854"/>
        <v>-2.0613663000000031</v>
      </c>
      <c r="T1125">
        <f>$S1125+測地線補正!$Q$26*(lattice!$N1125/1000)^3+測地線補正!$P$26*(lattice!$N1125/1000)^2+測地線補正!$O$26*(lattice!$N1125/1000)+測地線補正!$N$26</f>
        <v>-1.3418472525889344</v>
      </c>
      <c r="U1125">
        <f>-ATAN(($P$1127-$P$1125)/ABS($N$1127-$N$1125))</f>
        <v>-5.3563587340424998E-4</v>
      </c>
      <c r="V1125">
        <v>0</v>
      </c>
      <c r="W1125">
        <f>ATAN(($M$1127-$M$1125)/ABS($N$1127-$N$1125))</f>
        <v>-3.5938088008546421E-5</v>
      </c>
      <c r="X1125">
        <f>$Z$1126-($Y$1126+$Y$1124)/2</f>
        <v>73.610058658668009</v>
      </c>
      <c r="Y1125">
        <f>_xlfn.XLOOKUP($F1125,設計座標!$E$13:$E$2301,設計座標!$L$13:$L$2301," ",0,1)</f>
        <v>160</v>
      </c>
      <c r="Z1125">
        <f>SQRT(($M$1126-$M$1124)^2+($N$1126-$N$1124)^2)</f>
        <v>228.61005865866801</v>
      </c>
      <c r="AA1125">
        <f>_xlfn.XLOOKUP($G1125,magnet_list!$A$2:$A$592,magnet_list!$AJ$2:$AJ$592,"n/a",0,1)</f>
        <v>0.17374887133613809</v>
      </c>
      <c r="AB1125">
        <f>_xlfn.XLOOKUP($G1125,magnet_list!$A$2:$A$592,magnet_list!$L$2:$L$592,"n/a",0,1)</f>
        <v>44</v>
      </c>
    </row>
    <row r="1126" spans="1:29">
      <c r="A1126" t="s">
        <v>797</v>
      </c>
      <c r="B1126">
        <v>1</v>
      </c>
      <c r="C1126" t="s">
        <v>805</v>
      </c>
      <c r="D1126" t="s">
        <v>1152</v>
      </c>
      <c r="E1126" t="s">
        <v>804</v>
      </c>
      <c r="F1126" t="s">
        <v>677</v>
      </c>
      <c r="G1126" t="s">
        <v>2616</v>
      </c>
      <c r="I1126">
        <f>_xlfn.XLOOKUP($F1126,設計座標!$E$13:$E$2301,設計座標!$G$13:$G$2301,"n/a",0,1)</f>
        <v>320.30018935280884</v>
      </c>
      <c r="J1126">
        <f>_xlfn.XLOOKUP($F1126,設計座標!$E$13:$E$2301,設計座標!$H$13:$H$2301,"n/a",0,1)</f>
        <v>-15000</v>
      </c>
      <c r="K1126">
        <f>_xlfn.XLOOKUP($F1126,設計座標!$E$13:$E$2301,設計座標!$I$13:$I$2301,"n/a",0,1)</f>
        <v>-55838.131886899995</v>
      </c>
      <c r="L1126">
        <f>_xlfn.XLOOKUP($F1126,設計座標!$E$13:$E$2301,設計座標!$J$13:$J$2301,"n/a",0,1)</f>
        <v>90</v>
      </c>
      <c r="M1126" s="2">
        <f t="shared" si="881"/>
        <v>-14991.247334678348</v>
      </c>
      <c r="N1126" s="2">
        <f t="shared" si="882"/>
        <v>-55838.131886899995</v>
      </c>
      <c r="O1126" s="23">
        <f t="shared" si="883"/>
        <v>87.973999034665781</v>
      </c>
      <c r="P1126" s="1">
        <f t="shared" si="891"/>
        <v>88.695646321266722</v>
      </c>
      <c r="Q1126" s="1">
        <f>(Q$1127-Q$1125)/($N$1127-$N$1125)*($N1126-$N$1125)+Q$1125</f>
        <v>8.752665321652481</v>
      </c>
      <c r="R1126">
        <f t="shared" si="853"/>
        <v>0</v>
      </c>
      <c r="S1126" s="23">
        <f>(S$1127-S$1125)/($N$1127-$N$1125)*($N1126-$N$1125)+S$1125</f>
        <v>-2.0260009653342226</v>
      </c>
      <c r="T1126">
        <f>$S1126+測地線補正!$Q$26*(lattice!$N1126/1000)^3+測地線補正!$P$26*(lattice!$N1126/1000)^2+測地線補正!$O$26*(lattice!$N1126/1000)+測地線補正!$N$26</f>
        <v>-1.3043536787332795</v>
      </c>
      <c r="U1126">
        <f t="shared" ref="U1126:U1127" si="898">-ATAN(($P$1127-$P$1125)/ABS($N$1127-$N$1125))</f>
        <v>-5.3563587340424998E-4</v>
      </c>
      <c r="V1126">
        <v>0</v>
      </c>
      <c r="W1126">
        <f t="shared" ref="W1126:W1127" si="899">ATAN(($M$1127-$M$1125)/ABS($N$1127-$N$1125))</f>
        <v>-3.5938088008546421E-5</v>
      </c>
      <c r="X1126">
        <f>$Z$1126-($Y$1126+$Y$1124)/2</f>
        <v>73.610058658668009</v>
      </c>
      <c r="Y1126">
        <f>_xlfn.XLOOKUP($F1126,設計座標!$E$13:$E$2301,設計座標!$L$13:$L$2301," ",0,1)</f>
        <v>160</v>
      </c>
      <c r="Z1126">
        <f>SQRT(($M$1126-$M$1124)^2+($N$1126-$N$1124)^2)</f>
        <v>228.61005865866801</v>
      </c>
      <c r="AA1126">
        <f>_xlfn.XLOOKUP($G1126,magnet_list!$A$2:$A$592,magnet_list!$AJ$2:$AJ$592,"n/a",0,1)</f>
        <v>0.17374887133613809</v>
      </c>
      <c r="AB1126">
        <f>_xlfn.XLOOKUP($G1126,magnet_list!$A$2:$A$592,magnet_list!$L$2:$L$592,"n/a",0,1)</f>
        <v>44</v>
      </c>
    </row>
    <row r="1127" spans="1:29">
      <c r="A1127" t="s">
        <v>797</v>
      </c>
      <c r="B1127">
        <v>1</v>
      </c>
      <c r="C1127" t="s">
        <v>805</v>
      </c>
      <c r="D1127" t="s">
        <v>806</v>
      </c>
      <c r="F1127" t="s">
        <v>267</v>
      </c>
      <c r="G1127" t="s">
        <v>2616</v>
      </c>
      <c r="I1127">
        <f>_xlfn.XLOOKUP($F1127,設計座標!$E$13:$E$2301,設計座標!$G$13:$G$2301,"n/a",0,1)</f>
        <v>320.37017420150886</v>
      </c>
      <c r="J1127">
        <f>_xlfn.XLOOKUP($F1127,設計座標!$E$13:$E$2301,設計座標!$H$13:$H$2301,"n/a",0,1)</f>
        <v>-15000</v>
      </c>
      <c r="K1127">
        <f>_xlfn.XLOOKUP($F1127,設計座標!$E$13:$E$2301,設計座標!$I$13:$I$2301,"n/a",0,1)</f>
        <v>-55908.116735600001</v>
      </c>
      <c r="L1127">
        <f>_xlfn.XLOOKUP($F1127,設計座標!$E$13:$E$2301,設計座標!$J$13:$J$2301,"n/a",0,1)</f>
        <v>90</v>
      </c>
      <c r="M1127" s="2">
        <f>_xlfn.XLOOKUP($F1127,survey_data!$A$2:$A$833,survey_data!$B$2:$B$833,"n/a",0,1)</f>
        <v>-14991.2498498</v>
      </c>
      <c r="N1127" s="2">
        <f>_xlfn.XLOOKUP($F1127,survey_data!$A$2:$A$833,survey_data!$C$2:$C$833,"n/a",0,1)</f>
        <v>-55908.116735600001</v>
      </c>
      <c r="O1127" s="23">
        <f>_xlfn.XLOOKUP($F1127,survey_data!$A$2:$A$833,survey_data!$D$2:$D$833,"n/a",0,1)</f>
        <v>88.009358230000004</v>
      </c>
      <c r="P1127" s="1">
        <f t="shared" si="891"/>
        <v>88.733132054370898</v>
      </c>
      <c r="Q1127" s="1">
        <f t="shared" si="852"/>
        <v>8.7501501999995526</v>
      </c>
      <c r="R1127">
        <f t="shared" si="853"/>
        <v>0</v>
      </c>
      <c r="S1127" s="23">
        <f t="shared" si="854"/>
        <v>-1.9906417699999963</v>
      </c>
      <c r="T1127">
        <f>$S1127+測地線補正!$Q$26*(lattice!$N1127/1000)^3+測地線補正!$P$26*(lattice!$N1127/1000)^2+測地線補正!$O$26*(lattice!$N1127/1000)+測地線補正!$N$26</f>
        <v>-1.2668679456290948</v>
      </c>
      <c r="U1127">
        <f t="shared" si="898"/>
        <v>-5.3563587340424998E-4</v>
      </c>
      <c r="V1127">
        <v>0</v>
      </c>
      <c r="W1127">
        <f t="shared" si="899"/>
        <v>-3.5938088008546421E-5</v>
      </c>
      <c r="X1127">
        <f>$Z$1126-($Y$1126+$Y$1124)/2</f>
        <v>73.610058658668009</v>
      </c>
      <c r="Y1127">
        <f>_xlfn.XLOOKUP($F1127,設計座標!$E$13:$E$2301,設計座標!$L$13:$L$2301," ",0,1)</f>
        <v>160</v>
      </c>
      <c r="Z1127">
        <f>SQRT(($M$1126-$M$1124)^2+($N$1126-$N$1124)^2)</f>
        <v>228.61005865866801</v>
      </c>
      <c r="AA1127">
        <f>_xlfn.XLOOKUP($G1127,magnet_list!$A$2:$A$592,magnet_list!$AJ$2:$AJ$592,"n/a",0,1)</f>
        <v>0.17374887133613809</v>
      </c>
      <c r="AB1127">
        <f>_xlfn.XLOOKUP($G1127,magnet_list!$A$2:$A$592,magnet_list!$L$2:$L$592,"n/a",0,1)</f>
        <v>44</v>
      </c>
    </row>
    <row r="1128" spans="1:29">
      <c r="A1128" t="s">
        <v>797</v>
      </c>
      <c r="B1128">
        <v>1</v>
      </c>
      <c r="C1128" t="s">
        <v>2288</v>
      </c>
      <c r="D1128" t="s">
        <v>1152</v>
      </c>
      <c r="E1128" t="s">
        <v>804</v>
      </c>
      <c r="F1128" t="s">
        <v>2080</v>
      </c>
      <c r="G1128" t="s">
        <v>2080</v>
      </c>
      <c r="I1128">
        <f>_xlfn.XLOOKUP($F1128,設計座標!$E$13:$E$2301,設計座標!$G$13:$G$2301,"n/a",0,1)</f>
        <v>320.66983766136889</v>
      </c>
      <c r="J1128">
        <f>_xlfn.XLOOKUP($F1128,設計座標!$E$13:$E$2301,設計座標!$H$13:$H$2301,"n/a",0,1)</f>
        <v>-15000</v>
      </c>
      <c r="K1128">
        <f>_xlfn.XLOOKUP($F1128,設計座標!$E$13:$E$2301,設計座標!$I$13:$I$2301,"n/a",0,1)</f>
        <v>-56207.780195460073</v>
      </c>
      <c r="L1128">
        <f>_xlfn.XLOOKUP($F1128,設計座標!$E$13:$E$2301,設計座標!$J$13:$J$2301,"n/a",0,1)</f>
        <v>-270</v>
      </c>
      <c r="M1128" s="2">
        <f t="shared" si="881"/>
        <v>-14991.279855576757</v>
      </c>
      <c r="N1128" s="2">
        <f t="shared" si="882"/>
        <v>-56207.780195460073</v>
      </c>
      <c r="O1128" s="23">
        <f t="shared" si="883"/>
        <v>-271.89446702306435</v>
      </c>
      <c r="P1128" s="1">
        <f t="shared" si="891"/>
        <v>-271.16160277220536</v>
      </c>
      <c r="Q1128" s="1">
        <f>(Q$1135-Q$1127)/($N$1135-$N$1127)*($N1128-$N$1127)+Q$1127</f>
        <v>8.7201444232440846</v>
      </c>
      <c r="R1128">
        <f t="shared" si="853"/>
        <v>0</v>
      </c>
      <c r="S1128" s="23">
        <f t="shared" ref="S1128:S1134" si="900">(S$1135-S$1127)/($N$1135-$N$1127)*($N1128-$N$1127)+S$1127</f>
        <v>-1.8944670230643756</v>
      </c>
      <c r="T1128">
        <f>$S1128+測地線補正!$Q$26*(lattice!$N1128/1000)^3+測地線補正!$P$26*(lattice!$N1128/1000)^2+測地線補正!$O$26*(lattice!$N1128/1000)+測地線補正!$N$26</f>
        <v>-1.1616027722053357</v>
      </c>
      <c r="U1128">
        <v>0</v>
      </c>
      <c r="V1128">
        <v>0</v>
      </c>
      <c r="W1128">
        <v>0</v>
      </c>
      <c r="X1128">
        <f>$Z$1128-($Y$1128+$Y$1126)/2</f>
        <v>264.64830999063844</v>
      </c>
      <c r="Y1128">
        <f>_xlfn.XLOOKUP($F1128,設計座標!$E$13:$E$2301,設計座標!$L$13:$L$2301," ",0,1)</f>
        <v>50</v>
      </c>
      <c r="Z1128">
        <f>SQRT(($M$1128-$M$1126)^2+($N$1128-$N$1126)^2)</f>
        <v>369.64830999063844</v>
      </c>
      <c r="AC1128">
        <f>_xlfn.XLOOKUP($F1128,設計座標!$E$14:$E$2301,設計座標!$M$14:$M$2301,"n/a",0,1)</f>
        <v>30</v>
      </c>
    </row>
    <row r="1129" spans="1:29">
      <c r="A1129" t="s">
        <v>797</v>
      </c>
      <c r="B1129">
        <v>1</v>
      </c>
      <c r="C1129" t="s">
        <v>1152</v>
      </c>
      <c r="D1129" t="s">
        <v>1152</v>
      </c>
      <c r="E1129" t="s">
        <v>804</v>
      </c>
      <c r="F1129" t="s">
        <v>2081</v>
      </c>
      <c r="G1129" t="s">
        <v>2081</v>
      </c>
      <c r="I1129">
        <f>_xlfn.XLOOKUP($F1129,設計座標!$E$13:$E$2301,設計座標!$G$13:$G$2301,"n/a",0,1)</f>
        <v>320.80733766136888</v>
      </c>
      <c r="J1129">
        <f>_xlfn.XLOOKUP($F1129,設計座標!$E$13:$E$2301,設計座標!$H$13:$H$2301,"n/a",0,1)</f>
        <v>-15000</v>
      </c>
      <c r="K1129">
        <f>_xlfn.XLOOKUP($F1129,設計座標!$E$13:$E$2301,設計座標!$I$13:$I$2301,"n/a",0,1)</f>
        <v>-56345.280195460073</v>
      </c>
      <c r="L1129">
        <f>_xlfn.XLOOKUP($F1129,設計座標!$E$13:$E$2301,設計座標!$J$13:$J$2301,"n/a",0,1)</f>
        <v>-270</v>
      </c>
      <c r="M1129" s="2">
        <f t="shared" si="881"/>
        <v>-14991.293623669488</v>
      </c>
      <c r="N1129" s="2">
        <f t="shared" si="882"/>
        <v>-56345.280195460073</v>
      </c>
      <c r="O1129" s="23">
        <f t="shared" si="883"/>
        <v>-271.85033742611643</v>
      </c>
      <c r="P1129" s="1">
        <f t="shared" si="891"/>
        <v>-271.11331021554372</v>
      </c>
      <c r="Q1129" s="1">
        <f t="shared" ref="Q1129:Q1134" si="901">(Q$1135-Q$1127)/($N$1135-$N$1127)*($N1129-$N$1127)+Q$1127</f>
        <v>8.7063763305116453</v>
      </c>
      <c r="R1129">
        <f t="shared" si="853"/>
        <v>0</v>
      </c>
      <c r="S1129" s="23">
        <f t="shared" si="900"/>
        <v>-1.8503374261164436</v>
      </c>
      <c r="T1129">
        <f>$S1129+測地線補正!$Q$26*(lattice!$N1129/1000)^3+測地線補正!$P$26*(lattice!$N1129/1000)^2+測地線補正!$O$26*(lattice!$N1129/1000)+測地線補正!$N$26</f>
        <v>-1.1133102155437069</v>
      </c>
      <c r="U1129">
        <v>0</v>
      </c>
      <c r="V1129">
        <v>0</v>
      </c>
      <c r="W1129">
        <v>0</v>
      </c>
      <c r="X1129">
        <f>$Z$1129-($Y$1129+$Y$1128)/2</f>
        <v>112.50000068931047</v>
      </c>
      <c r="Y1129">
        <f>_xlfn.XLOOKUP($F1129,設計座標!$E$13:$E$2301,設計座標!$L$13:$L$2301," ",0,1)</f>
        <v>0</v>
      </c>
      <c r="Z1129">
        <f>SQRT(($M$1129-$M$1128)^2+($N$1129-$N$1128)^2)</f>
        <v>137.50000068931047</v>
      </c>
    </row>
    <row r="1130" spans="1:29">
      <c r="A1130" t="s">
        <v>797</v>
      </c>
      <c r="B1130">
        <v>1</v>
      </c>
      <c r="C1130" t="s">
        <v>805</v>
      </c>
      <c r="D1130" t="s">
        <v>1152</v>
      </c>
      <c r="F1130" t="s">
        <v>678</v>
      </c>
      <c r="G1130" t="s">
        <v>2617</v>
      </c>
      <c r="I1130">
        <f>_xlfn.XLOOKUP($F1130,設計座標!$E$13:$E$2301,設計座標!$G$13:$G$2301,"n/a",0,1)</f>
        <v>320.8341742015088</v>
      </c>
      <c r="J1130">
        <f>_xlfn.XLOOKUP($F1130,設計座標!$E$13:$E$2301,設計座標!$H$13:$H$2301,"n/a",0,1)</f>
        <v>-15000</v>
      </c>
      <c r="K1130">
        <f>_xlfn.XLOOKUP($F1130,設計座標!$E$13:$E$2301,設計座標!$I$13:$I$2301,"n/a",0,1)</f>
        <v>-56372.116735600001</v>
      </c>
      <c r="L1130">
        <f>_xlfn.XLOOKUP($F1130,設計座標!$E$13:$E$2301,設計座標!$J$13:$J$2301,"n/a",0,1)</f>
        <v>90</v>
      </c>
      <c r="M1130" s="2">
        <f t="shared" si="881"/>
        <v>-14991.296310854748</v>
      </c>
      <c r="N1130" s="2">
        <f t="shared" si="882"/>
        <v>-56372.116735600001</v>
      </c>
      <c r="O1130" s="23">
        <f t="shared" si="883"/>
        <v>88.158275560791566</v>
      </c>
      <c r="P1130" s="1">
        <f t="shared" si="891"/>
        <v>88.896114677572299</v>
      </c>
      <c r="Q1130" s="1">
        <f t="shared" si="901"/>
        <v>8.7036891452515412</v>
      </c>
      <c r="R1130">
        <f t="shared" si="853"/>
        <v>0</v>
      </c>
      <c r="S1130" s="23">
        <f t="shared" si="900"/>
        <v>-1.8417244392084289</v>
      </c>
      <c r="T1130">
        <f>$S1130+測地線補正!$Q$26*(lattice!$N1130/1000)^3+測地線補正!$P$26*(lattice!$N1130/1000)^2+測地線補正!$O$26*(lattice!$N1130/1000)+測地線補正!$N$26</f>
        <v>-1.1038853224277025</v>
      </c>
      <c r="U1130">
        <f>-ATAN(($P$1132-$P$1130)/ABS($N$1132-$N$1130))</f>
        <v>-3.5117362291001419E-4</v>
      </c>
      <c r="V1130">
        <v>0</v>
      </c>
      <c r="W1130">
        <f>ATAN(($M$1132-$M$1130)/ABS($N$1132-$N$1130))</f>
        <v>-1.0013158317040144E-4</v>
      </c>
      <c r="X1130">
        <f>$Z$1131-($Y$1131+$Y$1129)/2</f>
        <v>16.836540625385567</v>
      </c>
      <c r="Y1130">
        <f>_xlfn.XLOOKUP($F1130,設計座標!$E$13:$E$2301,設計座標!$L$13:$L$2301," ",0,1)</f>
        <v>160</v>
      </c>
      <c r="Z1130">
        <f>SQRT(($M$1131-$M$1129)^2+($N$1131-$N$1129)^2)</f>
        <v>96.836540625385567</v>
      </c>
      <c r="AA1130">
        <f>_xlfn.XLOOKUP($G1130,magnet_list!$A$2:$A$592,magnet_list!$AJ$2:$AJ$592,"n/a",0,1)</f>
        <v>0.17374887133613809</v>
      </c>
      <c r="AB1130">
        <f>_xlfn.XLOOKUP($G1130,magnet_list!$A$2:$A$592,magnet_list!$L$2:$L$592,"n/a",0,1)</f>
        <v>44</v>
      </c>
    </row>
    <row r="1131" spans="1:29">
      <c r="A1131" t="s">
        <v>797</v>
      </c>
      <c r="B1131">
        <v>1</v>
      </c>
      <c r="C1131" t="s">
        <v>805</v>
      </c>
      <c r="D1131" t="s">
        <v>1152</v>
      </c>
      <c r="E1131" t="s">
        <v>804</v>
      </c>
      <c r="F1131" t="s">
        <v>679</v>
      </c>
      <c r="G1131" t="s">
        <v>2617</v>
      </c>
      <c r="I1131">
        <f>_xlfn.XLOOKUP($F1131,設計座標!$E$13:$E$2301,設計座標!$G$13:$G$2301,"n/a",0,1)</f>
        <v>320.90417420150879</v>
      </c>
      <c r="J1131">
        <f>_xlfn.XLOOKUP($F1131,設計座標!$E$13:$E$2301,設計座標!$H$13:$H$2301,"n/a",0,1)</f>
        <v>-15000</v>
      </c>
      <c r="K1131">
        <f>_xlfn.XLOOKUP($F1131,設計座標!$E$13:$E$2301,設計座標!$I$13:$I$2301,"n/a",0,1)</f>
        <v>-56442.116735600001</v>
      </c>
      <c r="L1131">
        <f>_xlfn.XLOOKUP($F1131,設計座標!$E$13:$E$2301,設計座標!$J$13:$J$2301,"n/a",0,1)</f>
        <v>90</v>
      </c>
      <c r="M1131" s="2">
        <f t="shared" si="881"/>
        <v>-14991.303320065594</v>
      </c>
      <c r="N1131" s="2">
        <f t="shared" si="882"/>
        <v>-56442.116735600001</v>
      </c>
      <c r="O1131" s="23">
        <f t="shared" si="883"/>
        <v>88.180741537419607</v>
      </c>
      <c r="P1131" s="1">
        <f t="shared" si="891"/>
        <v>88.920697497193942</v>
      </c>
      <c r="Q1131" s="1">
        <f t="shared" si="901"/>
        <v>8.6966799344059353</v>
      </c>
      <c r="R1131">
        <f t="shared" si="853"/>
        <v>0</v>
      </c>
      <c r="S1131" s="23">
        <f t="shared" si="900"/>
        <v>-1.8192584625803907</v>
      </c>
      <c r="T1131">
        <f>$S1131+測地線補正!$Q$26*(lattice!$N1131/1000)^3+測地線補正!$P$26*(lattice!$N1131/1000)^2+測地線補正!$O$26*(lattice!$N1131/1000)+測地線補正!$N$26</f>
        <v>-1.0793025028060648</v>
      </c>
      <c r="U1131">
        <f t="shared" ref="U1131:U1132" si="902">-ATAN(($P$1132-$P$1130)/ABS($N$1132-$N$1130))</f>
        <v>-3.5117362291001419E-4</v>
      </c>
      <c r="V1131">
        <v>0</v>
      </c>
      <c r="W1131">
        <f t="shared" ref="W1131:W1132" si="903">ATAN(($M$1132-$M$1130)/ABS($N$1132-$N$1130))</f>
        <v>-1.0013158317040144E-4</v>
      </c>
      <c r="X1131">
        <f>$Z$1131-($Y$1131+$Y$1129)/2</f>
        <v>16.836540625385567</v>
      </c>
      <c r="Y1131">
        <f>_xlfn.XLOOKUP($F1131,設計座標!$E$13:$E$2301,設計座標!$L$13:$L$2301," ",0,1)</f>
        <v>160</v>
      </c>
      <c r="Z1131">
        <f>SQRT(($M$1131-$M$1129)^2+($N$1131-$N$1129)^2)</f>
        <v>96.836540625385567</v>
      </c>
      <c r="AA1131">
        <f>_xlfn.XLOOKUP($G1131,magnet_list!$A$2:$A$592,magnet_list!$AJ$2:$AJ$592,"n/a",0,1)</f>
        <v>0.17374887133613809</v>
      </c>
      <c r="AB1131">
        <f>_xlfn.XLOOKUP($G1131,magnet_list!$A$2:$A$592,magnet_list!$L$2:$L$592,"n/a",0,1)</f>
        <v>44</v>
      </c>
    </row>
    <row r="1132" spans="1:29">
      <c r="A1132" t="s">
        <v>797</v>
      </c>
      <c r="B1132">
        <v>1</v>
      </c>
      <c r="C1132" t="s">
        <v>805</v>
      </c>
      <c r="D1132" t="s">
        <v>1152</v>
      </c>
      <c r="F1132" t="s">
        <v>680</v>
      </c>
      <c r="G1132" t="s">
        <v>2617</v>
      </c>
      <c r="I1132">
        <f>_xlfn.XLOOKUP($F1132,設計座標!$E$13:$E$2301,設計座標!$G$13:$G$2301,"n/a",0,1)</f>
        <v>320.97417420150879</v>
      </c>
      <c r="J1132">
        <f>_xlfn.XLOOKUP($F1132,設計座標!$E$13:$E$2301,設計座標!$H$13:$H$2301,"n/a",0,1)</f>
        <v>-15000</v>
      </c>
      <c r="K1132">
        <f>_xlfn.XLOOKUP($F1132,設計座標!$E$13:$E$2301,設計座標!$I$13:$I$2301,"n/a",0,1)</f>
        <v>-56512.116735600001</v>
      </c>
      <c r="L1132">
        <f>_xlfn.XLOOKUP($F1132,設計座標!$E$13:$E$2301,設計座標!$J$13:$J$2301,"n/a",0,1)</f>
        <v>90</v>
      </c>
      <c r="M1132" s="2">
        <f t="shared" si="881"/>
        <v>-14991.310329276439</v>
      </c>
      <c r="N1132" s="2">
        <f t="shared" si="882"/>
        <v>-56512.116735600001</v>
      </c>
      <c r="O1132" s="23">
        <f t="shared" si="883"/>
        <v>88.203207514047648</v>
      </c>
      <c r="P1132" s="1">
        <f t="shared" si="891"/>
        <v>88.94527898680073</v>
      </c>
      <c r="Q1132" s="1">
        <f t="shared" si="901"/>
        <v>8.6896707235603312</v>
      </c>
      <c r="R1132">
        <f t="shared" si="853"/>
        <v>0</v>
      </c>
      <c r="S1132" s="23">
        <f t="shared" si="900"/>
        <v>-1.7967924859523525</v>
      </c>
      <c r="T1132">
        <f>$S1132+測地線補正!$Q$26*(lattice!$N1132/1000)^3+測地線補正!$P$26*(lattice!$N1132/1000)^2+測地線補正!$O$26*(lattice!$N1132/1000)+測地線補正!$N$26</f>
        <v>-1.0547210131992755</v>
      </c>
      <c r="U1132">
        <f t="shared" si="902"/>
        <v>-3.5117362291001419E-4</v>
      </c>
      <c r="V1132">
        <v>0</v>
      </c>
      <c r="W1132">
        <f t="shared" si="903"/>
        <v>-1.0013158317040144E-4</v>
      </c>
      <c r="X1132">
        <f>$Z$1131-($Y$1131+$Y$1129)/2</f>
        <v>16.836540625385567</v>
      </c>
      <c r="Y1132">
        <f>_xlfn.XLOOKUP($F1132,設計座標!$E$13:$E$2301,設計座標!$L$13:$L$2301," ",0,1)</f>
        <v>160</v>
      </c>
      <c r="Z1132">
        <f>SQRT(($M$1131-$M$1129)^2+($N$1131-$N$1129)^2)</f>
        <v>96.836540625385567</v>
      </c>
      <c r="AA1132">
        <f>_xlfn.XLOOKUP($G1132,magnet_list!$A$2:$A$592,magnet_list!$AJ$2:$AJ$592,"n/a",0,1)</f>
        <v>0.17374887133613809</v>
      </c>
      <c r="AB1132">
        <f>_xlfn.XLOOKUP($G1132,magnet_list!$A$2:$A$592,magnet_list!$L$2:$L$592,"n/a",0,1)</f>
        <v>44</v>
      </c>
    </row>
    <row r="1133" spans="1:29">
      <c r="A1133" t="s">
        <v>797</v>
      </c>
      <c r="B1133">
        <v>1</v>
      </c>
      <c r="C1133" t="s">
        <v>1152</v>
      </c>
      <c r="D1133" t="s">
        <v>1152</v>
      </c>
      <c r="E1133" t="s">
        <v>804</v>
      </c>
      <c r="F1133" t="s">
        <v>2082</v>
      </c>
      <c r="G1133" t="s">
        <v>2082</v>
      </c>
      <c r="I1133">
        <f>_xlfn.XLOOKUP($F1133,設計座標!$E$13:$E$2301,設計座標!$G$13:$G$2301,"n/a",0,1)</f>
        <v>321.15483736136889</v>
      </c>
      <c r="J1133">
        <f>_xlfn.XLOOKUP($F1133,設計座標!$E$13:$E$2301,設計座標!$H$13:$H$2301,"n/a",0,1)</f>
        <v>-15000</v>
      </c>
      <c r="K1133">
        <f>_xlfn.XLOOKUP($F1133,設計座標!$E$13:$E$2301,設計座標!$I$13:$I$2301,"n/a",0,1)</f>
        <v>-56692.779895460073</v>
      </c>
      <c r="L1133">
        <f>_xlfn.XLOOKUP($F1133,設計座標!$E$13:$E$2301,設計座標!$J$13:$J$2301,"n/a",0,1)</f>
        <v>-270</v>
      </c>
      <c r="M1133" s="2">
        <f t="shared" si="881"/>
        <v>-14991.328419364718</v>
      </c>
      <c r="N1133" s="2">
        <f t="shared" si="882"/>
        <v>-56692.779895460073</v>
      </c>
      <c r="O1133" s="23">
        <f t="shared" si="883"/>
        <v>-271.73880999556718</v>
      </c>
      <c r="P1133" s="1">
        <f t="shared" si="891"/>
        <v>-270.99128473453698</v>
      </c>
      <c r="Q1133" s="1">
        <f t="shared" si="901"/>
        <v>8.6715806352818667</v>
      </c>
      <c r="R1133">
        <f t="shared" si="853"/>
        <v>0</v>
      </c>
      <c r="S1133" s="23">
        <f t="shared" si="900"/>
        <v>-1.7388099955671539</v>
      </c>
      <c r="T1133">
        <f>$S1133+測地線補正!$Q$26*(lattice!$N1133/1000)^3+測地線補正!$P$26*(lattice!$N1133/1000)^2+測地線補正!$O$26*(lattice!$N1133/1000)+測地線補正!$N$26</f>
        <v>-0.99128473453698951</v>
      </c>
      <c r="U1133">
        <v>0</v>
      </c>
      <c r="V1133">
        <v>0</v>
      </c>
      <c r="W1133">
        <v>0</v>
      </c>
      <c r="X1133">
        <f>$Z$1133-($Y$1133+$Y$1131)/2</f>
        <v>170.66316111668874</v>
      </c>
      <c r="Y1133">
        <f>_xlfn.XLOOKUP($F1133,設計座標!$E$13:$E$2301,設計座標!$L$13:$L$2301," ",0,1)</f>
        <v>0</v>
      </c>
      <c r="Z1133">
        <f>SQRT(($M$1133-$M$1131)^2+($N$1133-$N$1131)^2)</f>
        <v>250.66316111668874</v>
      </c>
    </row>
    <row r="1134" spans="1:29">
      <c r="A1134" t="s">
        <v>797</v>
      </c>
      <c r="B1134">
        <v>2</v>
      </c>
      <c r="C1134" t="s">
        <v>804</v>
      </c>
      <c r="D1134" t="s">
        <v>1152</v>
      </c>
      <c r="E1134" t="s">
        <v>804</v>
      </c>
      <c r="F1134" t="s">
        <v>1598</v>
      </c>
      <c r="G1134" t="s">
        <v>2618</v>
      </c>
      <c r="I1134">
        <f>_xlfn.XLOOKUP($F1134,設計座標!$E$13:$E$2301,設計座標!$G$13:$G$2301,"n/a",0,1)</f>
        <v>321.3016565160188</v>
      </c>
      <c r="J1134">
        <f>_xlfn.XLOOKUP($F1134,設計座標!$E$13:$E$2301,設計座標!$H$13:$H$2301,"n/a",0,1)</f>
        <v>-15000</v>
      </c>
      <c r="K1134">
        <f>_xlfn.XLOOKUP($F1134,設計座標!$E$13:$E$2301,設計座標!$I$13:$I$2301,"n/a",0,1)</f>
        <v>-56839.599050110002</v>
      </c>
      <c r="L1134">
        <f>_xlfn.XLOOKUP($F1134,設計座標!$E$13:$E$2301,設計座標!$J$13:$J$2301,"n/a",0,1)</f>
        <v>-270</v>
      </c>
      <c r="M1134" s="2">
        <f t="shared" si="881"/>
        <v>-14991.343120599162</v>
      </c>
      <c r="N1134" s="2">
        <f t="shared" si="882"/>
        <v>-56839.599050110002</v>
      </c>
      <c r="O1134" s="23">
        <f t="shared" si="883"/>
        <v>-271.69168948561122</v>
      </c>
      <c r="P1134" s="1">
        <f t="shared" si="891"/>
        <v>-270.93973862641923</v>
      </c>
      <c r="Q1134" s="1">
        <f t="shared" si="901"/>
        <v>8.6568794008373686</v>
      </c>
      <c r="R1134">
        <f t="shared" si="853"/>
        <v>0</v>
      </c>
      <c r="S1134" s="23">
        <f t="shared" si="900"/>
        <v>-1.6916894856112448</v>
      </c>
      <c r="T1134">
        <f>$S1134+測地線補正!$Q$26*(lattice!$N1134/1000)^3+測地線補正!$P$26*(lattice!$N1134/1000)^2+測地線補正!$O$26*(lattice!$N1134/1000)+測地線補正!$N$26</f>
        <v>-0.93973862641922934</v>
      </c>
      <c r="U1134">
        <f>-ATAN(($P$1145-$P$1134)/ABS($N$1145-$N$1134))</f>
        <v>-1.7639771591664317E-4</v>
      </c>
      <c r="V1134">
        <v>0</v>
      </c>
      <c r="W1134">
        <f>ATAN(($M$1145-$M$1134)/ABS($N$1145-$N$1134))</f>
        <v>-5.3614622687635245E-5</v>
      </c>
      <c r="X1134">
        <f>SQRT(($M$1134-$M$1133)^2+($N$1134-$N$1133)^2)-$Y$1133/2</f>
        <v>146.8191553859582</v>
      </c>
      <c r="Y1134">
        <f>_xlfn.XLOOKUP($F1134,設計座標!$E$13:$E$2301,設計座標!$L$13:$L$2301," ",0,1)</f>
        <v>1889.4492</v>
      </c>
      <c r="Z1134">
        <f>SQRT(($M$1140-$M$1139)^2+($N$1140-$N$1139)^2)</f>
        <v>40.782296687480532</v>
      </c>
    </row>
    <row r="1135" spans="1:29">
      <c r="A1135" t="s">
        <v>797</v>
      </c>
      <c r="B1135">
        <v>2</v>
      </c>
      <c r="C1135" t="s">
        <v>805</v>
      </c>
      <c r="D1135" t="s">
        <v>806</v>
      </c>
      <c r="F1135" t="s">
        <v>268</v>
      </c>
      <c r="G1135" t="s">
        <v>2619</v>
      </c>
      <c r="I1135">
        <f>_xlfn.XLOOKUP($F1135,設計座標!$E$13:$E$2301,設計座標!$G$13:$G$2301,"n/a",0,1)</f>
        <v>321.47060831168881</v>
      </c>
      <c r="J1135">
        <f>_xlfn.XLOOKUP($F1135,設計座標!$E$13:$E$2301,設計座標!$H$13:$H$2301,"n/a",0,1)</f>
        <v>-15000</v>
      </c>
      <c r="K1135">
        <f>_xlfn.XLOOKUP($F1135,設計座標!$E$13:$E$2301,設計座標!$I$13:$I$2301,"n/a",0,1)</f>
        <v>-57008.550845780002</v>
      </c>
      <c r="L1135">
        <f>_xlfn.XLOOKUP($F1135,設計座標!$E$13:$E$2301,設計座標!$J$13:$J$2301,"n/a",0,1)</f>
        <v>75</v>
      </c>
      <c r="M1135" s="2">
        <f>_xlfn.XLOOKUP($F1135,survey_data!$A$2:$A$833,survey_data!$B$2:$B$833,"n/a",0,1)</f>
        <v>-14991.36003801</v>
      </c>
      <c r="N1135" s="2">
        <f>_xlfn.XLOOKUP($F1135,survey_data!$A$2:$A$833,survey_data!$C$2:$C$833,"n/a",0,1)</f>
        <v>-57008.550845780002</v>
      </c>
      <c r="O1135" s="23">
        <f>_xlfn.XLOOKUP($F1135,survey_data!$A$2:$A$833,survey_data!$D$2:$D$833,"n/a",0,1)</f>
        <v>73.362534330000003</v>
      </c>
      <c r="P1135" s="1">
        <f t="shared" si="891"/>
        <v>74.119570704175274</v>
      </c>
      <c r="Q1135" s="1">
        <f t="shared" si="852"/>
        <v>8.6399619900003017</v>
      </c>
      <c r="R1135">
        <f t="shared" si="853"/>
        <v>0</v>
      </c>
      <c r="S1135" s="23">
        <f t="shared" si="854"/>
        <v>-1.6374656699999974</v>
      </c>
      <c r="T1135">
        <f>$S1135+測地線補正!$Q$26*(lattice!$N1135/1000)^3+測地線補正!$P$26*(lattice!$N1135/1000)^2+測地線補正!$O$26*(lattice!$N1135/1000)+測地線補正!$N$26</f>
        <v>-0.88042929582472396</v>
      </c>
      <c r="U1135">
        <f>-ATAN(($P$1137-$P$1135)/ABS($N$1137-$N$1135))</f>
        <v>-2.2614228753697519E-4</v>
      </c>
      <c r="V1135">
        <v>0</v>
      </c>
      <c r="W1135">
        <f>ATAN(($M$1137-$M$1135)/ABS($N$1137-$N$1135))</f>
        <v>1.2398868773295886E-4</v>
      </c>
      <c r="X1135" t="s">
        <v>3860</v>
      </c>
      <c r="Y1135">
        <f>_xlfn.XLOOKUP($F1135,設計座標!$E$13:$E$2301,設計座標!$L$13:$L$2301," ",0,1)</f>
        <v>300</v>
      </c>
      <c r="Z1135">
        <f>SQRT(($M$1136-$M$1133)^2+($N$1136-$N$1133)^2)</f>
        <v>450.76895056553923</v>
      </c>
      <c r="AA1135">
        <f>_xlfn.XLOOKUP($G1135,magnet_list!$A$2:$A$592,magnet_list!$AJ$2:$AJ$592,"n/a",0,1)</f>
        <v>0.32714527067797677</v>
      </c>
      <c r="AB1135">
        <f>_xlfn.XLOOKUP($G1135,magnet_list!$A$2:$A$592,magnet_list!$L$2:$L$592,"n/a",0,1)</f>
        <v>120</v>
      </c>
    </row>
    <row r="1136" spans="1:29">
      <c r="A1136" t="s">
        <v>797</v>
      </c>
      <c r="B1136">
        <v>2</v>
      </c>
      <c r="C1136" t="s">
        <v>805</v>
      </c>
      <c r="D1136" t="s">
        <v>1152</v>
      </c>
      <c r="E1136" t="s">
        <v>804</v>
      </c>
      <c r="F1136" t="s">
        <v>681</v>
      </c>
      <c r="G1136" t="s">
        <v>2619</v>
      </c>
      <c r="I1136">
        <f>_xlfn.XLOOKUP($F1136,設計座標!$E$13:$E$2301,設計座標!$G$13:$G$2301,"n/a",0,1)</f>
        <v>321.6056063116888</v>
      </c>
      <c r="J1136">
        <f>_xlfn.XLOOKUP($F1136,設計座標!$E$13:$E$2301,設計座標!$H$13:$H$2301,"n/a",0,1)</f>
        <v>-15000</v>
      </c>
      <c r="K1136">
        <f>_xlfn.XLOOKUP($F1136,設計座標!$E$13:$E$2301,設計座標!$I$13:$I$2301,"n/a",0,1)</f>
        <v>-57143.548845780002</v>
      </c>
      <c r="L1136">
        <f>_xlfn.XLOOKUP($F1136,設計座標!$E$13:$E$2301,設計座標!$J$13:$J$2301,"n/a",0,1)</f>
        <v>75</v>
      </c>
      <c r="M1136" s="2">
        <f t="shared" si="881"/>
        <v>-14991.343299785047</v>
      </c>
      <c r="N1136" s="2">
        <f t="shared" si="882"/>
        <v>-57143.548845780002</v>
      </c>
      <c r="O1136" s="23">
        <f t="shared" si="883"/>
        <v>73.389007621830515</v>
      </c>
      <c r="P1136" s="1">
        <f t="shared" si="891"/>
        <v>74.150101928986246</v>
      </c>
      <c r="Q1136" s="1">
        <f>(Q$1137-Q$1135)/($N$1137-$N$1135)*($N1136-$N$1135)+Q$1135</f>
        <v>8.6567002149526484</v>
      </c>
      <c r="R1136">
        <f t="shared" ref="R1136:R1199" si="904">$N1136-$K1136</f>
        <v>0</v>
      </c>
      <c r="S1136" s="23">
        <f>(S$1137-S$1135)/($N$1137-$N$1135)*($N1136-$N$1135)+S$1135</f>
        <v>-1.610992378169487</v>
      </c>
      <c r="T1136">
        <f>$S1136+測地線補正!$Q$26*(lattice!$N1136/1000)^3+測地線補正!$P$26*(lattice!$N1136/1000)^2+測地線補正!$O$26*(lattice!$N1136/1000)+測地線補正!$N$26</f>
        <v>-0.84989807101375647</v>
      </c>
      <c r="U1136">
        <f t="shared" ref="U1136:U1137" si="905">-ATAN(($P$1137-$P$1135)/ABS($N$1137-$N$1135))</f>
        <v>-2.2614228753697519E-4</v>
      </c>
      <c r="V1136">
        <v>0</v>
      </c>
      <c r="W1136">
        <f t="shared" ref="W1136:W1137" si="906">ATAN(($M$1137-$M$1135)/ABS($N$1137-$N$1135))</f>
        <v>1.2398868773295886E-4</v>
      </c>
      <c r="X1136" t="s">
        <v>3860</v>
      </c>
      <c r="Y1136">
        <f>_xlfn.XLOOKUP($F1136,設計座標!$E$13:$E$2301,設計座標!$L$13:$L$2301," ",0,1)</f>
        <v>300</v>
      </c>
      <c r="Z1136">
        <f>SQRT(($M$1136-$M$1133)^2+($N$1136-$N$1133)^2)</f>
        <v>450.76895056553923</v>
      </c>
      <c r="AA1136">
        <f>_xlfn.XLOOKUP($G1136,magnet_list!$A$2:$A$592,magnet_list!$AJ$2:$AJ$592,"n/a",0,1)</f>
        <v>0.32714527067797677</v>
      </c>
      <c r="AB1136">
        <f>_xlfn.XLOOKUP($G1136,magnet_list!$A$2:$A$592,magnet_list!$L$2:$L$592,"n/a",0,1)</f>
        <v>120</v>
      </c>
    </row>
    <row r="1137" spans="1:28">
      <c r="A1137" t="s">
        <v>797</v>
      </c>
      <c r="B1137">
        <v>2</v>
      </c>
      <c r="C1137" t="s">
        <v>805</v>
      </c>
      <c r="D1137" t="s">
        <v>806</v>
      </c>
      <c r="F1137" t="s">
        <v>269</v>
      </c>
      <c r="G1137" t="s">
        <v>2619</v>
      </c>
      <c r="I1137">
        <f>_xlfn.XLOOKUP($F1137,設計座標!$E$13:$E$2301,設計座標!$G$13:$G$2301,"n/a",0,1)</f>
        <v>321.74058318148877</v>
      </c>
      <c r="J1137">
        <f>_xlfn.XLOOKUP($F1137,設計座標!$E$13:$E$2301,設計座標!$H$13:$H$2301,"n/a",0,1)</f>
        <v>-15000</v>
      </c>
      <c r="K1137">
        <f>_xlfn.XLOOKUP($F1137,設計座標!$E$13:$E$2301,設計座標!$I$13:$I$2301,"n/a",0,1)</f>
        <v>-57278.525715579999</v>
      </c>
      <c r="L1137">
        <f>_xlfn.XLOOKUP($F1137,設計座標!$E$13:$E$2301,設計座標!$J$13:$J$2301,"n/a",0,1)</f>
        <v>75</v>
      </c>
      <c r="M1137" s="2">
        <f>_xlfn.XLOOKUP($F1137,survey_data!$A$2:$A$833,survey_data!$B$2:$B$833,"n/a",0,1)</f>
        <v>-14991.326564180001</v>
      </c>
      <c r="N1137" s="2">
        <f>_xlfn.XLOOKUP($F1137,survey_data!$A$2:$A$833,survey_data!$C$2:$C$833,"n/a",0,1)</f>
        <v>-57278.525715579999</v>
      </c>
      <c r="O1137" s="23">
        <f>_xlfn.XLOOKUP($F1137,survey_data!$A$2:$A$833,survey_data!$D$2:$D$833,"n/a",0,1)</f>
        <v>73.415476769999998</v>
      </c>
      <c r="P1137" s="1">
        <f t="shared" si="891"/>
        <v>74.180623439850095</v>
      </c>
      <c r="Q1137" s="1">
        <f t="shared" ref="Q1137:Q1197" si="907">$M1137-$J1137</f>
        <v>8.673435819999213</v>
      </c>
      <c r="R1137">
        <f t="shared" si="904"/>
        <v>0</v>
      </c>
      <c r="S1137" s="23">
        <f t="shared" ref="S1137:S1197" si="908">$O1137-$L1137</f>
        <v>-1.5845232300000021</v>
      </c>
      <c r="T1137">
        <f>$S1137+測地線補正!$Q$26*(lattice!$N1137/1000)^3+測地線補正!$P$26*(lattice!$N1137/1000)^2+測地線補正!$O$26*(lattice!$N1137/1000)+測地線補正!$N$26</f>
        <v>-0.81937656014990368</v>
      </c>
      <c r="U1137">
        <f t="shared" si="905"/>
        <v>-2.2614228753697519E-4</v>
      </c>
      <c r="V1137">
        <v>0</v>
      </c>
      <c r="W1137">
        <f t="shared" si="906"/>
        <v>1.2398868773295886E-4</v>
      </c>
      <c r="X1137" t="s">
        <v>3860</v>
      </c>
      <c r="Y1137">
        <f>_xlfn.XLOOKUP($F1137,設計座標!$E$13:$E$2301,設計座標!$L$13:$L$2301," ",0,1)</f>
        <v>300</v>
      </c>
      <c r="Z1137">
        <f>SQRT(($M$1136-$M$1133)^2+($N$1136-$N$1133)^2)</f>
        <v>450.76895056553923</v>
      </c>
      <c r="AA1137">
        <f>_xlfn.XLOOKUP($G1137,magnet_list!$A$2:$A$592,magnet_list!$AJ$2:$AJ$592,"n/a",0,1)</f>
        <v>0.32714527067797677</v>
      </c>
      <c r="AB1137">
        <f>_xlfn.XLOOKUP($G1137,magnet_list!$A$2:$A$592,magnet_list!$L$2:$L$592,"n/a",0,1)</f>
        <v>120</v>
      </c>
    </row>
    <row r="1138" spans="1:28">
      <c r="A1138" t="s">
        <v>797</v>
      </c>
      <c r="B1138">
        <v>2</v>
      </c>
      <c r="C1138" t="s">
        <v>805</v>
      </c>
      <c r="D1138" t="s">
        <v>806</v>
      </c>
      <c r="F1138" t="s">
        <v>270</v>
      </c>
      <c r="G1138" t="s">
        <v>2620</v>
      </c>
      <c r="I1138">
        <f>_xlfn.XLOOKUP($F1138,設計座標!$E$13:$E$2301,設計座標!$G$13:$G$2301,"n/a",0,1)</f>
        <v>322.07629156516879</v>
      </c>
      <c r="J1138">
        <f>_xlfn.XLOOKUP($F1138,設計座標!$E$13:$E$2301,設計座標!$H$13:$H$2301,"n/a",0,1)</f>
        <v>-15000</v>
      </c>
      <c r="K1138">
        <f>_xlfn.XLOOKUP($F1138,設計座標!$E$13:$E$2301,設計座標!$I$13:$I$2301,"n/a",0,1)</f>
        <v>-57614.23409926</v>
      </c>
      <c r="L1138">
        <f>_xlfn.XLOOKUP($F1138,設計座標!$E$13:$E$2301,設計座標!$J$13:$J$2301,"n/a",0,1)</f>
        <v>75</v>
      </c>
      <c r="M1138" s="2">
        <f>_xlfn.XLOOKUP($F1138,survey_data!$A$2:$A$833,survey_data!$B$2:$B$833,"n/a",0,1)</f>
        <v>-14991.507196570001</v>
      </c>
      <c r="N1138" s="2">
        <f>_xlfn.XLOOKUP($F1138,survey_data!$A$2:$A$833,survey_data!$C$2:$C$833,"n/a",0,1)</f>
        <v>-57614.23409926</v>
      </c>
      <c r="O1138" s="23">
        <f>_xlfn.XLOOKUP($F1138,survey_data!$A$2:$A$833,survey_data!$D$2:$D$833,"n/a",0,1)</f>
        <v>73.572429690000007</v>
      </c>
      <c r="P1138" s="1">
        <f t="shared" si="891"/>
        <v>74.347633826839555</v>
      </c>
      <c r="Q1138" s="1">
        <f t="shared" si="907"/>
        <v>8.492803429999185</v>
      </c>
      <c r="R1138">
        <f t="shared" si="904"/>
        <v>0</v>
      </c>
      <c r="S1138" s="23">
        <f t="shared" si="908"/>
        <v>-1.427570309999993</v>
      </c>
      <c r="T1138">
        <f>$S1138+測地線補正!$Q$26*(lattice!$N1138/1000)^3+測地線補正!$P$26*(lattice!$N1138/1000)^2+測地線補正!$O$26*(lattice!$N1138/1000)+測地線補正!$N$26</f>
        <v>-0.65236617316043888</v>
      </c>
      <c r="U1138">
        <f>-ATAN(($P$1141-$P$1138)/ABS($N$1141-$N$1138))</f>
        <v>6.4007036657154226E-5</v>
      </c>
      <c r="V1138">
        <v>0</v>
      </c>
      <c r="W1138">
        <f>ATAN(($M$1141-$M$1138)/ABS($N$1141-$N$1138))</f>
        <v>-1.5460580002949107E-4</v>
      </c>
      <c r="X1138" t="s">
        <v>3860</v>
      </c>
      <c r="Y1138">
        <f>_xlfn.XLOOKUP($F1138,設計座標!$E$13:$E$2301,設計座標!$L$13:$L$2301," ",0,1)</f>
        <v>300</v>
      </c>
      <c r="Z1138">
        <f>SQRT(($M$1139-$M$1136)^2+($N$1139-$N$1136)^2)</f>
        <v>605.67328166246637</v>
      </c>
      <c r="AA1138">
        <f>_xlfn.XLOOKUP($G1138,magnet_list!$A$2:$A$592,magnet_list!$AJ$2:$AJ$592,"n/a",0,1)</f>
        <v>0.32714527067797677</v>
      </c>
      <c r="AB1138">
        <f>_xlfn.XLOOKUP($G1138,magnet_list!$A$2:$A$592,magnet_list!$L$2:$L$592,"n/a",0,1)</f>
        <v>120</v>
      </c>
    </row>
    <row r="1139" spans="1:28">
      <c r="A1139" t="s">
        <v>797</v>
      </c>
      <c r="B1139">
        <v>2</v>
      </c>
      <c r="C1139" t="s">
        <v>805</v>
      </c>
      <c r="D1139" t="s">
        <v>1152</v>
      </c>
      <c r="E1139" t="s">
        <v>804</v>
      </c>
      <c r="F1139" t="s">
        <v>682</v>
      </c>
      <c r="G1139" t="s">
        <v>2620</v>
      </c>
      <c r="I1139">
        <f>_xlfn.XLOOKUP($F1139,設計座標!$E$13:$E$2301,設計座標!$G$13:$G$2301,"n/a",0,1)</f>
        <v>322.21127956516875</v>
      </c>
      <c r="J1139">
        <f>_xlfn.XLOOKUP($F1139,設計座標!$E$13:$E$2301,設計座標!$H$13:$H$2301,"n/a",0,1)</f>
        <v>-15000</v>
      </c>
      <c r="K1139">
        <f>_xlfn.XLOOKUP($F1139,設計座標!$E$13:$E$2301,設計座標!$I$13:$I$2301,"n/a",0,1)</f>
        <v>-57749.222099259998</v>
      </c>
      <c r="L1139">
        <f>_xlfn.XLOOKUP($F1139,設計座標!$E$13:$E$2301,設計座標!$J$13:$J$2301,"n/a",0,1)</f>
        <v>75</v>
      </c>
      <c r="M1139" s="2">
        <f t="shared" ref="M1139:M1140" si="909">$J1139+$Q1139</f>
        <v>-14991.528066497902</v>
      </c>
      <c r="N1139" s="2">
        <f t="shared" ref="N1139:N1140" si="910">$K1139</f>
        <v>-57749.222099259998</v>
      </c>
      <c r="O1139" s="23">
        <f t="shared" ref="O1139:O1140" si="911">$L1139+$S1139</f>
        <v>73.559756468811088</v>
      </c>
      <c r="P1139" s="1">
        <f t="shared" si="891"/>
        <v>74.33899610833258</v>
      </c>
      <c r="Q1139" s="1">
        <f>(Q$1141-Q$1138)/($N$1141-$N$1138)*($N1139-$N$1138)+Q$1138</f>
        <v>8.4719335020985209</v>
      </c>
      <c r="R1139">
        <f t="shared" si="904"/>
        <v>0</v>
      </c>
      <c r="S1139" s="23">
        <f t="shared" ref="S1139:S1140" si="912">(S$1141-S$1138)/($N$1141-$N$1138)*($N1139-$N$1138)+S$1138</f>
        <v>-1.4402435311889124</v>
      </c>
      <c r="T1139">
        <f>$S1139+測地線補正!$Q$26*(lattice!$N1139/1000)^3+測地線補正!$P$26*(lattice!$N1139/1000)^2+測地線補正!$O$26*(lattice!$N1139/1000)+測地線補正!$N$26</f>
        <v>-0.66100389166742146</v>
      </c>
      <c r="U1139">
        <f t="shared" ref="U1139" si="913">-ATAN(($P$1141-$P$1138)/ABS($N$1141-$N$1138))</f>
        <v>6.4007036657154226E-5</v>
      </c>
      <c r="V1139">
        <v>0</v>
      </c>
      <c r="W1139">
        <f>ATAN(($M$1141-$M$1138)/ABS($N$1141-$N$1138))</f>
        <v>-1.5460580002949107E-4</v>
      </c>
      <c r="X1139" t="s">
        <v>3860</v>
      </c>
      <c r="Y1139">
        <f>_xlfn.XLOOKUP($F1139,設計座標!$E$13:$E$2301,設計座標!$L$13:$L$2301," ",0,1)</f>
        <v>0</v>
      </c>
      <c r="Z1139">
        <f>SQRT(($M$1139-$M$1136)^2+($N$1139-$N$1136)^2)</f>
        <v>605.67328166246637</v>
      </c>
      <c r="AA1139">
        <f>_xlfn.XLOOKUP($G1139,magnet_list!$A$2:$A$592,magnet_list!$AJ$2:$AJ$592,"n/a",0,1)</f>
        <v>0.32714527067797677</v>
      </c>
      <c r="AB1139">
        <f>_xlfn.XLOOKUP($G1139,magnet_list!$A$2:$A$592,magnet_list!$L$2:$L$592,"n/a",0,1)</f>
        <v>120</v>
      </c>
    </row>
    <row r="1140" spans="1:28">
      <c r="A1140" t="s">
        <v>797</v>
      </c>
      <c r="B1140">
        <v>2</v>
      </c>
      <c r="C1140" t="s">
        <v>804</v>
      </c>
      <c r="D1140" t="s">
        <v>1152</v>
      </c>
      <c r="E1140" t="s">
        <v>804</v>
      </c>
      <c r="F1140" t="s">
        <v>1192</v>
      </c>
      <c r="G1140" t="s">
        <v>2618</v>
      </c>
      <c r="I1140">
        <f>_xlfn.XLOOKUP($F1140,設計座標!$E$13:$E$2301,設計座標!$G$13:$G$2301,"n/a",0,1)</f>
        <v>322.25206186136887</v>
      </c>
      <c r="J1140">
        <f>_xlfn.XLOOKUP($F1140,設計座標!$E$13:$E$2301,設計座標!$H$13:$H$2301,"n/a",0,1)</f>
        <v>-15000</v>
      </c>
      <c r="K1140">
        <f>_xlfn.XLOOKUP($F1140,設計座標!$E$13:$E$2301,設計座標!$I$13:$I$2301,"n/a",0,1)</f>
        <v>-57790.00439546007</v>
      </c>
      <c r="L1140">
        <f>_xlfn.XLOOKUP($F1140,設計座標!$E$13:$E$2301,設計座標!$J$13:$J$2301,"n/a",0,1)</f>
        <v>-270</v>
      </c>
      <c r="M1140" s="2">
        <f t="shared" si="909"/>
        <v>-14991.534371677482</v>
      </c>
      <c r="N1140" s="2">
        <f t="shared" si="910"/>
        <v>-57790.00439546007</v>
      </c>
      <c r="O1140" s="23">
        <f t="shared" si="911"/>
        <v>-271.44407233864092</v>
      </c>
      <c r="P1140" s="1">
        <f t="shared" si="891"/>
        <v>-270.66361447050241</v>
      </c>
      <c r="Q1140" s="1">
        <f>(Q$1141-Q$1138)/($N$1141-$N$1138)*($N1140-$N$1138)+Q$1138</f>
        <v>8.4656283225172313</v>
      </c>
      <c r="R1140">
        <f t="shared" si="904"/>
        <v>0</v>
      </c>
      <c r="S1140" s="23">
        <f t="shared" si="912"/>
        <v>-1.4440723386409493</v>
      </c>
      <c r="T1140">
        <f>$S1140+測地線補正!$Q$26*(lattice!$N1140/1000)^3+測地線補正!$P$26*(lattice!$N1140/1000)^2+測地線補正!$O$26*(lattice!$N1140/1000)+測地線補正!$N$26</f>
        <v>-0.66361447050238476</v>
      </c>
      <c r="U1140">
        <f>-ATAN(($P$1145-$P$1134)/ABS($N$1145-$N$1134))</f>
        <v>-1.7639771591664317E-4</v>
      </c>
      <c r="V1140">
        <v>0</v>
      </c>
      <c r="W1140">
        <f>ATAN(($M$1145-$M$1134)/ABS($N$1145-$N$1134))</f>
        <v>-5.3614622687635245E-5</v>
      </c>
      <c r="X1140" t="s">
        <v>3860</v>
      </c>
      <c r="Y1140">
        <f>_xlfn.XLOOKUP($F1140,設計座標!$E$13:$E$2301,設計座標!$L$13:$L$2301," ",0,1)</f>
        <v>1889.4492</v>
      </c>
      <c r="Z1140">
        <f>SQRT(($M$1140-$M$1139)^2+($N$1140-$N$1139)^2)</f>
        <v>40.782296687480532</v>
      </c>
    </row>
    <row r="1141" spans="1:28">
      <c r="A1141" t="s">
        <v>797</v>
      </c>
      <c r="B1141">
        <v>2</v>
      </c>
      <c r="C1141" t="s">
        <v>805</v>
      </c>
      <c r="D1141" t="s">
        <v>806</v>
      </c>
      <c r="F1141" t="s">
        <v>271</v>
      </c>
      <c r="G1141" t="s">
        <v>2620</v>
      </c>
      <c r="I1141">
        <f>_xlfn.XLOOKUP($F1141,設計座標!$E$13:$E$2301,設計座標!$G$13:$G$2301,"n/a",0,1)</f>
        <v>322.34627211995883</v>
      </c>
      <c r="J1141">
        <f>_xlfn.XLOOKUP($F1141,設計座標!$E$13:$E$2301,設計座標!$H$13:$H$2301,"n/a",0,1)</f>
        <v>-15000</v>
      </c>
      <c r="K1141">
        <f>_xlfn.XLOOKUP($F1141,設計座標!$E$13:$E$2301,設計座標!$I$13:$I$2301,"n/a",0,1)</f>
        <v>-57884.214654050003</v>
      </c>
      <c r="L1141">
        <f>_xlfn.XLOOKUP($F1141,設計座標!$E$13:$E$2301,設計座標!$J$13:$J$2301,"n/a",0,1)</f>
        <v>75</v>
      </c>
      <c r="M1141" s="2">
        <f>_xlfn.XLOOKUP($F1141,survey_data!$A$2:$A$833,survey_data!$B$2:$B$833,"n/a",0,1)</f>
        <v>-14991.548937129999</v>
      </c>
      <c r="N1141" s="2">
        <f>_xlfn.XLOOKUP($F1141,survey_data!$A$2:$A$833,survey_data!$C$2:$C$833,"n/a",0,1)</f>
        <v>-57884.214654050003</v>
      </c>
      <c r="O1141" s="23">
        <f>_xlfn.XLOOKUP($F1141,survey_data!$A$2:$A$833,survey_data!$D$2:$D$833,"n/a",0,1)</f>
        <v>73.54708282</v>
      </c>
      <c r="P1141" s="1">
        <f t="shared" si="891"/>
        <v>74.330353171548794</v>
      </c>
      <c r="Q1141" s="1">
        <f t="shared" si="907"/>
        <v>8.4510628700008965</v>
      </c>
      <c r="R1141">
        <f t="shared" si="904"/>
        <v>0</v>
      </c>
      <c r="S1141" s="23">
        <f t="shared" si="908"/>
        <v>-1.45291718</v>
      </c>
      <c r="T1141">
        <f>$S1141+測地線補正!$Q$26*(lattice!$N1141/1000)^3+測地線補正!$P$26*(lattice!$N1141/1000)^2+測地線補正!$O$26*(lattice!$N1141/1000)+測地線補正!$N$26</f>
        <v>-0.66964682845120316</v>
      </c>
      <c r="U1141">
        <f>-ATAN(($P$1141-$P$1138)/ABS($N$1141-$N$1138))</f>
        <v>6.4007036657154226E-5</v>
      </c>
      <c r="V1141">
        <v>0</v>
      </c>
      <c r="W1141">
        <f>ATAN(($M$1141-$M$1138)/ABS($N$1141-$N$1138))</f>
        <v>-1.5460580002949107E-4</v>
      </c>
      <c r="X1141" t="s">
        <v>3860</v>
      </c>
      <c r="Y1141">
        <f>_xlfn.XLOOKUP($F1141,設計座標!$E$13:$E$2301,設計座標!$L$13:$L$2301," ",0,1)</f>
        <v>300</v>
      </c>
      <c r="Z1141">
        <f>SQRT(($M$1139-$M$1136)^2+($N$1139-$N$1136)^2)</f>
        <v>605.67328166246637</v>
      </c>
      <c r="AA1141">
        <f>_xlfn.XLOOKUP($G1141,magnet_list!$A$2:$A$592,magnet_list!$AJ$2:$AJ$592,"n/a",0,1)</f>
        <v>0.32714527067797677</v>
      </c>
      <c r="AB1141">
        <f>_xlfn.XLOOKUP($G1141,magnet_list!$A$2:$A$592,magnet_list!$L$2:$L$592,"n/a",0,1)</f>
        <v>120</v>
      </c>
    </row>
    <row r="1142" spans="1:28">
      <c r="A1142" t="s">
        <v>797</v>
      </c>
      <c r="B1142">
        <v>2</v>
      </c>
      <c r="C1142" t="s">
        <v>805</v>
      </c>
      <c r="D1142" t="s">
        <v>806</v>
      </c>
      <c r="F1142" t="s">
        <v>272</v>
      </c>
      <c r="G1142" t="s">
        <v>2621</v>
      </c>
      <c r="I1142">
        <f>_xlfn.XLOOKUP($F1142,設計座標!$E$13:$E$2301,設計座標!$G$13:$G$2301,"n/a",0,1)</f>
        <v>322.66138879060884</v>
      </c>
      <c r="J1142">
        <f>_xlfn.XLOOKUP($F1142,設計座標!$E$13:$E$2301,設計座標!$H$13:$H$2301,"n/a",0,1)</f>
        <v>-15000</v>
      </c>
      <c r="K1142">
        <f>_xlfn.XLOOKUP($F1142,設計座標!$E$13:$E$2301,設計座標!$I$13:$I$2301,"n/a",0,1)</f>
        <v>-58199.331324699997</v>
      </c>
      <c r="L1142">
        <f>_xlfn.XLOOKUP($F1142,設計座標!$E$13:$E$2301,設計座標!$J$13:$J$2301,"n/a",0,1)</f>
        <v>75</v>
      </c>
      <c r="M1142" s="2">
        <f>_xlfn.XLOOKUP($F1142,survey_data!$A$2:$A$833,survey_data!$B$2:$B$833,"n/a",0,1)</f>
        <v>-14991.405187140001</v>
      </c>
      <c r="N1142" s="2">
        <f>_xlfn.XLOOKUP($F1142,survey_data!$A$2:$A$833,survey_data!$C$2:$C$833,"n/a",0,1)</f>
        <v>-58199.331324699997</v>
      </c>
      <c r="O1142" s="23">
        <f>_xlfn.XLOOKUP($F1142,survey_data!$A$2:$A$833,survey_data!$D$2:$D$833,"n/a",0,1)</f>
        <v>73.633226320000006</v>
      </c>
      <c r="P1142" s="1">
        <f t="shared" si="891"/>
        <v>74.425886505845099</v>
      </c>
      <c r="Q1142" s="1">
        <f t="shared" si="907"/>
        <v>8.5948128599993652</v>
      </c>
      <c r="R1142">
        <f t="shared" si="904"/>
        <v>0</v>
      </c>
      <c r="S1142" s="23">
        <f t="shared" si="908"/>
        <v>-1.3667736799999943</v>
      </c>
      <c r="T1142">
        <f>$S1142+測地線補正!$Q$26*(lattice!$N1142/1000)^3+測地線補正!$P$26*(lattice!$N1142/1000)^2+測地線補正!$O$26*(lattice!$N1142/1000)+測地線補正!$N$26</f>
        <v>-0.5741134941549022</v>
      </c>
      <c r="U1142">
        <f>-ATAN(($P$1144-$P$1142)/ABS($N$1144-$N$1142))</f>
        <v>-8.4663306730187703E-5</v>
      </c>
      <c r="V1142">
        <v>0</v>
      </c>
      <c r="W1142">
        <f>ATAN(($M$1144-$M$1142)/ABS($N$1144-$N$1142))</f>
        <v>-3.8902887880360186E-4</v>
      </c>
      <c r="X1142" t="s">
        <v>3860</v>
      </c>
      <c r="Y1142">
        <f>_xlfn.XLOOKUP($F1142,設計座標!$E$13:$E$2301,設計座標!$L$13:$L$2301," ",0,1)</f>
        <v>300</v>
      </c>
      <c r="Z1142">
        <f>SQRT(($M$1143-$M$1140)^2+($N$1143-$N$1140)^2)</f>
        <v>544.32993463870946</v>
      </c>
      <c r="AA1142">
        <f>_xlfn.XLOOKUP($G1142,magnet_list!$A$2:$A$592,magnet_list!$AJ$2:$AJ$592,"n/a",0,1)</f>
        <v>0.32714527067797677</v>
      </c>
      <c r="AB1142">
        <f>_xlfn.XLOOKUP($G1142,magnet_list!$A$2:$A$592,magnet_list!$L$2:$L$592,"n/a",0,1)</f>
        <v>120</v>
      </c>
    </row>
    <row r="1143" spans="1:28">
      <c r="A1143" t="s">
        <v>797</v>
      </c>
      <c r="B1143">
        <v>2</v>
      </c>
      <c r="C1143" t="s">
        <v>805</v>
      </c>
      <c r="D1143" t="s">
        <v>1152</v>
      </c>
      <c r="E1143" t="s">
        <v>804</v>
      </c>
      <c r="F1143" t="s">
        <v>683</v>
      </c>
      <c r="G1143" t="s">
        <v>2621</v>
      </c>
      <c r="I1143">
        <f>_xlfn.XLOOKUP($F1143,設計座標!$E$13:$E$2301,設計座標!$G$13:$G$2301,"n/a",0,1)</f>
        <v>322.79639179060882</v>
      </c>
      <c r="J1143">
        <f>_xlfn.XLOOKUP($F1143,設計座標!$E$13:$E$2301,設計座標!$H$13:$H$2301,"n/a",0,1)</f>
        <v>-15000</v>
      </c>
      <c r="K1143">
        <f>_xlfn.XLOOKUP($F1143,設計座標!$E$13:$E$2301,設計座標!$I$13:$I$2301,"n/a",0,1)</f>
        <v>-58334.334324699994</v>
      </c>
      <c r="L1143">
        <f>_xlfn.XLOOKUP($F1143,設計座標!$E$13:$E$2301,設計座標!$J$13:$J$2301,"n/a",0,1)</f>
        <v>75</v>
      </c>
      <c r="M1143" s="2">
        <f t="shared" ref="M1143:M1151" si="914">$J1143+$Q1143</f>
        <v>-14991.457707208376</v>
      </c>
      <c r="N1143" s="2">
        <f t="shared" ref="N1143:N1151" si="915">$K1143</f>
        <v>-58334.334324699994</v>
      </c>
      <c r="O1143" s="23">
        <f t="shared" ref="O1143:O1151" si="916">$L1143+$S1143</f>
        <v>73.640643970713796</v>
      </c>
      <c r="P1143" s="1">
        <f t="shared" si="891"/>
        <v>74.437318765570879</v>
      </c>
      <c r="Q1143" s="1">
        <f>(Q$1144-Q$1142)/($N$1144-$N$1142)*($N1143-$N$1142)+Q$1142</f>
        <v>8.5422927916247211</v>
      </c>
      <c r="R1143">
        <f t="shared" si="904"/>
        <v>0</v>
      </c>
      <c r="S1143" s="23">
        <f>(S$1144-S$1142)/($N$1144-$N$1142)*($N1143-$N$1142)+S$1142</f>
        <v>-1.3593560292861977</v>
      </c>
      <c r="T1143">
        <f>$S1143+測地線補正!$Q$26*(lattice!$N1143/1000)^3+測地線補正!$P$26*(lattice!$N1143/1000)^2+測地線補正!$O$26*(lattice!$N1143/1000)+測地線補正!$N$26</f>
        <v>-0.56268123442912454</v>
      </c>
      <c r="U1143">
        <f t="shared" ref="U1143:U1144" si="917">-ATAN(($P$1144-$P$1142)/ABS($N$1144-$N$1142))</f>
        <v>-8.4663306730187703E-5</v>
      </c>
      <c r="V1143">
        <v>0</v>
      </c>
      <c r="W1143">
        <f t="shared" ref="W1143:W1144" si="918">ATAN(($M$1144-$M$1142)/ABS($N$1144-$N$1142))</f>
        <v>-3.8902887880360186E-4</v>
      </c>
      <c r="X1143" t="s">
        <v>3860</v>
      </c>
      <c r="Y1143">
        <f>_xlfn.XLOOKUP($F1143,設計座標!$E$13:$E$2301,設計座標!$L$13:$L$2301," ",0,1)</f>
        <v>300</v>
      </c>
      <c r="Z1143">
        <f>SQRT(($M$1143-$M$1140)^2+($N$1143-$N$1140)^2)</f>
        <v>544.32993463870946</v>
      </c>
      <c r="AA1143">
        <f>_xlfn.XLOOKUP($G1143,magnet_list!$A$2:$A$592,magnet_list!$AJ$2:$AJ$592,"n/a",0,1)</f>
        <v>0.32714527067797677</v>
      </c>
      <c r="AB1143">
        <f>_xlfn.XLOOKUP($G1143,magnet_list!$A$2:$A$592,magnet_list!$L$2:$L$592,"n/a",0,1)</f>
        <v>120</v>
      </c>
    </row>
    <row r="1144" spans="1:28">
      <c r="A1144" t="s">
        <v>797</v>
      </c>
      <c r="B1144">
        <v>2</v>
      </c>
      <c r="C1144" t="s">
        <v>805</v>
      </c>
      <c r="D1144" t="s">
        <v>806</v>
      </c>
      <c r="F1144" t="s">
        <v>273</v>
      </c>
      <c r="G1144" t="s">
        <v>2621</v>
      </c>
      <c r="I1144">
        <f>_xlfn.XLOOKUP($F1144,設計座標!$E$13:$E$2301,設計座標!$G$13:$G$2301,"n/a",0,1)</f>
        <v>322.93138420848885</v>
      </c>
      <c r="J1144">
        <f>_xlfn.XLOOKUP($F1144,設計座標!$E$13:$E$2301,設計座標!$H$13:$H$2301,"n/a",0,1)</f>
        <v>-15000</v>
      </c>
      <c r="K1144">
        <f>_xlfn.XLOOKUP($F1144,設計座標!$E$13:$E$2301,設計座標!$I$13:$I$2301,"n/a",0,1)</f>
        <v>-58469.32674258</v>
      </c>
      <c r="L1144">
        <f>_xlfn.XLOOKUP($F1144,設計座標!$E$13:$E$2301,設計座標!$J$13:$J$2301,"n/a",0,1)</f>
        <v>75</v>
      </c>
      <c r="M1144" s="2">
        <f>_xlfn.XLOOKUP($F1144,survey_data!$A$2:$A$833,survey_data!$B$2:$B$833,"n/a",0,1)</f>
        <v>-14991.510223159999</v>
      </c>
      <c r="N1144" s="2">
        <f>_xlfn.XLOOKUP($F1144,survey_data!$A$2:$A$833,survey_data!$C$2:$C$833,"n/a",0,1)</f>
        <v>-58469.32674258</v>
      </c>
      <c r="O1144" s="23">
        <f>_xlfn.XLOOKUP($F1144,survey_data!$A$2:$A$833,survey_data!$D$2:$D$833,"n/a",0,1)</f>
        <v>73.648061040000002</v>
      </c>
      <c r="P1144" s="1">
        <f t="shared" si="891"/>
        <v>74.448745210779435</v>
      </c>
      <c r="Q1144" s="1">
        <f t="shared" si="907"/>
        <v>8.4897768400005589</v>
      </c>
      <c r="R1144">
        <f t="shared" si="904"/>
        <v>0</v>
      </c>
      <c r="S1144" s="23">
        <f t="shared" si="908"/>
        <v>-1.3519389599999982</v>
      </c>
      <c r="T1144">
        <f>$S1144+測地線補正!$Q$26*(lattice!$N1144/1000)^3+測地線補正!$P$26*(lattice!$N1144/1000)^2+測地線補正!$O$26*(lattice!$N1144/1000)+測地線補正!$N$26</f>
        <v>-0.55125478922056348</v>
      </c>
      <c r="U1144">
        <f t="shared" si="917"/>
        <v>-8.4663306730187703E-5</v>
      </c>
      <c r="V1144">
        <v>0</v>
      </c>
      <c r="W1144">
        <f t="shared" si="918"/>
        <v>-3.8902887880360186E-4</v>
      </c>
      <c r="X1144" t="s">
        <v>3860</v>
      </c>
      <c r="Y1144">
        <f>_xlfn.XLOOKUP($F1144,設計座標!$E$13:$E$2301,設計座標!$L$13:$L$2301," ",0,1)</f>
        <v>300</v>
      </c>
      <c r="Z1144">
        <f>SQRT(($M$1143-$M$1140)^2+($N$1143-$N$1140)^2)</f>
        <v>544.32993463870946</v>
      </c>
      <c r="AA1144">
        <f>_xlfn.XLOOKUP($G1144,magnet_list!$A$2:$A$592,magnet_list!$AJ$2:$AJ$592,"n/a",0,1)</f>
        <v>0.32714527067797677</v>
      </c>
      <c r="AB1144">
        <f>_xlfn.XLOOKUP($G1144,magnet_list!$A$2:$A$592,magnet_list!$L$2:$L$592,"n/a",0,1)</f>
        <v>120</v>
      </c>
    </row>
    <row r="1145" spans="1:28">
      <c r="A1145" t="s">
        <v>797</v>
      </c>
      <c r="B1145">
        <v>2</v>
      </c>
      <c r="C1145" t="s">
        <v>804</v>
      </c>
      <c r="D1145" t="s">
        <v>1152</v>
      </c>
      <c r="E1145" t="s">
        <v>804</v>
      </c>
      <c r="F1145" t="s">
        <v>1599</v>
      </c>
      <c r="G1145" t="s">
        <v>2618</v>
      </c>
      <c r="I1145">
        <f>_xlfn.XLOOKUP($F1145,設計座標!$E$13:$E$2301,設計座標!$G$13:$G$2301,"n/a",0,1)</f>
        <v>323.19211651601881</v>
      </c>
      <c r="J1145">
        <f>_xlfn.XLOOKUP($F1145,設計座標!$E$13:$E$2301,設計座標!$H$13:$H$2301,"n/a",0,1)</f>
        <v>-15000</v>
      </c>
      <c r="K1145">
        <f>_xlfn.XLOOKUP($F1145,設計座標!$E$13:$E$2301,設計座標!$I$13:$I$2301,"n/a",0,1)</f>
        <v>-58730.059050110001</v>
      </c>
      <c r="L1145">
        <f>_xlfn.XLOOKUP($F1145,設計座標!$E$13:$E$2301,設計座標!$J$13:$J$2301,"n/a",0,1)</f>
        <v>-270</v>
      </c>
      <c r="M1145" s="2">
        <f t="shared" si="914"/>
        <v>-14991.444476898865</v>
      </c>
      <c r="N1145" s="2">
        <f t="shared" si="915"/>
        <v>-58730.059050110001</v>
      </c>
      <c r="O1145" s="23">
        <f t="shared" si="916"/>
        <v>-271.41467999651758</v>
      </c>
      <c r="P1145" s="1">
        <f t="shared" si="891"/>
        <v>-270.60626579692865</v>
      </c>
      <c r="Q1145" s="1">
        <f>(Q$1146-Q$1144)/($N$1146-$N$1144)*($N1145-$N$1144)+Q$1144</f>
        <v>8.5555231011347495</v>
      </c>
      <c r="R1145">
        <f t="shared" si="904"/>
        <v>0</v>
      </c>
      <c r="S1145" s="23">
        <f>(S$1146-S$1144)/($N$1146-$N$1144)*($N1145-$N$1144)+S$1144</f>
        <v>-1.4146799965175805</v>
      </c>
      <c r="T1145">
        <f>$S1145+測地線補正!$Q$26*(lattice!$N1145/1000)^3+測地線補正!$P$26*(lattice!$N1145/1000)^2+測地線補正!$O$26*(lattice!$N1145/1000)+測地線補正!$N$26</f>
        <v>-0.60626579692865357</v>
      </c>
      <c r="U1145">
        <f>-ATAN(($P$1145-$P$1134)/ABS($N$1145-$N$1134))</f>
        <v>-1.7639771591664317E-4</v>
      </c>
      <c r="V1145">
        <v>0</v>
      </c>
      <c r="W1145">
        <f>ATAN(($M$1145-$M$1134)/ABS($N$1145-$N$1134))</f>
        <v>-5.3614622687635245E-5</v>
      </c>
      <c r="X1145" t="s">
        <v>3860</v>
      </c>
      <c r="Y1145">
        <f>_xlfn.XLOOKUP($F1145,設計座標!$E$13:$E$2301,設計座標!$L$13:$L$2301," ",0,1)</f>
        <v>1889.4492</v>
      </c>
      <c r="Z1145">
        <f>SQRT(($M$1140-$M$1139)^2+($N$1140-$N$1139)^2)</f>
        <v>40.782296687480532</v>
      </c>
    </row>
    <row r="1146" spans="1:28">
      <c r="A1146" t="s">
        <v>797</v>
      </c>
      <c r="B1146">
        <v>2</v>
      </c>
      <c r="C1146" t="s">
        <v>805</v>
      </c>
      <c r="D1146" t="s">
        <v>806</v>
      </c>
      <c r="F1146" t="s">
        <v>274</v>
      </c>
      <c r="G1146" t="s">
        <v>2622</v>
      </c>
      <c r="I1146">
        <f>_xlfn.XLOOKUP($F1146,設計座標!$E$13:$E$2301,設計座標!$G$13:$G$2301,"n/a",0,1)</f>
        <v>323.31840870220879</v>
      </c>
      <c r="J1146">
        <f>_xlfn.XLOOKUP($F1146,設計座標!$E$13:$E$2301,設計座標!$H$13:$H$2301,"n/a",0,1)</f>
        <v>-15000</v>
      </c>
      <c r="K1146">
        <f>_xlfn.XLOOKUP($F1146,設計座標!$E$13:$E$2301,設計座標!$I$13:$I$2301,"n/a",0,1)</f>
        <v>-58856.351236299997</v>
      </c>
      <c r="L1146">
        <f>_xlfn.XLOOKUP($F1146,設計座標!$E$13:$E$2301,設計座標!$J$13:$J$2301,"n/a",0,1)</f>
        <v>90</v>
      </c>
      <c r="M1146" s="2">
        <f>_xlfn.XLOOKUP($F1146,survey_data!$A$2:$A$833,survey_data!$B$2:$B$833,"n/a",0,1)</f>
        <v>-14991.41263106</v>
      </c>
      <c r="N1146" s="2">
        <f>_xlfn.XLOOKUP($F1146,survey_data!$A$2:$A$833,survey_data!$C$2:$C$833,"n/a",0,1)</f>
        <v>-58856.351236299997</v>
      </c>
      <c r="O1146" s="23">
        <f>_xlfn.XLOOKUP($F1146,survey_data!$A$2:$A$833,survey_data!$D$2:$D$833,"n/a",0,1)</f>
        <v>88.554929819999998</v>
      </c>
      <c r="P1146" s="1">
        <f t="shared" si="891"/>
        <v>89.367081662632316</v>
      </c>
      <c r="Q1146" s="1">
        <f t="shared" si="907"/>
        <v>8.5873689399995783</v>
      </c>
      <c r="R1146">
        <f t="shared" si="904"/>
        <v>0</v>
      </c>
      <c r="S1146" s="23">
        <f t="shared" si="908"/>
        <v>-1.4450701800000019</v>
      </c>
      <c r="T1146">
        <f>$S1146+測地線補正!$Q$26*(lattice!$N1146/1000)^3+測地線補正!$P$26*(lattice!$N1146/1000)^2+測地線補正!$O$26*(lattice!$N1146/1000)+測地線補正!$N$26</f>
        <v>-0.6329183373676861</v>
      </c>
      <c r="U1146">
        <f>-ATAN(($P$1148-$P$1146)/ABS($N$1148-$N$1146))</f>
        <v>-3.2588230499796573E-4</v>
      </c>
      <c r="V1146">
        <v>0</v>
      </c>
      <c r="W1146">
        <f>ATAN(($M$1148-$M$1146)/ABS($N$1148-$N$1146))</f>
        <v>-9.6649724487647129E-4</v>
      </c>
      <c r="X1146">
        <f>SQRT(($M$1147-$M$1145)^2+($N$1147-$N$1145)^2)-$Y$1147/2</f>
        <v>116.26668945218452</v>
      </c>
      <c r="Y1146">
        <f>_xlfn.XLOOKUP($F1146,設計座標!$E$13:$E$2301,設計座標!$L$13:$L$2301," ",0,1)</f>
        <v>160</v>
      </c>
      <c r="Z1146">
        <f>SQRT(($M$1147-$M$1143)^2+($N$1147-$N$1143)^2)</f>
        <v>591.99141202963835</v>
      </c>
      <c r="AA1146">
        <f>_xlfn.XLOOKUP($G1146,magnet_list!$A$2:$A$592,magnet_list!$AJ$2:$AJ$592,"n/a",0,1)</f>
        <v>0.17374887133613809</v>
      </c>
      <c r="AB1146">
        <f>_xlfn.XLOOKUP($G1146,magnet_list!$A$2:$A$592,magnet_list!$L$2:$L$592,"n/a",0,1)</f>
        <v>44</v>
      </c>
    </row>
    <row r="1147" spans="1:28">
      <c r="A1147" t="s">
        <v>797</v>
      </c>
      <c r="B1147">
        <v>2</v>
      </c>
      <c r="C1147" t="s">
        <v>805</v>
      </c>
      <c r="D1147" t="s">
        <v>1152</v>
      </c>
      <c r="E1147" t="s">
        <v>804</v>
      </c>
      <c r="F1147" t="s">
        <v>684</v>
      </c>
      <c r="G1147" t="s">
        <v>2622</v>
      </c>
      <c r="I1147">
        <f>_xlfn.XLOOKUP($F1147,設計座標!$E$13:$E$2301,設計座標!$G$13:$G$2301,"n/a",0,1)</f>
        <v>323.38838320220879</v>
      </c>
      <c r="J1147">
        <f>_xlfn.XLOOKUP($F1147,設計座標!$E$13:$E$2301,設計座標!$H$13:$H$2301,"n/a",0,1)</f>
        <v>-15000</v>
      </c>
      <c r="K1147">
        <f>_xlfn.XLOOKUP($F1147,設計座標!$E$13:$E$2301,設計座標!$I$13:$I$2301,"n/a",0,1)</f>
        <v>-58926.325736299994</v>
      </c>
      <c r="L1147">
        <f>_xlfn.XLOOKUP($F1147,設計座標!$E$13:$E$2301,設計座標!$J$13:$J$2301,"n/a",0,1)</f>
        <v>90</v>
      </c>
      <c r="M1147" s="2">
        <f t="shared" si="914"/>
        <v>-14991.480261242521</v>
      </c>
      <c r="N1147" s="2">
        <f t="shared" si="915"/>
        <v>-58926.325736299994</v>
      </c>
      <c r="O1147" s="23">
        <f t="shared" si="916"/>
        <v>88.575664874041038</v>
      </c>
      <c r="P1147" s="1">
        <f t="shared" si="891"/>
        <v>89.389885775807883</v>
      </c>
      <c r="Q1147" s="1">
        <f>(Q$1148-Q$1146)/($N$1148-$N$1146)*($N1147-$N$1146)+Q$1146</f>
        <v>8.5197387574798054</v>
      </c>
      <c r="R1147">
        <f t="shared" si="904"/>
        <v>0</v>
      </c>
      <c r="S1147" s="23">
        <f>(S$1148-S$1146)/($N$1148-$N$1146)*($N1147-$N$1146)+S$1146</f>
        <v>-1.4243351259589601</v>
      </c>
      <c r="T1147">
        <f>$S1147+測地線補正!$Q$26*(lattice!$N1147/1000)^3+測地線補正!$P$26*(lattice!$N1147/1000)^2+測地線補正!$O$26*(lattice!$N1147/1000)+測地線補正!$N$26</f>
        <v>-0.61011422419211847</v>
      </c>
      <c r="U1147">
        <f t="shared" ref="U1147:U1148" si="919">-ATAN(($P$1148-$P$1146)/ABS($N$1148-$N$1146))</f>
        <v>-3.2588230499796573E-4</v>
      </c>
      <c r="V1147">
        <v>0</v>
      </c>
      <c r="W1147">
        <f t="shared" ref="W1147:W1148" si="920">ATAN(($M$1148-$M$1146)/ABS($N$1148-$N$1146))</f>
        <v>-9.6649724487647129E-4</v>
      </c>
      <c r="X1147">
        <f>SQRT(($M$1147-$M$1145)^2+($N$1147-$N$1145)^2)-$Y$1147/2</f>
        <v>116.26668945218452</v>
      </c>
      <c r="Y1147">
        <f>_xlfn.XLOOKUP($F1147,設計座標!$E$13:$E$2301,設計座標!$L$13:$L$2301," ",0,1)</f>
        <v>160</v>
      </c>
      <c r="Z1147">
        <f>SQRT(($M$1147-$M$1143)^2+($N$1147-$N$1143)^2)</f>
        <v>591.99141202963835</v>
      </c>
      <c r="AA1147">
        <f>_xlfn.XLOOKUP($G1147,magnet_list!$A$2:$A$592,magnet_list!$AJ$2:$AJ$592,"n/a",0,1)</f>
        <v>0.17374887133613809</v>
      </c>
      <c r="AB1147">
        <f>_xlfn.XLOOKUP($G1147,magnet_list!$A$2:$A$592,magnet_list!$L$2:$L$592,"n/a",0,1)</f>
        <v>44</v>
      </c>
    </row>
    <row r="1148" spans="1:28">
      <c r="A1148" t="s">
        <v>797</v>
      </c>
      <c r="B1148">
        <v>2</v>
      </c>
      <c r="C1148" t="s">
        <v>805</v>
      </c>
      <c r="D1148" t="s">
        <v>806</v>
      </c>
      <c r="F1148" t="s">
        <v>275</v>
      </c>
      <c r="G1148" t="s">
        <v>2622</v>
      </c>
      <c r="I1148">
        <f>_xlfn.XLOOKUP($F1148,設計座標!$E$13:$E$2301,設計座標!$G$13:$G$2301,"n/a",0,1)</f>
        <v>323.45851105485877</v>
      </c>
      <c r="J1148">
        <f>_xlfn.XLOOKUP($F1148,設計座標!$E$13:$E$2301,設計座標!$H$13:$H$2301,"n/a",0,1)</f>
        <v>-15000</v>
      </c>
      <c r="K1148">
        <f>_xlfn.XLOOKUP($F1148,設計座標!$E$13:$E$2301,設計座標!$I$13:$I$2301,"n/a",0,1)</f>
        <v>-58996.453588949997</v>
      </c>
      <c r="L1148">
        <f>_xlfn.XLOOKUP($F1148,設計座標!$E$13:$E$2301,設計座標!$J$13:$J$2301,"n/a",0,1)</f>
        <v>90</v>
      </c>
      <c r="M1148" s="2">
        <f>_xlfn.XLOOKUP($F1148,survey_data!$A$2:$A$833,survey_data!$B$2:$B$833,"n/a",0,1)</f>
        <v>-14991.54803964</v>
      </c>
      <c r="N1148" s="2">
        <f>_xlfn.XLOOKUP($F1148,survey_data!$A$2:$A$833,survey_data!$C$2:$C$833,"n/a",0,1)</f>
        <v>-58996.453588949997</v>
      </c>
      <c r="O1148" s="23">
        <f>_xlfn.XLOOKUP($F1148,survey_data!$A$2:$A$833,survey_data!$D$2:$D$833,"n/a",0,1)</f>
        <v>88.596445369999998</v>
      </c>
      <c r="P1148" s="1">
        <f t="shared" si="891"/>
        <v>89.412738541865778</v>
      </c>
      <c r="Q1148" s="1">
        <f t="shared" si="907"/>
        <v>8.4519603600001574</v>
      </c>
      <c r="R1148">
        <f t="shared" si="904"/>
        <v>0</v>
      </c>
      <c r="S1148" s="23">
        <f t="shared" si="908"/>
        <v>-1.4035546300000021</v>
      </c>
      <c r="T1148">
        <f>$S1148+測地線補正!$Q$26*(lattice!$N1148/1000)^3+測地線補正!$P$26*(lattice!$N1148/1000)^2+測地線補正!$O$26*(lattice!$N1148/1000)+測地線補正!$N$26</f>
        <v>-0.58726145813422792</v>
      </c>
      <c r="U1148">
        <f t="shared" si="919"/>
        <v>-3.2588230499796573E-4</v>
      </c>
      <c r="V1148">
        <v>0</v>
      </c>
      <c r="W1148">
        <f t="shared" si="920"/>
        <v>-9.6649724487647129E-4</v>
      </c>
      <c r="X1148">
        <f>SQRT(($M$1147-$M$1145)^2+($N$1147-$N$1145)^2)-$Y$1147/2</f>
        <v>116.26668945218452</v>
      </c>
      <c r="Y1148">
        <f>_xlfn.XLOOKUP($F1148,設計座標!$E$13:$E$2301,設計座標!$L$13:$L$2301," ",0,1)</f>
        <v>160</v>
      </c>
      <c r="Z1148">
        <f>SQRT(($M$1147-$M$1143)^2+($N$1147-$N$1143)^2)</f>
        <v>591.99141202963835</v>
      </c>
      <c r="AA1148">
        <f>_xlfn.XLOOKUP($G1148,magnet_list!$A$2:$A$592,magnet_list!$AJ$2:$AJ$592,"n/a",0,1)</f>
        <v>0.17374887133613809</v>
      </c>
      <c r="AB1148">
        <f>_xlfn.XLOOKUP($G1148,magnet_list!$A$2:$A$592,magnet_list!$L$2:$L$592,"n/a",0,1)</f>
        <v>44</v>
      </c>
    </row>
    <row r="1149" spans="1:28">
      <c r="A1149" t="s">
        <v>797</v>
      </c>
      <c r="B1149">
        <v>2</v>
      </c>
      <c r="C1149" t="s">
        <v>804</v>
      </c>
      <c r="D1149" t="s">
        <v>1152</v>
      </c>
      <c r="E1149" t="s">
        <v>804</v>
      </c>
      <c r="F1149" t="s">
        <v>1600</v>
      </c>
      <c r="G1149" t="s">
        <v>2623</v>
      </c>
      <c r="I1149">
        <f>_xlfn.XLOOKUP($F1149,設計座標!$E$13:$E$2301,設計座標!$G$13:$G$2301,"n/a",0,1)</f>
        <v>323.68971051601881</v>
      </c>
      <c r="J1149">
        <f>_xlfn.XLOOKUP($F1149,設計座標!$E$13:$E$2301,設計座標!$H$13:$H$2301,"n/a",0,1)</f>
        <v>-15000</v>
      </c>
      <c r="K1149">
        <f>_xlfn.XLOOKUP($F1149,設計座標!$E$13:$E$2301,設計座標!$I$13:$I$2301,"n/a",0,1)</f>
        <v>-59227.653050109999</v>
      </c>
      <c r="L1149">
        <f>_xlfn.XLOOKUP($F1149,設計座標!$E$13:$E$2301,設計座標!$J$13:$J$2301,"n/a",0,1)</f>
        <v>-270</v>
      </c>
      <c r="M1149" s="2">
        <f t="shared" si="914"/>
        <v>-14991.482769126558</v>
      </c>
      <c r="N1149" s="2">
        <f t="shared" si="915"/>
        <v>-59227.653050109999</v>
      </c>
      <c r="O1149" s="23">
        <f t="shared" si="916"/>
        <v>-271.35284174695238</v>
      </c>
      <c r="P1149" s="1">
        <f t="shared" si="891"/>
        <v>-270.52972603812628</v>
      </c>
      <c r="Q1149" s="1">
        <f>(Q$1150-Q$1148)/($N$1150-$N$1148)*($N1149-$N$1148)+Q$1148</f>
        <v>8.5172308734423741</v>
      </c>
      <c r="R1149">
        <f t="shared" si="904"/>
        <v>0</v>
      </c>
      <c r="S1149" s="23">
        <f>(S$1150-S$1148)/($N$1150-$N$1148)*($N1149-$N$1148)+S$1148</f>
        <v>-1.3528417469523739</v>
      </c>
      <c r="T1149">
        <f>$S1149+測地線補正!$Q$26*(lattice!$N1149/1000)^3+測地線補正!$P$26*(lattice!$N1149/1000)^2+測地線補正!$O$26*(lattice!$N1149/1000)+測地線補正!$N$26</f>
        <v>-0.52972603812629515</v>
      </c>
      <c r="U1149">
        <f>-ATAN(($P$1160-$P$1149)/ABS($N$1160-$N$1149))</f>
        <v>-4.9428428491053676E-5</v>
      </c>
      <c r="V1149">
        <v>0</v>
      </c>
      <c r="W1149">
        <f>ATAN(($M$1160-$M$1149)/ABS($N$1160-$N$1149))</f>
        <v>4.2348036455720063E-5</v>
      </c>
      <c r="X1149">
        <f>SQRT(($M$1149-$M$1147)^2+($N$1149-$N$1147)^2)-$Y$1147/2</f>
        <v>221.32731382044113</v>
      </c>
      <c r="Y1149">
        <f>_xlfn.XLOOKUP($F1149,設計座標!$E$13:$E$2301,設計座標!$L$13:$L$2301," ",0,1)</f>
        <v>1889.4492</v>
      </c>
      <c r="Z1149">
        <f>SQRT(($M$1155-$M$1154)^2+($N$1155-$N$1154)^2)</f>
        <v>43.648264117635897</v>
      </c>
    </row>
    <row r="1150" spans="1:28">
      <c r="A1150" t="s">
        <v>797</v>
      </c>
      <c r="B1150">
        <v>2</v>
      </c>
      <c r="C1150" t="s">
        <v>805</v>
      </c>
      <c r="D1150" t="s">
        <v>806</v>
      </c>
      <c r="F1150" t="s">
        <v>276</v>
      </c>
      <c r="G1150" t="s">
        <v>2624</v>
      </c>
      <c r="I1150">
        <f>_xlfn.XLOOKUP($F1150,設計座標!$E$13:$E$2301,設計座標!$G$13:$G$2301,"n/a",0,1)</f>
        <v>323.8590143377088</v>
      </c>
      <c r="J1150">
        <f>_xlfn.XLOOKUP($F1150,設計座標!$E$13:$E$2301,設計座標!$H$13:$H$2301,"n/a",0,1)</f>
        <v>-15000</v>
      </c>
      <c r="K1150">
        <f>_xlfn.XLOOKUP($F1150,設計座標!$E$13:$E$2301,設計座標!$I$13:$I$2301,"n/a",0,1)</f>
        <v>-59396.956871800001</v>
      </c>
      <c r="L1150">
        <f>_xlfn.XLOOKUP($F1150,設計座標!$E$13:$E$2301,設計座標!$J$13:$J$2301,"n/a",0,1)</f>
        <v>75</v>
      </c>
      <c r="M1150" s="2">
        <f>_xlfn.XLOOKUP($F1150,survey_data!$A$2:$A$833,survey_data!$B$2:$B$833,"n/a",0,1)</f>
        <v>-14991.43497253</v>
      </c>
      <c r="N1150" s="2">
        <f>_xlfn.XLOOKUP($F1150,survey_data!$A$2:$A$833,survey_data!$C$2:$C$833,"n/a",0,1)</f>
        <v>-59396.956871800001</v>
      </c>
      <c r="O1150" s="23">
        <f>_xlfn.XLOOKUP($F1150,survey_data!$A$2:$A$833,survey_data!$D$2:$D$833,"n/a",0,1)</f>
        <v>73.684294519999995</v>
      </c>
      <c r="P1150" s="1">
        <f t="shared" si="891"/>
        <v>74.512397141935423</v>
      </c>
      <c r="Q1150" s="1">
        <f t="shared" si="907"/>
        <v>8.5650274700001319</v>
      </c>
      <c r="R1150">
        <f t="shared" si="904"/>
        <v>0</v>
      </c>
      <c r="S1150" s="23">
        <f t="shared" si="908"/>
        <v>-1.3157054800000054</v>
      </c>
      <c r="T1150">
        <f>$S1150+測地線補正!$Q$26*(lattice!$N1150/1000)^3+測地線補正!$P$26*(lattice!$N1150/1000)^2+測地線補正!$O$26*(lattice!$N1150/1000)+測地線補正!$N$26</f>
        <v>-0.48760285806457593</v>
      </c>
      <c r="U1150">
        <f>-ATAN(($P$1152-$P$1150)/ABS($N$1152-$N$1150))</f>
        <v>-1.0561550311858181E-4</v>
      </c>
      <c r="V1150">
        <v>0</v>
      </c>
      <c r="W1150">
        <f>ATAN(($M$1152-$M$1150)/ABS($N$1152-$N$1150))</f>
        <v>-2.967603957408184E-5</v>
      </c>
      <c r="X1150" t="s">
        <v>3860</v>
      </c>
      <c r="Y1150">
        <f>_xlfn.XLOOKUP($F1150,設計座標!$E$13:$E$2301,設計座標!$L$13:$L$2301," ",0,1)</f>
        <v>300</v>
      </c>
      <c r="Z1150">
        <f>SQRT(($M$1151-$M$1147)^2+($N$1151-$N$1147)^2)</f>
        <v>605.61063690708556</v>
      </c>
      <c r="AA1150">
        <f>_xlfn.XLOOKUP($G1150,magnet_list!$A$2:$A$592,magnet_list!$AJ$2:$AJ$592,"n/a",0,1)</f>
        <v>0.32714527067797677</v>
      </c>
      <c r="AB1150">
        <f>_xlfn.XLOOKUP($G1150,magnet_list!$A$2:$A$592,magnet_list!$L$2:$L$592,"n/a",0,1)</f>
        <v>120</v>
      </c>
    </row>
    <row r="1151" spans="1:28">
      <c r="A1151" t="s">
        <v>797</v>
      </c>
      <c r="B1151">
        <v>2</v>
      </c>
      <c r="C1151" t="s">
        <v>805</v>
      </c>
      <c r="D1151" t="s">
        <v>1152</v>
      </c>
      <c r="E1151" t="s">
        <v>804</v>
      </c>
      <c r="F1151" t="s">
        <v>685</v>
      </c>
      <c r="G1151" t="s">
        <v>2624</v>
      </c>
      <c r="I1151">
        <f>_xlfn.XLOOKUP($F1151,設計座標!$E$13:$E$2301,設計座標!$G$13:$G$2301,"n/a",0,1)</f>
        <v>323.99399383770879</v>
      </c>
      <c r="J1151">
        <f>_xlfn.XLOOKUP($F1151,設計座標!$E$13:$E$2301,設計座標!$H$13:$H$2301,"n/a",0,1)</f>
        <v>-15000</v>
      </c>
      <c r="K1151">
        <f>_xlfn.XLOOKUP($F1151,設計座標!$E$13:$E$2301,設計座標!$I$13:$I$2301,"n/a",0,1)</f>
        <v>-59531.936371799995</v>
      </c>
      <c r="L1151">
        <f>_xlfn.XLOOKUP($F1151,設計座標!$E$13:$E$2301,設計座標!$J$13:$J$2301,"n/a",0,1)</f>
        <v>75</v>
      </c>
      <c r="M1151" s="2">
        <f t="shared" si="914"/>
        <v>-14991.438978186985</v>
      </c>
      <c r="N1151" s="2">
        <f t="shared" si="915"/>
        <v>-59531.936371799995</v>
      </c>
      <c r="O1151" s="23">
        <f t="shared" si="916"/>
        <v>73.69458254663563</v>
      </c>
      <c r="P1151" s="1">
        <f t="shared" si="891"/>
        <v>74.526655519874481</v>
      </c>
      <c r="Q1151" s="1">
        <f>(Q$1152-Q$1150)/($N$1152-$N$1150)*($N1151-$N$1150)+Q$1150</f>
        <v>8.561021813015266</v>
      </c>
      <c r="R1151">
        <f t="shared" si="904"/>
        <v>0</v>
      </c>
      <c r="S1151" s="23">
        <f>(S$1152-S$1150)/($N$1152-$N$1150)*($N1151-$N$1150)+S$1150</f>
        <v>-1.3054174533643708</v>
      </c>
      <c r="T1151">
        <f>$S1151+測地線補正!$Q$26*(lattice!$N1151/1000)^3+測地線補正!$P$26*(lattice!$N1151/1000)^2+測地線補正!$O$26*(lattice!$N1151/1000)+測地線補正!$N$26</f>
        <v>-0.47334448012551689</v>
      </c>
      <c r="U1151">
        <f t="shared" ref="U1151:U1152" si="921">-ATAN(($P$1152-$P$1150)/ABS($N$1152-$N$1150))</f>
        <v>-1.0561550311858181E-4</v>
      </c>
      <c r="V1151">
        <v>0</v>
      </c>
      <c r="W1151">
        <f t="shared" ref="W1151:W1152" si="922">ATAN(($M$1152-$M$1150)/ABS($N$1152-$N$1150))</f>
        <v>-2.967603957408184E-5</v>
      </c>
      <c r="X1151" t="s">
        <v>3860</v>
      </c>
      <c r="Y1151">
        <f>_xlfn.XLOOKUP($F1151,設計座標!$E$13:$E$2301,設計座標!$L$13:$L$2301," ",0,1)</f>
        <v>300</v>
      </c>
      <c r="Z1151">
        <f>SQRT(($M$1151-$M$1147)^2+($N$1151-$N$1147)^2)</f>
        <v>605.61063690708556</v>
      </c>
      <c r="AA1151">
        <f>_xlfn.XLOOKUP($G1151,magnet_list!$A$2:$A$592,magnet_list!$AJ$2:$AJ$592,"n/a",0,1)</f>
        <v>0.32714527067797677</v>
      </c>
      <c r="AB1151">
        <f>_xlfn.XLOOKUP($G1151,magnet_list!$A$2:$A$592,magnet_list!$L$2:$L$592,"n/a",0,1)</f>
        <v>120</v>
      </c>
    </row>
    <row r="1152" spans="1:28">
      <c r="A1152" t="s">
        <v>797</v>
      </c>
      <c r="B1152">
        <v>2</v>
      </c>
      <c r="C1152" t="s">
        <v>805</v>
      </c>
      <c r="D1152" t="s">
        <v>806</v>
      </c>
      <c r="F1152" t="s">
        <v>277</v>
      </c>
      <c r="G1152" t="s">
        <v>2624</v>
      </c>
      <c r="I1152">
        <f>_xlfn.XLOOKUP($F1152,設計座標!$E$13:$E$2301,設計座標!$G$13:$G$2301,"n/a",0,1)</f>
        <v>324.12899140046881</v>
      </c>
      <c r="J1152">
        <f>_xlfn.XLOOKUP($F1152,設計座標!$E$13:$E$2301,設計座標!$H$13:$H$2301,"n/a",0,1)</f>
        <v>-15000</v>
      </c>
      <c r="K1152">
        <f>_xlfn.XLOOKUP($F1152,設計座標!$E$13:$E$2301,設計座標!$I$13:$I$2301,"n/a",0,1)</f>
        <v>-59666.933934560002</v>
      </c>
      <c r="L1152">
        <f>_xlfn.XLOOKUP($F1152,設計座標!$E$13:$E$2301,設計座標!$J$13:$J$2301,"n/a",0,1)</f>
        <v>75</v>
      </c>
      <c r="M1152" s="2">
        <f>_xlfn.XLOOKUP($F1152,survey_data!$A$2:$A$833,survey_data!$B$2:$B$833,"n/a",0,1)</f>
        <v>-14991.442984380001</v>
      </c>
      <c r="N1152" s="2">
        <f>_xlfn.XLOOKUP($F1152,survey_data!$A$2:$A$833,survey_data!$C$2:$C$833,"n/a",0,1)</f>
        <v>-59666.933934560002</v>
      </c>
      <c r="O1152" s="23">
        <f>_xlfn.XLOOKUP($F1152,survey_data!$A$2:$A$833,survey_data!$D$2:$D$833,"n/a",0,1)</f>
        <v>73.704871949999998</v>
      </c>
      <c r="P1152" s="1">
        <f t="shared" si="891"/>
        <v>74.540910905355318</v>
      </c>
      <c r="Q1152" s="1">
        <f t="shared" si="907"/>
        <v>8.5570156199992198</v>
      </c>
      <c r="R1152">
        <f t="shared" si="904"/>
        <v>0</v>
      </c>
      <c r="S1152" s="23">
        <f t="shared" si="908"/>
        <v>-1.2951280500000024</v>
      </c>
      <c r="T1152">
        <f>$S1152+測地線補正!$Q$26*(lattice!$N1152/1000)^3+測地線補正!$P$26*(lattice!$N1152/1000)^2+測地線補正!$O$26*(lattice!$N1152/1000)+測地線補正!$N$26</f>
        <v>-0.45908909464467884</v>
      </c>
      <c r="U1152">
        <f t="shared" si="921"/>
        <v>-1.0561550311858181E-4</v>
      </c>
      <c r="V1152">
        <v>0</v>
      </c>
      <c r="W1152">
        <f t="shared" si="922"/>
        <v>-2.967603957408184E-5</v>
      </c>
      <c r="X1152" t="s">
        <v>3860</v>
      </c>
      <c r="Y1152">
        <f>_xlfn.XLOOKUP($F1152,設計座標!$E$13:$E$2301,設計座標!$L$13:$L$2301," ",0,1)</f>
        <v>300</v>
      </c>
      <c r="Z1152">
        <f>SQRT(($M$1151-$M$1147)^2+($N$1151-$N$1147)^2)</f>
        <v>605.61063690708556</v>
      </c>
      <c r="AA1152">
        <f>_xlfn.XLOOKUP($G1152,magnet_list!$A$2:$A$592,magnet_list!$AJ$2:$AJ$592,"n/a",0,1)</f>
        <v>0.32714527067797677</v>
      </c>
      <c r="AB1152">
        <f>_xlfn.XLOOKUP($G1152,magnet_list!$A$2:$A$592,magnet_list!$L$2:$L$592,"n/a",0,1)</f>
        <v>120</v>
      </c>
    </row>
    <row r="1153" spans="1:30">
      <c r="A1153" t="s">
        <v>797</v>
      </c>
      <c r="B1153">
        <v>2</v>
      </c>
      <c r="C1153" t="s">
        <v>805</v>
      </c>
      <c r="D1153" t="s">
        <v>806</v>
      </c>
      <c r="F1153" t="s">
        <v>278</v>
      </c>
      <c r="G1153" t="s">
        <v>2625</v>
      </c>
      <c r="I1153">
        <f>_xlfn.XLOOKUP($F1153,設計座標!$E$13:$E$2301,設計座標!$G$13:$G$2301,"n/a",0,1)</f>
        <v>324.46146009898882</v>
      </c>
      <c r="J1153">
        <f>_xlfn.XLOOKUP($F1153,設計座標!$E$13:$E$2301,設計座標!$H$13:$H$2301,"n/a",0,1)</f>
        <v>-15000</v>
      </c>
      <c r="K1153">
        <f>_xlfn.XLOOKUP($F1153,設計座標!$E$13:$E$2301,設計座標!$I$13:$I$2301,"n/a",0,1)</f>
        <v>-59999.402633079997</v>
      </c>
      <c r="L1153">
        <f>_xlfn.XLOOKUP($F1153,設計座標!$E$13:$E$2301,設計座標!$J$13:$J$2301,"n/a",0,1)</f>
        <v>75</v>
      </c>
      <c r="M1153" s="2">
        <f>_xlfn.XLOOKUP($F1153,survey_data!$A$2:$A$833,survey_data!$B$2:$B$833,"n/a",0,1)</f>
        <v>-14991.38175878</v>
      </c>
      <c r="N1153" s="2">
        <f>_xlfn.XLOOKUP($F1153,survey_data!$A$2:$A$833,survey_data!$C$2:$C$833,"n/a",0,1)</f>
        <v>-59999.402633079997</v>
      </c>
      <c r="O1153" s="23">
        <f>_xlfn.XLOOKUP($F1153,survey_data!$A$2:$A$833,survey_data!$D$2:$D$833,"n/a",0,1)</f>
        <v>73.649032480000002</v>
      </c>
      <c r="P1153" s="1">
        <f t="shared" si="891"/>
        <v>74.494817874697375</v>
      </c>
      <c r="Q1153" s="1">
        <f t="shared" si="907"/>
        <v>8.6182412199996179</v>
      </c>
      <c r="R1153">
        <f t="shared" si="904"/>
        <v>0</v>
      </c>
      <c r="S1153" s="23">
        <f t="shared" si="908"/>
        <v>-1.3509675199999975</v>
      </c>
      <c r="T1153">
        <f>$S1153+測地線補正!$Q$26*(lattice!$N1153/1000)^3+測地線補正!$P$26*(lattice!$N1153/1000)^2+測地線補正!$O$26*(lattice!$N1153/1000)+測地線補正!$N$26</f>
        <v>-0.50518212530262674</v>
      </c>
      <c r="U1153">
        <f>-ATAN(($P$1156-$P$1153)/ABS($N$1156-$N$1153))</f>
        <v>-1.8660517815820456E-4</v>
      </c>
      <c r="V1153">
        <v>0</v>
      </c>
      <c r="W1153">
        <f>ATAN(($M$1156-$M$1153)/ABS($N$1156-$N$1153))</f>
        <v>2.8216440972738527E-4</v>
      </c>
      <c r="X1153" t="s">
        <v>3860</v>
      </c>
      <c r="Y1153">
        <f>_xlfn.XLOOKUP($F1153,設計座標!$E$13:$E$2301,設計座標!$L$13:$L$2301," ",0,1)</f>
        <v>300</v>
      </c>
      <c r="Z1153">
        <f>SQRT(($M$1154-$M$1151)^2+($N$1154-$N$1151)^2)</f>
        <v>602.47276881947573</v>
      </c>
      <c r="AA1153">
        <f>_xlfn.XLOOKUP($G1153,magnet_list!$A$2:$A$592,magnet_list!$AJ$2:$AJ$592,"n/a",0,1)</f>
        <v>0.32714527067797677</v>
      </c>
      <c r="AB1153">
        <f>_xlfn.XLOOKUP($G1153,magnet_list!$A$2:$A$592,magnet_list!$L$2:$L$592,"n/a",0,1)</f>
        <v>120</v>
      </c>
    </row>
    <row r="1154" spans="1:30">
      <c r="A1154" t="s">
        <v>797</v>
      </c>
      <c r="B1154">
        <v>2</v>
      </c>
      <c r="C1154" t="s">
        <v>805</v>
      </c>
      <c r="D1154" t="s">
        <v>1152</v>
      </c>
      <c r="E1154" t="s">
        <v>804</v>
      </c>
      <c r="F1154" t="s">
        <v>686</v>
      </c>
      <c r="G1154" t="s">
        <v>2625</v>
      </c>
      <c r="I1154">
        <f>_xlfn.XLOOKUP($F1154,設計座標!$E$13:$E$2301,設計座標!$G$13:$G$2301,"n/a",0,1)</f>
        <v>324.59646659898885</v>
      </c>
      <c r="J1154">
        <f>_xlfn.XLOOKUP($F1154,設計座標!$E$13:$E$2301,設計座標!$H$13:$H$2301,"n/a",0,1)</f>
        <v>-15000</v>
      </c>
      <c r="K1154">
        <f>_xlfn.XLOOKUP($F1154,設計座標!$E$13:$E$2301,設計座標!$I$13:$I$2301,"n/a",0,1)</f>
        <v>-60134.40913308</v>
      </c>
      <c r="L1154">
        <f>_xlfn.XLOOKUP($F1154,設計座標!$E$13:$E$2301,設計座標!$J$13:$J$2301,"n/a",0,1)</f>
        <v>75</v>
      </c>
      <c r="M1154" s="2">
        <f t="shared" ref="M1154:M1155" si="923">$J1154+$Q1154</f>
        <v>-14991.343664749607</v>
      </c>
      <c r="N1154" s="2">
        <f t="shared" ref="N1154:N1155" si="924">$K1154</f>
        <v>-60134.40913308</v>
      </c>
      <c r="O1154" s="23">
        <f t="shared" ref="O1154:O1155" si="925">$L1154+$S1154</f>
        <v>73.670278549970973</v>
      </c>
      <c r="P1154" s="1">
        <f t="shared" si="891"/>
        <v>74.520013233090623</v>
      </c>
      <c r="Q1154" s="1">
        <f>(Q$1156-Q$1153)/($N$1156-$N$1153)*($N1154-$N$1153)+Q$1153</f>
        <v>8.6563352503924538</v>
      </c>
      <c r="R1154">
        <f t="shared" si="904"/>
        <v>0</v>
      </c>
      <c r="S1154" s="23">
        <f t="shared" ref="S1154:S1155" si="926">(S$1156-S$1153)/($N$1156-$N$1153)*($N1154-$N$1153)+S$1153</f>
        <v>-1.3297214500290278</v>
      </c>
      <c r="T1154">
        <f>$S1154+測地線補正!$Q$26*(lattice!$N1154/1000)^3+測地線補正!$P$26*(lattice!$N1154/1000)^2+測地線補正!$O$26*(lattice!$N1154/1000)+測地線補正!$N$26</f>
        <v>-0.47998676690937758</v>
      </c>
      <c r="U1154">
        <f t="shared" ref="U1154" si="927">-ATAN(($P$1156-$P$1153)/ABS($N$1156-$N$1153))</f>
        <v>-1.8660517815820456E-4</v>
      </c>
      <c r="V1154">
        <v>0</v>
      </c>
      <c r="W1154">
        <f>ATAN(($M$1156-$M$1153)/ABS($N$1156-$N$1153))</f>
        <v>2.8216440972738527E-4</v>
      </c>
      <c r="X1154" t="s">
        <v>3860</v>
      </c>
      <c r="Y1154">
        <f>_xlfn.XLOOKUP($F1154,設計座標!$E$13:$E$2301,設計座標!$L$13:$L$2301," ",0,1)</f>
        <v>300</v>
      </c>
      <c r="Z1154">
        <f>SQRT(($M$1154-$M$1151)^2+($N$1154-$N$1151)^2)</f>
        <v>602.47276881947573</v>
      </c>
      <c r="AA1154">
        <f>_xlfn.XLOOKUP($G1154,magnet_list!$A$2:$A$592,magnet_list!$AJ$2:$AJ$592,"n/a",0,1)</f>
        <v>0.32714527067797677</v>
      </c>
      <c r="AB1154">
        <f>_xlfn.XLOOKUP($G1154,magnet_list!$A$2:$A$592,magnet_list!$L$2:$L$592,"n/a",0,1)</f>
        <v>120</v>
      </c>
    </row>
    <row r="1155" spans="1:30">
      <c r="A1155" t="s">
        <v>797</v>
      </c>
      <c r="B1155">
        <v>2</v>
      </c>
      <c r="C1155" t="s">
        <v>804</v>
      </c>
      <c r="D1155" t="s">
        <v>1152</v>
      </c>
      <c r="E1155" t="s">
        <v>804</v>
      </c>
      <c r="F1155" t="s">
        <v>1248</v>
      </c>
      <c r="G1155" t="s">
        <v>2623</v>
      </c>
      <c r="I1155">
        <f>_xlfn.XLOOKUP($F1155,設計座標!$E$13:$E$2301,設計座標!$G$13:$G$2301,"n/a",0,1)</f>
        <v>324.64011486136889</v>
      </c>
      <c r="J1155">
        <f>_xlfn.XLOOKUP($F1155,設計座標!$E$13:$E$2301,設計座標!$H$13:$H$2301,"n/a",0,1)</f>
        <v>-15000</v>
      </c>
      <c r="K1155">
        <f>_xlfn.XLOOKUP($F1155,設計座標!$E$13:$E$2301,設計座標!$I$13:$I$2301,"n/a",0,1)</f>
        <v>-60178.05739546007</v>
      </c>
      <c r="L1155">
        <f>_xlfn.XLOOKUP($F1155,設計座標!$E$13:$E$2301,設計座標!$J$13:$J$2301,"n/a",0,1)</f>
        <v>-270</v>
      </c>
      <c r="M1155" s="2">
        <f t="shared" si="923"/>
        <v>-14991.331348763091</v>
      </c>
      <c r="N1155" s="2">
        <f t="shared" si="924"/>
        <v>-60178.05739546007</v>
      </c>
      <c r="O1155" s="23">
        <f t="shared" si="925"/>
        <v>-271.32285249159639</v>
      </c>
      <c r="P1155" s="1">
        <f t="shared" si="891"/>
        <v>-270.47184203088062</v>
      </c>
      <c r="Q1155" s="1">
        <f>(Q$1156-Q$1153)/($N$1156-$N$1153)*($N1155-$N$1153)+Q$1153</f>
        <v>8.6686512369094046</v>
      </c>
      <c r="R1155">
        <f t="shared" si="904"/>
        <v>0</v>
      </c>
      <c r="S1155" s="23">
        <f t="shared" si="926"/>
        <v>-1.3228524915963733</v>
      </c>
      <c r="T1155">
        <f>$S1155+測地線補正!$Q$26*(lattice!$N1155/1000)^3+測地線補正!$P$26*(lattice!$N1155/1000)^2+測地線補正!$O$26*(lattice!$N1155/1000)+測地線補正!$N$26</f>
        <v>-0.47184203088063303</v>
      </c>
      <c r="U1155">
        <f>-ATAN(($P$1160-$P$1149)/ABS($N$1160-$N$1149))</f>
        <v>-4.9428428491053676E-5</v>
      </c>
      <c r="V1155">
        <v>0</v>
      </c>
      <c r="W1155">
        <f>ATAN(($M$1160-$M$1149)/ABS($N$1160-$N$1149))</f>
        <v>4.2348036455720063E-5</v>
      </c>
      <c r="X1155" t="s">
        <v>3860</v>
      </c>
      <c r="Y1155">
        <f>_xlfn.XLOOKUP($F1155,設計座標!$E$13:$E$2301,設計座標!$L$13:$L$2301," ",0,1)</f>
        <v>1889.4492</v>
      </c>
      <c r="Z1155">
        <f>SQRT(($M$1155-$M$1154)^2+($N$1155-$N$1154)^2)</f>
        <v>43.648264117635897</v>
      </c>
    </row>
    <row r="1156" spans="1:30">
      <c r="A1156" t="s">
        <v>797</v>
      </c>
      <c r="B1156">
        <v>2</v>
      </c>
      <c r="C1156" t="s">
        <v>805</v>
      </c>
      <c r="D1156" t="s">
        <v>806</v>
      </c>
      <c r="F1156" t="s">
        <v>279</v>
      </c>
      <c r="G1156" t="s">
        <v>2625</v>
      </c>
      <c r="I1156">
        <f>_xlfn.XLOOKUP($F1156,設計座標!$E$13:$E$2301,設計座標!$G$13:$G$2301,"n/a",0,1)</f>
        <v>324.73146483860882</v>
      </c>
      <c r="J1156">
        <f>_xlfn.XLOOKUP($F1156,設計座標!$E$13:$E$2301,設計座標!$H$13:$H$2301,"n/a",0,1)</f>
        <v>-15000</v>
      </c>
      <c r="K1156">
        <f>_xlfn.XLOOKUP($F1156,設計座標!$E$13:$E$2301,設計座標!$I$13:$I$2301,"n/a",0,1)</f>
        <v>-60269.4073727</v>
      </c>
      <c r="L1156">
        <f>_xlfn.XLOOKUP($F1156,設計座標!$E$13:$E$2301,設計座標!$J$13:$J$2301,"n/a",0,1)</f>
        <v>75</v>
      </c>
      <c r="M1156" s="2">
        <f>_xlfn.XLOOKUP($F1156,survey_data!$A$2:$A$833,survey_data!$B$2:$B$833,"n/a",0,1)</f>
        <v>-14991.30557305</v>
      </c>
      <c r="N1156" s="2">
        <f>_xlfn.XLOOKUP($F1156,survey_data!$A$2:$A$833,survey_data!$C$2:$C$833,"n/a",0,1)</f>
        <v>-60269.4073727</v>
      </c>
      <c r="O1156" s="23">
        <f>_xlfn.XLOOKUP($F1156,survey_data!$A$2:$A$833,survey_data!$D$2:$D$833,"n/a",0,1)</f>
        <v>73.691523320000002</v>
      </c>
      <c r="P1156" s="1">
        <f t="shared" si="891"/>
        <v>74.545202157822544</v>
      </c>
      <c r="Q1156" s="1">
        <f t="shared" si="907"/>
        <v>8.6944269499999791</v>
      </c>
      <c r="R1156">
        <f t="shared" si="904"/>
        <v>0</v>
      </c>
      <c r="S1156" s="23">
        <f t="shared" si="908"/>
        <v>-1.3084766799999983</v>
      </c>
      <c r="T1156">
        <f>$S1156+測地線補正!$Q$26*(lattice!$N1156/1000)^3+測地線補正!$P$26*(lattice!$N1156/1000)^2+測地線補正!$O$26*(lattice!$N1156/1000)+測地線補正!$N$26</f>
        <v>-0.45479784217746277</v>
      </c>
      <c r="U1156">
        <f>-ATAN(($P$1156-$P$1153)/ABS($N$1156-$N$1153))</f>
        <v>-1.8660517815820456E-4</v>
      </c>
      <c r="V1156">
        <v>0</v>
      </c>
      <c r="W1156">
        <f>ATAN(($M$1156-$M$1153)/ABS($N$1156-$N$1153))</f>
        <v>2.8216440972738527E-4</v>
      </c>
      <c r="X1156" t="s">
        <v>3860</v>
      </c>
      <c r="Y1156">
        <f>_xlfn.XLOOKUP($F1156,設計座標!$E$13:$E$2301,設計座標!$L$13:$L$2301," ",0,1)</f>
        <v>300</v>
      </c>
      <c r="Z1156">
        <f>SQRT(($M$1154-$M$1151)^2+($N$1154-$N$1151)^2)</f>
        <v>602.47276881947573</v>
      </c>
      <c r="AA1156">
        <f>_xlfn.XLOOKUP($G1156,magnet_list!$A$2:$A$592,magnet_list!$AJ$2:$AJ$592,"n/a",0,1)</f>
        <v>0.32714527067797677</v>
      </c>
      <c r="AB1156">
        <f>_xlfn.XLOOKUP($G1156,magnet_list!$A$2:$A$592,magnet_list!$L$2:$L$592,"n/a",0,1)</f>
        <v>120</v>
      </c>
    </row>
    <row r="1157" spans="1:30">
      <c r="A1157" t="s">
        <v>797</v>
      </c>
      <c r="B1157">
        <v>2</v>
      </c>
      <c r="C1157" t="s">
        <v>805</v>
      </c>
      <c r="D1157" t="s">
        <v>806</v>
      </c>
      <c r="F1157" t="s">
        <v>280</v>
      </c>
      <c r="G1157" t="s">
        <v>2626</v>
      </c>
      <c r="I1157">
        <f>_xlfn.XLOOKUP($F1157,設計座標!$E$13:$E$2301,設計座標!$G$13:$G$2301,"n/a",0,1)</f>
        <v>325.05777245972882</v>
      </c>
      <c r="J1157">
        <f>_xlfn.XLOOKUP($F1157,設計座標!$E$13:$E$2301,設計座標!$H$13:$H$2301,"n/a",0,1)</f>
        <v>-15000</v>
      </c>
      <c r="K1157">
        <f>_xlfn.XLOOKUP($F1157,設計座標!$E$13:$E$2301,設計座標!$I$13:$I$2301,"n/a",0,1)</f>
        <v>-60595.714993820002</v>
      </c>
      <c r="L1157">
        <f>_xlfn.XLOOKUP($F1157,設計座標!$E$13:$E$2301,設計座標!$J$13:$J$2301,"n/a",0,1)</f>
        <v>75</v>
      </c>
      <c r="M1157" s="2">
        <f>_xlfn.XLOOKUP($F1157,survey_data!$A$2:$A$833,survey_data!$B$2:$B$833,"n/a",0,1)</f>
        <v>-14991.46600197</v>
      </c>
      <c r="N1157" s="2">
        <f>_xlfn.XLOOKUP($F1157,survey_data!$A$2:$A$833,survey_data!$C$2:$C$833,"n/a",0,1)</f>
        <v>-60595.714993820002</v>
      </c>
      <c r="O1157" s="23">
        <f>_xlfn.XLOOKUP($F1157,survey_data!$A$2:$A$833,survey_data!$D$2:$D$833,"n/a",0,1)</f>
        <v>73.663389589999994</v>
      </c>
      <c r="P1157" s="1">
        <f t="shared" si="891"/>
        <v>74.526581752225184</v>
      </c>
      <c r="Q1157" s="1">
        <f t="shared" si="907"/>
        <v>8.5339980299995659</v>
      </c>
      <c r="R1157">
        <f t="shared" si="904"/>
        <v>0</v>
      </c>
      <c r="S1157" s="23">
        <f t="shared" si="908"/>
        <v>-1.3366104100000058</v>
      </c>
      <c r="T1157">
        <f>$S1157+測地線補正!$Q$26*(lattice!$N1157/1000)^3+測地線補正!$P$26*(lattice!$N1157/1000)^2+測地線補正!$O$26*(lattice!$N1157/1000)+測地線補正!$N$26</f>
        <v>-0.47341824777481478</v>
      </c>
      <c r="U1157">
        <f>-ATAN(($P$1159-$P$1157)/ABS($N$1159-$N$1157))</f>
        <v>-2.9311393298550131E-4</v>
      </c>
      <c r="V1157">
        <v>0</v>
      </c>
      <c r="W1157">
        <f>ATAN(($M$1159-$M$1157)/ABS($N$1159-$N$1157))</f>
        <v>-1.4047793272766609E-4</v>
      </c>
      <c r="X1157" t="s">
        <v>3860</v>
      </c>
      <c r="Y1157">
        <f>_xlfn.XLOOKUP($F1157,設計座標!$E$13:$E$2301,設計座標!$L$13:$L$2301," ",0,1)</f>
        <v>300</v>
      </c>
      <c r="Z1157">
        <f>SQRT(($M$1158-$M$1155)^2+($N$1158-$N$1155)^2)</f>
        <v>552.64761970986683</v>
      </c>
      <c r="AA1157">
        <f>_xlfn.XLOOKUP($G1157,magnet_list!$A$2:$A$592,magnet_list!$AJ$2:$AJ$592,"n/a",0,1)</f>
        <v>0.32714527067797677</v>
      </c>
      <c r="AB1157">
        <f>_xlfn.XLOOKUP($G1157,magnet_list!$A$2:$A$592,magnet_list!$L$2:$L$592,"n/a",0,1)</f>
        <v>120</v>
      </c>
    </row>
    <row r="1158" spans="1:30">
      <c r="A1158" t="s">
        <v>797</v>
      </c>
      <c r="B1158">
        <v>2</v>
      </c>
      <c r="C1158" t="s">
        <v>805</v>
      </c>
      <c r="D1158" t="s">
        <v>1152</v>
      </c>
      <c r="E1158" t="s">
        <v>804</v>
      </c>
      <c r="F1158" t="s">
        <v>687</v>
      </c>
      <c r="G1158" t="s">
        <v>2626</v>
      </c>
      <c r="I1158">
        <f>_xlfn.XLOOKUP($F1158,設計座標!$E$13:$E$2301,設計座標!$G$13:$G$2301,"n/a",0,1)</f>
        <v>325.19276245972884</v>
      </c>
      <c r="J1158">
        <f>_xlfn.XLOOKUP($F1158,設計座標!$E$13:$E$2301,設計座標!$H$13:$H$2301,"n/a",0,1)</f>
        <v>-15000</v>
      </c>
      <c r="K1158">
        <f>_xlfn.XLOOKUP($F1158,設計座標!$E$13:$E$2301,設計座標!$I$13:$I$2301,"n/a",0,1)</f>
        <v>-60730.704993820007</v>
      </c>
      <c r="L1158">
        <f>_xlfn.XLOOKUP($F1158,設計座標!$E$13:$E$2301,設計座標!$J$13:$J$2301,"n/a",0,1)</f>
        <v>75</v>
      </c>
      <c r="M1158" s="2">
        <f t="shared" ref="M1158:M1163" si="928">$J1158+$Q1158</f>
        <v>-14991.484965086263</v>
      </c>
      <c r="N1158" s="2">
        <f t="shared" ref="N1158:N1163" si="929">$K1158</f>
        <v>-60730.704993820007</v>
      </c>
      <c r="O1158" s="23">
        <f t="shared" ref="O1158:O1163" si="930">$L1158+$S1158</f>
        <v>73.699032267500087</v>
      </c>
      <c r="P1158" s="1">
        <f t="shared" si="891"/>
        <v>74.566151643636402</v>
      </c>
      <c r="Q1158" s="1">
        <f>(Q$1159-Q$1157)/($N$1159-$N$1157)*($N1158-$N$1157)+Q$1157</f>
        <v>8.5150349137359171</v>
      </c>
      <c r="R1158">
        <f t="shared" si="904"/>
        <v>0</v>
      </c>
      <c r="S1158" s="23">
        <f>(S$1159-S$1157)/($N$1159-$N$1157)*($N1158-$N$1157)+S$1157</f>
        <v>-1.3009677324999194</v>
      </c>
      <c r="T1158">
        <f>$S1158+測地線補正!$Q$26*(lattice!$N1158/1000)^3+測地線補正!$P$26*(lattice!$N1158/1000)^2+測地線補正!$O$26*(lattice!$N1158/1000)+測地線補正!$N$26</f>
        <v>-0.43384835636359775</v>
      </c>
      <c r="U1158">
        <f t="shared" ref="U1158:U1159" si="931">-ATAN(($P$1159-$P$1157)/ABS($N$1159-$N$1157))</f>
        <v>-2.9311393298550131E-4</v>
      </c>
      <c r="V1158">
        <v>0</v>
      </c>
      <c r="W1158">
        <f t="shared" ref="W1158:W1159" si="932">ATAN(($M$1159-$M$1157)/ABS($N$1159-$N$1157))</f>
        <v>-1.4047793272766609E-4</v>
      </c>
      <c r="X1158" t="s">
        <v>3860</v>
      </c>
      <c r="Y1158">
        <f>_xlfn.XLOOKUP($F1158,設計座標!$E$13:$E$2301,設計座標!$L$13:$L$2301," ",0,1)</f>
        <v>300</v>
      </c>
      <c r="Z1158">
        <f>SQRT(($M$1158-$M$1155)^2+($N$1158-$N$1155)^2)</f>
        <v>552.64761970986683</v>
      </c>
      <c r="AA1158">
        <f>_xlfn.XLOOKUP($G1158,magnet_list!$A$2:$A$592,magnet_list!$AJ$2:$AJ$592,"n/a",0,1)</f>
        <v>0.32714527067797677</v>
      </c>
      <c r="AB1158">
        <f>_xlfn.XLOOKUP($G1158,magnet_list!$A$2:$A$592,magnet_list!$L$2:$L$592,"n/a",0,1)</f>
        <v>120</v>
      </c>
    </row>
    <row r="1159" spans="1:30">
      <c r="A1159" t="s">
        <v>797</v>
      </c>
      <c r="B1159">
        <v>2</v>
      </c>
      <c r="C1159" t="s">
        <v>805</v>
      </c>
      <c r="D1159" t="s">
        <v>806</v>
      </c>
      <c r="F1159" t="s">
        <v>281</v>
      </c>
      <c r="G1159" t="s">
        <v>2626</v>
      </c>
      <c r="I1159">
        <f>_xlfn.XLOOKUP($F1159,設計座標!$E$13:$E$2301,設計座標!$G$13:$G$2301,"n/a",0,1)</f>
        <v>325.32770930328883</v>
      </c>
      <c r="J1159">
        <f>_xlfn.XLOOKUP($F1159,設計座標!$E$13:$E$2301,設計座標!$H$13:$H$2301,"n/a",0,1)</f>
        <v>-15000</v>
      </c>
      <c r="K1159">
        <f>_xlfn.XLOOKUP($F1159,設計座標!$E$13:$E$2301,設計座標!$I$13:$I$2301,"n/a",0,1)</f>
        <v>-60865.651837379999</v>
      </c>
      <c r="L1159">
        <f>_xlfn.XLOOKUP($F1159,設計座標!$E$13:$E$2301,設計座標!$J$13:$J$2301,"n/a",0,1)</f>
        <v>75</v>
      </c>
      <c r="M1159" s="2">
        <f>_xlfn.XLOOKUP($F1159,survey_data!$A$2:$A$833,survey_data!$B$2:$B$833,"n/a",0,1)</f>
        <v>-14991.50392214</v>
      </c>
      <c r="N1159" s="2">
        <f>_xlfn.XLOOKUP($F1159,survey_data!$A$2:$A$833,survey_data!$C$2:$C$833,"n/a",0,1)</f>
        <v>-60865.651837379999</v>
      </c>
      <c r="O1159" s="23">
        <f>_xlfn.XLOOKUP($F1159,survey_data!$A$2:$A$833,survey_data!$D$2:$D$833,"n/a",0,1)</f>
        <v>73.734663549999993</v>
      </c>
      <c r="P1159" s="1">
        <f t="shared" si="891"/>
        <v>74.605704004364696</v>
      </c>
      <c r="Q1159" s="1">
        <f t="shared" si="907"/>
        <v>8.4960778599997866</v>
      </c>
      <c r="R1159">
        <f t="shared" si="904"/>
        <v>0</v>
      </c>
      <c r="S1159" s="23">
        <f t="shared" si="908"/>
        <v>-1.2653364500000066</v>
      </c>
      <c r="T1159">
        <f>$S1159+測地線補正!$Q$26*(lattice!$N1159/1000)^3+測地線補正!$P$26*(lattice!$N1159/1000)^2+測地線補正!$O$26*(lattice!$N1159/1000)+測地線補正!$N$26</f>
        <v>-0.39429599563531004</v>
      </c>
      <c r="U1159">
        <f t="shared" si="931"/>
        <v>-2.9311393298550131E-4</v>
      </c>
      <c r="V1159">
        <v>0</v>
      </c>
      <c r="W1159">
        <f t="shared" si="932"/>
        <v>-1.4047793272766609E-4</v>
      </c>
      <c r="X1159" t="s">
        <v>3860</v>
      </c>
      <c r="Y1159">
        <f>_xlfn.XLOOKUP($F1159,設計座標!$E$13:$E$2301,設計座標!$L$13:$L$2301," ",0,1)</f>
        <v>300</v>
      </c>
      <c r="Z1159">
        <f>SQRT(($M$1158-$M$1155)^2+($N$1158-$N$1155)^2)</f>
        <v>552.64761970986683</v>
      </c>
      <c r="AA1159">
        <f>_xlfn.XLOOKUP($G1159,magnet_list!$A$2:$A$592,magnet_list!$AJ$2:$AJ$592,"n/a",0,1)</f>
        <v>0.32714527067797677</v>
      </c>
      <c r="AB1159">
        <f>_xlfn.XLOOKUP($G1159,magnet_list!$A$2:$A$592,magnet_list!$L$2:$L$592,"n/a",0,1)</f>
        <v>120</v>
      </c>
    </row>
    <row r="1160" spans="1:30">
      <c r="A1160" t="s">
        <v>797</v>
      </c>
      <c r="B1160">
        <v>2</v>
      </c>
      <c r="C1160" t="s">
        <v>804</v>
      </c>
      <c r="D1160" t="s">
        <v>1152</v>
      </c>
      <c r="E1160" t="s">
        <v>804</v>
      </c>
      <c r="F1160" t="s">
        <v>1601</v>
      </c>
      <c r="G1160" t="s">
        <v>2623</v>
      </c>
      <c r="I1160">
        <f>_xlfn.XLOOKUP($F1160,設計座標!$E$13:$E$2301,設計座標!$G$13:$G$2301,"n/a",0,1)</f>
        <v>325.58017051601882</v>
      </c>
      <c r="J1160">
        <f>_xlfn.XLOOKUP($F1160,設計座標!$E$13:$E$2301,設計座標!$H$13:$H$2301,"n/a",0,1)</f>
        <v>-15000</v>
      </c>
      <c r="K1160">
        <f>_xlfn.XLOOKUP($F1160,設計座標!$E$13:$E$2301,設計座標!$I$13:$I$2301,"n/a",0,1)</f>
        <v>-61118.113050109998</v>
      </c>
      <c r="L1160">
        <f>_xlfn.XLOOKUP($F1160,設計座標!$E$13:$E$2301,設計座標!$J$13:$J$2301,"n/a",0,1)</f>
        <v>-270</v>
      </c>
      <c r="M1160" s="2">
        <f t="shared" si="928"/>
        <v>-14991.402711857512</v>
      </c>
      <c r="N1160" s="2">
        <f t="shared" si="929"/>
        <v>-61118.113050109998</v>
      </c>
      <c r="O1160" s="23">
        <f t="shared" si="930"/>
        <v>-271.31464655977646</v>
      </c>
      <c r="P1160" s="1">
        <f t="shared" si="891"/>
        <v>-270.43628357112499</v>
      </c>
      <c r="Q1160" s="1">
        <f>(Q$1162-Q$1159)/($N$1162-$N$1159)*($N1160-$N$1159)+Q$1159</f>
        <v>8.5972881424884076</v>
      </c>
      <c r="R1160">
        <f t="shared" si="904"/>
        <v>0</v>
      </c>
      <c r="S1160" s="23">
        <f t="shared" ref="S1160:S1161" si="933">(S$1162-S$1159)/($N$1162-$N$1159)*($N1160-$N$1159)+S$1159</f>
        <v>-1.3146465597764414</v>
      </c>
      <c r="T1160">
        <f>$S1160+測地線補正!$Q$26*(lattice!$N1160/1000)^3+測地線補正!$P$26*(lattice!$N1160/1000)^2+測地線補正!$O$26*(lattice!$N1160/1000)+測地線補正!$N$26</f>
        <v>-0.43628357112497729</v>
      </c>
      <c r="U1160">
        <f>-ATAN(($P$1160-$P$1149)/ABS($N$1160-$N$1149))</f>
        <v>-4.9428428491053676E-5</v>
      </c>
      <c r="V1160">
        <v>0</v>
      </c>
      <c r="W1160">
        <f>ATAN(($M$1160-$M$1149)/ABS($N$1160-$N$1149))</f>
        <v>4.2348036455720063E-5</v>
      </c>
      <c r="X1160" t="s">
        <v>3860</v>
      </c>
      <c r="Y1160">
        <f>_xlfn.XLOOKUP($F1160,設計座標!$E$13:$E$2301,設計座標!$L$13:$L$2301," ",0,1)</f>
        <v>1889.4492</v>
      </c>
      <c r="Z1160">
        <f>SQRT(($M$1155-$M$1154)^2+($N$1155-$N$1154)^2)</f>
        <v>43.648264117635897</v>
      </c>
    </row>
    <row r="1161" spans="1:30">
      <c r="A1161" t="s">
        <v>797</v>
      </c>
      <c r="B1161">
        <v>2</v>
      </c>
      <c r="C1161" t="s">
        <v>1152</v>
      </c>
      <c r="D1161" t="s">
        <v>1152</v>
      </c>
      <c r="E1161" t="s">
        <v>804</v>
      </c>
      <c r="F1161" t="s">
        <v>2085</v>
      </c>
      <c r="G1161" t="s">
        <v>2085</v>
      </c>
      <c r="I1161">
        <f>_xlfn.XLOOKUP($F1161,設計座標!$E$13:$E$2301,設計座標!$G$13:$G$2301,"n/a",0,1)</f>
        <v>325.71483906136888</v>
      </c>
      <c r="J1161">
        <f>_xlfn.XLOOKUP($F1161,設計座標!$E$13:$E$2301,設計座標!$H$13:$H$2301,"n/a",0,1)</f>
        <v>-15000</v>
      </c>
      <c r="K1161">
        <f>_xlfn.XLOOKUP($F1161,設計座標!$E$13:$E$2301,設計座標!$I$13:$I$2301,"n/a",0,1)</f>
        <v>-61252.781595460066</v>
      </c>
      <c r="L1161">
        <f>_xlfn.XLOOKUP($F1161,設計座標!$E$13:$E$2301,設計座標!$J$13:$J$2301,"n/a",0,1)</f>
        <v>-270</v>
      </c>
      <c r="M1161" s="2">
        <f t="shared" si="928"/>
        <v>-14991.348723993911</v>
      </c>
      <c r="N1161" s="2">
        <f t="shared" si="929"/>
        <v>-61252.781595460066</v>
      </c>
      <c r="O1161" s="23">
        <f t="shared" si="930"/>
        <v>-271.34094969237583</v>
      </c>
      <c r="P1161" s="1">
        <f t="shared" si="891"/>
        <v>-270.45868767464975</v>
      </c>
      <c r="Q1161" s="1">
        <f>(Q$1162-Q$1159)/($N$1162-$N$1159)*($N1161-$N$1159)+Q$1159</f>
        <v>8.651276006088624</v>
      </c>
      <c r="R1161">
        <f t="shared" si="904"/>
        <v>0</v>
      </c>
      <c r="S1161" s="23">
        <f t="shared" si="933"/>
        <v>-1.3409496923758502</v>
      </c>
      <c r="T1161">
        <f>$S1161+測地線補正!$Q$26*(lattice!$N1161/1000)^3+測地線補正!$P$26*(lattice!$N1161/1000)^2+測地線補正!$O$26*(lattice!$N1161/1000)+測地線補正!$N$26</f>
        <v>-0.45868767464974325</v>
      </c>
      <c r="U1161">
        <v>0</v>
      </c>
      <c r="V1161">
        <v>0</v>
      </c>
      <c r="W1161">
        <v>0</v>
      </c>
      <c r="X1161">
        <f>SQRT(($M$1161-$M$1160)^2+($N$1161-$N$1160)^2)-$Y$1161/2</f>
        <v>134.66855617178382</v>
      </c>
      <c r="Y1161">
        <f>_xlfn.XLOOKUP($F1161,設計座標!$E$13:$E$2301,設計座標!$L$13:$L$2301," ",0,1)</f>
        <v>0</v>
      </c>
      <c r="Z1161">
        <f>SQRT(($M$1161-$M$1158)^2+($N$1161-$N$1158)^2)</f>
        <v>522.07661941679453</v>
      </c>
    </row>
    <row r="1162" spans="1:30">
      <c r="A1162" t="s">
        <v>797</v>
      </c>
      <c r="B1162">
        <v>2</v>
      </c>
      <c r="C1162" t="s">
        <v>805</v>
      </c>
      <c r="D1162" t="s">
        <v>806</v>
      </c>
      <c r="F1162" t="s">
        <v>282</v>
      </c>
      <c r="G1162" t="s">
        <v>2627</v>
      </c>
      <c r="I1162">
        <f>_xlfn.XLOOKUP($F1162,設計座標!$E$13:$E$2301,設計座標!$G$13:$G$2301,"n/a",0,1)</f>
        <v>325.72477532903883</v>
      </c>
      <c r="J1162">
        <f>_xlfn.XLOOKUP($F1162,設計座標!$E$13:$E$2301,設計座標!$H$13:$H$2301,"n/a",0,1)</f>
        <v>-15000</v>
      </c>
      <c r="K1162">
        <f>_xlfn.XLOOKUP($F1162,設計座標!$E$13:$E$2301,設計座標!$I$13:$I$2301,"n/a",0,1)</f>
        <v>-61262.717863129998</v>
      </c>
      <c r="L1162">
        <f>_xlfn.XLOOKUP($F1162,設計座標!$E$13:$E$2301,設計座標!$J$13:$J$2301,"n/a",0,1)</f>
        <v>90</v>
      </c>
      <c r="M1162" s="2">
        <f>_xlfn.XLOOKUP($F1162,survey_data!$A$2:$A$833,survey_data!$B$2:$B$833,"n/a",0,1)</f>
        <v>-14991.3447406</v>
      </c>
      <c r="N1162" s="2">
        <f>_xlfn.XLOOKUP($F1162,survey_data!$A$2:$A$833,survey_data!$C$2:$C$833,"n/a",0,1)</f>
        <v>-61262.717863129998</v>
      </c>
      <c r="O1162" s="23">
        <f>_xlfn.XLOOKUP($F1162,survey_data!$A$2:$A$833,survey_data!$D$2:$D$833,"n/a",0,1)</f>
        <v>88.657109579999997</v>
      </c>
      <c r="P1162" s="1">
        <f t="shared" si="891"/>
        <v>89.539659088109076</v>
      </c>
      <c r="Q1162" s="1">
        <f t="shared" si="907"/>
        <v>8.6552594000004319</v>
      </c>
      <c r="R1162">
        <f t="shared" si="904"/>
        <v>0</v>
      </c>
      <c r="S1162" s="23">
        <f t="shared" si="908"/>
        <v>-1.3428904200000034</v>
      </c>
      <c r="T1162">
        <f>$S1162+測地線補正!$Q$26*(lattice!$N1162/1000)^3+測地線補正!$P$26*(lattice!$N1162/1000)^2+測地線補正!$O$26*(lattice!$N1162/1000)+測地線補正!$N$26</f>
        <v>-0.46034091189091852</v>
      </c>
      <c r="U1162">
        <f>-ATAN(($P$1164-$P$1162)/ABS($N$1164-$N$1162))</f>
        <v>3.6300757963955267E-5</v>
      </c>
      <c r="V1162">
        <v>0</v>
      </c>
      <c r="W1162">
        <f>ATAN(($M$1164-$M$1162)/ABS($N$1164-$N$1162))</f>
        <v>-2.2696710611005234E-4</v>
      </c>
      <c r="X1162">
        <f>$Z$1163-($Y$1163+$Y$1161)/2</f>
        <v>-9.3231444334080038E-2</v>
      </c>
      <c r="Y1162">
        <f>_xlfn.XLOOKUP($F1162,設計座標!$E$13:$E$2301,設計座標!$L$13:$L$2301," ",0,1)</f>
        <v>160</v>
      </c>
      <c r="Z1162">
        <f>SQRT(($M$1163-$M$1161)^2+($N$1163-$N$1161)^2)</f>
        <v>79.90676855566592</v>
      </c>
      <c r="AA1162">
        <f>_xlfn.XLOOKUP($G1162,magnet_list!$A$2:$A$592,magnet_list!$AJ$2:$AJ$592,"n/a",0,1)</f>
        <v>0.17374887133613809</v>
      </c>
      <c r="AB1162">
        <f>_xlfn.XLOOKUP($G1162,magnet_list!$A$2:$A$592,magnet_list!$L$2:$L$592,"n/a",0,1)</f>
        <v>44</v>
      </c>
      <c r="AD1162" t="s">
        <v>3883</v>
      </c>
    </row>
    <row r="1163" spans="1:30">
      <c r="A1163" t="s">
        <v>797</v>
      </c>
      <c r="B1163">
        <v>2</v>
      </c>
      <c r="C1163" t="s">
        <v>805</v>
      </c>
      <c r="D1163" t="s">
        <v>1152</v>
      </c>
      <c r="E1163" t="s">
        <v>804</v>
      </c>
      <c r="F1163" t="s">
        <v>688</v>
      </c>
      <c r="G1163" t="s">
        <v>2627</v>
      </c>
      <c r="I1163">
        <f>_xlfn.XLOOKUP($F1163,設計座標!$E$13:$E$2301,設計座標!$G$13:$G$2301,"n/a",0,1)</f>
        <v>325.79474582903885</v>
      </c>
      <c r="J1163">
        <f>_xlfn.XLOOKUP($F1163,設計座標!$E$13:$E$2301,設計座標!$H$13:$H$2301,"n/a",0,1)</f>
        <v>-15000</v>
      </c>
      <c r="K1163">
        <f>_xlfn.XLOOKUP($F1163,設計座標!$E$13:$E$2301,設計座標!$I$13:$I$2301,"n/a",0,1)</f>
        <v>-61332.688363129993</v>
      </c>
      <c r="L1163">
        <f>_xlfn.XLOOKUP($F1163,設計座標!$E$13:$E$2301,設計座標!$J$13:$J$2301,"n/a",0,1)</f>
        <v>90</v>
      </c>
      <c r="M1163" s="2">
        <f t="shared" si="928"/>
        <v>-14991.360621602171</v>
      </c>
      <c r="N1163" s="2">
        <f t="shared" si="929"/>
        <v>-61332.688363129993</v>
      </c>
      <c r="O1163" s="23">
        <f t="shared" si="930"/>
        <v>88.652546513432483</v>
      </c>
      <c r="P1163" s="1">
        <f t="shared" si="891"/>
        <v>89.537119760867327</v>
      </c>
      <c r="Q1163" s="1">
        <f>(Q$1164-Q$1162)/($N$1164-$N$1162)*($N1163-$N$1162)+Q$1162</f>
        <v>8.6393783978296614</v>
      </c>
      <c r="R1163">
        <f t="shared" si="904"/>
        <v>0</v>
      </c>
      <c r="S1163" s="23">
        <f>(S$1164-S$1162)/($N$1164-$N$1162)*($N1163-$N$1162)+S$1162</f>
        <v>-1.3474534865675181</v>
      </c>
      <c r="T1163">
        <f>$S1163+測地線補正!$Q$26*(lattice!$N1163/1000)^3+測地線補正!$P$26*(lattice!$N1163/1000)^2+測地線補正!$O$26*(lattice!$N1163/1000)+測地線補正!$N$26</f>
        <v>-0.46288023913267939</v>
      </c>
      <c r="U1163">
        <f t="shared" ref="U1163:U1164" si="934">-ATAN(($P$1164-$P$1162)/ABS($N$1164-$N$1162))</f>
        <v>3.6300757963955267E-5</v>
      </c>
      <c r="V1163">
        <v>0</v>
      </c>
      <c r="W1163">
        <f t="shared" ref="W1163:W1164" si="935">ATAN(($M$1164-$M$1162)/ABS($N$1164-$N$1162))</f>
        <v>-2.2696710611005234E-4</v>
      </c>
      <c r="X1163">
        <f>$Z$1163-($Y$1163+$Y$1161)/2</f>
        <v>-9.3231444334080038E-2</v>
      </c>
      <c r="Y1163">
        <f>_xlfn.XLOOKUP($F1163,設計座標!$E$13:$E$2301,設計座標!$L$13:$L$2301," ",0,1)</f>
        <v>160</v>
      </c>
      <c r="Z1163">
        <f>SQRT(($M$1163-$M$1161)^2+($N$1163-$N$1161)^2)</f>
        <v>79.90676855566592</v>
      </c>
      <c r="AA1163">
        <f>_xlfn.XLOOKUP($G1163,magnet_list!$A$2:$A$592,magnet_list!$AJ$2:$AJ$592,"n/a",0,1)</f>
        <v>0.17374887133613809</v>
      </c>
      <c r="AB1163">
        <f>_xlfn.XLOOKUP($G1163,magnet_list!$A$2:$A$592,magnet_list!$L$2:$L$592,"n/a",0,1)</f>
        <v>44</v>
      </c>
      <c r="AD1163" t="s">
        <v>3883</v>
      </c>
    </row>
    <row r="1164" spans="1:30">
      <c r="A1164" t="s">
        <v>797</v>
      </c>
      <c r="B1164">
        <v>2</v>
      </c>
      <c r="C1164" t="s">
        <v>805</v>
      </c>
      <c r="D1164" t="s">
        <v>806</v>
      </c>
      <c r="F1164" t="s">
        <v>283</v>
      </c>
      <c r="G1164" t="s">
        <v>2627</v>
      </c>
      <c r="I1164">
        <f>_xlfn.XLOOKUP($F1164,設計座標!$E$13:$E$2301,設計座標!$G$13:$G$2301,"n/a",0,1)</f>
        <v>325.86474234892887</v>
      </c>
      <c r="J1164">
        <f>_xlfn.XLOOKUP($F1164,設計座標!$E$13:$E$2301,設計座標!$H$13:$H$2301,"n/a",0,1)</f>
        <v>-15000</v>
      </c>
      <c r="K1164">
        <f>_xlfn.XLOOKUP($F1164,設計座標!$E$13:$E$2301,設計座標!$I$13:$I$2301,"n/a",0,1)</f>
        <v>-61402.684883020003</v>
      </c>
      <c r="L1164">
        <f>_xlfn.XLOOKUP($F1164,設計座標!$E$13:$E$2301,設計座標!$J$13:$J$2301,"n/a",0,1)</f>
        <v>90</v>
      </c>
      <c r="M1164" s="2">
        <f>_xlfn.XLOOKUP($F1164,survey_data!$A$2:$A$833,survey_data!$B$2:$B$833,"n/a",0,1)</f>
        <v>-14991.37650851</v>
      </c>
      <c r="N1164" s="2">
        <f>_xlfn.XLOOKUP($F1164,survey_data!$A$2:$A$833,survey_data!$C$2:$C$833,"n/a",0,1)</f>
        <v>-61402.684883020003</v>
      </c>
      <c r="O1164" s="23">
        <f>_xlfn.XLOOKUP($F1164,survey_data!$A$2:$A$833,survey_data!$D$2:$D$833,"n/a",0,1)</f>
        <v>88.64798175</v>
      </c>
      <c r="P1164" s="1">
        <f t="shared" si="891"/>
        <v>89.534578179194881</v>
      </c>
      <c r="Q1164" s="1">
        <f t="shared" si="907"/>
        <v>8.6234914899996511</v>
      </c>
      <c r="R1164">
        <f t="shared" si="904"/>
        <v>0</v>
      </c>
      <c r="S1164" s="23">
        <f t="shared" si="908"/>
        <v>-1.3520182500000004</v>
      </c>
      <c r="T1164">
        <f>$S1164+測地線補正!$Q$26*(lattice!$N1164/1000)^3+測地線補正!$P$26*(lattice!$N1164/1000)^2+測地線補正!$O$26*(lattice!$N1164/1000)+測地線補正!$N$26</f>
        <v>-0.46542182080512196</v>
      </c>
      <c r="U1164">
        <f t="shared" si="934"/>
        <v>3.6300757963955267E-5</v>
      </c>
      <c r="V1164">
        <v>0</v>
      </c>
      <c r="W1164">
        <f t="shared" si="935"/>
        <v>-2.2696710611005234E-4</v>
      </c>
      <c r="X1164">
        <f>$Z$1163-($Y$1163+$Y$1161)/2</f>
        <v>-9.3231444334080038E-2</v>
      </c>
      <c r="Y1164">
        <f>_xlfn.XLOOKUP($F1164,設計座標!$E$13:$E$2301,設計座標!$L$13:$L$2301," ",0,1)</f>
        <v>160</v>
      </c>
      <c r="Z1164">
        <f>SQRT(($M$1163-$M$1161)^2+($N$1163-$N$1161)^2)</f>
        <v>79.90676855566592</v>
      </c>
      <c r="AA1164">
        <f>_xlfn.XLOOKUP($G1164,magnet_list!$A$2:$A$592,magnet_list!$AJ$2:$AJ$592,"n/a",0,1)</f>
        <v>0.17374887133613809</v>
      </c>
      <c r="AB1164">
        <f>_xlfn.XLOOKUP($G1164,magnet_list!$A$2:$A$592,magnet_list!$L$2:$L$592,"n/a",0,1)</f>
        <v>44</v>
      </c>
      <c r="AD1164" t="s">
        <v>3883</v>
      </c>
    </row>
    <row r="1165" spans="1:30">
      <c r="A1165" t="s">
        <v>797</v>
      </c>
      <c r="B1165">
        <v>2</v>
      </c>
      <c r="C1165" t="s">
        <v>805</v>
      </c>
      <c r="D1165" t="s">
        <v>806</v>
      </c>
      <c r="F1165" t="s">
        <v>284</v>
      </c>
      <c r="G1165" t="s">
        <v>284</v>
      </c>
      <c r="I1165">
        <f>_xlfn.XLOOKUP($F1165,設計座標!$E$13:$E$2301,設計座標!$G$13:$G$2301,"n/a",0,1)</f>
        <v>326.10111780709889</v>
      </c>
      <c r="J1165">
        <f>_xlfn.XLOOKUP($F1165,設計座標!$E$13:$E$2301,設計座標!$H$13:$H$2301,"n/a",0,1)</f>
        <v>-15000</v>
      </c>
      <c r="K1165">
        <f>_xlfn.XLOOKUP($F1165,設計座標!$E$13:$E$2301,設計座標!$I$13:$I$2301,"n/a",0,1)</f>
        <v>-61639.060341190001</v>
      </c>
      <c r="L1165">
        <f>_xlfn.XLOOKUP($F1165,設計座標!$E$13:$E$2301,設計座標!$J$13:$J$2301,"n/a",0,1)</f>
        <v>5</v>
      </c>
      <c r="M1165" s="2">
        <f>_xlfn.XLOOKUP($F1165,survey_data!$A$2:$A$833,survey_data!$B$2:$B$833,"n/a",0,1)</f>
        <v>-14991.11563475</v>
      </c>
      <c r="N1165" s="2">
        <f>_xlfn.XLOOKUP($F1165,survey_data!$A$2:$A$833,survey_data!$C$2:$C$833,"n/a",0,1)</f>
        <v>-61639.060341190001</v>
      </c>
      <c r="O1165" s="23">
        <f>_xlfn.XLOOKUP($F1165,survey_data!$A$2:$A$833,survey_data!$D$2:$D$833,"n/a",0,1)</f>
        <v>3.73989306</v>
      </c>
      <c r="P1165" s="1">
        <f t="shared" si="891"/>
        <v>4.633312012852306</v>
      </c>
      <c r="Q1165" s="1">
        <f t="shared" si="907"/>
        <v>8.8843652499999735</v>
      </c>
      <c r="R1165">
        <f t="shared" si="904"/>
        <v>0</v>
      </c>
      <c r="S1165" s="23">
        <f t="shared" si="908"/>
        <v>-1.26010694</v>
      </c>
      <c r="T1165">
        <f>$S1165+測地線補正!$Q$26*(lattice!$N1165/1000)^3+測地線補正!$P$26*(lattice!$N1165/1000)^2+測地線補正!$O$26*(lattice!$N1165/1000)+測地線補正!$N$26</f>
        <v>-0.36668798714769446</v>
      </c>
      <c r="U1165">
        <v>0</v>
      </c>
      <c r="V1165">
        <v>0</v>
      </c>
      <c r="W1165">
        <v>0</v>
      </c>
      <c r="X1165">
        <f>$Z$1166-($Y$1166+$Y$1163)/2</f>
        <v>186.37207601046077</v>
      </c>
      <c r="Y1165">
        <f>_xlfn.XLOOKUP($F1165,設計座標!$E$13:$E$2301,設計座標!$L$13:$L$2301," ",0,1)</f>
        <v>80</v>
      </c>
      <c r="Z1165">
        <f>SQRT(($M$1166-$M$1163)^2+($N$1166-$N$1163)^2)</f>
        <v>306.37207601046077</v>
      </c>
      <c r="AA1165">
        <f>_xlfn.XLOOKUP($G1165,magnet_list!$A$2:$A$592,magnet_list!$AJ$2:$AJ$592,"n/a",0,1)</f>
        <v>0.1204063936938909</v>
      </c>
      <c r="AB1165">
        <f>_xlfn.XLOOKUP($G1165,magnet_list!$A$2:$A$592,magnet_list!$L$2:$L$592,"n/a",0,1)</f>
        <v>39</v>
      </c>
    </row>
    <row r="1166" spans="1:30">
      <c r="A1166" t="s">
        <v>797</v>
      </c>
      <c r="B1166">
        <v>2</v>
      </c>
      <c r="C1166" t="s">
        <v>805</v>
      </c>
      <c r="D1166" t="s">
        <v>1152</v>
      </c>
      <c r="E1166" t="s">
        <v>804</v>
      </c>
      <c r="F1166" t="s">
        <v>1886</v>
      </c>
      <c r="G1166" t="s">
        <v>284</v>
      </c>
      <c r="I1166">
        <f>_xlfn.XLOOKUP($F1166,設計座標!$E$13:$E$2301,設計座標!$G$13:$G$2301,"n/a",0,1)</f>
        <v>326.10111780709889</v>
      </c>
      <c r="J1166">
        <f>_xlfn.XLOOKUP($F1166,設計座標!$E$13:$E$2301,設計座標!$H$13:$H$2301,"n/a",0,1)</f>
        <v>-15000</v>
      </c>
      <c r="K1166">
        <f>_xlfn.XLOOKUP($F1166,設計座標!$E$13:$E$2301,設計座標!$I$13:$I$2301,"n/a",0,1)</f>
        <v>-61639.060341190001</v>
      </c>
      <c r="L1166">
        <f>_xlfn.XLOOKUP($F1166,設計座標!$E$13:$E$2301,設計座標!$J$13:$J$2301,"n/a",0,1)</f>
        <v>5</v>
      </c>
      <c r="M1166" s="2">
        <f t="shared" ref="M1166:M1174" si="936">$J1166+$Q1166</f>
        <v>-14991.11563475</v>
      </c>
      <c r="N1166" s="2">
        <f t="shared" ref="N1166:N1174" si="937">$K1166</f>
        <v>-61639.060341190001</v>
      </c>
      <c r="O1166" s="23">
        <f t="shared" ref="O1166:O1174" si="938">$L1166+$S1166</f>
        <v>3.73989306</v>
      </c>
      <c r="P1166" s="1">
        <f t="shared" si="891"/>
        <v>4.633312012852306</v>
      </c>
      <c r="Q1166" s="1">
        <f>(Q$1167-Q$1165)/($N$1167-$N$1165)*($N1166-$N$1165)+Q$1165</f>
        <v>8.8843652499999735</v>
      </c>
      <c r="R1166">
        <f t="shared" si="904"/>
        <v>0</v>
      </c>
      <c r="S1166" s="23">
        <f>(S$1167-S$1165)/($N$1167-$N$1165)*($N1166-$N$1165)+S$1165</f>
        <v>-1.26010694</v>
      </c>
      <c r="T1166">
        <f>$S1166+測地線補正!$Q$26*(lattice!$N1166/1000)^3+測地線補正!$P$26*(lattice!$N1166/1000)^2+測地線補正!$O$26*(lattice!$N1166/1000)+測地線補正!$N$26</f>
        <v>-0.36668798714769446</v>
      </c>
      <c r="U1166">
        <v>0</v>
      </c>
      <c r="V1166">
        <v>0</v>
      </c>
      <c r="W1166">
        <v>0</v>
      </c>
      <c r="X1166">
        <f>$Z$1166-($Y$1166+$Y$1163)/2</f>
        <v>186.37207601046077</v>
      </c>
      <c r="Y1166">
        <f>_xlfn.XLOOKUP($F1166,設計座標!$E$13:$E$2301,設計座標!$L$13:$L$2301," ",0,1)</f>
        <v>80</v>
      </c>
      <c r="Z1166">
        <f>SQRT(($M$1166-$M$1163)^2+($N$1166-$N$1163)^2)</f>
        <v>306.37207601046077</v>
      </c>
      <c r="AA1166">
        <f>_xlfn.XLOOKUP($G1166,magnet_list!$A$2:$A$592,magnet_list!$AJ$2:$AJ$592,"n/a",0,1)</f>
        <v>0.1204063936938909</v>
      </c>
      <c r="AB1166">
        <f>_xlfn.XLOOKUP($G1166,magnet_list!$A$2:$A$592,magnet_list!$L$2:$L$592,"n/a",0,1)</f>
        <v>39</v>
      </c>
    </row>
    <row r="1167" spans="1:30">
      <c r="A1167" t="s">
        <v>797</v>
      </c>
      <c r="B1167">
        <v>2</v>
      </c>
      <c r="C1167" t="s">
        <v>805</v>
      </c>
      <c r="D1167" t="s">
        <v>806</v>
      </c>
      <c r="F1167" t="s">
        <v>285</v>
      </c>
      <c r="G1167" t="s">
        <v>285</v>
      </c>
      <c r="I1167">
        <f>_xlfn.XLOOKUP($F1167,設計座標!$E$13:$E$2301,設計座標!$G$13:$G$2301,"n/a",0,1)</f>
        <v>326.28675709018887</v>
      </c>
      <c r="J1167">
        <f>_xlfn.XLOOKUP($F1167,設計座標!$E$13:$E$2301,設計座標!$H$13:$H$2301,"n/a",0,1)</f>
        <v>-15000</v>
      </c>
      <c r="K1167">
        <f>_xlfn.XLOOKUP($F1167,設計座標!$E$13:$E$2301,設計座標!$I$13:$I$2301,"n/a",0,1)</f>
        <v>-61824.699624280001</v>
      </c>
      <c r="L1167">
        <f>_xlfn.XLOOKUP($F1167,設計座標!$E$13:$E$2301,設計座標!$J$13:$J$2301,"n/a",0,1)</f>
        <v>5</v>
      </c>
      <c r="M1167" s="2">
        <f>_xlfn.XLOOKUP($F1167,survey_data!$A$2:$A$833,survey_data!$B$2:$B$833,"n/a",0,1)</f>
        <v>-14991.169457690001</v>
      </c>
      <c r="N1167" s="2">
        <f>_xlfn.XLOOKUP($F1167,survey_data!$A$2:$A$833,survey_data!$C$2:$C$833,"n/a",0,1)</f>
        <v>-61824.699624280001</v>
      </c>
      <c r="O1167" s="23">
        <f>_xlfn.XLOOKUP($F1167,survey_data!$A$2:$A$833,survey_data!$D$2:$D$833,"n/a",0,1)</f>
        <v>3.6889419800000001</v>
      </c>
      <c r="P1167" s="1">
        <f t="shared" si="891"/>
        <v>4.587708587117949</v>
      </c>
      <c r="Q1167" s="1">
        <f t="shared" si="907"/>
        <v>8.8305423099991458</v>
      </c>
      <c r="R1167">
        <f t="shared" si="904"/>
        <v>0</v>
      </c>
      <c r="S1167" s="23">
        <f t="shared" si="908"/>
        <v>-1.3110580199999999</v>
      </c>
      <c r="T1167">
        <f>$S1167+測地線補正!$Q$26*(lattice!$N1167/1000)^3+測地線補正!$P$26*(lattice!$N1167/1000)^2+測地線補正!$O$26*(lattice!$N1167/1000)+測地線補正!$N$26</f>
        <v>-0.41229141288205118</v>
      </c>
      <c r="U1167">
        <v>0</v>
      </c>
      <c r="V1167">
        <v>0</v>
      </c>
      <c r="W1167">
        <v>0</v>
      </c>
      <c r="X1167">
        <f>$Z$1168-($Y$1168+$Y$1166)/2</f>
        <v>105.63929089252139</v>
      </c>
      <c r="Y1167">
        <f>_xlfn.XLOOKUP($F1167,設計座標!$E$13:$E$2301,設計座標!$L$13:$L$2301," ",0,1)</f>
        <v>80</v>
      </c>
      <c r="Z1167">
        <f>SQRT(($M$1168-$M$1166)^2+($N$1168-$N$1166)^2)</f>
        <v>185.63929089252139</v>
      </c>
      <c r="AA1167">
        <f>_xlfn.XLOOKUP($G1167,magnet_list!$A$2:$A$592,magnet_list!$AJ$2:$AJ$592,"n/a",0,1)</f>
        <v>0.1204063936938909</v>
      </c>
      <c r="AB1167">
        <f>_xlfn.XLOOKUP($G1167,magnet_list!$A$2:$A$592,magnet_list!$L$2:$L$592,"n/a",0,1)</f>
        <v>39</v>
      </c>
    </row>
    <row r="1168" spans="1:30">
      <c r="A1168" t="s">
        <v>797</v>
      </c>
      <c r="B1168">
        <v>2</v>
      </c>
      <c r="C1168" t="s">
        <v>805</v>
      </c>
      <c r="D1168" t="s">
        <v>1152</v>
      </c>
      <c r="E1168" t="s">
        <v>804</v>
      </c>
      <c r="F1168" t="s">
        <v>1887</v>
      </c>
      <c r="G1168" t="s">
        <v>285</v>
      </c>
      <c r="I1168">
        <f>_xlfn.XLOOKUP($F1168,設計座標!$E$13:$E$2301,設計座標!$G$13:$G$2301,"n/a",0,1)</f>
        <v>326.28675709018887</v>
      </c>
      <c r="J1168">
        <f>_xlfn.XLOOKUP($F1168,設計座標!$E$13:$E$2301,設計座標!$H$13:$H$2301,"n/a",0,1)</f>
        <v>-15000</v>
      </c>
      <c r="K1168">
        <f>_xlfn.XLOOKUP($F1168,設計座標!$E$13:$E$2301,設計座標!$I$13:$I$2301,"n/a",0,1)</f>
        <v>-61824.699624280001</v>
      </c>
      <c r="L1168">
        <f>_xlfn.XLOOKUP($F1168,設計座標!$E$13:$E$2301,設計座標!$J$13:$J$2301,"n/a",0,1)</f>
        <v>5</v>
      </c>
      <c r="M1168" s="2">
        <f t="shared" si="936"/>
        <v>-14991.169457690001</v>
      </c>
      <c r="N1168" s="2">
        <f t="shared" si="937"/>
        <v>-61824.699624280001</v>
      </c>
      <c r="O1168" s="23">
        <f t="shared" si="938"/>
        <v>3.6889419800000001</v>
      </c>
      <c r="P1168" s="1">
        <f t="shared" si="891"/>
        <v>4.587708587117949</v>
      </c>
      <c r="Q1168" s="1">
        <f>(Q$1169-Q$1167)/($N$1169-$N$1167)*($N1168-$N$1167)+Q$1167</f>
        <v>8.8305423099991458</v>
      </c>
      <c r="R1168">
        <f t="shared" si="904"/>
        <v>0</v>
      </c>
      <c r="S1168" s="23">
        <f>(S$1169-S$1167)/($N$1169-$N$1167)*($N1168-$N$1167)+S$1167</f>
        <v>-1.3110580199999999</v>
      </c>
      <c r="T1168">
        <f>$S1168+測地線補正!$Q$26*(lattice!$N1168/1000)^3+測地線補正!$P$26*(lattice!$N1168/1000)^2+測地線補正!$O$26*(lattice!$N1168/1000)+測地線補正!$N$26</f>
        <v>-0.41229141288205118</v>
      </c>
      <c r="U1168">
        <v>0</v>
      </c>
      <c r="V1168">
        <v>0</v>
      </c>
      <c r="W1168">
        <v>0</v>
      </c>
      <c r="X1168">
        <f>$Z$1168-($Y$1168+$Y$1166)/2</f>
        <v>105.63929089252139</v>
      </c>
      <c r="Y1168">
        <f>_xlfn.XLOOKUP($F1168,設計座標!$E$13:$E$2301,設計座標!$L$13:$L$2301," ",0,1)</f>
        <v>80</v>
      </c>
      <c r="Z1168">
        <f>SQRT(($M$1168-$M$1166)^2+($N$1168-$N$1166)^2)</f>
        <v>185.63929089252139</v>
      </c>
      <c r="AA1168">
        <f>_xlfn.XLOOKUP($G1168,magnet_list!$A$2:$A$592,magnet_list!$AJ$2:$AJ$592,"n/a",0,1)</f>
        <v>0.1204063936938909</v>
      </c>
      <c r="AB1168">
        <f>_xlfn.XLOOKUP($G1168,magnet_list!$A$2:$A$592,magnet_list!$L$2:$L$592,"n/a",0,1)</f>
        <v>39</v>
      </c>
    </row>
    <row r="1169" spans="1:28">
      <c r="A1169" t="s">
        <v>797</v>
      </c>
      <c r="B1169">
        <v>2</v>
      </c>
      <c r="C1169" t="s">
        <v>805</v>
      </c>
      <c r="D1169" t="s">
        <v>806</v>
      </c>
      <c r="F1169" t="s">
        <v>286</v>
      </c>
      <c r="G1169" t="s">
        <v>2628</v>
      </c>
      <c r="I1169">
        <f>_xlfn.XLOOKUP($F1169,設計座標!$E$13:$E$2301,設計座標!$G$13:$G$2301,"n/a",0,1)</f>
        <v>326.52442916697885</v>
      </c>
      <c r="J1169">
        <f>_xlfn.XLOOKUP($F1169,設計座標!$E$13:$E$2301,設計座標!$H$13:$H$2301,"n/a",0,1)</f>
        <v>-15000</v>
      </c>
      <c r="K1169">
        <f>_xlfn.XLOOKUP($F1169,設計座標!$E$13:$E$2301,設計座標!$I$13:$I$2301,"n/a",0,1)</f>
        <v>-62062.371701069998</v>
      </c>
      <c r="L1169">
        <f>_xlfn.XLOOKUP($F1169,設計座標!$E$13:$E$2301,設計座標!$J$13:$J$2301,"n/a",0,1)</f>
        <v>90</v>
      </c>
      <c r="M1169" s="2">
        <f>_xlfn.XLOOKUP($F1169,survey_data!$A$2:$A$833,survey_data!$B$2:$B$833,"n/a",0,1)</f>
        <v>-14991.31781979</v>
      </c>
      <c r="N1169" s="2">
        <f>_xlfn.XLOOKUP($F1169,survey_data!$A$2:$A$833,survey_data!$C$2:$C$833,"n/a",0,1)</f>
        <v>-62062.371701069998</v>
      </c>
      <c r="O1169" s="23">
        <f>_xlfn.XLOOKUP($F1169,survey_data!$A$2:$A$833,survey_data!$D$2:$D$833,"n/a",0,1)</f>
        <v>88.722156209999994</v>
      </c>
      <c r="P1169" s="1">
        <f t="shared" si="891"/>
        <v>89.627755931085346</v>
      </c>
      <c r="Q1169" s="1">
        <f t="shared" si="907"/>
        <v>8.6821802100002969</v>
      </c>
      <c r="R1169">
        <f t="shared" si="904"/>
        <v>0</v>
      </c>
      <c r="S1169" s="23">
        <f t="shared" si="908"/>
        <v>-1.2778437900000057</v>
      </c>
      <c r="T1169">
        <f>$S1169+測地線補正!$Q$26*(lattice!$N1169/1000)^3+測地線補正!$P$26*(lattice!$N1169/1000)^2+測地線補正!$O$26*(lattice!$N1169/1000)+測地線補正!$N$26</f>
        <v>-0.37224406891465978</v>
      </c>
      <c r="U1169">
        <f>-ATAN(($P$1171-$P$1169)/ABS($N$1171-$N$1169))</f>
        <v>-2.2152838864847112E-4</v>
      </c>
      <c r="V1169">
        <v>0</v>
      </c>
      <c r="W1169">
        <f>ATAN(($M$1171-$M$1169)/ABS($N$1171-$N$1169))</f>
        <v>-7.3019063190196427E-4</v>
      </c>
      <c r="X1169">
        <f>$Z$1170-($Y$1170+$Y$1168)/2</f>
        <v>187.66314145135897</v>
      </c>
      <c r="Y1169">
        <f>_xlfn.XLOOKUP($F1169,設計座標!$E$13:$E$2301,設計座標!$L$13:$L$2301," ",0,1)</f>
        <v>160</v>
      </c>
      <c r="Z1169">
        <f>SQRT(($M$1170-$M$1168)^2+($N$1170-$N$1168)^2)</f>
        <v>307.66314145135897</v>
      </c>
      <c r="AA1169">
        <f>_xlfn.XLOOKUP($G1169,magnet_list!$A$2:$A$592,magnet_list!$AJ$2:$AJ$592,"n/a",0,1)</f>
        <v>0.17374887133613809</v>
      </c>
      <c r="AB1169">
        <f>_xlfn.XLOOKUP($G1169,magnet_list!$A$2:$A$592,magnet_list!$L$2:$L$592,"n/a",0,1)</f>
        <v>44</v>
      </c>
    </row>
    <row r="1170" spans="1:28">
      <c r="A1170" t="s">
        <v>797</v>
      </c>
      <c r="B1170">
        <v>2</v>
      </c>
      <c r="C1170" t="s">
        <v>805</v>
      </c>
      <c r="D1170" t="s">
        <v>1152</v>
      </c>
      <c r="E1170" t="s">
        <v>804</v>
      </c>
      <c r="F1170" t="s">
        <v>689</v>
      </c>
      <c r="G1170" t="s">
        <v>2628</v>
      </c>
      <c r="I1170">
        <f>_xlfn.XLOOKUP($F1170,設計座標!$E$13:$E$2301,設計座標!$G$13:$G$2301,"n/a",0,1)</f>
        <v>326.59442016697886</v>
      </c>
      <c r="J1170">
        <f>_xlfn.XLOOKUP($F1170,設計座標!$E$13:$E$2301,設計座標!$H$13:$H$2301,"n/a",0,1)</f>
        <v>-15000</v>
      </c>
      <c r="K1170">
        <f>_xlfn.XLOOKUP($F1170,設計座標!$E$13:$E$2301,設計座標!$I$13:$I$2301,"n/a",0,1)</f>
        <v>-62132.362701069993</v>
      </c>
      <c r="L1170">
        <f>_xlfn.XLOOKUP($F1170,設計座標!$E$13:$E$2301,設計座標!$J$13:$J$2301,"n/a",0,1)</f>
        <v>90</v>
      </c>
      <c r="M1170" s="2">
        <f t="shared" si="936"/>
        <v>-14991.3689265716</v>
      </c>
      <c r="N1170" s="2">
        <f t="shared" si="937"/>
        <v>-62132.362701069993</v>
      </c>
      <c r="O1170" s="23">
        <f t="shared" si="938"/>
        <v>88.735652477236059</v>
      </c>
      <c r="P1170" s="1">
        <f t="shared" si="891"/>
        <v>89.643261578184905</v>
      </c>
      <c r="Q1170" s="1">
        <f>(Q$1171-Q$1169)/($N$1171-$N$1169)*($N1170-$N$1169)+Q$1169</f>
        <v>8.6310734283998407</v>
      </c>
      <c r="R1170">
        <f t="shared" si="904"/>
        <v>0</v>
      </c>
      <c r="S1170" s="23">
        <f>(S$1171-S$1169)/($N$1171-$N$1169)*($N1170-$N$1169)+S$1169</f>
        <v>-1.2643475227639349</v>
      </c>
      <c r="T1170">
        <f>$S1170+測地線補正!$Q$26*(lattice!$N1170/1000)^3+測地線補正!$P$26*(lattice!$N1170/1000)^2+測地線補正!$O$26*(lattice!$N1170/1000)+測地線補正!$N$26</f>
        <v>-0.35673842181509552</v>
      </c>
      <c r="U1170">
        <f t="shared" ref="U1170:U1171" si="939">-ATAN(($P$1171-$P$1169)/ABS($N$1171-$N$1169))</f>
        <v>-2.2152838864847112E-4</v>
      </c>
      <c r="V1170">
        <v>0</v>
      </c>
      <c r="W1170">
        <f t="shared" ref="W1170:W1171" si="940">ATAN(($M$1171-$M$1169)/ABS($N$1171-$N$1169))</f>
        <v>-7.3019063190196427E-4</v>
      </c>
      <c r="X1170">
        <f>$Z$1170-($Y$1170+$Y$1168)/2</f>
        <v>187.66314145135897</v>
      </c>
      <c r="Y1170">
        <f>_xlfn.XLOOKUP($F1170,設計座標!$E$13:$E$2301,設計座標!$L$13:$L$2301," ",0,1)</f>
        <v>160</v>
      </c>
      <c r="Z1170">
        <f>SQRT(($M$1170-$M$1168)^2+($N$1170-$N$1168)^2)</f>
        <v>307.66314145135897</v>
      </c>
      <c r="AA1170">
        <f>_xlfn.XLOOKUP($G1170,magnet_list!$A$2:$A$592,magnet_list!$AJ$2:$AJ$592,"n/a",0,1)</f>
        <v>0.17374887133613809</v>
      </c>
      <c r="AB1170">
        <f>_xlfn.XLOOKUP($G1170,magnet_list!$A$2:$A$592,magnet_list!$L$2:$L$592,"n/a",0,1)</f>
        <v>44</v>
      </c>
    </row>
    <row r="1171" spans="1:28">
      <c r="A1171" t="s">
        <v>797</v>
      </c>
      <c r="B1171">
        <v>2</v>
      </c>
      <c r="C1171" t="s">
        <v>805</v>
      </c>
      <c r="D1171" t="s">
        <v>806</v>
      </c>
      <c r="F1171" t="s">
        <v>287</v>
      </c>
      <c r="G1171" t="s">
        <v>2628</v>
      </c>
      <c r="I1171">
        <f>_xlfn.XLOOKUP($F1171,設計座標!$E$13:$E$2301,設計座標!$G$13:$G$2301,"n/a",0,1)</f>
        <v>326.66440108303885</v>
      </c>
      <c r="J1171">
        <f>_xlfn.XLOOKUP($F1171,設計座標!$E$13:$E$2301,設計座標!$H$13:$H$2301,"n/a",0,1)</f>
        <v>-15000</v>
      </c>
      <c r="K1171">
        <f>_xlfn.XLOOKUP($F1171,設計座標!$E$13:$E$2301,設計座標!$I$13:$I$2301,"n/a",0,1)</f>
        <v>-62202.343617129998</v>
      </c>
      <c r="L1171">
        <f>_xlfn.XLOOKUP($F1171,設計座標!$E$13:$E$2301,設計座標!$J$13:$J$2301,"n/a",0,1)</f>
        <v>90</v>
      </c>
      <c r="M1171" s="2">
        <f>_xlfn.XLOOKUP($F1171,survey_data!$A$2:$A$833,survey_data!$B$2:$B$833,"n/a",0,1)</f>
        <v>-14991.420025990001</v>
      </c>
      <c r="N1171" s="2">
        <f>_xlfn.XLOOKUP($F1171,survey_data!$A$2:$A$833,survey_data!$C$2:$C$833,"n/a",0,1)</f>
        <v>-62202.343617129998</v>
      </c>
      <c r="O1171" s="23">
        <f>_xlfn.XLOOKUP($F1171,survey_data!$A$2:$A$833,survey_data!$D$2:$D$833,"n/a",0,1)</f>
        <v>88.749146800000005</v>
      </c>
      <c r="P1171" s="1">
        <f t="shared" si="891"/>
        <v>89.65876368461339</v>
      </c>
      <c r="Q1171" s="1">
        <f t="shared" si="907"/>
        <v>8.579974009999205</v>
      </c>
      <c r="R1171">
        <f t="shared" si="904"/>
        <v>0</v>
      </c>
      <c r="S1171" s="23">
        <f t="shared" si="908"/>
        <v>-1.2508531999999946</v>
      </c>
      <c r="T1171">
        <f>$S1171+測地線補正!$Q$26*(lattice!$N1171/1000)^3+測地線補正!$P$26*(lattice!$N1171/1000)^2+測地線補正!$O$26*(lattice!$N1171/1000)+測地線補正!$N$26</f>
        <v>-0.34123631538661203</v>
      </c>
      <c r="U1171">
        <f t="shared" si="939"/>
        <v>-2.2152838864847112E-4</v>
      </c>
      <c r="V1171">
        <v>0</v>
      </c>
      <c r="W1171">
        <f t="shared" si="940"/>
        <v>-7.3019063190196427E-4</v>
      </c>
      <c r="X1171">
        <f>$Z$1170-($Y$1170+$Y$1168)/2</f>
        <v>187.66314145135897</v>
      </c>
      <c r="Y1171">
        <f>_xlfn.XLOOKUP($F1171,設計座標!$E$13:$E$2301,設計座標!$L$13:$L$2301," ",0,1)</f>
        <v>160</v>
      </c>
      <c r="Z1171">
        <f>SQRT(($M$1170-$M$1168)^2+($N$1170-$N$1168)^2)</f>
        <v>307.66314145135897</v>
      </c>
      <c r="AA1171">
        <f>_xlfn.XLOOKUP($G1171,magnet_list!$A$2:$A$592,magnet_list!$AJ$2:$AJ$592,"n/a",0,1)</f>
        <v>0.17374887133613809</v>
      </c>
      <c r="AB1171">
        <f>_xlfn.XLOOKUP($G1171,magnet_list!$A$2:$A$592,magnet_list!$L$2:$L$592,"n/a",0,1)</f>
        <v>44</v>
      </c>
    </row>
    <row r="1172" spans="1:28">
      <c r="A1172" t="s">
        <v>797</v>
      </c>
      <c r="B1172">
        <v>2</v>
      </c>
      <c r="C1172" t="s">
        <v>804</v>
      </c>
      <c r="D1172" t="s">
        <v>1152</v>
      </c>
      <c r="E1172" t="s">
        <v>804</v>
      </c>
      <c r="F1172" t="s">
        <v>1602</v>
      </c>
      <c r="G1172" t="s">
        <v>2629</v>
      </c>
      <c r="I1172">
        <f>_xlfn.XLOOKUP($F1172,設計座標!$E$13:$E$2301,設計座標!$G$13:$G$2301,"n/a",0,1)</f>
        <v>326.89695536136884</v>
      </c>
      <c r="J1172">
        <f>_xlfn.XLOOKUP($F1172,設計座標!$E$13:$E$2301,設計座標!$H$13:$H$2301,"n/a",0,1)</f>
        <v>-15000</v>
      </c>
      <c r="K1172">
        <f>_xlfn.XLOOKUP($F1172,設計座標!$E$13:$E$2301,設計座標!$I$13:$I$2301,"n/a",0,1)</f>
        <v>-62434.897895460068</v>
      </c>
      <c r="L1172">
        <f>_xlfn.XLOOKUP($F1172,設計座標!$E$13:$E$2301,設計座標!$J$13:$J$2301,"n/a",0,1)</f>
        <v>-270</v>
      </c>
      <c r="M1172" s="2">
        <f t="shared" si="936"/>
        <v>-14991.45422924543</v>
      </c>
      <c r="N1172" s="2">
        <f t="shared" si="937"/>
        <v>-62434.897895460068</v>
      </c>
      <c r="O1172" s="23">
        <f t="shared" si="938"/>
        <v>-271.12187950011855</v>
      </c>
      <c r="P1172" s="1">
        <f t="shared" si="891"/>
        <v>-270.20559991152589</v>
      </c>
      <c r="Q1172" s="1">
        <f>(Q$1173-Q$1171)/($N$1173-$N$1171)*($N1172-$N$1171)+Q$1171</f>
        <v>8.5457707545699257</v>
      </c>
      <c r="R1172">
        <f t="shared" si="904"/>
        <v>0</v>
      </c>
      <c r="S1172" s="23">
        <f>(S$1173-S$1171)/($N$1173-$N$1171)*($N1172-$N$1171)+S$1171</f>
        <v>-1.1218795001185695</v>
      </c>
      <c r="T1172">
        <f>$S1172+測地線補正!$Q$26*(lattice!$N1172/1000)^3+測地線補正!$P$26*(lattice!$N1172/1000)^2+測地線補正!$O$26*(lattice!$N1172/1000)+測地線補正!$N$26</f>
        <v>-0.2055999115258762</v>
      </c>
      <c r="U1172">
        <f>-ATAN(($P$1183-$P$1172)/ABS($N$1183-$N$1172))</f>
        <v>-2.0308123940474707E-5</v>
      </c>
      <c r="V1172">
        <v>0</v>
      </c>
      <c r="W1172">
        <f>ATAN(($M$1183-$M$1172)/ABS($N$1183-$N$1172))</f>
        <v>3.2316261473345187E-5</v>
      </c>
      <c r="X1172">
        <f>SQRT(($M$1172-$M$1170)^2+($N$1172-$N$1170)^2)-$Y$1170/2</f>
        <v>222.53520641602472</v>
      </c>
      <c r="Y1172">
        <f>_xlfn.XLOOKUP($F1172,設計座標!$E$13:$E$2301,設計座標!$L$13:$L$2301," ",0,1)</f>
        <v>1889.4492</v>
      </c>
      <c r="Z1172">
        <f>SQRT(($M$1178-$M$1177)^2+($N$1178-$N$1177)^2)</f>
        <v>34.607663362790397</v>
      </c>
    </row>
    <row r="1173" spans="1:28">
      <c r="A1173" t="s">
        <v>797</v>
      </c>
      <c r="B1173">
        <v>2</v>
      </c>
      <c r="C1173" t="s">
        <v>805</v>
      </c>
      <c r="D1173" t="s">
        <v>806</v>
      </c>
      <c r="F1173" t="s">
        <v>288</v>
      </c>
      <c r="G1173" t="s">
        <v>2630</v>
      </c>
      <c r="I1173">
        <f>_xlfn.XLOOKUP($F1173,設計座標!$E$13:$E$2301,設計座標!$G$13:$G$2301,"n/a",0,1)</f>
        <v>327.06561891157878</v>
      </c>
      <c r="J1173">
        <f>_xlfn.XLOOKUP($F1173,設計座標!$E$13:$E$2301,設計座標!$H$13:$H$2301,"n/a",0,1)</f>
        <v>-15000</v>
      </c>
      <c r="K1173">
        <f>_xlfn.XLOOKUP($F1173,設計座標!$E$13:$E$2301,設計座標!$I$13:$I$2301,"n/a",0,1)</f>
        <v>-62603.561445669999</v>
      </c>
      <c r="L1173">
        <f>_xlfn.XLOOKUP($F1173,設計座標!$E$13:$E$2301,設計座標!$J$13:$J$2301,"n/a",0,1)</f>
        <v>75</v>
      </c>
      <c r="M1173" s="2">
        <f>_xlfn.XLOOKUP($F1173,survey_data!$A$2:$A$833,survey_data!$B$2:$B$833,"n/a",0,1)</f>
        <v>-14991.47903568</v>
      </c>
      <c r="N1173" s="2">
        <f>_xlfn.XLOOKUP($F1173,survey_data!$A$2:$A$833,survey_data!$C$2:$C$833,"n/a",0,1)</f>
        <v>-62603.561445669999</v>
      </c>
      <c r="O1173" s="23">
        <f>_xlfn.XLOOKUP($F1173,survey_data!$A$2:$A$833,survey_data!$D$2:$D$833,"n/a",0,1)</f>
        <v>73.971660650000004</v>
      </c>
      <c r="P1173" s="1">
        <f t="shared" si="891"/>
        <v>74.89276344712674</v>
      </c>
      <c r="Q1173" s="1">
        <f t="shared" si="907"/>
        <v>8.5209643199996208</v>
      </c>
      <c r="R1173">
        <f t="shared" si="904"/>
        <v>0</v>
      </c>
      <c r="S1173" s="23">
        <f t="shared" si="908"/>
        <v>-1.028339349999996</v>
      </c>
      <c r="T1173">
        <f>$S1173+測地線補正!$Q$26*(lattice!$N1173/1000)^3+測地線補正!$P$26*(lattice!$N1173/1000)^2+測地線補正!$O$26*(lattice!$N1173/1000)+測地線補正!$N$26</f>
        <v>-0.1072365528732615</v>
      </c>
      <c r="U1173">
        <f>-ATAN(($P$1175-$P$1173)/ABS($N$1175-$N$1173))</f>
        <v>7.1258206075884665E-4</v>
      </c>
      <c r="V1173">
        <v>0</v>
      </c>
      <c r="W1173">
        <f>ATAN(($M$1175-$M$1173)/ABS($N$1175-$N$1173))</f>
        <v>1.8321985810709093E-4</v>
      </c>
      <c r="X1173" t="s">
        <v>3860</v>
      </c>
      <c r="Y1173">
        <f>_xlfn.XLOOKUP($F1173,設計座標!$E$13:$E$2301,設計座標!$L$13:$L$2301," ",0,1)</f>
        <v>300</v>
      </c>
      <c r="Z1173">
        <f>SQRT(($M$1174-$M$1170)^2+($N$1174-$N$1170)^2)</f>
        <v>606.18575061235492</v>
      </c>
      <c r="AA1173">
        <f>_xlfn.XLOOKUP($G1173,magnet_list!$A$2:$A$592,magnet_list!$AJ$2:$AJ$592,"n/a",0,1)</f>
        <v>0.32714527067797677</v>
      </c>
      <c r="AB1173">
        <f>_xlfn.XLOOKUP($G1173,magnet_list!$A$2:$A$592,magnet_list!$L$2:$L$592,"n/a",0,1)</f>
        <v>120</v>
      </c>
    </row>
    <row r="1174" spans="1:28">
      <c r="A1174" t="s">
        <v>797</v>
      </c>
      <c r="B1174">
        <v>2</v>
      </c>
      <c r="C1174" t="s">
        <v>805</v>
      </c>
      <c r="D1174" t="s">
        <v>1152</v>
      </c>
      <c r="E1174" t="s">
        <v>804</v>
      </c>
      <c r="F1174" t="s">
        <v>690</v>
      </c>
      <c r="G1174" t="s">
        <v>2630</v>
      </c>
      <c r="I1174">
        <f>_xlfn.XLOOKUP($F1174,設計座標!$E$13:$E$2301,設計座標!$G$13:$G$2301,"n/a",0,1)</f>
        <v>327.2006059115788</v>
      </c>
      <c r="J1174">
        <f>_xlfn.XLOOKUP($F1174,設計座標!$E$13:$E$2301,設計座標!$H$13:$H$2301,"n/a",0,1)</f>
        <v>-15000</v>
      </c>
      <c r="K1174">
        <f>_xlfn.XLOOKUP($F1174,設計座標!$E$13:$E$2301,設計座標!$I$13:$I$2301,"n/a",0,1)</f>
        <v>-62738.54844567</v>
      </c>
      <c r="L1174">
        <f>_xlfn.XLOOKUP($F1174,設計座標!$E$13:$E$2301,設計座標!$J$13:$J$2301,"n/a",0,1)</f>
        <v>75</v>
      </c>
      <c r="M1174" s="2">
        <f t="shared" si="936"/>
        <v>-14991.454303380737</v>
      </c>
      <c r="N1174" s="2">
        <f t="shared" si="937"/>
        <v>-62738.54844567</v>
      </c>
      <c r="O1174" s="23">
        <f t="shared" si="938"/>
        <v>73.871619032416731</v>
      </c>
      <c r="P1174" s="1">
        <f t="shared" si="891"/>
        <v>74.796576542125152</v>
      </c>
      <c r="Q1174" s="1">
        <f>(Q$1175-Q$1173)/($N$1175-$N$1173)*($N1174-$N$1173)+Q$1173</f>
        <v>8.5456966192626727</v>
      </c>
      <c r="R1174">
        <f t="shared" si="904"/>
        <v>0</v>
      </c>
      <c r="S1174" s="23">
        <f>(S$1175-S$1173)/($N$1175-$N$1173)*($N1174-$N$1173)+S$1173</f>
        <v>-1.1283809675832635</v>
      </c>
      <c r="T1174">
        <f>$S1174+測地線補正!$Q$26*(lattice!$N1174/1000)^3+測地線補正!$P$26*(lattice!$N1174/1000)^2+測地線補正!$O$26*(lattice!$N1174/1000)+測地線補正!$N$26</f>
        <v>-0.20342345787485239</v>
      </c>
      <c r="U1174">
        <f t="shared" ref="U1174:U1175" si="941">-ATAN(($P$1175-$P$1173)/ABS($N$1175-$N$1173))</f>
        <v>7.1258206075884665E-4</v>
      </c>
      <c r="V1174">
        <v>0</v>
      </c>
      <c r="W1174">
        <f t="shared" ref="W1174:W1175" si="942">ATAN(($M$1175-$M$1173)/ABS($N$1175-$N$1173))</f>
        <v>1.8321985810709093E-4</v>
      </c>
      <c r="X1174" t="s">
        <v>3860</v>
      </c>
      <c r="Y1174">
        <f>_xlfn.XLOOKUP($F1174,設計座標!$E$13:$E$2301,設計座標!$L$13:$L$2301," ",0,1)</f>
        <v>300</v>
      </c>
      <c r="Z1174">
        <f>SQRT(($M$1174-$M$1170)^2+($N$1174-$N$1170)^2)</f>
        <v>606.18575061235492</v>
      </c>
      <c r="AA1174">
        <f>_xlfn.XLOOKUP($G1174,magnet_list!$A$2:$A$592,magnet_list!$AJ$2:$AJ$592,"n/a",0,1)</f>
        <v>0.32714527067797677</v>
      </c>
      <c r="AB1174">
        <f>_xlfn.XLOOKUP($G1174,magnet_list!$A$2:$A$592,magnet_list!$L$2:$L$592,"n/a",0,1)</f>
        <v>120</v>
      </c>
    </row>
    <row r="1175" spans="1:28">
      <c r="A1175" t="s">
        <v>797</v>
      </c>
      <c r="B1175">
        <v>2</v>
      </c>
      <c r="C1175" t="s">
        <v>805</v>
      </c>
      <c r="D1175" t="s">
        <v>806</v>
      </c>
      <c r="F1175" t="s">
        <v>289</v>
      </c>
      <c r="G1175" t="s">
        <v>2630</v>
      </c>
      <c r="I1175">
        <f>_xlfn.XLOOKUP($F1175,設計座標!$E$13:$E$2301,設計座標!$G$13:$G$2301,"n/a",0,1)</f>
        <v>327.33557458099881</v>
      </c>
      <c r="J1175">
        <f>_xlfn.XLOOKUP($F1175,設計座標!$E$13:$E$2301,設計座標!$H$13:$H$2301,"n/a",0,1)</f>
        <v>-15000</v>
      </c>
      <c r="K1175">
        <f>_xlfn.XLOOKUP($F1175,設計座標!$E$13:$E$2301,設計座標!$I$13:$I$2301,"n/a",0,1)</f>
        <v>-62873.517115089999</v>
      </c>
      <c r="L1175">
        <f>_xlfn.XLOOKUP($F1175,設計座標!$E$13:$E$2301,設計座標!$J$13:$J$2301,"n/a",0,1)</f>
        <v>75</v>
      </c>
      <c r="M1175" s="2">
        <f>_xlfn.XLOOKUP($F1175,survey_data!$A$2:$A$833,survey_data!$B$2:$B$833,"n/a",0,1)</f>
        <v>-14991.429574440001</v>
      </c>
      <c r="N1175" s="2">
        <f>_xlfn.XLOOKUP($F1175,survey_data!$A$2:$A$833,survey_data!$C$2:$C$833,"n/a",0,1)</f>
        <v>-62873.517115089999</v>
      </c>
      <c r="O1175" s="23">
        <f>_xlfn.XLOOKUP($F1175,survey_data!$A$2:$A$833,survey_data!$D$2:$D$833,"n/a",0,1)</f>
        <v>73.771591000000001</v>
      </c>
      <c r="P1175" s="1">
        <f t="shared" si="891"/>
        <v>74.700397847338536</v>
      </c>
      <c r="Q1175" s="1">
        <f t="shared" si="907"/>
        <v>8.5704255599994212</v>
      </c>
      <c r="R1175">
        <f t="shared" si="904"/>
        <v>0</v>
      </c>
      <c r="S1175" s="23">
        <f t="shared" si="908"/>
        <v>-1.2284089999999992</v>
      </c>
      <c r="T1175">
        <f>$S1175+測地線補正!$Q$26*(lattice!$N1175/1000)^3+測地線補正!$P$26*(lattice!$N1175/1000)^2+測地線補正!$O$26*(lattice!$N1175/1000)+測地線補正!$N$26</f>
        <v>-0.29960215266146828</v>
      </c>
      <c r="U1175">
        <f t="shared" si="941"/>
        <v>7.1258206075884665E-4</v>
      </c>
      <c r="V1175">
        <v>0</v>
      </c>
      <c r="W1175">
        <f t="shared" si="942"/>
        <v>1.8321985810709093E-4</v>
      </c>
      <c r="X1175" t="s">
        <v>3860</v>
      </c>
      <c r="Y1175">
        <f>_xlfn.XLOOKUP($F1175,設計座標!$E$13:$E$2301,設計座標!$L$13:$L$2301," ",0,1)</f>
        <v>300</v>
      </c>
      <c r="Z1175">
        <f>SQRT(($M$1174-$M$1170)^2+($N$1174-$N$1170)^2)</f>
        <v>606.18575061235492</v>
      </c>
      <c r="AA1175">
        <f>_xlfn.XLOOKUP($G1175,magnet_list!$A$2:$A$592,magnet_list!$AJ$2:$AJ$592,"n/a",0,1)</f>
        <v>0.32714527067797677</v>
      </c>
      <c r="AB1175">
        <f>_xlfn.XLOOKUP($G1175,magnet_list!$A$2:$A$592,magnet_list!$L$2:$L$592,"n/a",0,1)</f>
        <v>120</v>
      </c>
    </row>
    <row r="1176" spans="1:28">
      <c r="A1176" t="s">
        <v>797</v>
      </c>
      <c r="B1176">
        <v>2</v>
      </c>
      <c r="C1176" t="s">
        <v>805</v>
      </c>
      <c r="D1176" t="s">
        <v>806</v>
      </c>
      <c r="F1176" t="s">
        <v>290</v>
      </c>
      <c r="G1176" t="s">
        <v>2631</v>
      </c>
      <c r="I1176">
        <f>_xlfn.XLOOKUP($F1176,設計座標!$E$13:$E$2301,設計座標!$G$13:$G$2301,"n/a",0,1)</f>
        <v>327.67207879800878</v>
      </c>
      <c r="J1176">
        <f>_xlfn.XLOOKUP($F1176,設計座標!$E$13:$E$2301,設計座標!$H$13:$H$2301,"n/a",0,1)</f>
        <v>-15000</v>
      </c>
      <c r="K1176">
        <f>_xlfn.XLOOKUP($F1176,設計座標!$E$13:$E$2301,設計座標!$I$13:$I$2301,"n/a",0,1)</f>
        <v>-63210.021332099997</v>
      </c>
      <c r="L1176">
        <f>_xlfn.XLOOKUP($F1176,設計座標!$E$13:$E$2301,設計座標!$J$13:$J$2301,"n/a",0,1)</f>
        <v>75</v>
      </c>
      <c r="M1176" s="2">
        <f>_xlfn.XLOOKUP($F1176,survey_data!$A$2:$A$833,survey_data!$B$2:$B$833,"n/a",0,1)</f>
        <v>-14991.40487269</v>
      </c>
      <c r="N1176" s="2">
        <f>_xlfn.XLOOKUP($F1176,survey_data!$A$2:$A$833,survey_data!$C$2:$C$833,"n/a",0,1)</f>
        <v>-63210.021332099997</v>
      </c>
      <c r="O1176" s="23">
        <f>_xlfn.XLOOKUP($F1176,survey_data!$A$2:$A$833,survey_data!$D$2:$D$833,"n/a",0,1)</f>
        <v>73.940097129999998</v>
      </c>
      <c r="P1176" s="1">
        <f t="shared" si="891"/>
        <v>74.878480043339721</v>
      </c>
      <c r="Q1176" s="1">
        <f t="shared" si="907"/>
        <v>8.5951273099999526</v>
      </c>
      <c r="R1176">
        <f t="shared" si="904"/>
        <v>0</v>
      </c>
      <c r="S1176" s="23">
        <f t="shared" si="908"/>
        <v>-1.0599028700000019</v>
      </c>
      <c r="T1176">
        <f>$S1176+測地線補正!$Q$26*(lattice!$N1176/1000)^3+測地線補正!$P$26*(lattice!$N1176/1000)^2+測地線補正!$O$26*(lattice!$N1176/1000)+測地線補正!$N$26</f>
        <v>-0.12151995666028292</v>
      </c>
      <c r="U1176">
        <f>-ATAN(($P$1179-$P$1176)/ABS($N$1179-$N$1176))</f>
        <v>5.9906925733430711E-4</v>
      </c>
      <c r="V1176">
        <v>0</v>
      </c>
      <c r="W1176">
        <f>ATAN(($M$1179-$M$1176)/ABS($N$1179-$N$1176))</f>
        <v>-1.2526737645461868E-5</v>
      </c>
      <c r="X1176" t="s">
        <v>3860</v>
      </c>
      <c r="Y1176">
        <f>_xlfn.XLOOKUP($F1176,設計座標!$E$13:$E$2301,設計座標!$L$13:$L$2301," ",0,1)</f>
        <v>300</v>
      </c>
      <c r="Z1176">
        <f>SQRT(($M$1177-$M$1174)^2+($N$1177-$N$1174)^2)</f>
        <v>606.46638830897371</v>
      </c>
      <c r="AA1176">
        <f>_xlfn.XLOOKUP($G1176,magnet_list!$A$2:$A$592,magnet_list!$AJ$2:$AJ$592,"n/a",0,1)</f>
        <v>0.32714527067797677</v>
      </c>
      <c r="AB1176">
        <f>_xlfn.XLOOKUP($G1176,magnet_list!$A$2:$A$592,magnet_list!$L$2:$L$592,"n/a",0,1)</f>
        <v>120</v>
      </c>
    </row>
    <row r="1177" spans="1:28">
      <c r="A1177" t="s">
        <v>797</v>
      </c>
      <c r="B1177">
        <v>2</v>
      </c>
      <c r="C1177" t="s">
        <v>805</v>
      </c>
      <c r="D1177" t="s">
        <v>1152</v>
      </c>
      <c r="E1177" t="s">
        <v>804</v>
      </c>
      <c r="F1177" t="s">
        <v>691</v>
      </c>
      <c r="G1177" t="s">
        <v>2631</v>
      </c>
      <c r="I1177">
        <f>_xlfn.XLOOKUP($F1177,設計座標!$E$13:$E$2301,設計座標!$G$13:$G$2301,"n/a",0,1)</f>
        <v>327.80707229800879</v>
      </c>
      <c r="J1177">
        <f>_xlfn.XLOOKUP($F1177,設計座標!$E$13:$E$2301,設計座標!$H$13:$H$2301,"n/a",0,1)</f>
        <v>-15000</v>
      </c>
      <c r="K1177">
        <f>_xlfn.XLOOKUP($F1177,設計座標!$E$13:$E$2301,設計座標!$I$13:$I$2301,"n/a",0,1)</f>
        <v>-63345.014832099994</v>
      </c>
      <c r="L1177">
        <f>_xlfn.XLOOKUP($F1177,設計座標!$E$13:$E$2301,設計座標!$J$13:$J$2301,"n/a",0,1)</f>
        <v>75</v>
      </c>
      <c r="M1177" s="2">
        <f t="shared" ref="M1177:M1178" si="943">$J1177+$Q1177</f>
        <v>-14991.406563718159</v>
      </c>
      <c r="N1177" s="2">
        <f t="shared" ref="N1177:N1178" si="944">$K1177</f>
        <v>-63345.014832099994</v>
      </c>
      <c r="O1177" s="23">
        <f t="shared" ref="O1177:O1178" si="945">$L1177+$S1177</f>
        <v>73.855395974604519</v>
      </c>
      <c r="P1177" s="1">
        <f t="shared" ref="P1177:P1242" si="946">$L1177+$T1177</f>
        <v>74.797611999774176</v>
      </c>
      <c r="Q1177" s="1">
        <f>(Q$1179-Q$1176)/($N$1179-$N$1176)*($N1177-$N$1176)+Q$1176</f>
        <v>8.5934362818415213</v>
      </c>
      <c r="R1177">
        <f t="shared" si="904"/>
        <v>0</v>
      </c>
      <c r="S1177" s="23">
        <f t="shared" ref="S1177:S1178" si="947">(S$1179-S$1176)/($N$1179-$N$1176)*($N1177-$N$1176)+S$1176</f>
        <v>-1.1446040253954772</v>
      </c>
      <c r="T1177">
        <f>$S1177+測地線補正!$Q$26*(lattice!$N1177/1000)^3+測地線補正!$P$26*(lattice!$N1177/1000)^2+測地線補正!$O$26*(lattice!$N1177/1000)+測地線補正!$N$26</f>
        <v>-0.2023880002258267</v>
      </c>
      <c r="U1177">
        <f t="shared" ref="U1177" si="948">-ATAN(($P$1179-$P$1176)/ABS($N$1179-$N$1176))</f>
        <v>5.9906925733430711E-4</v>
      </c>
      <c r="V1177">
        <v>0</v>
      </c>
      <c r="W1177">
        <f>ATAN(($M$1179-$M$1176)/ABS($N$1179-$N$1176))</f>
        <v>-1.2526737645461868E-5</v>
      </c>
      <c r="X1177" t="s">
        <v>3860</v>
      </c>
      <c r="Y1177">
        <f>_xlfn.XLOOKUP($F1177,設計座標!$E$13:$E$2301,設計座標!$L$13:$L$2301," ",0,1)</f>
        <v>300</v>
      </c>
      <c r="Z1177">
        <f>SQRT(($M$1177-$M$1174)^2+($N$1177-$N$1174)^2)</f>
        <v>606.46638830897371</v>
      </c>
      <c r="AA1177">
        <f>_xlfn.XLOOKUP($G1177,magnet_list!$A$2:$A$592,magnet_list!$AJ$2:$AJ$592,"n/a",0,1)</f>
        <v>0.32714527067797677</v>
      </c>
      <c r="AB1177">
        <f>_xlfn.XLOOKUP($G1177,magnet_list!$A$2:$A$592,magnet_list!$L$2:$L$592,"n/a",0,1)</f>
        <v>120</v>
      </c>
    </row>
    <row r="1178" spans="1:28">
      <c r="A1178" t="s">
        <v>797</v>
      </c>
      <c r="B1178">
        <v>2</v>
      </c>
      <c r="C1178" t="s">
        <v>804</v>
      </c>
      <c r="D1178" t="s">
        <v>1152</v>
      </c>
      <c r="E1178" t="s">
        <v>804</v>
      </c>
      <c r="F1178" t="s">
        <v>1302</v>
      </c>
      <c r="G1178" t="s">
        <v>2629</v>
      </c>
      <c r="I1178">
        <f>_xlfn.XLOOKUP($F1178,設計座標!$E$13:$E$2301,設計座標!$G$13:$G$2301,"n/a",0,1)</f>
        <v>327.84167996136887</v>
      </c>
      <c r="J1178">
        <f>_xlfn.XLOOKUP($F1178,設計座標!$E$13:$E$2301,設計座標!$H$13:$H$2301,"n/a",0,1)</f>
        <v>-15000</v>
      </c>
      <c r="K1178">
        <f>_xlfn.XLOOKUP($F1178,設計座標!$E$13:$E$2301,設計座標!$I$13:$I$2301,"n/a",0,1)</f>
        <v>-63379.622495460069</v>
      </c>
      <c r="L1178">
        <f>_xlfn.XLOOKUP($F1178,設計座標!$E$13:$E$2301,設計座標!$J$13:$J$2301,"n/a",0,1)</f>
        <v>-270</v>
      </c>
      <c r="M1178" s="2">
        <f t="shared" si="943"/>
        <v>-14991.406997239277</v>
      </c>
      <c r="N1178" s="2">
        <f t="shared" si="944"/>
        <v>-63379.622495460069</v>
      </c>
      <c r="O1178" s="23">
        <f t="shared" si="945"/>
        <v>-271.16631847144021</v>
      </c>
      <c r="P1178" s="1">
        <f t="shared" si="946"/>
        <v>-270.2231205491741</v>
      </c>
      <c r="Q1178" s="1">
        <f>(Q$1179-Q$1176)/($N$1179-$N$1176)*($N1178-$N$1176)+Q$1176</f>
        <v>8.5930027607220651</v>
      </c>
      <c r="R1178">
        <f t="shared" si="904"/>
        <v>0</v>
      </c>
      <c r="S1178" s="23">
        <f t="shared" si="947"/>
        <v>-1.1663184714401835</v>
      </c>
      <c r="T1178">
        <f>$S1178+測地線補正!$Q$26*(lattice!$N1178/1000)^3+測地線補正!$P$26*(lattice!$N1178/1000)^2+測地線補正!$O$26*(lattice!$N1178/1000)+測地線補正!$N$26</f>
        <v>-0.22312054917410484</v>
      </c>
      <c r="U1178">
        <f>-ATAN(($P$1183-$P$1172)/ABS($N$1183-$N$1172))</f>
        <v>-2.0308123940474707E-5</v>
      </c>
      <c r="V1178">
        <v>0</v>
      </c>
      <c r="W1178">
        <f>ATAN(($M$1183-$M$1172)/ABS($N$1183-$N$1172))</f>
        <v>3.2316261473345187E-5</v>
      </c>
      <c r="X1178" t="s">
        <v>3860</v>
      </c>
      <c r="Y1178">
        <f>_xlfn.XLOOKUP($F1178,設計座標!$E$13:$E$2301,設計座標!$L$13:$L$2301," ",0,1)</f>
        <v>1889.4492</v>
      </c>
      <c r="Z1178">
        <f>SQRT(($M$1178-$M$1177)^2+($N$1178-$N$1177)^2)</f>
        <v>34.607663362790397</v>
      </c>
    </row>
    <row r="1179" spans="1:28">
      <c r="A1179" t="s">
        <v>797</v>
      </c>
      <c r="B1179">
        <v>2</v>
      </c>
      <c r="C1179" t="s">
        <v>805</v>
      </c>
      <c r="D1179" t="s">
        <v>806</v>
      </c>
      <c r="F1179" t="s">
        <v>291</v>
      </c>
      <c r="G1179" t="s">
        <v>2631</v>
      </c>
      <c r="I1179">
        <f>_xlfn.XLOOKUP($F1179,設計座標!$E$13:$E$2301,設計座標!$G$13:$G$2301,"n/a",0,1)</f>
        <v>327.9420613023388</v>
      </c>
      <c r="J1179">
        <f>_xlfn.XLOOKUP($F1179,設計座標!$E$13:$E$2301,設計座標!$H$13:$H$2301,"n/a",0,1)</f>
        <v>-15000</v>
      </c>
      <c r="K1179">
        <f>_xlfn.XLOOKUP($F1179,設計座標!$E$13:$E$2301,設計座標!$I$13:$I$2301,"n/a",0,1)</f>
        <v>-63480.003836429998</v>
      </c>
      <c r="L1179">
        <f>_xlfn.XLOOKUP($F1179,設計座標!$E$13:$E$2301,設計座標!$J$13:$J$2301,"n/a",0,1)</f>
        <v>75</v>
      </c>
      <c r="M1179" s="2">
        <f>_xlfn.XLOOKUP($F1179,survey_data!$A$2:$A$833,survey_data!$B$2:$B$833,"n/a",0,1)</f>
        <v>-14991.408254690001</v>
      </c>
      <c r="N1179" s="2">
        <f>_xlfn.XLOOKUP($F1179,survey_data!$A$2:$A$833,survey_data!$C$2:$C$833,"n/a",0,1)</f>
        <v>-63480.003836429998</v>
      </c>
      <c r="O1179" s="23">
        <f>_xlfn.XLOOKUP($F1179,survey_data!$A$2:$A$833,survey_data!$D$2:$D$833,"n/a",0,1)</f>
        <v>73.770697639999995</v>
      </c>
      <c r="P1179" s="1">
        <f t="shared" si="946"/>
        <v>74.71674180562907</v>
      </c>
      <c r="Q1179" s="1">
        <f t="shared" si="907"/>
        <v>8.591745309999169</v>
      </c>
      <c r="R1179">
        <f t="shared" si="904"/>
        <v>0</v>
      </c>
      <c r="S1179" s="23">
        <f t="shared" si="908"/>
        <v>-1.2293023600000055</v>
      </c>
      <c r="T1179">
        <f>$S1179+測地線補正!$Q$26*(lattice!$N1179/1000)^3+測地線補正!$P$26*(lattice!$N1179/1000)^2+測地線補正!$O$26*(lattice!$N1179/1000)+測地線補正!$N$26</f>
        <v>-0.28325819437092536</v>
      </c>
      <c r="U1179">
        <f>-ATAN(($P$1179-$P$1176)/ABS($N$1179-$N$1176))</f>
        <v>5.9906925733430711E-4</v>
      </c>
      <c r="V1179">
        <v>0</v>
      </c>
      <c r="W1179">
        <f>ATAN(($M$1179-$M$1176)/ABS($N$1179-$N$1176))</f>
        <v>-1.2526737645461868E-5</v>
      </c>
      <c r="X1179" t="s">
        <v>3860</v>
      </c>
      <c r="Y1179">
        <f>_xlfn.XLOOKUP($F1179,設計座標!$E$13:$E$2301,設計座標!$L$13:$L$2301," ",0,1)</f>
        <v>300</v>
      </c>
      <c r="Z1179">
        <f>SQRT(($M$1177-$M$1174)^2+($N$1177-$N$1174)^2)</f>
        <v>606.46638830897371</v>
      </c>
      <c r="AA1179">
        <f>_xlfn.XLOOKUP($G1179,magnet_list!$A$2:$A$592,magnet_list!$AJ$2:$AJ$592,"n/a",0,1)</f>
        <v>0.32714527067797677</v>
      </c>
      <c r="AB1179">
        <f>_xlfn.XLOOKUP($G1179,magnet_list!$A$2:$A$592,magnet_list!$L$2:$L$592,"n/a",0,1)</f>
        <v>120</v>
      </c>
    </row>
    <row r="1180" spans="1:28">
      <c r="A1180" t="s">
        <v>797</v>
      </c>
      <c r="B1180">
        <v>2</v>
      </c>
      <c r="C1180" t="s">
        <v>805</v>
      </c>
      <c r="D1180" t="s">
        <v>806</v>
      </c>
      <c r="F1180" t="s">
        <v>292</v>
      </c>
      <c r="G1180" t="s">
        <v>2632</v>
      </c>
      <c r="I1180">
        <f>_xlfn.XLOOKUP($F1180,設計座標!$E$13:$E$2301,設計座標!$G$13:$G$2301,"n/a",0,1)</f>
        <v>328.24775180064881</v>
      </c>
      <c r="J1180">
        <f>_xlfn.XLOOKUP($F1180,設計座標!$E$13:$E$2301,設計座標!$H$13:$H$2301,"n/a",0,1)</f>
        <v>-15000</v>
      </c>
      <c r="K1180">
        <f>_xlfn.XLOOKUP($F1180,設計座標!$E$13:$E$2301,設計座標!$I$13:$I$2301,"n/a",0,1)</f>
        <v>-63785.694334740001</v>
      </c>
      <c r="L1180">
        <f>_xlfn.XLOOKUP($F1180,設計座標!$E$13:$E$2301,設計座標!$J$13:$J$2301,"n/a",0,1)</f>
        <v>75</v>
      </c>
      <c r="M1180" s="2">
        <f>_xlfn.XLOOKUP($F1180,survey_data!$A$2:$A$833,survey_data!$B$2:$B$833,"n/a",0,1)</f>
        <v>-14991.494329409999</v>
      </c>
      <c r="N1180" s="2">
        <f>_xlfn.XLOOKUP($F1180,survey_data!$A$2:$A$833,survey_data!$C$2:$C$833,"n/a",0,1)</f>
        <v>-63785.694334740001</v>
      </c>
      <c r="O1180" s="23">
        <f>_xlfn.XLOOKUP($F1180,survey_data!$A$2:$A$833,survey_data!$D$2:$D$833,"n/a",0,1)</f>
        <v>73.85130212</v>
      </c>
      <c r="P1180" s="1">
        <f t="shared" si="946"/>
        <v>74.805997440222512</v>
      </c>
      <c r="Q1180" s="1">
        <f t="shared" si="907"/>
        <v>8.5056705900005909</v>
      </c>
      <c r="R1180">
        <f t="shared" si="904"/>
        <v>0</v>
      </c>
      <c r="S1180" s="23">
        <f t="shared" si="908"/>
        <v>-1.1486978800000003</v>
      </c>
      <c r="T1180">
        <f>$S1180+測地線補正!$Q$26*(lattice!$N1180/1000)^3+測地線補正!$P$26*(lattice!$N1180/1000)^2+測地線補正!$O$26*(lattice!$N1180/1000)+測地線補正!$N$26</f>
        <v>-0.19400255977748615</v>
      </c>
      <c r="U1180">
        <f>-ATAN(($P$1182-$P$1180)/ABS($N$1182-$N$1180))</f>
        <v>-2.5656834886502963E-4</v>
      </c>
      <c r="V1180">
        <v>0</v>
      </c>
      <c r="W1180">
        <f>ATAN(($M$1182-$M$1180)/ABS($N$1182-$N$1180))</f>
        <v>-3.1768258291883821E-4</v>
      </c>
      <c r="X1180" t="s">
        <v>3860</v>
      </c>
      <c r="Y1180">
        <f>_xlfn.XLOOKUP($F1180,設計座標!$E$13:$E$2301,設計座標!$L$13:$L$2301," ",0,1)</f>
        <v>300</v>
      </c>
      <c r="Z1180">
        <f>SQRT(($M$1181-$M$1178)^2+($N$1181-$N$1178)^2)</f>
        <v>541.05885494920426</v>
      </c>
      <c r="AA1180">
        <f>_xlfn.XLOOKUP($G1180,magnet_list!$A$2:$A$592,magnet_list!$AJ$2:$AJ$592,"n/a",0,1)</f>
        <v>0.32714527067797677</v>
      </c>
      <c r="AB1180">
        <f>_xlfn.XLOOKUP($G1180,magnet_list!$A$2:$A$592,magnet_list!$L$2:$L$592,"n/a",0,1)</f>
        <v>120</v>
      </c>
    </row>
    <row r="1181" spans="1:28">
      <c r="A1181" t="s">
        <v>797</v>
      </c>
      <c r="B1181">
        <v>2</v>
      </c>
      <c r="C1181" t="s">
        <v>805</v>
      </c>
      <c r="D1181" t="s">
        <v>1152</v>
      </c>
      <c r="E1181" t="s">
        <v>804</v>
      </c>
      <c r="F1181" t="s">
        <v>692</v>
      </c>
      <c r="G1181" t="s">
        <v>2632</v>
      </c>
      <c r="I1181">
        <f>_xlfn.XLOOKUP($F1181,設計座標!$E$13:$E$2301,設計座標!$G$13:$G$2301,"n/a",0,1)</f>
        <v>328.38273880064884</v>
      </c>
      <c r="J1181">
        <f>_xlfn.XLOOKUP($F1181,設計座標!$E$13:$E$2301,設計座標!$H$13:$H$2301,"n/a",0,1)</f>
        <v>-15000</v>
      </c>
      <c r="K1181">
        <f>_xlfn.XLOOKUP($F1181,設計座標!$E$13:$E$2301,設計座標!$I$13:$I$2301,"n/a",0,1)</f>
        <v>-63920.681334740002</v>
      </c>
      <c r="L1181">
        <f>_xlfn.XLOOKUP($F1181,設計座標!$E$13:$E$2301,設計座標!$J$13:$J$2301,"n/a",0,1)</f>
        <v>75</v>
      </c>
      <c r="M1181" s="2">
        <f t="shared" ref="M1181:M1189" si="949">$J1181+$Q1181</f>
        <v>-14991.537212430263</v>
      </c>
      <c r="N1181" s="2">
        <f t="shared" ref="N1181:N1189" si="950">$K1181</f>
        <v>-63920.681334740002</v>
      </c>
      <c r="O1181" s="23">
        <f t="shared" ref="O1181:O1189" si="951">$L1181+$S1181</f>
        <v>73.882125644905159</v>
      </c>
      <c r="P1181" s="1">
        <f t="shared" si="946"/>
        <v>74.840633250622091</v>
      </c>
      <c r="Q1181" s="1">
        <f>(Q$1182-Q$1180)/($N$1182-$N$1180)*($N1181-$N$1180)+Q$1180</f>
        <v>8.4627875697375092</v>
      </c>
      <c r="R1181">
        <f t="shared" si="904"/>
        <v>0</v>
      </c>
      <c r="S1181" s="23">
        <f>(S$1182-S$1180)/($N$1182-$N$1180)*($N1181-$N$1180)+S$1180</f>
        <v>-1.1178743550948436</v>
      </c>
      <c r="T1181">
        <f>$S1181+測地線補正!$Q$26*(lattice!$N1181/1000)^3+測地線補正!$P$26*(lattice!$N1181/1000)^2+測地線補正!$O$26*(lattice!$N1181/1000)+測地線補正!$N$26</f>
        <v>-0.15936674937791273</v>
      </c>
      <c r="U1181">
        <f t="shared" ref="U1181:U1182" si="952">-ATAN(($P$1182-$P$1180)/ABS($N$1182-$N$1180))</f>
        <v>-2.5656834886502963E-4</v>
      </c>
      <c r="V1181">
        <v>0</v>
      </c>
      <c r="W1181">
        <f t="shared" ref="W1181:W1182" si="953">ATAN(($M$1182-$M$1180)/ABS($N$1182-$N$1180))</f>
        <v>-3.1768258291883821E-4</v>
      </c>
      <c r="X1181" t="s">
        <v>3860</v>
      </c>
      <c r="Y1181">
        <f>_xlfn.XLOOKUP($F1181,設計座標!$E$13:$E$2301,設計座標!$L$13:$L$2301," ",0,1)</f>
        <v>300</v>
      </c>
      <c r="Z1181">
        <f>SQRT(($M$1181-$M$1178)^2+($N$1181-$N$1178)^2)</f>
        <v>541.05885494920426</v>
      </c>
      <c r="AA1181">
        <f>_xlfn.XLOOKUP($G1181,magnet_list!$A$2:$A$592,magnet_list!$AJ$2:$AJ$592,"n/a",0,1)</f>
        <v>0.32714527067797677</v>
      </c>
      <c r="AB1181">
        <f>_xlfn.XLOOKUP($G1181,magnet_list!$A$2:$A$592,magnet_list!$L$2:$L$592,"n/a",0,1)</f>
        <v>120</v>
      </c>
    </row>
    <row r="1182" spans="1:28">
      <c r="A1182" t="s">
        <v>797</v>
      </c>
      <c r="B1182">
        <v>2</v>
      </c>
      <c r="C1182" t="s">
        <v>805</v>
      </c>
      <c r="D1182" t="s">
        <v>806</v>
      </c>
      <c r="F1182" t="s">
        <v>293</v>
      </c>
      <c r="G1182" t="s">
        <v>2632</v>
      </c>
      <c r="I1182">
        <f>_xlfn.XLOOKUP($F1182,設計座標!$E$13:$E$2301,設計座標!$G$13:$G$2301,"n/a",0,1)</f>
        <v>328.51775120170885</v>
      </c>
      <c r="J1182">
        <f>_xlfn.XLOOKUP($F1182,設計座標!$E$13:$E$2301,設計座標!$H$13:$H$2301,"n/a",0,1)</f>
        <v>-15000</v>
      </c>
      <c r="K1182">
        <f>_xlfn.XLOOKUP($F1182,設計座標!$E$13:$E$2301,設計座標!$I$13:$I$2301,"n/a",0,1)</f>
        <v>-64055.6937358</v>
      </c>
      <c r="L1182">
        <f>_xlfn.XLOOKUP($F1182,設計座標!$E$13:$E$2301,設計座標!$J$13:$J$2301,"n/a",0,1)</f>
        <v>75</v>
      </c>
      <c r="M1182" s="2">
        <f>_xlfn.XLOOKUP($F1182,survey_data!$A$2:$A$833,survey_data!$B$2:$B$833,"n/a",0,1)</f>
        <v>-14991.58010352</v>
      </c>
      <c r="N1182" s="2">
        <f>_xlfn.XLOOKUP($F1182,survey_data!$A$2:$A$833,survey_data!$C$2:$C$833,"n/a",0,1)</f>
        <v>-64055.6937358</v>
      </c>
      <c r="O1182" s="23">
        <f>_xlfn.XLOOKUP($F1182,survey_data!$A$2:$A$833,survey_data!$D$2:$D$833,"n/a",0,1)</f>
        <v>73.912954970000001</v>
      </c>
      <c r="P1182" s="1">
        <f t="shared" si="946"/>
        <v>74.875270742267048</v>
      </c>
      <c r="Q1182" s="1">
        <f t="shared" si="907"/>
        <v>8.4198964799998066</v>
      </c>
      <c r="R1182">
        <f t="shared" si="904"/>
        <v>0</v>
      </c>
      <c r="S1182" s="23">
        <f t="shared" si="908"/>
        <v>-1.0870450299999987</v>
      </c>
      <c r="T1182">
        <f>$S1182+測地線補正!$Q$26*(lattice!$N1182/1000)^3+測地線補正!$P$26*(lattice!$N1182/1000)^2+測地線補正!$O$26*(lattice!$N1182/1000)+測地線補正!$N$26</f>
        <v>-0.12472925773295862</v>
      </c>
      <c r="U1182">
        <f t="shared" si="952"/>
        <v>-2.5656834886502963E-4</v>
      </c>
      <c r="V1182">
        <v>0</v>
      </c>
      <c r="W1182">
        <f t="shared" si="953"/>
        <v>-3.1768258291883821E-4</v>
      </c>
      <c r="X1182" t="s">
        <v>3860</v>
      </c>
      <c r="Y1182">
        <f>_xlfn.XLOOKUP($F1182,設計座標!$E$13:$E$2301,設計座標!$L$13:$L$2301," ",0,1)</f>
        <v>300</v>
      </c>
      <c r="Z1182">
        <f>SQRT(($M$1181-$M$1178)^2+($N$1181-$N$1178)^2)</f>
        <v>541.05885494920426</v>
      </c>
      <c r="AA1182">
        <f>_xlfn.XLOOKUP($G1182,magnet_list!$A$2:$A$592,magnet_list!$AJ$2:$AJ$592,"n/a",0,1)</f>
        <v>0.32714527067797677</v>
      </c>
      <c r="AB1182">
        <f>_xlfn.XLOOKUP($G1182,magnet_list!$A$2:$A$592,magnet_list!$L$2:$L$592,"n/a",0,1)</f>
        <v>120</v>
      </c>
    </row>
    <row r="1183" spans="1:28">
      <c r="A1183" t="s">
        <v>797</v>
      </c>
      <c r="B1183">
        <v>2</v>
      </c>
      <c r="C1183" t="s">
        <v>804</v>
      </c>
      <c r="D1183" t="s">
        <v>1152</v>
      </c>
      <c r="E1183" t="s">
        <v>804</v>
      </c>
      <c r="F1183" t="s">
        <v>1603</v>
      </c>
      <c r="G1183" t="s">
        <v>2629</v>
      </c>
      <c r="I1183">
        <f>_xlfn.XLOOKUP($F1183,設計座標!$E$13:$E$2301,設計座標!$G$13:$G$2301,"n/a",0,1)</f>
        <v>328.7864045613689</v>
      </c>
      <c r="J1183">
        <f>_xlfn.XLOOKUP($F1183,設計座標!$E$13:$E$2301,設計座標!$H$13:$H$2301,"n/a",0,1)</f>
        <v>-15000</v>
      </c>
      <c r="K1183">
        <f>_xlfn.XLOOKUP($F1183,設計座標!$E$13:$E$2301,設計座標!$I$13:$I$2301,"n/a",0,1)</f>
        <v>-64324.347095460071</v>
      </c>
      <c r="L1183">
        <f>_xlfn.XLOOKUP($F1183,設計座標!$E$13:$E$2301,設計座標!$J$13:$J$2301,"n/a",0,1)</f>
        <v>-270</v>
      </c>
      <c r="M1183" s="2">
        <f t="shared" si="949"/>
        <v>-14991.393169311021</v>
      </c>
      <c r="N1183" s="2">
        <f t="shared" si="950"/>
        <v>-64324.347095460071</v>
      </c>
      <c r="O1183" s="23">
        <f t="shared" si="951"/>
        <v>-271.13710778556685</v>
      </c>
      <c r="P1183" s="1">
        <f t="shared" si="946"/>
        <v>-270.16722874298779</v>
      </c>
      <c r="Q1183" s="1">
        <f>(Q$1184-Q$1182)/($N$1184-$N$1182)*($N1183-$N$1182)+Q$1182</f>
        <v>8.606830688979997</v>
      </c>
      <c r="R1183">
        <f t="shared" si="904"/>
        <v>0</v>
      </c>
      <c r="S1183" s="23">
        <f>(S$1184-S$1182)/($N$1184-$N$1182)*($N1183-$N$1182)+S$1182</f>
        <v>-1.1371077855668332</v>
      </c>
      <c r="T1183">
        <f>$S1183+測地線補正!$Q$26*(lattice!$N1183/1000)^3+測地線補正!$P$26*(lattice!$N1183/1000)^2+測地線補正!$O$26*(lattice!$N1183/1000)+測地線補正!$N$26</f>
        <v>-0.16722874298781054</v>
      </c>
      <c r="U1183">
        <f>-ATAN(($P$1183-$P$1172)/ABS($N$1183-$N$1172))</f>
        <v>-2.0308123940474707E-5</v>
      </c>
      <c r="V1183">
        <v>0</v>
      </c>
      <c r="W1183">
        <f>ATAN(($M$1183-$M$1172)/ABS($N$1183-$N$1172))</f>
        <v>3.2316261473345187E-5</v>
      </c>
      <c r="X1183" t="s">
        <v>3860</v>
      </c>
      <c r="Y1183">
        <f>_xlfn.XLOOKUP($F1183,設計座標!$E$13:$E$2301,設計座標!$L$13:$L$2301," ",0,1)</f>
        <v>1889.4492</v>
      </c>
      <c r="Z1183">
        <f>SQRT(($M$1178-$M$1177)^2+($N$1178-$N$1177)^2)</f>
        <v>34.607663362790397</v>
      </c>
    </row>
    <row r="1184" spans="1:28">
      <c r="A1184" t="s">
        <v>797</v>
      </c>
      <c r="B1184">
        <v>2</v>
      </c>
      <c r="C1184" t="s">
        <v>805</v>
      </c>
      <c r="D1184" t="s">
        <v>806</v>
      </c>
      <c r="F1184" t="s">
        <v>294</v>
      </c>
      <c r="G1184" t="s">
        <v>2633</v>
      </c>
      <c r="I1184">
        <f>_xlfn.XLOOKUP($F1184,設計座標!$E$13:$E$2301,設計座標!$G$13:$G$2301,"n/a",0,1)</f>
        <v>328.91443292051883</v>
      </c>
      <c r="J1184">
        <f>_xlfn.XLOOKUP($F1184,設計座標!$E$13:$E$2301,設計座標!$H$13:$H$2301,"n/a",0,1)</f>
        <v>-15000</v>
      </c>
      <c r="K1184">
        <f>_xlfn.XLOOKUP($F1184,設計座標!$E$13:$E$2301,設計座標!$I$13:$I$2301,"n/a",0,1)</f>
        <v>-64452.375454610003</v>
      </c>
      <c r="L1184">
        <f>_xlfn.XLOOKUP($F1184,設計座標!$E$13:$E$2301,設計座標!$J$13:$J$2301,"n/a",0,1)</f>
        <v>90</v>
      </c>
      <c r="M1184" s="2">
        <f>_xlfn.XLOOKUP($F1184,survey_data!$A$2:$A$833,survey_data!$B$2:$B$833,"n/a",0,1)</f>
        <v>-14991.304084699999</v>
      </c>
      <c r="N1184" s="2">
        <f>_xlfn.XLOOKUP($F1184,survey_data!$A$2:$A$833,survey_data!$C$2:$C$833,"n/a",0,1)</f>
        <v>-64452.375454610003</v>
      </c>
      <c r="O1184" s="23">
        <f>_xlfn.XLOOKUP($F1184,survey_data!$A$2:$A$833,survey_data!$D$2:$D$833,"n/a",0,1)</f>
        <v>88.839034510000005</v>
      </c>
      <c r="P1184" s="1">
        <f t="shared" si="946"/>
        <v>89.812511143549003</v>
      </c>
      <c r="Q1184" s="1">
        <f t="shared" si="907"/>
        <v>8.6959153000007063</v>
      </c>
      <c r="R1184">
        <f t="shared" si="904"/>
        <v>0</v>
      </c>
      <c r="S1184" s="23">
        <f t="shared" si="908"/>
        <v>-1.1609654899999953</v>
      </c>
      <c r="T1184">
        <f>$S1184+測地線補正!$Q$26*(lattice!$N1184/1000)^3+測地線補正!$P$26*(lattice!$N1184/1000)^2+測地線補正!$O$26*(lattice!$N1184/1000)+測地線補正!$N$26</f>
        <v>-0.18748885645100177</v>
      </c>
      <c r="U1184">
        <f>-ATAN(($P$1186-$P$1184)/ABS($N$1186-$N$1184))</f>
        <v>-1.7411374539075637E-5</v>
      </c>
      <c r="V1184">
        <v>0</v>
      </c>
      <c r="W1184">
        <f>ATAN(($M$1186-$M$1184)/ABS($N$1186-$N$1184))</f>
        <v>-7.3253384948485955E-5</v>
      </c>
      <c r="X1184">
        <f>SQRT(($M$1185-$M$1183)^2+($N$1185-$N$1183)^2)-$Y$1185/2</f>
        <v>118.02587694757273</v>
      </c>
      <c r="Y1184">
        <f>_xlfn.XLOOKUP($F1184,設計座標!$E$13:$E$2301,設計座標!$L$13:$L$2301," ",0,1)</f>
        <v>160</v>
      </c>
      <c r="Z1184">
        <f>SQRT(($M$1185-$M$1181)^2+($N$1185-$N$1181)^2)</f>
        <v>601.69166306827196</v>
      </c>
      <c r="AA1184">
        <f>_xlfn.XLOOKUP($G1184,magnet_list!$A$2:$A$592,magnet_list!$AJ$2:$AJ$592,"n/a",0,1)</f>
        <v>0.17374887133613809</v>
      </c>
      <c r="AB1184">
        <f>_xlfn.XLOOKUP($G1184,magnet_list!$A$2:$A$592,magnet_list!$L$2:$L$592,"n/a",0,1)</f>
        <v>44</v>
      </c>
    </row>
    <row r="1185" spans="1:28">
      <c r="A1185" t="s">
        <v>797</v>
      </c>
      <c r="B1185">
        <v>2</v>
      </c>
      <c r="C1185" t="s">
        <v>805</v>
      </c>
      <c r="D1185" t="s">
        <v>1152</v>
      </c>
      <c r="E1185" t="s">
        <v>804</v>
      </c>
      <c r="F1185" t="s">
        <v>693</v>
      </c>
      <c r="G1185" t="s">
        <v>2633</v>
      </c>
      <c r="I1185">
        <f>_xlfn.XLOOKUP($F1185,設計座標!$E$13:$E$2301,設計座標!$G$13:$G$2301,"n/a",0,1)</f>
        <v>328.98443042051883</v>
      </c>
      <c r="J1185">
        <f>_xlfn.XLOOKUP($F1185,設計座標!$E$13:$E$2301,設計座標!$H$13:$H$2301,"n/a",0,1)</f>
        <v>-15000</v>
      </c>
      <c r="K1185">
        <f>_xlfn.XLOOKUP($F1185,設計座標!$E$13:$E$2301,設計座標!$I$13:$I$2301,"n/a",0,1)</f>
        <v>-64522.37295461</v>
      </c>
      <c r="L1185">
        <f>_xlfn.XLOOKUP($F1185,設計座標!$E$13:$E$2301,設計座標!$J$13:$J$2301,"n/a",0,1)</f>
        <v>90</v>
      </c>
      <c r="M1185" s="2">
        <f t="shared" si="949"/>
        <v>-14991.309212253822</v>
      </c>
      <c r="N1185" s="2">
        <f t="shared" si="950"/>
        <v>-64522.37295461</v>
      </c>
      <c r="O1185" s="23">
        <f t="shared" si="951"/>
        <v>88.83828882108584</v>
      </c>
      <c r="P1185" s="1">
        <f t="shared" si="946"/>
        <v>89.813730545033138</v>
      </c>
      <c r="Q1185" s="1">
        <f>(Q$1186-Q$1184)/($N$1186-$N$1184)*($N1185-$N$1184)+Q$1184</f>
        <v>8.6907877461786036</v>
      </c>
      <c r="R1185">
        <f t="shared" si="904"/>
        <v>0</v>
      </c>
      <c r="S1185" s="23">
        <f>(S$1186-S$1184)/($N$1186-$N$1184)*($N1185-$N$1184)+S$1184</f>
        <v>-1.1617111789141565</v>
      </c>
      <c r="T1185">
        <f>$S1185+測地線補正!$Q$26*(lattice!$N1185/1000)^3+測地線補正!$P$26*(lattice!$N1185/1000)^2+測地線補正!$O$26*(lattice!$N1185/1000)+測地線補正!$N$26</f>
        <v>-0.18626945496685754</v>
      </c>
      <c r="U1185">
        <f t="shared" ref="U1185:U1186" si="954">-ATAN(($P$1186-$P$1184)/ABS($N$1186-$N$1184))</f>
        <v>-1.7411374539075637E-5</v>
      </c>
      <c r="V1185">
        <v>0</v>
      </c>
      <c r="W1185">
        <f t="shared" ref="W1185:W1186" si="955">ATAN(($M$1186-$M$1184)/ABS($N$1186-$N$1184))</f>
        <v>-7.3253384948485955E-5</v>
      </c>
      <c r="X1185">
        <f>SQRT(($M$1185-$M$1183)^2+($N$1185-$N$1183)^2)-$Y$1185/2</f>
        <v>118.02587694757273</v>
      </c>
      <c r="Y1185">
        <f>_xlfn.XLOOKUP($F1185,設計座標!$E$13:$E$2301,設計座標!$L$13:$L$2301," ",0,1)</f>
        <v>160</v>
      </c>
      <c r="Z1185">
        <f>SQRT(($M$1185-$M$1181)^2+($N$1185-$N$1181)^2)</f>
        <v>601.69166306827196</v>
      </c>
      <c r="AA1185">
        <f>_xlfn.XLOOKUP($G1185,magnet_list!$A$2:$A$592,magnet_list!$AJ$2:$AJ$592,"n/a",0,1)</f>
        <v>0.17374887133613809</v>
      </c>
      <c r="AB1185">
        <f>_xlfn.XLOOKUP($G1185,magnet_list!$A$2:$A$592,magnet_list!$L$2:$L$592,"n/a",0,1)</f>
        <v>44</v>
      </c>
    </row>
    <row r="1186" spans="1:28">
      <c r="A1186" t="s">
        <v>797</v>
      </c>
      <c r="B1186">
        <v>2</v>
      </c>
      <c r="C1186" t="s">
        <v>805</v>
      </c>
      <c r="D1186" t="s">
        <v>806</v>
      </c>
      <c r="F1186" t="s">
        <v>295</v>
      </c>
      <c r="G1186" t="s">
        <v>2633</v>
      </c>
      <c r="I1186">
        <f>_xlfn.XLOOKUP($F1186,設計座標!$E$13:$E$2301,設計座標!$G$13:$G$2301,"n/a",0,1)</f>
        <v>329.05442249219885</v>
      </c>
      <c r="J1186">
        <f>_xlfn.XLOOKUP($F1186,設計座標!$E$13:$E$2301,設計座標!$H$13:$H$2301,"n/a",0,1)</f>
        <v>-15000</v>
      </c>
      <c r="K1186">
        <f>_xlfn.XLOOKUP($F1186,設計座標!$E$13:$E$2301,設計座標!$I$13:$I$2301,"n/a",0,1)</f>
        <v>-64592.365026289997</v>
      </c>
      <c r="L1186">
        <f>_xlfn.XLOOKUP($F1186,設計座標!$E$13:$E$2301,設計座標!$J$13:$J$2301,"n/a",0,1)</f>
        <v>90</v>
      </c>
      <c r="M1186" s="2">
        <f>_xlfn.XLOOKUP($F1186,survey_data!$A$2:$A$833,survey_data!$B$2:$B$833,"n/a",0,1)</f>
        <v>-14991.314339410001</v>
      </c>
      <c r="N1186" s="2">
        <f>_xlfn.XLOOKUP($F1186,survey_data!$A$2:$A$833,survey_data!$C$2:$C$833,"n/a",0,1)</f>
        <v>-64592.365026289997</v>
      </c>
      <c r="O1186" s="23">
        <f>_xlfn.XLOOKUP($F1186,survey_data!$A$2:$A$833,survey_data!$D$2:$D$833,"n/a",0,1)</f>
        <v>88.837543190000005</v>
      </c>
      <c r="P1186" s="1">
        <f t="shared" si="946"/>
        <v>89.814948554413334</v>
      </c>
      <c r="Q1186" s="1">
        <f t="shared" si="907"/>
        <v>8.6856605899993156</v>
      </c>
      <c r="R1186">
        <f t="shared" si="904"/>
        <v>0</v>
      </c>
      <c r="S1186" s="23">
        <f t="shared" si="908"/>
        <v>-1.1624568099999948</v>
      </c>
      <c r="T1186">
        <f>$S1186+測地線補正!$Q$26*(lattice!$N1186/1000)^3+測地線補正!$P$26*(lattice!$N1186/1000)^2+測地線補正!$O$26*(lattice!$N1186/1000)+測地線補正!$N$26</f>
        <v>-0.18505144558667141</v>
      </c>
      <c r="U1186">
        <f t="shared" si="954"/>
        <v>-1.7411374539075637E-5</v>
      </c>
      <c r="V1186">
        <v>0</v>
      </c>
      <c r="W1186">
        <f t="shared" si="955"/>
        <v>-7.3253384948485955E-5</v>
      </c>
      <c r="X1186">
        <f>SQRT(($M$1185-$M$1183)^2+($N$1185-$N$1183)^2)-$Y$1185/2</f>
        <v>118.02587694757273</v>
      </c>
      <c r="Y1186">
        <f>_xlfn.XLOOKUP($F1186,設計座標!$E$13:$E$2301,設計座標!$L$13:$L$2301," ",0,1)</f>
        <v>160</v>
      </c>
      <c r="Z1186">
        <f>SQRT(($M$1185-$M$1181)^2+($N$1185-$N$1181)^2)</f>
        <v>601.69166306827196</v>
      </c>
      <c r="AA1186">
        <f>_xlfn.XLOOKUP($G1186,magnet_list!$A$2:$A$592,magnet_list!$AJ$2:$AJ$592,"n/a",0,1)</f>
        <v>0.17374887133613809</v>
      </c>
      <c r="AB1186">
        <f>_xlfn.XLOOKUP($G1186,magnet_list!$A$2:$A$592,magnet_list!$L$2:$L$592,"n/a",0,1)</f>
        <v>44</v>
      </c>
    </row>
    <row r="1187" spans="1:28">
      <c r="A1187" t="s">
        <v>797</v>
      </c>
      <c r="B1187">
        <v>2</v>
      </c>
      <c r="C1187" t="s">
        <v>804</v>
      </c>
      <c r="D1187" t="s">
        <v>1152</v>
      </c>
      <c r="E1187" t="s">
        <v>804</v>
      </c>
      <c r="F1187" t="s">
        <v>1604</v>
      </c>
      <c r="G1187" t="s">
        <v>2634</v>
      </c>
      <c r="I1187">
        <f>_xlfn.XLOOKUP($F1187,設計座標!$E$13:$E$2301,設計座標!$G$13:$G$2301,"n/a",0,1)</f>
        <v>329.28500836136885</v>
      </c>
      <c r="J1187">
        <f>_xlfn.XLOOKUP($F1187,設計座標!$E$13:$E$2301,設計座標!$H$13:$H$2301,"n/a",0,1)</f>
        <v>-15000</v>
      </c>
      <c r="K1187">
        <f>_xlfn.XLOOKUP($F1187,設計座標!$E$13:$E$2301,設計座標!$I$13:$I$2301,"n/a",0,1)</f>
        <v>-64822.950895460075</v>
      </c>
      <c r="L1187">
        <f>_xlfn.XLOOKUP($F1187,設計座標!$E$13:$E$2301,設計座標!$J$13:$J$2301,"n/a",0,1)</f>
        <v>-270</v>
      </c>
      <c r="M1187" s="2">
        <f t="shared" si="949"/>
        <v>-14991.168978635198</v>
      </c>
      <c r="N1187" s="2">
        <f t="shared" si="950"/>
        <v>-64822.950895460075</v>
      </c>
      <c r="O1187" s="23">
        <f t="shared" si="951"/>
        <v>-271.14504181151437</v>
      </c>
      <c r="P1187" s="1">
        <f t="shared" si="946"/>
        <v>-270.16117649294796</v>
      </c>
      <c r="Q1187" s="1">
        <f>(Q$1188-Q$1186)/($N$1188-$N$1186)*($N1187-$N$1186)+Q$1186</f>
        <v>8.8310213648014493</v>
      </c>
      <c r="R1187">
        <f t="shared" si="904"/>
        <v>0</v>
      </c>
      <c r="S1187" s="23">
        <f>(S$1188-S$1186)/($N$1188-$N$1186)*($N1187-$N$1186)+S$1186</f>
        <v>-1.1450418115143923</v>
      </c>
      <c r="T1187">
        <f>$S1187+測地線補正!$Q$26*(lattice!$N1187/1000)^3+測地線補正!$P$26*(lattice!$N1187/1000)^2+測地線補正!$O$26*(lattice!$N1187/1000)+測地線補正!$N$26</f>
        <v>-0.16117649294796799</v>
      </c>
      <c r="U1187">
        <f>-ATAN(($P$1198-$P$1187)/ABS($N$1198-$N$1187))</f>
        <v>3.5300636420284728E-5</v>
      </c>
      <c r="V1187">
        <v>0</v>
      </c>
      <c r="W1187">
        <f>ATAN(($M$1198-$M$1187)/ABS($N$1198-$N$1187))</f>
        <v>1.6655323522003163E-6</v>
      </c>
      <c r="X1187">
        <f>SQRT(($M$1187-$M$1185)^2+($N$1187-$N$1185)^2)-$Y$1185/2</f>
        <v>220.57797356283254</v>
      </c>
      <c r="Y1187">
        <f>_xlfn.XLOOKUP($F1187,設計座標!$E$13:$E$2301,設計座標!$L$13:$L$2301," ",0,1)</f>
        <v>1889.4492</v>
      </c>
      <c r="Z1187">
        <f>SQRT(($M$1193-$M$1192)^2+($N$1193-$N$1192)^2)</f>
        <v>37.835045970985391</v>
      </c>
    </row>
    <row r="1188" spans="1:28">
      <c r="A1188" t="s">
        <v>797</v>
      </c>
      <c r="B1188">
        <v>2</v>
      </c>
      <c r="C1188" t="s">
        <v>805</v>
      </c>
      <c r="D1188" t="s">
        <v>806</v>
      </c>
      <c r="F1188" t="s">
        <v>296</v>
      </c>
      <c r="G1188" t="s">
        <v>2635</v>
      </c>
      <c r="I1188">
        <f>_xlfn.XLOOKUP($F1188,設計座標!$E$13:$E$2301,設計座標!$G$13:$G$2301,"n/a",0,1)</f>
        <v>329.45861472978879</v>
      </c>
      <c r="J1188">
        <f>_xlfn.XLOOKUP($F1188,設計座標!$E$13:$E$2301,設計座標!$H$13:$H$2301,"n/a",0,1)</f>
        <v>-15000</v>
      </c>
      <c r="K1188">
        <f>_xlfn.XLOOKUP($F1188,設計座標!$E$13:$E$2301,設計座標!$I$13:$I$2301,"n/a",0,1)</f>
        <v>-64996.55726388</v>
      </c>
      <c r="L1188">
        <f>_xlfn.XLOOKUP($F1188,設計座標!$E$13:$E$2301,設計座標!$J$13:$J$2301,"n/a",0,1)</f>
        <v>75</v>
      </c>
      <c r="M1188" s="2">
        <f>_xlfn.XLOOKUP($F1188,survey_data!$A$2:$A$833,survey_data!$B$2:$B$833,"n/a",0,1)</f>
        <v>-14991.0595376</v>
      </c>
      <c r="N1188" s="2">
        <f>_xlfn.XLOOKUP($F1188,survey_data!$A$2:$A$833,survey_data!$C$2:$C$833,"n/a",0,1)</f>
        <v>-64996.55726388</v>
      </c>
      <c r="O1188" s="23">
        <f>_xlfn.XLOOKUP($F1188,survey_data!$A$2:$A$833,survey_data!$D$2:$D$833,"n/a",0,1)</f>
        <v>73.868069809999994</v>
      </c>
      <c r="P1188" s="1">
        <f t="shared" si="946"/>
        <v>74.856789495119514</v>
      </c>
      <c r="Q1188" s="1">
        <f t="shared" si="907"/>
        <v>8.9404623999998876</v>
      </c>
      <c r="R1188">
        <f t="shared" si="904"/>
        <v>0</v>
      </c>
      <c r="S1188" s="23">
        <f t="shared" si="908"/>
        <v>-1.1319301900000056</v>
      </c>
      <c r="T1188">
        <f>$S1188+測地線補正!$Q$26*(lattice!$N1188/1000)^3+測地線補正!$P$26*(lattice!$N1188/1000)^2+測地線補正!$O$26*(lattice!$N1188/1000)+測地線補正!$N$26</f>
        <v>-0.14321050488048725</v>
      </c>
      <c r="U1188">
        <f>-ATAN(($P$1190-$P$1188)/ABS($N$1190-$N$1188))</f>
        <v>-9.5897311968899153E-5</v>
      </c>
      <c r="V1188">
        <v>0</v>
      </c>
      <c r="W1188">
        <f>ATAN(($M$1190-$M$1188)/ABS($N$1190-$N$1188))</f>
        <v>-2.1868236881653408E-4</v>
      </c>
      <c r="X1188" t="s">
        <v>3860</v>
      </c>
      <c r="Y1188">
        <f>_xlfn.XLOOKUP($F1188,設計座標!$E$13:$E$2301,設計座標!$L$13:$L$2301," ",0,1)</f>
        <v>300</v>
      </c>
      <c r="Z1188">
        <f>SQRT(($M$1189-$M$1185)^2+($N$1189-$N$1185)^2)</f>
        <v>609.17834905122731</v>
      </c>
      <c r="AA1188">
        <f>_xlfn.XLOOKUP($G1188,magnet_list!$A$2:$A$592,magnet_list!$AJ$2:$AJ$592,"n/a",0,1)</f>
        <v>0.32714527067797677</v>
      </c>
      <c r="AB1188">
        <f>_xlfn.XLOOKUP($G1188,magnet_list!$A$2:$A$592,magnet_list!$L$2:$L$592,"n/a",0,1)</f>
        <v>120</v>
      </c>
    </row>
    <row r="1189" spans="1:28">
      <c r="A1189" t="s">
        <v>797</v>
      </c>
      <c r="B1189">
        <v>2</v>
      </c>
      <c r="C1189" t="s">
        <v>805</v>
      </c>
      <c r="D1189" t="s">
        <v>1152</v>
      </c>
      <c r="E1189" t="s">
        <v>804</v>
      </c>
      <c r="F1189" t="s">
        <v>694</v>
      </c>
      <c r="G1189" t="s">
        <v>2635</v>
      </c>
      <c r="I1189">
        <f>_xlfn.XLOOKUP($F1189,設計座標!$E$13:$E$2301,設計座標!$G$13:$G$2301,"n/a",0,1)</f>
        <v>329.5936087297888</v>
      </c>
      <c r="J1189">
        <f>_xlfn.XLOOKUP($F1189,設計座標!$E$13:$E$2301,設計座標!$H$13:$H$2301,"n/a",0,1)</f>
        <v>-15000</v>
      </c>
      <c r="K1189">
        <f>_xlfn.XLOOKUP($F1189,設計座標!$E$13:$E$2301,設計座標!$I$13:$I$2301,"n/a",0,1)</f>
        <v>-65131.551263880006</v>
      </c>
      <c r="L1189">
        <f>_xlfn.XLOOKUP($F1189,設計座標!$E$13:$E$2301,設計座標!$J$13:$J$2301,"n/a",0,1)</f>
        <v>75</v>
      </c>
      <c r="M1189" s="2">
        <f t="shared" si="949"/>
        <v>-14991.089058408166</v>
      </c>
      <c r="N1189" s="2">
        <f t="shared" si="950"/>
        <v>-65131.551263880006</v>
      </c>
      <c r="O1189" s="23">
        <f t="shared" si="951"/>
        <v>73.87724859829963</v>
      </c>
      <c r="P1189" s="1">
        <f t="shared" si="946"/>
        <v>74.86973746522817</v>
      </c>
      <c r="Q1189" s="1">
        <f>(Q$1190-Q$1188)/($N$1190-$N$1188)*($N1189-$N$1188)+Q$1188</f>
        <v>8.9109415918332857</v>
      </c>
      <c r="R1189">
        <f t="shared" si="904"/>
        <v>0</v>
      </c>
      <c r="S1189" s="23">
        <f>(S$1190-S$1188)/($N$1190-$N$1188)*($N1189-$N$1188)+S$1188</f>
        <v>-1.1227514017003741</v>
      </c>
      <c r="T1189">
        <f>$S1189+測地線補正!$Q$26*(lattice!$N1189/1000)^3+測地線補正!$P$26*(lattice!$N1189/1000)^2+測地線補正!$O$26*(lattice!$N1189/1000)+測地線補正!$N$26</f>
        <v>-0.13026253477182714</v>
      </c>
      <c r="U1189">
        <f t="shared" ref="U1189:U1190" si="956">-ATAN(($P$1190-$P$1188)/ABS($N$1190-$N$1188))</f>
        <v>-9.5897311968899153E-5</v>
      </c>
      <c r="V1189">
        <v>0</v>
      </c>
      <c r="W1189">
        <f t="shared" ref="W1189:W1190" si="957">ATAN(($M$1190-$M$1188)/ABS($N$1190-$N$1188))</f>
        <v>-2.1868236881653408E-4</v>
      </c>
      <c r="X1189" t="s">
        <v>3860</v>
      </c>
      <c r="Y1189">
        <f>_xlfn.XLOOKUP($F1189,設計座標!$E$13:$E$2301,設計座標!$L$13:$L$2301," ",0,1)</f>
        <v>300</v>
      </c>
      <c r="Z1189">
        <f>SQRT(($M$1189-$M$1185)^2+($N$1189-$N$1185)^2)</f>
        <v>609.17834905122731</v>
      </c>
      <c r="AA1189">
        <f>_xlfn.XLOOKUP($G1189,magnet_list!$A$2:$A$592,magnet_list!$AJ$2:$AJ$592,"n/a",0,1)</f>
        <v>0.32714527067797677</v>
      </c>
      <c r="AB1189">
        <f>_xlfn.XLOOKUP($G1189,magnet_list!$A$2:$A$592,magnet_list!$L$2:$L$592,"n/a",0,1)</f>
        <v>120</v>
      </c>
    </row>
    <row r="1190" spans="1:28">
      <c r="A1190" t="s">
        <v>797</v>
      </c>
      <c r="B1190">
        <v>2</v>
      </c>
      <c r="C1190" t="s">
        <v>805</v>
      </c>
      <c r="D1190" t="s">
        <v>806</v>
      </c>
      <c r="F1190" t="s">
        <v>297</v>
      </c>
      <c r="G1190" t="s">
        <v>2635</v>
      </c>
      <c r="I1190">
        <f>_xlfn.XLOOKUP($F1190,設計座標!$E$13:$E$2301,設計座標!$G$13:$G$2301,"n/a",0,1)</f>
        <v>329.72857983661879</v>
      </c>
      <c r="J1190">
        <f>_xlfn.XLOOKUP($F1190,設計座標!$E$13:$E$2301,設計座標!$H$13:$H$2301,"n/a",0,1)</f>
        <v>-15000</v>
      </c>
      <c r="K1190">
        <f>_xlfn.XLOOKUP($F1190,設計座標!$E$13:$E$2301,設計座標!$I$13:$I$2301,"n/a",0,1)</f>
        <v>-65266.522370710001</v>
      </c>
      <c r="L1190">
        <f>_xlfn.XLOOKUP($F1190,設計座標!$E$13:$E$2301,設計座標!$J$13:$J$2301,"n/a",0,1)</f>
        <v>75</v>
      </c>
      <c r="M1190" s="2">
        <f>_xlfn.XLOOKUP($F1190,survey_data!$A$2:$A$833,survey_data!$B$2:$B$833,"n/a",0,1)</f>
        <v>-14991.118574210001</v>
      </c>
      <c r="N1190" s="2">
        <f>_xlfn.XLOOKUP($F1190,survey_data!$A$2:$A$833,survey_data!$C$2:$C$833,"n/a",0,1)</f>
        <v>-65266.522370710001</v>
      </c>
      <c r="O1190" s="23">
        <f>_xlfn.XLOOKUP($F1190,survey_data!$A$2:$A$833,survey_data!$D$2:$D$833,"n/a",0,1)</f>
        <v>73.886425829999993</v>
      </c>
      <c r="P1190" s="1">
        <f t="shared" si="946"/>
        <v>74.882678423269269</v>
      </c>
      <c r="Q1190" s="1">
        <f t="shared" si="907"/>
        <v>8.8814257899994118</v>
      </c>
      <c r="R1190">
        <f t="shared" si="904"/>
        <v>0</v>
      </c>
      <c r="S1190" s="23">
        <f t="shared" si="908"/>
        <v>-1.1135741700000068</v>
      </c>
      <c r="T1190">
        <f>$S1190+測地線補正!$Q$26*(lattice!$N1190/1000)^3+測地線補正!$P$26*(lattice!$N1190/1000)^2+測地線補正!$O$26*(lattice!$N1190/1000)+測地線補正!$N$26</f>
        <v>-0.11732157673072741</v>
      </c>
      <c r="U1190">
        <f t="shared" si="956"/>
        <v>-9.5897311968899153E-5</v>
      </c>
      <c r="V1190">
        <v>0</v>
      </c>
      <c r="W1190">
        <f t="shared" si="957"/>
        <v>-2.1868236881653408E-4</v>
      </c>
      <c r="X1190" t="s">
        <v>3860</v>
      </c>
      <c r="Y1190">
        <f>_xlfn.XLOOKUP($F1190,設計座標!$E$13:$E$2301,設計座標!$L$13:$L$2301," ",0,1)</f>
        <v>300</v>
      </c>
      <c r="Z1190">
        <f>SQRT(($M$1189-$M$1185)^2+($N$1189-$N$1185)^2)</f>
        <v>609.17834905122731</v>
      </c>
      <c r="AA1190">
        <f>_xlfn.XLOOKUP($G1190,magnet_list!$A$2:$A$592,magnet_list!$AJ$2:$AJ$592,"n/a",0,1)</f>
        <v>0.32714527067797677</v>
      </c>
      <c r="AB1190">
        <f>_xlfn.XLOOKUP($G1190,magnet_list!$A$2:$A$592,magnet_list!$L$2:$L$592,"n/a",0,1)</f>
        <v>120</v>
      </c>
    </row>
    <row r="1191" spans="1:28">
      <c r="A1191" t="s">
        <v>797</v>
      </c>
      <c r="B1191">
        <v>2</v>
      </c>
      <c r="C1191" t="s">
        <v>805</v>
      </c>
      <c r="D1191" t="s">
        <v>806</v>
      </c>
      <c r="F1191" t="s">
        <v>298</v>
      </c>
      <c r="G1191" t="s">
        <v>2636</v>
      </c>
      <c r="I1191">
        <f>_xlfn.XLOOKUP($F1191,設計座標!$E$13:$E$2301,設計座標!$G$13:$G$2301,"n/a",0,1)</f>
        <v>330.05690391555879</v>
      </c>
      <c r="J1191">
        <f>_xlfn.XLOOKUP($F1191,設計座標!$E$13:$E$2301,設計座標!$H$13:$H$2301,"n/a",0,1)</f>
        <v>-15000</v>
      </c>
      <c r="K1191">
        <f>_xlfn.XLOOKUP($F1191,設計座標!$E$13:$E$2301,設計座標!$I$13:$I$2301,"n/a",0,1)</f>
        <v>-65594.846449649995</v>
      </c>
      <c r="L1191">
        <f>_xlfn.XLOOKUP($F1191,設計座標!$E$13:$E$2301,設計座標!$J$13:$J$2301,"n/a",0,1)</f>
        <v>75</v>
      </c>
      <c r="M1191" s="2">
        <f>_xlfn.XLOOKUP($F1191,survey_data!$A$2:$A$833,survey_data!$B$2:$B$833,"n/a",0,1)</f>
        <v>-14991.30694275</v>
      </c>
      <c r="N1191" s="2">
        <f>_xlfn.XLOOKUP($F1191,survey_data!$A$2:$A$833,survey_data!$C$2:$C$833,"n/a",0,1)</f>
        <v>-65594.846449649995</v>
      </c>
      <c r="O1191" s="23">
        <f>_xlfn.XLOOKUP($F1191,survey_data!$A$2:$A$833,survey_data!$D$2:$D$833,"n/a",0,1)</f>
        <v>73.817308800000006</v>
      </c>
      <c r="P1191" s="1">
        <f t="shared" si="946"/>
        <v>74.822696755425369</v>
      </c>
      <c r="Q1191" s="1">
        <f t="shared" si="907"/>
        <v>8.6930572500004928</v>
      </c>
      <c r="R1191">
        <f t="shared" si="904"/>
        <v>0</v>
      </c>
      <c r="S1191" s="23">
        <f t="shared" si="908"/>
        <v>-1.1826911999999936</v>
      </c>
      <c r="T1191">
        <f>$S1191+測地線補正!$Q$26*(lattice!$N1191/1000)^3+測地線補正!$P$26*(lattice!$N1191/1000)^2+測地線補正!$O$26*(lattice!$N1191/1000)+測地線補正!$N$26</f>
        <v>-0.17730324457462654</v>
      </c>
      <c r="U1191">
        <f>-ATAN(($P$1194-$P$1191)/ABS($N$1194-$N$1191))</f>
        <v>7.2009027542537242E-5</v>
      </c>
      <c r="V1191">
        <v>0</v>
      </c>
      <c r="W1191">
        <f>ATAN(($M$1194-$M$1191)/ABS($N$1194-$N$1191))</f>
        <v>-9.2227151453776722E-5</v>
      </c>
      <c r="X1191" t="s">
        <v>3860</v>
      </c>
      <c r="Y1191">
        <f>_xlfn.XLOOKUP($F1191,設計座標!$E$13:$E$2301,設計座標!$L$13:$L$2301," ",0,1)</f>
        <v>300</v>
      </c>
      <c r="Z1191">
        <f>SQRT(($M$1192-$M$1189)^2+($N$1192-$N$1189)^2)</f>
        <v>598.28923010805011</v>
      </c>
      <c r="AA1191">
        <f>_xlfn.XLOOKUP($G1191,magnet_list!$A$2:$A$592,magnet_list!$AJ$2:$AJ$592,"n/a",0,1)</f>
        <v>0.32714527067797677</v>
      </c>
      <c r="AB1191">
        <f>_xlfn.XLOOKUP($G1191,magnet_list!$A$2:$A$592,magnet_list!$L$2:$L$592,"n/a",0,1)</f>
        <v>120</v>
      </c>
    </row>
    <row r="1192" spans="1:28">
      <c r="A1192" t="s">
        <v>797</v>
      </c>
      <c r="B1192">
        <v>2</v>
      </c>
      <c r="C1192" t="s">
        <v>805</v>
      </c>
      <c r="D1192" t="s">
        <v>1152</v>
      </c>
      <c r="E1192" t="s">
        <v>804</v>
      </c>
      <c r="F1192" t="s">
        <v>695</v>
      </c>
      <c r="G1192" t="s">
        <v>2636</v>
      </c>
      <c r="I1192">
        <f>_xlfn.XLOOKUP($F1192,設計座標!$E$13:$E$2301,設計座標!$G$13:$G$2301,"n/a",0,1)</f>
        <v>330.1918979155588</v>
      </c>
      <c r="J1192">
        <f>_xlfn.XLOOKUP($F1192,設計座標!$E$13:$E$2301,設計座標!$H$13:$H$2301,"n/a",0,1)</f>
        <v>-15000</v>
      </c>
      <c r="K1192">
        <f>_xlfn.XLOOKUP($F1192,設計座標!$E$13:$E$2301,設計座標!$I$13:$I$2301,"n/a",0,1)</f>
        <v>-65729.840449650001</v>
      </c>
      <c r="L1192">
        <f>_xlfn.XLOOKUP($F1192,設計座標!$E$13:$E$2301,設計座標!$J$13:$J$2301,"n/a",0,1)</f>
        <v>75</v>
      </c>
      <c r="M1192" s="2">
        <f t="shared" ref="M1192:M1193" si="958">$J1192+$Q1192</f>
        <v>-14991.319392862119</v>
      </c>
      <c r="N1192" s="2">
        <f t="shared" ref="N1192:N1193" si="959">$K1192</f>
        <v>-65729.840449650001</v>
      </c>
      <c r="O1192" s="23">
        <f t="shared" ref="O1192:O1193" si="960">$L1192+$S1192</f>
        <v>73.803842572072853</v>
      </c>
      <c r="P1192" s="1">
        <f t="shared" si="946"/>
        <v>74.81297837356874</v>
      </c>
      <c r="Q1192" s="1">
        <f>(Q$1194-Q$1191)/($N$1194-$N$1191)*($N1192-$N$1191)+Q$1191</f>
        <v>8.6806071378818412</v>
      </c>
      <c r="R1192">
        <f t="shared" si="904"/>
        <v>0</v>
      </c>
      <c r="S1192" s="23">
        <f t="shared" ref="S1192:S1193" si="961">(S$1194-S$1191)/($N$1194-$N$1191)*($N1192-$N$1191)+S$1191</f>
        <v>-1.1961574279271465</v>
      </c>
      <c r="T1192">
        <f>$S1192+測地線補正!$Q$26*(lattice!$N1192/1000)^3+測地線補正!$P$26*(lattice!$N1192/1000)^2+測地線補正!$O$26*(lattice!$N1192/1000)+測地線補正!$N$26</f>
        <v>-0.18702162643126585</v>
      </c>
      <c r="U1192">
        <f t="shared" ref="U1192" si="962">-ATAN(($P$1194-$P$1191)/ABS($N$1194-$N$1191))</f>
        <v>7.2009027542537242E-5</v>
      </c>
      <c r="V1192">
        <v>0</v>
      </c>
      <c r="W1192">
        <f>ATAN(($M$1194-$M$1191)/ABS($N$1194-$N$1191))</f>
        <v>-9.2227151453776722E-5</v>
      </c>
      <c r="X1192" t="s">
        <v>3860</v>
      </c>
      <c r="Y1192">
        <f>_xlfn.XLOOKUP($F1192,設計座標!$E$13:$E$2301,設計座標!$L$13:$L$2301," ",0,1)</f>
        <v>300</v>
      </c>
      <c r="Z1192">
        <f>SQRT(($M$1192-$M$1189)^2+($N$1192-$N$1189)^2)</f>
        <v>598.28923010805011</v>
      </c>
      <c r="AA1192">
        <f>_xlfn.XLOOKUP($G1192,magnet_list!$A$2:$A$592,magnet_list!$AJ$2:$AJ$592,"n/a",0,1)</f>
        <v>0.32714527067797677</v>
      </c>
      <c r="AB1192">
        <f>_xlfn.XLOOKUP($G1192,magnet_list!$A$2:$A$592,magnet_list!$L$2:$L$592,"n/a",0,1)</f>
        <v>120</v>
      </c>
    </row>
    <row r="1193" spans="1:28">
      <c r="A1193" t="s">
        <v>797</v>
      </c>
      <c r="B1193">
        <v>2</v>
      </c>
      <c r="C1193" t="s">
        <v>804</v>
      </c>
      <c r="D1193" t="s">
        <v>1152</v>
      </c>
      <c r="E1193" t="s">
        <v>804</v>
      </c>
      <c r="F1193" t="s">
        <v>1356</v>
      </c>
      <c r="G1193" t="s">
        <v>2634</v>
      </c>
      <c r="I1193">
        <f>_xlfn.XLOOKUP($F1193,設計座標!$E$13:$E$2301,設計座標!$G$13:$G$2301,"n/a",0,1)</f>
        <v>330.22973296136888</v>
      </c>
      <c r="J1193">
        <f>_xlfn.XLOOKUP($F1193,設計座標!$E$13:$E$2301,設計座標!$H$13:$H$2301,"n/a",0,1)</f>
        <v>-15000</v>
      </c>
      <c r="K1193">
        <f>_xlfn.XLOOKUP($F1193,設計座標!$E$13:$E$2301,設計座標!$I$13:$I$2301,"n/a",0,1)</f>
        <v>-65767.675495460076</v>
      </c>
      <c r="L1193">
        <f>_xlfn.XLOOKUP($F1193,設計座標!$E$13:$E$2301,設計座標!$J$13:$J$2301,"n/a",0,1)</f>
        <v>-270</v>
      </c>
      <c r="M1193" s="2">
        <f t="shared" si="958"/>
        <v>-14991.322882280629</v>
      </c>
      <c r="N1193" s="2">
        <f t="shared" si="959"/>
        <v>-65767.675495460076</v>
      </c>
      <c r="O1193" s="23">
        <f t="shared" si="960"/>
        <v>-271.19993163530313</v>
      </c>
      <c r="P1193" s="1">
        <f t="shared" si="946"/>
        <v>-270.18974628009738</v>
      </c>
      <c r="Q1193" s="1">
        <f>(Q$1194-Q$1191)/($N$1194-$N$1191)*($N1193-$N$1191)+Q$1191</f>
        <v>8.6771177193717612</v>
      </c>
      <c r="R1193">
        <f t="shared" si="904"/>
        <v>0</v>
      </c>
      <c r="S1193" s="23">
        <f t="shared" si="961"/>
        <v>-1.1999316353031242</v>
      </c>
      <c r="T1193">
        <f>$S1193+測地線補正!$Q$26*(lattice!$N1193/1000)^3+測地線補正!$P$26*(lattice!$N1193/1000)^2+測地線補正!$O$26*(lattice!$N1193/1000)+測地線補正!$N$26</f>
        <v>-0.18974628009737171</v>
      </c>
      <c r="U1193">
        <f>-ATAN(($P$1198-$P$1187)/ABS($N$1198-$N$1187))</f>
        <v>3.5300636420284728E-5</v>
      </c>
      <c r="V1193">
        <v>0</v>
      </c>
      <c r="W1193">
        <f>ATAN(($M$1198-$M$1187)/ABS($N$1198-$N$1187))</f>
        <v>1.6655323522003163E-6</v>
      </c>
      <c r="X1193" t="s">
        <v>3860</v>
      </c>
      <c r="Y1193">
        <f>_xlfn.XLOOKUP($F1193,設計座標!$E$13:$E$2301,設計座標!$L$13:$L$2301," ",0,1)</f>
        <v>1889.4492</v>
      </c>
      <c r="Z1193">
        <f>SQRT(($M$1193-$M$1192)^2+($N$1193-$N$1192)^2)</f>
        <v>37.835045970985391</v>
      </c>
    </row>
    <row r="1194" spans="1:28">
      <c r="A1194" t="s">
        <v>797</v>
      </c>
      <c r="B1194">
        <v>2</v>
      </c>
      <c r="C1194" t="s">
        <v>805</v>
      </c>
      <c r="D1194" t="s">
        <v>806</v>
      </c>
      <c r="F1194" t="s">
        <v>299</v>
      </c>
      <c r="G1194" t="s">
        <v>2636</v>
      </c>
      <c r="I1194">
        <f>_xlfn.XLOOKUP($F1194,設計座標!$E$13:$E$2301,設計座標!$G$13:$G$2301,"n/a",0,1)</f>
        <v>330.32692092830882</v>
      </c>
      <c r="J1194">
        <f>_xlfn.XLOOKUP($F1194,設計座標!$E$13:$E$2301,設計座標!$H$13:$H$2301,"n/a",0,1)</f>
        <v>-15000</v>
      </c>
      <c r="K1194">
        <f>_xlfn.XLOOKUP($F1194,設計座標!$E$13:$E$2301,設計座標!$I$13:$I$2301,"n/a",0,1)</f>
        <v>-65864.863462399997</v>
      </c>
      <c r="L1194">
        <f>_xlfn.XLOOKUP($F1194,設計座標!$E$13:$E$2301,設計座標!$J$13:$J$2301,"n/a",0,1)</f>
        <v>75</v>
      </c>
      <c r="M1194" s="2">
        <f>_xlfn.XLOOKUP($F1194,survey_data!$A$2:$A$833,survey_data!$B$2:$B$833,"n/a",0,1)</f>
        <v>-14991.33184565</v>
      </c>
      <c r="N1194" s="2">
        <f>_xlfn.XLOOKUP($F1194,survey_data!$A$2:$A$833,survey_data!$C$2:$C$833,"n/a",0,1)</f>
        <v>-65864.863462399997</v>
      </c>
      <c r="O1194" s="23">
        <f>_xlfn.XLOOKUP($F1194,survey_data!$A$2:$A$833,survey_data!$D$2:$D$833,"n/a",0,1)</f>
        <v>73.790373450000004</v>
      </c>
      <c r="P1194" s="1">
        <f t="shared" si="946"/>
        <v>74.803253092883693</v>
      </c>
      <c r="Q1194" s="1">
        <f t="shared" si="907"/>
        <v>8.6681543499998952</v>
      </c>
      <c r="R1194">
        <f t="shared" si="904"/>
        <v>0</v>
      </c>
      <c r="S1194" s="23">
        <f t="shared" si="908"/>
        <v>-1.2096265499999959</v>
      </c>
      <c r="T1194">
        <f>$S1194+測地線補正!$Q$26*(lattice!$N1194/1000)^3+測地線補正!$P$26*(lattice!$N1194/1000)^2+測地線補正!$O$26*(lattice!$N1194/1000)+測地線補正!$N$26</f>
        <v>-0.19674690711630283</v>
      </c>
      <c r="U1194">
        <f>-ATAN(($P$1194-$P$1191)/ABS($N$1194-$N$1191))</f>
        <v>7.2009027542537242E-5</v>
      </c>
      <c r="V1194">
        <v>0</v>
      </c>
      <c r="W1194">
        <f>ATAN(($M$1194-$M$1191)/ABS($N$1194-$N$1191))</f>
        <v>-9.2227151453776722E-5</v>
      </c>
      <c r="X1194" t="s">
        <v>3860</v>
      </c>
      <c r="Y1194">
        <f>_xlfn.XLOOKUP($F1194,設計座標!$E$13:$E$2301,設計座標!$L$13:$L$2301," ",0,1)</f>
        <v>300</v>
      </c>
      <c r="Z1194">
        <f>SQRT(($M$1192-$M$1189)^2+($N$1192-$N$1189)^2)</f>
        <v>598.28923010805011</v>
      </c>
      <c r="AA1194">
        <f>_xlfn.XLOOKUP($G1194,magnet_list!$A$2:$A$592,magnet_list!$AJ$2:$AJ$592,"n/a",0,1)</f>
        <v>0.32714527067797677</v>
      </c>
      <c r="AB1194">
        <f>_xlfn.XLOOKUP($G1194,magnet_list!$A$2:$A$592,magnet_list!$L$2:$L$592,"n/a",0,1)</f>
        <v>120</v>
      </c>
    </row>
    <row r="1195" spans="1:28">
      <c r="A1195" t="s">
        <v>797</v>
      </c>
      <c r="B1195">
        <v>2</v>
      </c>
      <c r="C1195" t="s">
        <v>805</v>
      </c>
      <c r="D1195" t="s">
        <v>806</v>
      </c>
      <c r="F1195" t="s">
        <v>300</v>
      </c>
      <c r="G1195" t="s">
        <v>2637</v>
      </c>
      <c r="I1195">
        <f>_xlfn.XLOOKUP($F1195,設計座標!$E$13:$E$2301,設計座標!$G$13:$G$2301,"n/a",0,1)</f>
        <v>330.6422359285188</v>
      </c>
      <c r="J1195">
        <f>_xlfn.XLOOKUP($F1195,設計座標!$E$13:$E$2301,設計座標!$H$13:$H$2301,"n/a",0,1)</f>
        <v>-15000</v>
      </c>
      <c r="K1195">
        <f>_xlfn.XLOOKUP($F1195,設計座標!$E$13:$E$2301,設計座標!$I$13:$I$2301,"n/a",0,1)</f>
        <v>-66180.178462609998</v>
      </c>
      <c r="L1195">
        <f>_xlfn.XLOOKUP($F1195,設計座標!$E$13:$E$2301,設計座標!$J$13:$J$2301,"n/a",0,1)</f>
        <v>75</v>
      </c>
      <c r="M1195" s="2">
        <f>_xlfn.XLOOKUP($F1195,survey_data!$A$2:$A$833,survey_data!$B$2:$B$833,"n/a",0,1)</f>
        <v>-14991.270241599999</v>
      </c>
      <c r="N1195" s="2">
        <f>_xlfn.XLOOKUP($F1195,survey_data!$A$2:$A$833,survey_data!$C$2:$C$833,"n/a",0,1)</f>
        <v>-66180.178462609998</v>
      </c>
      <c r="O1195" s="23">
        <f>_xlfn.XLOOKUP($F1195,survey_data!$A$2:$A$833,survey_data!$D$2:$D$833,"n/a",0,1)</f>
        <v>73.81967985</v>
      </c>
      <c r="P1195" s="1">
        <f t="shared" si="946"/>
        <v>74.841283644753474</v>
      </c>
      <c r="Q1195" s="1">
        <f t="shared" si="907"/>
        <v>8.7297584000007191</v>
      </c>
      <c r="R1195">
        <f t="shared" si="904"/>
        <v>0</v>
      </c>
      <c r="S1195" s="23">
        <f t="shared" si="908"/>
        <v>-1.18032015</v>
      </c>
      <c r="T1195">
        <f>$S1195+測地線補正!$Q$26*(lattice!$N1195/1000)^3+測地線補正!$P$26*(lattice!$N1195/1000)^2+測地線補正!$O$26*(lattice!$N1195/1000)+測地線補正!$N$26</f>
        <v>-0.15871635524653027</v>
      </c>
      <c r="U1195">
        <f>-ATAN(($P$1197-$P$1195)/ABS($N$1197-$N$1195))</f>
        <v>2.0422089143064002E-5</v>
      </c>
      <c r="V1195">
        <v>0</v>
      </c>
      <c r="W1195">
        <f>ATAN(($M$1197-$M$1195)/ABS($N$1197-$N$1195))</f>
        <v>2.0395808657186658E-4</v>
      </c>
      <c r="X1195" t="s">
        <v>3860</v>
      </c>
      <c r="Y1195">
        <f>_xlfn.XLOOKUP($F1195,設計座標!$E$13:$E$2301,設計座標!$L$13:$L$2301," ",0,1)</f>
        <v>300</v>
      </c>
      <c r="Z1195">
        <f>SQRT(($M$1196-$M$1193)^2+($N$1196-$N$1193)^2)</f>
        <v>547.48747301993512</v>
      </c>
      <c r="AA1195">
        <f>_xlfn.XLOOKUP($G1195,magnet_list!$A$2:$A$592,magnet_list!$AJ$2:$AJ$592,"n/a",0,1)</f>
        <v>0.32714527067797677</v>
      </c>
      <c r="AB1195">
        <f>_xlfn.XLOOKUP($G1195,magnet_list!$A$2:$A$592,magnet_list!$L$2:$L$592,"n/a",0,1)</f>
        <v>120</v>
      </c>
    </row>
    <row r="1196" spans="1:28">
      <c r="A1196" t="s">
        <v>797</v>
      </c>
      <c r="B1196">
        <v>2</v>
      </c>
      <c r="C1196" t="s">
        <v>805</v>
      </c>
      <c r="D1196" t="s">
        <v>1152</v>
      </c>
      <c r="E1196" t="s">
        <v>804</v>
      </c>
      <c r="F1196" t="s">
        <v>696</v>
      </c>
      <c r="G1196" t="s">
        <v>2637</v>
      </c>
      <c r="I1196">
        <f>_xlfn.XLOOKUP($F1196,設計座標!$E$13:$E$2301,設計座標!$G$13:$G$2301,"n/a",0,1)</f>
        <v>330.77722042851877</v>
      </c>
      <c r="J1196">
        <f>_xlfn.XLOOKUP($F1196,設計座標!$E$13:$E$2301,設計座標!$H$13:$H$2301,"n/a",0,1)</f>
        <v>-15000</v>
      </c>
      <c r="K1196">
        <f>_xlfn.XLOOKUP($F1196,設計座標!$E$13:$E$2301,設計座標!$I$13:$I$2301,"n/a",0,1)</f>
        <v>-66315.162962609989</v>
      </c>
      <c r="L1196">
        <f>_xlfn.XLOOKUP($F1196,設計座標!$E$13:$E$2301,設計座標!$J$13:$J$2301,"n/a",0,1)</f>
        <v>75</v>
      </c>
      <c r="M1196" s="2">
        <f t="shared" ref="M1196:M1204" si="963">$J1196+$Q1196</f>
        <v>-14991.242710419281</v>
      </c>
      <c r="N1196" s="2">
        <f t="shared" ref="N1196:N1204" si="964">$K1196</f>
        <v>-66315.162962609989</v>
      </c>
      <c r="O1196" s="23">
        <f t="shared" ref="O1196:O1204" si="965">$L1196+$S1196</f>
        <v>73.813198836417925</v>
      </c>
      <c r="P1196" s="1">
        <f t="shared" si="946"/>
        <v>74.838529379527046</v>
      </c>
      <c r="Q1196" s="1">
        <f>(Q$1197-Q$1195)/($N$1197-$N$1195)*($N1196-$N$1195)+Q$1195</f>
        <v>8.7572895807193323</v>
      </c>
      <c r="R1196">
        <f t="shared" si="904"/>
        <v>0</v>
      </c>
      <c r="S1196" s="23">
        <f>(S$1197-S$1195)/($N$1197-$N$1195)*($N1196-$N$1195)+S$1195</f>
        <v>-1.1868011635820708</v>
      </c>
      <c r="T1196">
        <f>$S1196+測地線補正!$Q$26*(lattice!$N1196/1000)^3+測地線補正!$P$26*(lattice!$N1196/1000)^2+測地線補正!$O$26*(lattice!$N1196/1000)+測地線補正!$N$26</f>
        <v>-0.16147062047294991</v>
      </c>
      <c r="U1196">
        <f t="shared" ref="U1196:U1197" si="966">-ATAN(($P$1197-$P$1195)/ABS($N$1197-$N$1195))</f>
        <v>2.0422089143064002E-5</v>
      </c>
      <c r="V1196">
        <v>0</v>
      </c>
      <c r="W1196">
        <f t="shared" ref="W1196:W1197" si="967">ATAN(($M$1197-$M$1195)/ABS($N$1197-$N$1195))</f>
        <v>2.0395808657186658E-4</v>
      </c>
      <c r="X1196" t="s">
        <v>3860</v>
      </c>
      <c r="Y1196">
        <f>_xlfn.XLOOKUP($F1196,設計座標!$E$13:$E$2301,設計座標!$L$13:$L$2301," ",0,1)</f>
        <v>300</v>
      </c>
      <c r="Z1196">
        <f>SQRT(($M$1196-$M$1193)^2+($N$1196-$N$1193)^2)</f>
        <v>547.48747301993512</v>
      </c>
      <c r="AA1196">
        <f>_xlfn.XLOOKUP($G1196,magnet_list!$A$2:$A$592,magnet_list!$AJ$2:$AJ$592,"n/a",0,1)</f>
        <v>0.32714527067797677</v>
      </c>
      <c r="AB1196">
        <f>_xlfn.XLOOKUP($G1196,magnet_list!$A$2:$A$592,magnet_list!$L$2:$L$592,"n/a",0,1)</f>
        <v>120</v>
      </c>
    </row>
    <row r="1197" spans="1:28">
      <c r="A1197" t="s">
        <v>797</v>
      </c>
      <c r="B1197">
        <v>2</v>
      </c>
      <c r="C1197" t="s">
        <v>805</v>
      </c>
      <c r="D1197" t="s">
        <v>806</v>
      </c>
      <c r="F1197" t="s">
        <v>301</v>
      </c>
      <c r="G1197" t="s">
        <v>2637</v>
      </c>
      <c r="I1197">
        <f>_xlfn.XLOOKUP($F1197,設計座標!$E$13:$E$2301,設計座標!$G$13:$G$2301,"n/a",0,1)</f>
        <v>330.91224081119879</v>
      </c>
      <c r="J1197">
        <f>_xlfn.XLOOKUP($F1197,設計座標!$E$13:$E$2301,設計座標!$H$13:$H$2301,"n/a",0,1)</f>
        <v>-15000</v>
      </c>
      <c r="K1197">
        <f>_xlfn.XLOOKUP($F1197,設計座標!$E$13:$E$2301,設計座標!$I$13:$I$2301,"n/a",0,1)</f>
        <v>-66450.183345290003</v>
      </c>
      <c r="L1197">
        <f>_xlfn.XLOOKUP($F1197,設計座標!$E$13:$E$2301,設計座標!$J$13:$J$2301,"n/a",0,1)</f>
        <v>75</v>
      </c>
      <c r="M1197" s="2">
        <f>_xlfn.XLOOKUP($F1197,survey_data!$A$2:$A$833,survey_data!$B$2:$B$833,"n/a",0,1)</f>
        <v>-14991.215171919999</v>
      </c>
      <c r="N1197" s="2">
        <f>_xlfn.XLOOKUP($F1197,survey_data!$A$2:$A$833,survey_data!$C$2:$C$833,"n/a",0,1)</f>
        <v>-66450.183345290003</v>
      </c>
      <c r="O1197" s="23">
        <f>_xlfn.XLOOKUP($F1197,survey_data!$A$2:$A$833,survey_data!$D$2:$D$833,"n/a",0,1)</f>
        <v>73.806716100000003</v>
      </c>
      <c r="P1197" s="1">
        <f t="shared" si="946"/>
        <v>74.835769580969554</v>
      </c>
      <c r="Q1197" s="1">
        <f t="shared" si="907"/>
        <v>8.7848280800008069</v>
      </c>
      <c r="R1197">
        <f t="shared" si="904"/>
        <v>0</v>
      </c>
      <c r="S1197" s="23">
        <f t="shared" si="908"/>
        <v>-1.1932838999999973</v>
      </c>
      <c r="T1197">
        <f>$S1197+測地線補正!$Q$26*(lattice!$N1197/1000)^3+測地線補正!$P$26*(lattice!$N1197/1000)^2+測地線補正!$O$26*(lattice!$N1197/1000)+測地線補正!$N$26</f>
        <v>-0.16423041903044067</v>
      </c>
      <c r="U1197">
        <f t="shared" si="966"/>
        <v>2.0422089143064002E-5</v>
      </c>
      <c r="V1197">
        <v>0</v>
      </c>
      <c r="W1197">
        <f t="shared" si="967"/>
        <v>2.0395808657186658E-4</v>
      </c>
      <c r="X1197" t="s">
        <v>3860</v>
      </c>
      <c r="Y1197">
        <f>_xlfn.XLOOKUP($F1197,設計座標!$E$13:$E$2301,設計座標!$L$13:$L$2301," ",0,1)</f>
        <v>300</v>
      </c>
      <c r="Z1197">
        <f>SQRT(($M$1196-$M$1193)^2+($N$1196-$N$1193)^2)</f>
        <v>547.48747301993512</v>
      </c>
      <c r="AA1197">
        <f>_xlfn.XLOOKUP($G1197,magnet_list!$A$2:$A$592,magnet_list!$AJ$2:$AJ$592,"n/a",0,1)</f>
        <v>0.32714527067797677</v>
      </c>
      <c r="AB1197">
        <f>_xlfn.XLOOKUP($G1197,magnet_list!$A$2:$A$592,magnet_list!$L$2:$L$592,"n/a",0,1)</f>
        <v>120</v>
      </c>
    </row>
    <row r="1198" spans="1:28">
      <c r="A1198" t="s">
        <v>797</v>
      </c>
      <c r="B1198">
        <v>2</v>
      </c>
      <c r="C1198" t="s">
        <v>804</v>
      </c>
      <c r="D1198" t="s">
        <v>1152</v>
      </c>
      <c r="E1198" t="s">
        <v>804</v>
      </c>
      <c r="F1198" t="s">
        <v>1605</v>
      </c>
      <c r="G1198" t="s">
        <v>2634</v>
      </c>
      <c r="I1198">
        <f>_xlfn.XLOOKUP($F1198,設計座標!$E$13:$E$2301,設計座標!$G$13:$G$2301,"n/a",0,1)</f>
        <v>331.17445756136891</v>
      </c>
      <c r="J1198">
        <f>_xlfn.XLOOKUP($F1198,設計座標!$E$13:$E$2301,設計座標!$H$13:$H$2301,"n/a",0,1)</f>
        <v>-15000</v>
      </c>
      <c r="K1198">
        <f>_xlfn.XLOOKUP($F1198,設計座標!$E$13:$E$2301,設計座標!$I$13:$I$2301,"n/a",0,1)</f>
        <v>-66712.400095460078</v>
      </c>
      <c r="L1198">
        <f>_xlfn.XLOOKUP($F1198,設計座標!$E$13:$E$2301,設計座標!$J$13:$J$2301,"n/a",0,1)</f>
        <v>-270</v>
      </c>
      <c r="M1198" s="2">
        <f t="shared" si="963"/>
        <v>-14991.165831696428</v>
      </c>
      <c r="N1198" s="2">
        <f t="shared" si="964"/>
        <v>-66712.400095460078</v>
      </c>
      <c r="O1198" s="23">
        <f t="shared" si="965"/>
        <v>-271.26414516579206</v>
      </c>
      <c r="P1198" s="1">
        <f t="shared" si="946"/>
        <v>-270.22787525221946</v>
      </c>
      <c r="Q1198" s="1">
        <f>(Q$1200-Q$1197)/($N$1200-$N$1197)*($N1198-$N$1197)+Q$1197</f>
        <v>8.8341683035715661</v>
      </c>
      <c r="R1198">
        <f t="shared" si="904"/>
        <v>0</v>
      </c>
      <c r="S1198" s="23">
        <f t="shared" ref="S1198:S1199" si="968">(S$1200-S$1197)/($N$1200-$N$1197)*($N1198-$N$1197)+S$1197</f>
        <v>-1.2641451657920384</v>
      </c>
      <c r="T1198">
        <f>$S1198+測地線補正!$Q$26*(lattice!$N1198/1000)^3+測地線補正!$P$26*(lattice!$N1198/1000)^2+測地線補正!$O$26*(lattice!$N1198/1000)+測地線補正!$N$26</f>
        <v>-0.22787525221944405</v>
      </c>
      <c r="U1198">
        <f>-ATAN(($P$1198-$P$1187)/ABS($N$1198-$N$1187))</f>
        <v>3.5300636420284728E-5</v>
      </c>
      <c r="V1198">
        <v>0</v>
      </c>
      <c r="W1198">
        <f>ATAN(($M$1198-$M$1187)/ABS($N$1198-$N$1187))</f>
        <v>1.6655323522003163E-6</v>
      </c>
      <c r="X1198" t="s">
        <v>3860</v>
      </c>
      <c r="Y1198">
        <f>_xlfn.XLOOKUP($F1198,設計座標!$E$13:$E$2301,設計座標!$L$13:$L$2301," ",0,1)</f>
        <v>1889.4492</v>
      </c>
      <c r="Z1198">
        <f>SQRT(($M$1193-$M$1192)^2+($N$1193-$N$1192)^2)</f>
        <v>37.835045970985391</v>
      </c>
    </row>
    <row r="1199" spans="1:28">
      <c r="A1199" t="s">
        <v>797</v>
      </c>
      <c r="B1199">
        <v>2</v>
      </c>
      <c r="C1199" t="s">
        <v>1152</v>
      </c>
      <c r="D1199" t="s">
        <v>1152</v>
      </c>
      <c r="E1199" t="s">
        <v>804</v>
      </c>
      <c r="F1199" t="s">
        <v>2086</v>
      </c>
      <c r="G1199" t="s">
        <v>2086</v>
      </c>
      <c r="I1199">
        <f>_xlfn.XLOOKUP($F1199,設計座標!$E$13:$E$2301,設計座標!$G$13:$G$2301,"n/a",0,1)</f>
        <v>331.3044580613689</v>
      </c>
      <c r="J1199">
        <f>_xlfn.XLOOKUP($F1199,設計座標!$E$13:$E$2301,設計座標!$H$13:$H$2301,"n/a",0,1)</f>
        <v>-15000</v>
      </c>
      <c r="K1199">
        <f>_xlfn.XLOOKUP($F1199,設計座標!$E$13:$E$2301,設計座標!$I$13:$I$2301,"n/a",0,1)</f>
        <v>-66842.400595460073</v>
      </c>
      <c r="L1199">
        <f>_xlfn.XLOOKUP($F1199,設計座標!$E$13:$E$2301,設計座標!$J$13:$J$2301,"n/a",0,1)</f>
        <v>-270</v>
      </c>
      <c r="M1199" s="2">
        <f t="shared" si="963"/>
        <v>-14991.141370048841</v>
      </c>
      <c r="N1199" s="2">
        <f t="shared" si="964"/>
        <v>-66842.400595460073</v>
      </c>
      <c r="O1199" s="23">
        <f t="shared" si="965"/>
        <v>-271.29927640732268</v>
      </c>
      <c r="P1199" s="1">
        <f t="shared" si="946"/>
        <v>-270.25943547483126</v>
      </c>
      <c r="Q1199" s="1">
        <f>(Q$1200-Q$1197)/($N$1200-$N$1197)*($N1199-$N$1197)+Q$1197</f>
        <v>8.8586299511594859</v>
      </c>
      <c r="R1199">
        <f t="shared" si="904"/>
        <v>0</v>
      </c>
      <c r="S1199" s="23">
        <f t="shared" si="968"/>
        <v>-1.2992764073226535</v>
      </c>
      <c r="T1199">
        <f>$S1199+測地線補正!$Q$26*(lattice!$N1199/1000)^3+測地線補正!$P$26*(lattice!$N1199/1000)^2+測地線補正!$O$26*(lattice!$N1199/1000)+測地線補正!$N$26</f>
        <v>-0.25943547483123641</v>
      </c>
      <c r="U1199">
        <v>0</v>
      </c>
      <c r="V1199">
        <v>0</v>
      </c>
      <c r="W1199">
        <v>0</v>
      </c>
      <c r="X1199">
        <f>SQRT(($M$1199-$M$1198)^2+($N$1199-$N$1198)^2)</f>
        <v>130.00050230141733</v>
      </c>
      <c r="Y1199">
        <f>_xlfn.XLOOKUP($F1199,設計座標!$E$13:$E$2301,設計座標!$L$13:$L$2301," ",0,1)</f>
        <v>0</v>
      </c>
      <c r="Z1199">
        <f>SQRT(($M$1199-$M$1196)^2+($N$1199-$N$1196)^2)</f>
        <v>527.23764258940184</v>
      </c>
    </row>
    <row r="1200" spans="1:28">
      <c r="A1200" t="s">
        <v>797</v>
      </c>
      <c r="B1200">
        <v>2</v>
      </c>
      <c r="C1200" t="s">
        <v>805</v>
      </c>
      <c r="D1200" t="s">
        <v>806</v>
      </c>
      <c r="F1200" t="s">
        <v>302</v>
      </c>
      <c r="G1200" t="s">
        <v>2638</v>
      </c>
      <c r="I1200">
        <f>_xlfn.XLOOKUP($F1200,設計座標!$E$13:$E$2301,設計座標!$G$13:$G$2301,"n/a",0,1)</f>
        <v>331.38838143723882</v>
      </c>
      <c r="J1200">
        <f>_xlfn.XLOOKUP($F1200,設計座標!$E$13:$E$2301,設計座標!$H$13:$H$2301,"n/a",0,1)</f>
        <v>-15000</v>
      </c>
      <c r="K1200">
        <f>_xlfn.XLOOKUP($F1200,設計座標!$E$13:$E$2301,設計座標!$I$13:$I$2301,"n/a",0,1)</f>
        <v>-66926.323971329999</v>
      </c>
      <c r="L1200">
        <f>_xlfn.XLOOKUP($F1200,設計座標!$E$13:$E$2301,設計座標!$J$13:$J$2301,"n/a",0,1)</f>
        <v>90</v>
      </c>
      <c r="M1200" s="2">
        <f>_xlfn.XLOOKUP($F1200,survey_data!$A$2:$A$833,survey_data!$B$2:$B$833,"n/a",0,1)</f>
        <v>-14991.125578540001</v>
      </c>
      <c r="N1200" s="2">
        <f>_xlfn.XLOOKUP($F1200,survey_data!$A$2:$A$833,survey_data!$C$2:$C$833,"n/a",0,1)</f>
        <v>-66926.323971329999</v>
      </c>
      <c r="O1200" s="23">
        <f>_xlfn.XLOOKUP($F1200,survey_data!$A$2:$A$833,survey_data!$D$2:$D$833,"n/a",0,1)</f>
        <v>88.678044200000002</v>
      </c>
      <c r="P1200" s="1">
        <f t="shared" si="946"/>
        <v>89.720188085771724</v>
      </c>
      <c r="Q1200" s="1">
        <f t="shared" ref="Q1200:Q1265" si="969">$M1200-$J1200</f>
        <v>8.8744214599992119</v>
      </c>
      <c r="R1200">
        <f t="shared" ref="R1200:R1265" si="970">$N1200-$K1200</f>
        <v>0</v>
      </c>
      <c r="S1200" s="23">
        <f t="shared" ref="S1200:S1265" si="971">$O1200-$L1200</f>
        <v>-1.3219557999999978</v>
      </c>
      <c r="T1200">
        <f>$S1200+測地線補正!$Q$26*(lattice!$N1200/1000)^3+測地線補正!$P$26*(lattice!$N1200/1000)^2+測地線補正!$O$26*(lattice!$N1200/1000)+測地線補正!$N$26</f>
        <v>-0.279811914228276</v>
      </c>
      <c r="U1200">
        <f>-ATAN(($P$1203-$P$1200)/ABS($N$1203-$N$1200))</f>
        <v>-2.0531993495871513E-4</v>
      </c>
      <c r="V1200">
        <v>0</v>
      </c>
      <c r="W1200">
        <f>ATAN(($M$1203-$M$1200)/ABS($N$1203-$N$1200))</f>
        <v>-9.942761121799757E-4</v>
      </c>
      <c r="X1200">
        <f>SQRT(($M$1202-$M$1199)^2+($N$1202-$N$1199)^2)-$Y$1202/2</f>
        <v>73.909885271009927</v>
      </c>
      <c r="Y1200">
        <f>_xlfn.XLOOKUP($F1200,設計座標!$E$13:$E$2301,設計座標!$L$13:$L$2301," ",0,1)</f>
        <v>160</v>
      </c>
      <c r="Z1200">
        <f>SQRT(($M$1202-$M$1201)^2+($N$1202-$N$1201)^2)</f>
        <v>68.909909931574006</v>
      </c>
      <c r="AA1200">
        <f>_xlfn.XLOOKUP($G1200,magnet_list!$A$2:$A$592,magnet_list!$AJ$2:$AJ$592,"n/a",0,1)</f>
        <v>0.17374887133613809</v>
      </c>
      <c r="AB1200">
        <f>_xlfn.XLOOKUP($G1200,magnet_list!$A$2:$A$592,magnet_list!$L$2:$L$592,"n/a",0,1)</f>
        <v>44</v>
      </c>
    </row>
    <row r="1201" spans="1:30">
      <c r="A1201" t="s">
        <v>797</v>
      </c>
      <c r="B1201">
        <v>2</v>
      </c>
      <c r="C1201" t="s">
        <v>1152</v>
      </c>
      <c r="D1201" t="s">
        <v>1152</v>
      </c>
      <c r="E1201" t="s">
        <v>804</v>
      </c>
      <c r="F1201" t="s">
        <v>2087</v>
      </c>
      <c r="G1201" t="s">
        <v>2087</v>
      </c>
      <c r="I1201">
        <f>_xlfn.XLOOKUP($F1201,設計座標!$E$13:$E$2301,設計座標!$G$13:$G$2301,"n/a",0,1)</f>
        <v>331.38945806136888</v>
      </c>
      <c r="J1201">
        <f>_xlfn.XLOOKUP($F1201,設計座標!$E$13:$E$2301,設計座標!$H$13:$H$2301,"n/a",0,1)</f>
        <v>-15000</v>
      </c>
      <c r="K1201">
        <f>_xlfn.XLOOKUP($F1201,設計座標!$E$13:$E$2301,設計座標!$I$13:$I$2301,"n/a",0,1)</f>
        <v>-66927.400595460073</v>
      </c>
      <c r="L1201">
        <f>_xlfn.XLOOKUP($F1201,設計座標!$E$13:$E$2301,設計座標!$J$13:$J$2301,"n/a",0,1)</f>
        <v>-270</v>
      </c>
      <c r="M1201" s="2">
        <f t="shared" si="963"/>
        <v>-14991.126649002008</v>
      </c>
      <c r="N1201" s="2">
        <f t="shared" si="964"/>
        <v>-66927.400595460073</v>
      </c>
      <c r="O1201" s="23">
        <f t="shared" si="965"/>
        <v>-271.32176425970454</v>
      </c>
      <c r="P1201" s="1">
        <f t="shared" si="946"/>
        <v>-270.27959084216741</v>
      </c>
      <c r="Q1201" s="1">
        <f>(Q$1203-Q$1200)/($N$1203-$N$1200)*($N1201-$N$1200)+Q$1200</f>
        <v>8.8733509979921354</v>
      </c>
      <c r="R1201">
        <f t="shared" si="970"/>
        <v>0</v>
      </c>
      <c r="S1201" s="23">
        <f t="shared" ref="S1201:S1202" si="972">(S$1203-S$1200)/($N$1203-$N$1200)*($N1201-$N$1200)+S$1200</f>
        <v>-1.3217642597045605</v>
      </c>
      <c r="T1201">
        <f>$S1201+測地線補正!$Q$26*(lattice!$N1201/1000)^3+測地線補正!$P$26*(lattice!$N1201/1000)^2+測地線補正!$O$26*(lattice!$N1201/1000)+測地線補正!$N$26</f>
        <v>-0.27959084216739294</v>
      </c>
      <c r="U1201">
        <v>0</v>
      </c>
      <c r="V1201">
        <v>0</v>
      </c>
      <c r="W1201">
        <v>0</v>
      </c>
      <c r="X1201">
        <f>$X$1202-$Z$1201</f>
        <v>-11.090116003750182</v>
      </c>
      <c r="Y1201">
        <f>_xlfn.XLOOKUP($F1201,設計座標!$E$13:$E$2301,設計座標!$L$13:$L$2301," ",0,1)</f>
        <v>0</v>
      </c>
      <c r="Z1201">
        <f>SQRT(($M$1201-$M$1199)^2+($N$1201-$N$1199)^2)</f>
        <v>85.000001274760109</v>
      </c>
      <c r="AD1201" t="s">
        <v>3884</v>
      </c>
    </row>
    <row r="1202" spans="1:30">
      <c r="A1202" t="s">
        <v>797</v>
      </c>
      <c r="B1202">
        <v>2</v>
      </c>
      <c r="C1202" t="s">
        <v>805</v>
      </c>
      <c r="D1202" t="s">
        <v>1152</v>
      </c>
      <c r="E1202" t="s">
        <v>804</v>
      </c>
      <c r="F1202" t="s">
        <v>697</v>
      </c>
      <c r="G1202" t="s">
        <v>2638</v>
      </c>
      <c r="I1202">
        <f>_xlfn.XLOOKUP($F1202,設計座標!$E$13:$E$2301,設計座標!$G$13:$G$2301,"n/a",0,1)</f>
        <v>331.45836793723879</v>
      </c>
      <c r="J1202">
        <f>_xlfn.XLOOKUP($F1202,設計座標!$E$13:$E$2301,設計座標!$H$13:$H$2301,"n/a",0,1)</f>
        <v>-15000</v>
      </c>
      <c r="K1202">
        <f>_xlfn.XLOOKUP($F1202,設計座標!$E$13:$E$2301,設計座標!$I$13:$I$2301,"n/a",0,1)</f>
        <v>-66996.310471329998</v>
      </c>
      <c r="L1202">
        <f>_xlfn.XLOOKUP($F1202,設計座標!$E$13:$E$2301,設計座標!$J$13:$J$2301,"n/a",0,1)</f>
        <v>90</v>
      </c>
      <c r="M1202" s="2">
        <f t="shared" si="963"/>
        <v>-14991.195164468056</v>
      </c>
      <c r="N1202" s="2">
        <f t="shared" si="964"/>
        <v>-66996.310471329998</v>
      </c>
      <c r="O1202" s="23">
        <f t="shared" si="965"/>
        <v>88.690495374474153</v>
      </c>
      <c r="P1202" s="1">
        <f t="shared" si="946"/>
        <v>89.734558353804658</v>
      </c>
      <c r="Q1202" s="1">
        <f>(Q$1203-Q$1200)/($N$1203-$N$1200)*($N1202-$N$1200)+Q$1200</f>
        <v>8.804835531943592</v>
      </c>
      <c r="R1202">
        <f t="shared" si="970"/>
        <v>0</v>
      </c>
      <c r="S1202" s="23">
        <f t="shared" si="972"/>
        <v>-1.3095046255258422</v>
      </c>
      <c r="T1202">
        <f>$S1202+測地線補正!$Q$26*(lattice!$N1202/1000)^3+測地線補正!$P$26*(lattice!$N1202/1000)^2+測地線補正!$O$26*(lattice!$N1202/1000)+測地線補正!$N$26</f>
        <v>-0.26544164619533817</v>
      </c>
      <c r="U1202">
        <f t="shared" ref="U1202:U1203" si="973">-ATAN(($P$1203-$P$1200)/ABS($N$1203-$N$1200))</f>
        <v>-2.0531993495871513E-4</v>
      </c>
      <c r="V1202">
        <v>0</v>
      </c>
      <c r="W1202">
        <f t="shared" ref="W1202:W1203" si="974">ATAN(($M$1203-$M$1200)/ABS($N$1203-$N$1200))</f>
        <v>-9.942761121799757E-4</v>
      </c>
      <c r="X1202">
        <f>SQRT(($M$1202-$M$1199)^2+($N$1202-$N$1199)^2)-$Y$1202/2</f>
        <v>73.909885271009927</v>
      </c>
      <c r="Y1202">
        <f>_xlfn.XLOOKUP($F1202,設計座標!$E$13:$E$2301,設計座標!$L$13:$L$2301," ",0,1)</f>
        <v>160</v>
      </c>
      <c r="Z1202">
        <f>SQRT(($M$1202-$M$1201)^2+($N$1202-$N$1201)^2)</f>
        <v>68.909909931574006</v>
      </c>
      <c r="AA1202">
        <f>_xlfn.XLOOKUP($G1202,magnet_list!$A$2:$A$592,magnet_list!$AJ$2:$AJ$592,"n/a",0,1)</f>
        <v>0.17374887133613809</v>
      </c>
      <c r="AB1202">
        <f>_xlfn.XLOOKUP($G1202,magnet_list!$A$2:$A$592,magnet_list!$L$2:$L$592,"n/a",0,1)</f>
        <v>44</v>
      </c>
    </row>
    <row r="1203" spans="1:30">
      <c r="A1203" t="s">
        <v>797</v>
      </c>
      <c r="B1203">
        <v>2</v>
      </c>
      <c r="C1203" t="s">
        <v>805</v>
      </c>
      <c r="D1203" t="s">
        <v>806</v>
      </c>
      <c r="F1203" t="s">
        <v>303</v>
      </c>
      <c r="G1203" t="s">
        <v>2638</v>
      </c>
      <c r="I1203">
        <f>_xlfn.XLOOKUP($F1203,設計座標!$E$13:$E$2301,設計座標!$G$13:$G$2301,"n/a",0,1)</f>
        <v>331.52840817871879</v>
      </c>
      <c r="J1203">
        <f>_xlfn.XLOOKUP($F1203,設計座標!$E$13:$E$2301,設計座標!$H$13:$H$2301,"n/a",0,1)</f>
        <v>-15000</v>
      </c>
      <c r="K1203">
        <f>_xlfn.XLOOKUP($F1203,設計座標!$E$13:$E$2301,設計座標!$I$13:$I$2301,"n/a",0,1)</f>
        <v>-67066.350712810003</v>
      </c>
      <c r="L1203">
        <f>_xlfn.XLOOKUP($F1203,設計座標!$E$13:$E$2301,設計座標!$J$13:$J$2301,"n/a",0,1)</f>
        <v>90</v>
      </c>
      <c r="M1203" s="2">
        <f>_xlfn.XLOOKUP($F1203,survey_data!$A$2:$A$833,survey_data!$B$2:$B$833,"n/a",0,1)</f>
        <v>-14991.264803829999</v>
      </c>
      <c r="N1203" s="2">
        <f>_xlfn.XLOOKUP($F1203,survey_data!$A$2:$A$833,survey_data!$C$2:$C$833,"n/a",0,1)</f>
        <v>-67066.350712810003</v>
      </c>
      <c r="O1203" s="23">
        <f>_xlfn.XLOOKUP($F1203,survey_data!$A$2:$A$833,survey_data!$D$2:$D$833,"n/a",0,1)</f>
        <v>88.702956110000002</v>
      </c>
      <c r="P1203" s="1">
        <f t="shared" si="946"/>
        <v>89.748938367628881</v>
      </c>
      <c r="Q1203" s="1">
        <f t="shared" si="969"/>
        <v>8.7351961700005631</v>
      </c>
      <c r="R1203">
        <f t="shared" si="970"/>
        <v>0</v>
      </c>
      <c r="S1203" s="23">
        <f t="shared" si="971"/>
        <v>-1.2970438899999976</v>
      </c>
      <c r="T1203">
        <f>$S1203+測地線補正!$Q$26*(lattice!$N1203/1000)^3+測地線補正!$P$26*(lattice!$N1203/1000)^2+測地線補正!$O$26*(lattice!$N1203/1000)+測地線補正!$N$26</f>
        <v>-0.25106163237111523</v>
      </c>
      <c r="U1203">
        <f t="shared" si="973"/>
        <v>-2.0531993495871513E-4</v>
      </c>
      <c r="V1203">
        <v>0</v>
      </c>
      <c r="W1203">
        <f t="shared" si="974"/>
        <v>-9.942761121799757E-4</v>
      </c>
      <c r="X1203">
        <f>SQRT(($M$1202-$M$1199)^2+($N$1202-$N$1199)^2)-$Y$1202/2</f>
        <v>73.909885271009927</v>
      </c>
      <c r="Y1203">
        <f>_xlfn.XLOOKUP($F1203,設計座標!$E$13:$E$2301,設計座標!$L$13:$L$2301," ",0,1)</f>
        <v>160</v>
      </c>
      <c r="Z1203">
        <f>SQRT(($M$1202-$M$1201)^2+($N$1202-$N$1201)^2)</f>
        <v>68.909909931574006</v>
      </c>
      <c r="AA1203">
        <f>_xlfn.XLOOKUP($G1203,magnet_list!$A$2:$A$592,magnet_list!$AJ$2:$AJ$592,"n/a",0,1)</f>
        <v>0.17374887133613809</v>
      </c>
      <c r="AB1203">
        <f>_xlfn.XLOOKUP($G1203,magnet_list!$A$2:$A$592,magnet_list!$L$2:$L$592,"n/a",0,1)</f>
        <v>44</v>
      </c>
    </row>
    <row r="1204" spans="1:30">
      <c r="A1204" t="s">
        <v>797</v>
      </c>
      <c r="B1204">
        <v>2</v>
      </c>
      <c r="C1204" t="s">
        <v>805</v>
      </c>
      <c r="D1204" t="s">
        <v>1152</v>
      </c>
      <c r="E1204" t="s">
        <v>804</v>
      </c>
      <c r="F1204" t="s">
        <v>3885</v>
      </c>
      <c r="G1204" t="s">
        <v>3885</v>
      </c>
      <c r="I1204">
        <f>_xlfn.XLOOKUP($F1204,設計座標!$E$13:$E$2301,設計座標!$G$13:$G$2301,"n/a",0,1)</f>
        <v>331.78336793723878</v>
      </c>
      <c r="J1204">
        <f>_xlfn.XLOOKUP($F1204,設計座標!$E$13:$E$2301,設計座標!$H$13:$H$2301,"n/a",0,1)</f>
        <v>-15000</v>
      </c>
      <c r="K1204">
        <f>_xlfn.XLOOKUP($F1204,設計座標!$E$13:$E$2301,設計座標!$I$13:$I$2301,"n/a",0,1)</f>
        <v>-67321.310471329998</v>
      </c>
      <c r="L1204">
        <f>_xlfn.XLOOKUP($F1204,設計座標!$E$13:$E$2301,設計座標!$J$13:$J$2301,"n/a",0,1)</f>
        <v>-36</v>
      </c>
      <c r="M1204" s="2">
        <f t="shared" si="963"/>
        <v>-14991.003188261051</v>
      </c>
      <c r="N1204" s="2">
        <f t="shared" si="964"/>
        <v>-67321.310471329998</v>
      </c>
      <c r="O1204" s="23">
        <f t="shared" si="965"/>
        <v>-37.301496414216814</v>
      </c>
      <c r="P1204" s="1">
        <f t="shared" si="946"/>
        <v>-36.248538504946964</v>
      </c>
      <c r="Q1204" s="1">
        <f>($Q$1205-$Q$1203)/($N$1205-$N$1203)*($N1204-$N$1203)+$Q$1203</f>
        <v>8.9968117389482725</v>
      </c>
      <c r="R1204">
        <f t="shared" si="970"/>
        <v>0</v>
      </c>
      <c r="S1204" s="23">
        <f>($S$1205-$S$1203)/($N$1205-$N$1203)*($N1204-$N$1203)+$S$1203</f>
        <v>-1.3014964142168104</v>
      </c>
      <c r="T1204">
        <f>$S1204+測地線補正!$Q$26*(lattice!$N1204/1000)^3+測地線補正!$P$26*(lattice!$N1204/1000)^2+測地線補正!$O$26*(lattice!$N1204/1000)+測地線補正!$N$26</f>
        <v>-0.24853850494696306</v>
      </c>
      <c r="U1204">
        <v>0</v>
      </c>
      <c r="V1204">
        <v>0</v>
      </c>
      <c r="W1204">
        <v>0</v>
      </c>
      <c r="X1204">
        <f>$Z$1204-($Y$1204+$Y$1202)/2</f>
        <v>170.00005669978589</v>
      </c>
      <c r="Y1204">
        <f>_xlfn.XLOOKUP($F1204,設計座標!$E$13:$E$2301,設計座標!$L$13:$L$2301," ",0,1)</f>
        <v>150</v>
      </c>
      <c r="Z1204">
        <f>SQRT(($M$1204-$M$1202)^2+($N$1204-$N$1202)^2)</f>
        <v>325.00005669978589</v>
      </c>
      <c r="AA1204">
        <f>_xlfn.XLOOKUP($G1204,magnet_list!$A$2:$A$592,magnet_list!$AJ$2:$AJ$592,"n/a",0,1)</f>
        <v>0.18992999999999999</v>
      </c>
      <c r="AB1204">
        <f>_xlfn.XLOOKUP($G1204,magnet_list!$A$2:$A$592,magnet_list!$L$2:$L$592,"n/a",0,1)</f>
        <v>35</v>
      </c>
    </row>
    <row r="1205" spans="1:30">
      <c r="A1205" t="s">
        <v>797</v>
      </c>
      <c r="B1205">
        <v>2</v>
      </c>
      <c r="C1205" t="s">
        <v>805</v>
      </c>
      <c r="D1205" t="s">
        <v>806</v>
      </c>
      <c r="F1205" t="s">
        <v>304</v>
      </c>
      <c r="G1205" t="s">
        <v>2639</v>
      </c>
      <c r="I1205">
        <f>_xlfn.XLOOKUP($F1205,設計座標!$E$13:$E$2301,設計座標!$G$13:$G$2301,"n/a",0,1)</f>
        <v>332.03717224138882</v>
      </c>
      <c r="J1205">
        <f>_xlfn.XLOOKUP($F1205,設計座標!$E$13:$E$2301,設計座標!$H$13:$H$2301,"n/a",0,1)</f>
        <v>-15000</v>
      </c>
      <c r="K1205">
        <f>_xlfn.XLOOKUP($F1205,設計座標!$E$13:$E$2301,設計座標!$I$13:$I$2301,"n/a",0,1)</f>
        <v>-67575.114775480004</v>
      </c>
      <c r="L1205">
        <f>_xlfn.XLOOKUP($F1205,設計座標!$E$13:$E$2301,設計座標!$J$13:$J$2301,"n/a",0,1)</f>
        <v>90</v>
      </c>
      <c r="M1205" s="2">
        <f>_xlfn.XLOOKUP($F1205,survey_data!$A$2:$A$833,survey_data!$B$2:$B$833,"n/a",0,1)</f>
        <v>-14990.74275831</v>
      </c>
      <c r="N1205" s="2">
        <f>_xlfn.XLOOKUP($F1205,survey_data!$A$2:$A$833,survey_data!$C$2:$C$833,"n/a",0,1)</f>
        <v>-67575.114775480004</v>
      </c>
      <c r="O1205" s="23">
        <f>_xlfn.XLOOKUP($F1205,survey_data!$A$2:$A$833,survey_data!$D$2:$D$833,"n/a",0,1)</f>
        <v>88.69407124</v>
      </c>
      <c r="P1205" s="1">
        <f t="shared" si="946"/>
        <v>89.753956235172708</v>
      </c>
      <c r="Q1205" s="1">
        <f t="shared" si="969"/>
        <v>9.2572416900002281</v>
      </c>
      <c r="R1205">
        <f t="shared" si="970"/>
        <v>0</v>
      </c>
      <c r="S1205" s="23">
        <f t="shared" si="971"/>
        <v>-1.3059287600000005</v>
      </c>
      <c r="T1205">
        <f>$S1205+測地線補正!$Q$26*(lattice!$N1205/1000)^3+測地線補正!$P$26*(lattice!$N1205/1000)^2+測地線補正!$O$26*(lattice!$N1205/1000)+測地線補正!$N$26</f>
        <v>-0.24604376482729839</v>
      </c>
      <c r="U1205">
        <f>-ATAN(($P$1207-$P$1205)/ABS($N$1207-$N$1205))</f>
        <v>4.4334505104445029E-4</v>
      </c>
      <c r="V1205">
        <v>0</v>
      </c>
      <c r="W1205">
        <f>ATAN(($M$1207-$M$1205)/ABS($N$1207-$N$1205))</f>
        <v>-6.8238105728439687E-4</v>
      </c>
      <c r="X1205">
        <f>$Z$1206-($Y$1206+$Y$1204)/2</f>
        <v>168.70449831119356</v>
      </c>
      <c r="Y1205">
        <f>_xlfn.XLOOKUP($F1205,設計座標!$E$13:$E$2301,設計座標!$L$13:$L$2301," ",0,1)</f>
        <v>160</v>
      </c>
      <c r="Z1205">
        <f>SQRT(($M$1206-$M$1204)^2+($N$1206-$N$1204)^2)</f>
        <v>323.70449831119356</v>
      </c>
      <c r="AA1205">
        <f>_xlfn.XLOOKUP($G1205,magnet_list!$A$2:$A$592,magnet_list!$AJ$2:$AJ$592,"n/a",0,1)</f>
        <v>0.17374887133613809</v>
      </c>
      <c r="AB1205">
        <f>_xlfn.XLOOKUP($G1205,magnet_list!$A$2:$A$592,magnet_list!$L$2:$L$592,"n/a",0,1)</f>
        <v>44</v>
      </c>
    </row>
    <row r="1206" spans="1:30">
      <c r="A1206" t="s">
        <v>797</v>
      </c>
      <c r="B1206">
        <v>2</v>
      </c>
      <c r="C1206" t="s">
        <v>805</v>
      </c>
      <c r="D1206" t="s">
        <v>1152</v>
      </c>
      <c r="E1206" t="s">
        <v>804</v>
      </c>
      <c r="F1206" t="s">
        <v>698</v>
      </c>
      <c r="G1206" t="s">
        <v>2639</v>
      </c>
      <c r="I1206">
        <f>_xlfn.XLOOKUP($F1206,設計座標!$E$13:$E$2301,設計座標!$G$13:$G$2301,"n/a",0,1)</f>
        <v>332.10707236564883</v>
      </c>
      <c r="J1206">
        <f>_xlfn.XLOOKUP($F1206,設計座標!$E$13:$E$2301,設計座標!$H$13:$H$2301,"n/a",0,1)</f>
        <v>-15000</v>
      </c>
      <c r="K1206">
        <f>_xlfn.XLOOKUP($F1206,設計座標!$E$13:$E$2301,設計座標!$I$13:$I$2301,"n/a",0,1)</f>
        <v>-67645.014899739996</v>
      </c>
      <c r="L1206">
        <f>_xlfn.XLOOKUP($F1206,設計座標!$E$13:$E$2301,設計座標!$J$13:$J$2301,"n/a",0,1)</f>
        <v>90</v>
      </c>
      <c r="M1206" s="2">
        <f t="shared" ref="M1206:M1208" si="975">$J1206+$Q1206</f>
        <v>-14990.7904568381</v>
      </c>
      <c r="N1206" s="2">
        <f t="shared" ref="N1206" si="976">$K1206</f>
        <v>-67645.014899739996</v>
      </c>
      <c r="O1206" s="23">
        <f t="shared" ref="O1206:O1208" si="977">$L1206+$S1206</f>
        <v>88.661177188911893</v>
      </c>
      <c r="P1206" s="1">
        <f t="shared" si="946"/>
        <v>89.722967000693856</v>
      </c>
      <c r="Q1206" s="1">
        <f>(Q$1207-Q$1205)/($N$1207-$N$1205)*($N1206-$N$1205)+Q$1205</f>
        <v>9.2095431618998749</v>
      </c>
      <c r="R1206">
        <f t="shared" si="970"/>
        <v>0</v>
      </c>
      <c r="S1206" s="23">
        <f>(S$1207-S$1205)/($N$1207-$N$1205)*($N1206-$N$1205)+S$1205</f>
        <v>-1.3388228110881017</v>
      </c>
      <c r="T1206">
        <f>$S1206+測地線補正!$Q$26*(lattice!$N1206/1000)^3+測地線補正!$P$26*(lattice!$N1206/1000)^2+測地線補正!$O$26*(lattice!$N1206/1000)+測地線補正!$N$26</f>
        <v>-0.27703299930615066</v>
      </c>
      <c r="U1206">
        <f t="shared" ref="U1206:U1207" si="978">-ATAN(($P$1207-$P$1205)/ABS($N$1207-$N$1205))</f>
        <v>4.4334505104445029E-4</v>
      </c>
      <c r="V1206">
        <v>0</v>
      </c>
      <c r="W1206">
        <f t="shared" ref="W1206:W1207" si="979">ATAN(($M$1207-$M$1205)/ABS($N$1207-$N$1205))</f>
        <v>-6.8238105728439687E-4</v>
      </c>
      <c r="X1206">
        <f>$Z$1206-($Y$1206+$Y$1204)/2</f>
        <v>168.70449831119356</v>
      </c>
      <c r="Y1206">
        <f>_xlfn.XLOOKUP($F1206,設計座標!$E$13:$E$2301,設計座標!$L$13:$L$2301," ",0,1)</f>
        <v>160</v>
      </c>
      <c r="Z1206">
        <f>SQRT(($M$1206-$M$1204)^2+($N$1206-$N$1204)^2)</f>
        <v>323.70449831119356</v>
      </c>
      <c r="AA1206">
        <f>_xlfn.XLOOKUP($G1206,magnet_list!$A$2:$A$592,magnet_list!$AJ$2:$AJ$592,"n/a",0,1)</f>
        <v>0.17374887133613809</v>
      </c>
      <c r="AB1206">
        <f>_xlfn.XLOOKUP($G1206,magnet_list!$A$2:$A$592,magnet_list!$L$2:$L$592,"n/a",0,1)</f>
        <v>44</v>
      </c>
    </row>
    <row r="1207" spans="1:30">
      <c r="A1207" t="s">
        <v>797</v>
      </c>
      <c r="B1207">
        <v>2</v>
      </c>
      <c r="C1207" t="s">
        <v>805</v>
      </c>
      <c r="D1207" t="s">
        <v>806</v>
      </c>
      <c r="F1207" t="s">
        <v>305</v>
      </c>
      <c r="G1207" t="s">
        <v>2639</v>
      </c>
      <c r="I1207">
        <f>_xlfn.XLOOKUP($F1207,設計座標!$E$13:$E$2301,設計座標!$G$13:$G$2301,"n/a",0,1)</f>
        <v>332.17706836564884</v>
      </c>
      <c r="J1207">
        <f>_xlfn.XLOOKUP($F1207,設計座標!$E$13:$E$2301,設計座標!$H$13:$H$2301,"n/a",0,1)</f>
        <v>-15000</v>
      </c>
      <c r="K1207">
        <f>_xlfn.XLOOKUP($F1207,設計座標!$E$13:$E$2301,設計座標!$I$13:$I$2301,"n/a",0,1)</f>
        <v>-67715.010899739995</v>
      </c>
      <c r="L1207">
        <f>_xlfn.XLOOKUP($F1207,設計座標!$E$13:$E$2301,設計座標!$J$13:$J$2301,"n/a",0,1)</f>
        <v>90</v>
      </c>
      <c r="M1207" s="2">
        <f>_xlfn.XLOOKUP($F1207,survey_data!$A$2:$A$833,survey_data!$B$2:$B$833,"n/a",0,1)</f>
        <v>-14990.838220789999</v>
      </c>
      <c r="N1207" s="2">
        <f>_xlfn.XLOOKUP($F1207,survey_data!$A$2:$A$833,survey_data!$C$2:$C$833,"n/a",0,1)</f>
        <v>-67715.010899739995</v>
      </c>
      <c r="O1207" s="23">
        <f>_xlfn.XLOOKUP($F1207,survey_data!$A$2:$A$833,survey_data!$D$2:$D$833,"n/a",0,1)</f>
        <v>88.628238019999998</v>
      </c>
      <c r="P1207" s="1">
        <f t="shared" si="946"/>
        <v>89.69193397675815</v>
      </c>
      <c r="Q1207" s="1">
        <f t="shared" si="969"/>
        <v>9.1617792100005317</v>
      </c>
      <c r="R1207">
        <f t="shared" si="970"/>
        <v>0</v>
      </c>
      <c r="S1207" s="23">
        <f t="shared" si="971"/>
        <v>-1.3717619800000023</v>
      </c>
      <c r="T1207">
        <f>$S1207+測地線補正!$Q$26*(lattice!$N1207/1000)^3+測地線補正!$P$26*(lattice!$N1207/1000)^2+測地線補正!$O$26*(lattice!$N1207/1000)+測地線補正!$N$26</f>
        <v>-0.30806602324184262</v>
      </c>
      <c r="U1207">
        <f t="shared" si="978"/>
        <v>4.4334505104445029E-4</v>
      </c>
      <c r="V1207">
        <v>0</v>
      </c>
      <c r="W1207">
        <f t="shared" si="979"/>
        <v>-6.8238105728439687E-4</v>
      </c>
      <c r="X1207">
        <f>$Z$1206-($Y$1206+$Y$1204)/2</f>
        <v>168.70449831119356</v>
      </c>
      <c r="Y1207">
        <f>_xlfn.XLOOKUP($F1207,設計座標!$E$13:$E$2301,設計座標!$L$13:$L$2301," ",0,1)</f>
        <v>160</v>
      </c>
      <c r="Z1207">
        <f>SQRT(($M$1206-$M$1204)^2+($N$1206-$N$1204)^2)</f>
        <v>323.70449831119356</v>
      </c>
      <c r="AA1207">
        <f>_xlfn.XLOOKUP($G1207,magnet_list!$A$2:$A$592,magnet_list!$AJ$2:$AJ$592,"n/a",0,1)</f>
        <v>0.17374887133613809</v>
      </c>
      <c r="AB1207">
        <f>_xlfn.XLOOKUP($G1207,magnet_list!$A$2:$A$592,magnet_list!$L$2:$L$592,"n/a",0,1)</f>
        <v>44</v>
      </c>
    </row>
    <row r="1208" spans="1:30">
      <c r="A1208" t="s">
        <v>797</v>
      </c>
      <c r="B1208">
        <v>2</v>
      </c>
      <c r="C1208" t="s">
        <v>805</v>
      </c>
      <c r="D1208" t="s">
        <v>1152</v>
      </c>
      <c r="E1208" t="s">
        <v>804</v>
      </c>
      <c r="F1208" t="s">
        <v>3886</v>
      </c>
      <c r="G1208" t="s">
        <v>3886</v>
      </c>
      <c r="I1208">
        <f>_xlfn.XLOOKUP($F1208,設計座標!$E$13:$E$2301,設計座標!$G$13:$G$2301,"n/a",0,1)</f>
        <v>332.43207236564882</v>
      </c>
      <c r="J1208">
        <f>_xlfn.XLOOKUP($F1208,設計座標!$E$13:$E$2301,設計座標!$H$13:$H$2301,"n/a",0,1)</f>
        <v>-15000</v>
      </c>
      <c r="K1208">
        <f>_xlfn.XLOOKUP($F1208,設計座標!$E$13:$E$2301,設計座標!$I$13:$I$2301,"n/a",0,1)</f>
        <v>-67970.014899739996</v>
      </c>
      <c r="L1208">
        <f>_xlfn.XLOOKUP($F1208,設計座標!$E$13:$E$2301,設計座標!$J$13:$J$2301,"n/a",0,1)</f>
        <v>-3.5</v>
      </c>
      <c r="M1208" s="2">
        <f t="shared" si="975"/>
        <v>-14990.703104755268</v>
      </c>
      <c r="N1208" s="2">
        <f t="shared" ref="N1208" si="980">$K1208</f>
        <v>-67970.014899739996</v>
      </c>
      <c r="O1208" s="23">
        <f t="shared" si="977"/>
        <v>-4.857920335079208</v>
      </c>
      <c r="P1208" s="1">
        <f t="shared" si="946"/>
        <v>-3.7872909240019208</v>
      </c>
      <c r="Q1208" s="1">
        <f>($Q$1209-$Q$1207)/($N$1209-$N$1207)*($N1208-$N$1207)+$Q$1207</f>
        <v>9.2968952447310969</v>
      </c>
      <c r="R1208">
        <f t="shared" si="970"/>
        <v>0</v>
      </c>
      <c r="S1208" s="23">
        <f>($S$1209-$S$1207)/($N$1209-$N$1207)*($N1208-$N$1207)+$S$1207</f>
        <v>-1.3579203350792082</v>
      </c>
      <c r="T1208">
        <f>$S1208+測地線補正!$Q$26*(lattice!$N1208/1000)^3+測地線補正!$P$26*(lattice!$N1208/1000)^2+測地線補正!$O$26*(lattice!$N1208/1000)+測地線補正!$N$26</f>
        <v>-0.28729092400192058</v>
      </c>
      <c r="U1208">
        <v>0</v>
      </c>
      <c r="V1208">
        <v>0</v>
      </c>
      <c r="W1208">
        <v>0</v>
      </c>
      <c r="X1208">
        <f>$Z$1208-($Y$1208+$Y$1206)/2</f>
        <v>170.00001173905576</v>
      </c>
      <c r="Y1208">
        <f>_xlfn.XLOOKUP($F1208,設計座標!$E$13:$E$2301,設計座標!$L$13:$L$2301," ",0,1)</f>
        <v>150</v>
      </c>
      <c r="Z1208">
        <f>SQRT(($M$1208-$M$1206)^2+($N$1208-$N$1206)^2)</f>
        <v>325.00001173905576</v>
      </c>
      <c r="AA1208">
        <f>_xlfn.XLOOKUP($G1208,magnet_list!$A$2:$A$592,magnet_list!$AJ$2:$AJ$592,"n/a",0,1)</f>
        <v>0.18992999999999999</v>
      </c>
      <c r="AB1208">
        <f>_xlfn.XLOOKUP($G1208,magnet_list!$A$2:$A$592,magnet_list!$L$2:$L$592,"n/a",0,1)</f>
        <v>35</v>
      </c>
    </row>
    <row r="1209" spans="1:30">
      <c r="A1209" t="s">
        <v>797</v>
      </c>
      <c r="B1209">
        <v>2</v>
      </c>
      <c r="C1209" t="s">
        <v>805</v>
      </c>
      <c r="D1209" t="s">
        <v>806</v>
      </c>
      <c r="F1209" t="s">
        <v>306</v>
      </c>
      <c r="G1209" t="s">
        <v>2640</v>
      </c>
      <c r="I1209">
        <f>_xlfn.XLOOKUP($F1209,設計座標!$E$13:$E$2301,設計座標!$G$13:$G$2301,"n/a",0,1)</f>
        <v>332.68768837912882</v>
      </c>
      <c r="J1209">
        <f>_xlfn.XLOOKUP($F1209,設計座標!$E$13:$E$2301,設計座標!$H$13:$H$2301,"n/a",0,1)</f>
        <v>-15000</v>
      </c>
      <c r="K1209">
        <f>_xlfn.XLOOKUP($F1209,設計座標!$E$13:$E$2301,設計座標!$I$13:$I$2301,"n/a",0,1)</f>
        <v>-68225.630913219997</v>
      </c>
      <c r="L1209">
        <f>_xlfn.XLOOKUP($F1209,設計座標!$E$13:$E$2301,設計座標!$J$13:$J$2301,"n/a",0,1)</f>
        <v>90</v>
      </c>
      <c r="M1209" s="2">
        <f>_xlfn.XLOOKUP($F1209,survey_data!$A$2:$A$833,survey_data!$B$2:$B$833,"n/a",0,1)</f>
        <v>-14990.567664439999</v>
      </c>
      <c r="N1209" s="2">
        <f>_xlfn.XLOOKUP($F1209,survey_data!$A$2:$A$833,survey_data!$C$2:$C$833,"n/a",0,1)</f>
        <v>-68225.630913219997</v>
      </c>
      <c r="O1209" s="23">
        <f>_xlfn.XLOOKUP($F1209,survey_data!$A$2:$A$833,survey_data!$D$2:$D$833,"n/a",0,1)</f>
        <v>88.655954530000002</v>
      </c>
      <c r="P1209" s="1">
        <f t="shared" si="946"/>
        <v>89.733516934270327</v>
      </c>
      <c r="Q1209" s="1">
        <f t="shared" si="969"/>
        <v>9.4323355600008654</v>
      </c>
      <c r="R1209">
        <f t="shared" si="970"/>
        <v>0</v>
      </c>
      <c r="S1209" s="23">
        <f t="shared" si="971"/>
        <v>-1.3440454699999975</v>
      </c>
      <c r="T1209">
        <f>$S1209+測地線補正!$Q$26*(lattice!$N1209/1000)^3+測地線補正!$P$26*(lattice!$N1209/1000)^2+測地線補正!$O$26*(lattice!$N1209/1000)+測地線補正!$N$26</f>
        <v>-0.26648306572966907</v>
      </c>
      <c r="U1209">
        <f>-ATAN(($P$1211-$P$1209)/ABS($N$1211-$N$1209))</f>
        <v>-1.45809008556455E-3</v>
      </c>
      <c r="V1209">
        <v>0</v>
      </c>
      <c r="W1209">
        <f>ATAN(($M$1211-$M$1209)/ABS($N$1211-$N$1209))</f>
        <v>8.8140124615618056E-5</v>
      </c>
      <c r="X1209">
        <f>$Z$1210-($Y$1210+$Y$1208)/2</f>
        <v>170.60254427381847</v>
      </c>
      <c r="Y1209">
        <f>_xlfn.XLOOKUP($F1209,設計座標!$E$13:$E$2301,設計座標!$L$13:$L$2301," ",0,1)</f>
        <v>160</v>
      </c>
      <c r="Z1209">
        <f>SQRT(($M$1210-$M$1208)^2+($N$1210-$N$1208)^2)</f>
        <v>325.60254427381847</v>
      </c>
      <c r="AA1209">
        <f>_xlfn.XLOOKUP($G1209,magnet_list!$A$2:$A$592,magnet_list!$AJ$2:$AJ$592,"n/a",0,1)</f>
        <v>0.17374887133613809</v>
      </c>
      <c r="AB1209">
        <f>_xlfn.XLOOKUP($G1209,magnet_list!$A$2:$A$592,magnet_list!$L$2:$L$592,"n/a",0,1)</f>
        <v>44</v>
      </c>
    </row>
    <row r="1210" spans="1:30">
      <c r="A1210" t="s">
        <v>797</v>
      </c>
      <c r="B1210">
        <v>2</v>
      </c>
      <c r="C1210" t="s">
        <v>805</v>
      </c>
      <c r="D1210" t="s">
        <v>1152</v>
      </c>
      <c r="E1210" t="s">
        <v>804</v>
      </c>
      <c r="F1210" t="s">
        <v>699</v>
      </c>
      <c r="G1210" t="s">
        <v>2640</v>
      </c>
      <c r="I1210">
        <f>_xlfn.XLOOKUP($F1210,設計座標!$E$13:$E$2301,設計座標!$G$13:$G$2301,"n/a",0,1)</f>
        <v>332.75767487912884</v>
      </c>
      <c r="J1210">
        <f>_xlfn.XLOOKUP($F1210,設計座標!$E$13:$E$2301,設計座標!$H$13:$H$2301,"n/a",0,1)</f>
        <v>-15000</v>
      </c>
      <c r="K1210">
        <f>_xlfn.XLOOKUP($F1210,設計座標!$E$13:$E$2301,設計座標!$I$13:$I$2301,"n/a",0,1)</f>
        <v>-68295.617413219996</v>
      </c>
      <c r="L1210">
        <f>_xlfn.XLOOKUP($F1210,設計座標!$E$13:$E$2301,設計座標!$J$13:$J$2301,"n/a",0,1)</f>
        <v>90</v>
      </c>
      <c r="M1210" s="2">
        <f t="shared" ref="M1210:M1276" si="981">$J1210+$Q1210</f>
        <v>-14990.561495821152</v>
      </c>
      <c r="N1210" s="2">
        <f t="shared" ref="N1210:N1276" si="982">$K1210</f>
        <v>-68295.617413219996</v>
      </c>
      <c r="O1210" s="23">
        <f t="shared" ref="O1210:O1276" si="983">$L1210+$S1210</f>
        <v>88.756106627097452</v>
      </c>
      <c r="P1210" s="1">
        <f t="shared" si="946"/>
        <v>89.835564269382544</v>
      </c>
      <c r="Q1210" s="1">
        <f>(Q$1211-Q$1209)/($N$1211-$N$1209)*($N1210-$N$1209)+Q$1209</f>
        <v>9.43850417884825</v>
      </c>
      <c r="R1210">
        <f t="shared" si="970"/>
        <v>0</v>
      </c>
      <c r="S1210" s="23">
        <f>(S$1211-S$1209)/($N$1211-$N$1209)*($N1210-$N$1209)+S$1209</f>
        <v>-1.2438933729025548</v>
      </c>
      <c r="T1210">
        <f>$S1210+測地線補正!$Q$26*(lattice!$N1210/1000)^3+測地線補正!$P$26*(lattice!$N1210/1000)^2+測地線補正!$O$26*(lattice!$N1210/1000)+測地線補正!$N$26</f>
        <v>-0.16443573061744865</v>
      </c>
      <c r="U1210">
        <f t="shared" ref="U1210:U1211" si="984">-ATAN(($P$1211-$P$1209)/ABS($N$1211-$N$1209))</f>
        <v>-1.45809008556455E-3</v>
      </c>
      <c r="V1210">
        <v>0</v>
      </c>
      <c r="W1210">
        <f t="shared" ref="W1210:W1211" si="985">ATAN(($M$1211-$M$1209)/ABS($N$1211-$N$1209))</f>
        <v>8.8140124615618056E-5</v>
      </c>
      <c r="X1210">
        <f>$Z$1210-($Y$1210+$Y$1208)/2</f>
        <v>170.60254427381847</v>
      </c>
      <c r="Y1210">
        <f>_xlfn.XLOOKUP($F1210,設計座標!$E$13:$E$2301,設計座標!$L$13:$L$2301," ",0,1)</f>
        <v>160</v>
      </c>
      <c r="Z1210">
        <f>SQRT(($M$1210-$M$1208)^2+($N$1210-$N$1208)^2)</f>
        <v>325.60254427381847</v>
      </c>
      <c r="AA1210">
        <f>_xlfn.XLOOKUP($G1210,magnet_list!$A$2:$A$592,magnet_list!$AJ$2:$AJ$592,"n/a",0,1)</f>
        <v>0.17374887133613809</v>
      </c>
      <c r="AB1210">
        <f>_xlfn.XLOOKUP($G1210,magnet_list!$A$2:$A$592,magnet_list!$L$2:$L$592,"n/a",0,1)</f>
        <v>44</v>
      </c>
    </row>
    <row r="1211" spans="1:30">
      <c r="A1211" t="s">
        <v>797</v>
      </c>
      <c r="B1211">
        <v>2</v>
      </c>
      <c r="C1211" t="s">
        <v>805</v>
      </c>
      <c r="D1211" t="s">
        <v>806</v>
      </c>
      <c r="F1211" t="s">
        <v>307</v>
      </c>
      <c r="G1211" t="s">
        <v>2640</v>
      </c>
      <c r="I1211">
        <f>_xlfn.XLOOKUP($F1211,設計座標!$E$13:$E$2301,設計座標!$G$13:$G$2301,"n/a",0,1)</f>
        <v>332.82765074042885</v>
      </c>
      <c r="J1211">
        <f>_xlfn.XLOOKUP($F1211,設計座標!$E$13:$E$2301,設計座標!$H$13:$H$2301,"n/a",0,1)</f>
        <v>-15000</v>
      </c>
      <c r="K1211">
        <f>_xlfn.XLOOKUP($F1211,設計座標!$E$13:$E$2301,設計座標!$I$13:$I$2301,"n/a",0,1)</f>
        <v>-68365.593274519997</v>
      </c>
      <c r="L1211">
        <f>_xlfn.XLOOKUP($F1211,設計座標!$E$13:$E$2301,設計座標!$J$13:$J$2301,"n/a",0,1)</f>
        <v>90</v>
      </c>
      <c r="M1211" s="2">
        <f>_xlfn.XLOOKUP($F1211,survey_data!$A$2:$A$833,survey_data!$B$2:$B$833,"n/a",0,1)</f>
        <v>-14990.555328140001</v>
      </c>
      <c r="N1211" s="2">
        <f>_xlfn.XLOOKUP($F1211,survey_data!$A$2:$A$833,survey_data!$C$2:$C$833,"n/a",0,1)</f>
        <v>-68365.593274519997</v>
      </c>
      <c r="O1211" s="23">
        <f>_xlfn.XLOOKUP($F1211,survey_data!$A$2:$A$833,survey_data!$D$2:$D$833,"n/a",0,1)</f>
        <v>88.856243500000005</v>
      </c>
      <c r="P1211" s="1">
        <f t="shared" si="946"/>
        <v>89.937594810259085</v>
      </c>
      <c r="Q1211" s="1">
        <f t="shared" si="969"/>
        <v>9.4446718599992892</v>
      </c>
      <c r="R1211">
        <f t="shared" si="970"/>
        <v>0</v>
      </c>
      <c r="S1211" s="23">
        <f t="shared" si="971"/>
        <v>-1.143756499999995</v>
      </c>
      <c r="T1211">
        <f>$S1211+測地線補正!$Q$26*(lattice!$N1211/1000)^3+測地線補正!$P$26*(lattice!$N1211/1000)^2+測地線補正!$O$26*(lattice!$N1211/1000)+測地線補正!$N$26</f>
        <v>-6.2405189740920353E-2</v>
      </c>
      <c r="U1211">
        <f t="shared" si="984"/>
        <v>-1.45809008556455E-3</v>
      </c>
      <c r="V1211">
        <v>0</v>
      </c>
      <c r="W1211">
        <f t="shared" si="985"/>
        <v>8.8140124615618056E-5</v>
      </c>
      <c r="X1211">
        <f>$Z$1210-($Y$1210+$Y$1208)/2</f>
        <v>170.60254427381847</v>
      </c>
      <c r="Y1211">
        <f>_xlfn.XLOOKUP($F1211,設計座標!$E$13:$E$2301,設計座標!$L$13:$L$2301," ",0,1)</f>
        <v>160</v>
      </c>
      <c r="Z1211">
        <f>SQRT(($M$1210-$M$1208)^2+($N$1210-$N$1208)^2)</f>
        <v>325.60254427381847</v>
      </c>
      <c r="AA1211">
        <f>_xlfn.XLOOKUP($G1211,magnet_list!$A$2:$A$592,magnet_list!$AJ$2:$AJ$592,"n/a",0,1)</f>
        <v>0.17374887133613809</v>
      </c>
      <c r="AB1211">
        <f>_xlfn.XLOOKUP($G1211,magnet_list!$A$2:$A$592,magnet_list!$L$2:$L$592,"n/a",0,1)</f>
        <v>44</v>
      </c>
    </row>
    <row r="1212" spans="1:30">
      <c r="A1212" t="s">
        <v>797</v>
      </c>
      <c r="B1212">
        <v>2</v>
      </c>
      <c r="C1212" t="s">
        <v>2288</v>
      </c>
      <c r="D1212" t="s">
        <v>1152</v>
      </c>
      <c r="E1212" t="s">
        <v>804</v>
      </c>
      <c r="F1212" t="s">
        <v>2339</v>
      </c>
      <c r="G1212" t="s">
        <v>2339</v>
      </c>
      <c r="I1212">
        <f>_xlfn.XLOOKUP($F1212,設計座標!$E$13:$E$2301,設計座標!$G$13:$G$2301,"n/a",0,1)</f>
        <v>332.9752378613689</v>
      </c>
      <c r="J1212">
        <f>_xlfn.XLOOKUP($F1212,設計座標!$E$13:$E$2301,設計座標!$H$13:$H$2301,"n/a",0,1)</f>
        <v>-15000</v>
      </c>
      <c r="K1212">
        <f>_xlfn.XLOOKUP($F1212,設計座標!$E$13:$E$2301,設計座標!$I$13:$I$2301,"n/a",0,1)</f>
        <v>-68513.180395460076</v>
      </c>
      <c r="L1212">
        <f>_xlfn.XLOOKUP($F1212,設計座標!$E$13:$E$2301,設計座標!$J$13:$J$2301,"n/a",0,1)</f>
        <v>-270</v>
      </c>
      <c r="M1212" s="2">
        <f t="shared" si="981"/>
        <v>-14990.490569539572</v>
      </c>
      <c r="N1212" s="2">
        <f t="shared" si="982"/>
        <v>-68513.180395460076</v>
      </c>
      <c r="O1212" s="23">
        <f t="shared" si="983"/>
        <v>-271.19200493512693</v>
      </c>
      <c r="P1212" s="1">
        <f t="shared" si="946"/>
        <v>-270.10666386340927</v>
      </c>
      <c r="Q1212" s="1">
        <f>(Q$1214-Q$1211)/($N$1214-$N$1211)*($N1212-$N$1211)+Q$1211</f>
        <v>9.509430460428721</v>
      </c>
      <c r="R1212">
        <f t="shared" si="970"/>
        <v>0</v>
      </c>
      <c r="S1212" s="23">
        <f t="shared" ref="S1212:S1213" si="986">(S$1214-S$1211)/($N$1214-$N$1211)*($N1212-$N$1211)+S$1211</f>
        <v>-1.1920049351269077</v>
      </c>
      <c r="T1212">
        <f>$S1212+測地線補正!$Q$26*(lattice!$N1212/1000)^3+測地線補正!$P$26*(lattice!$N1212/1000)^2+測地線補正!$O$26*(lattice!$N1212/1000)+測地線補正!$N$26</f>
        <v>-0.10666386340924672</v>
      </c>
      <c r="U1212">
        <v>0</v>
      </c>
      <c r="V1212">
        <v>0</v>
      </c>
      <c r="W1212">
        <v>0</v>
      </c>
      <c r="X1212">
        <f>$Z$1212-($Y$1212+$Y$1210)/2</f>
        <v>137.56299380118634</v>
      </c>
      <c r="Y1212">
        <f>_xlfn.XLOOKUP($F1212,設計座標!$E$13:$E$2301,設計座標!$L$13:$L$2301," ",0,1)</f>
        <v>0</v>
      </c>
      <c r="Z1212">
        <f>SQRT(($M$1212-$M$1210)^2+($N$1212-$N$1210)^2)</f>
        <v>217.56299380118634</v>
      </c>
    </row>
    <row r="1213" spans="1:30">
      <c r="A1213" t="s">
        <v>797</v>
      </c>
      <c r="B1213">
        <v>2</v>
      </c>
      <c r="C1213" t="s">
        <v>804</v>
      </c>
      <c r="D1213" t="s">
        <v>1152</v>
      </c>
      <c r="E1213" t="s">
        <v>804</v>
      </c>
      <c r="F1213" t="s">
        <v>1606</v>
      </c>
      <c r="G1213" t="s">
        <v>2641</v>
      </c>
      <c r="I1213">
        <f>_xlfn.XLOOKUP($F1213,設計座標!$E$13:$E$2301,設計座標!$G$13:$G$2301,"n/a",0,1)</f>
        <v>333.10523746136886</v>
      </c>
      <c r="J1213">
        <f>_xlfn.XLOOKUP($F1213,設計座標!$E$13:$E$2301,設計座標!$H$13:$H$2301,"n/a",0,1)</f>
        <v>-15000</v>
      </c>
      <c r="K1213">
        <f>_xlfn.XLOOKUP($F1213,設計座標!$E$13:$E$2301,設計座標!$I$13:$I$2301,"n/a",0,1)</f>
        <v>-68643.179995460072</v>
      </c>
      <c r="L1213">
        <f>_xlfn.XLOOKUP($F1213,設計座標!$E$13:$E$2301,設計座標!$J$13:$J$2301,"n/a",0,1)</f>
        <v>-270</v>
      </c>
      <c r="M1213" s="2">
        <f t="shared" si="981"/>
        <v>-14990.433528030131</v>
      </c>
      <c r="N1213" s="2">
        <f t="shared" si="982"/>
        <v>-68643.179995460072</v>
      </c>
      <c r="O1213" s="23">
        <f t="shared" si="983"/>
        <v>-271.23450374686041</v>
      </c>
      <c r="P1213" s="1">
        <f t="shared" si="946"/>
        <v>-270.14565308200622</v>
      </c>
      <c r="Q1213" s="1">
        <f>(Q$1214-Q$1211)/($N$1214-$N$1211)*($N1213-$N$1211)+Q$1211</f>
        <v>9.5664719698691254</v>
      </c>
      <c r="R1213">
        <f t="shared" si="970"/>
        <v>0</v>
      </c>
      <c r="S1213" s="23">
        <f t="shared" si="986"/>
        <v>-1.2345037468604259</v>
      </c>
      <c r="T1213">
        <f>$S1213+測地線補正!$Q$26*(lattice!$N1213/1000)^3+測地線補正!$P$26*(lattice!$N1213/1000)^2+測地線補正!$O$26*(lattice!$N1213/1000)+測地線補正!$N$26</f>
        <v>-0.14565308200622273</v>
      </c>
      <c r="U1213">
        <f>-ATAN(($P$1221-$P$1213)/ABS($N$1221-$N$1213))</f>
        <v>6.9130131774592307E-5</v>
      </c>
      <c r="V1213">
        <v>0</v>
      </c>
      <c r="W1213">
        <f>ATAN(($M$1221-$M$1213)/ABS($N$1221-$N$1213))</f>
        <v>2.238553867603944E-4</v>
      </c>
      <c r="X1213">
        <f>SQRT(($M$1213-$M$1212)^2+($N$1213-$N$1212)^2)</f>
        <v>129.99961251439422</v>
      </c>
      <c r="Y1213">
        <f>_xlfn.XLOOKUP($F1213,設計座標!$E$13:$E$2301,設計座標!$L$13:$L$2301," ",0,1)</f>
        <v>1889.4492</v>
      </c>
      <c r="Z1213">
        <f>SQRT(($M$1217-$M$1215)^2+($N$1217-$N$1215)^2)</f>
        <v>439.16125599729418</v>
      </c>
    </row>
    <row r="1214" spans="1:30">
      <c r="A1214" t="s">
        <v>797</v>
      </c>
      <c r="B1214">
        <v>2</v>
      </c>
      <c r="C1214" t="s">
        <v>805</v>
      </c>
      <c r="D1214" t="s">
        <v>806</v>
      </c>
      <c r="F1214" t="s">
        <v>308</v>
      </c>
      <c r="G1214" t="s">
        <v>2642</v>
      </c>
      <c r="I1214">
        <f>_xlfn.XLOOKUP($F1214,設計座標!$E$13:$E$2301,設計座標!$G$13:$G$2301,"n/a",0,1)</f>
        <v>333.47580031262885</v>
      </c>
      <c r="J1214">
        <f>_xlfn.XLOOKUP($F1214,設計座標!$E$13:$E$2301,設計座標!$H$13:$H$2301,"n/a",0,1)</f>
        <v>-15000</v>
      </c>
      <c r="K1214">
        <f>_xlfn.XLOOKUP($F1214,設計座標!$E$13:$E$2301,設計座標!$I$13:$I$2301,"n/a",0,1)</f>
        <v>-69013.742846719993</v>
      </c>
      <c r="L1214">
        <f>_xlfn.XLOOKUP($F1214,設計座標!$E$13:$E$2301,設計座標!$J$13:$J$2301,"n/a",0,1)</f>
        <v>75</v>
      </c>
      <c r="M1214" s="2">
        <f>_xlfn.XLOOKUP($F1214,survey_data!$A$2:$A$833,survey_data!$B$2:$B$833,"n/a",0,1)</f>
        <v>-14990.27093165</v>
      </c>
      <c r="N1214" s="2">
        <f>_xlfn.XLOOKUP($F1214,survey_data!$A$2:$A$833,survey_data!$C$2:$C$833,"n/a",0,1)</f>
        <v>-69013.742846719993</v>
      </c>
      <c r="O1214" s="23">
        <f>_xlfn.XLOOKUP($F1214,survey_data!$A$2:$A$833,survey_data!$D$2:$D$833,"n/a",0,1)</f>
        <v>73.644353719999998</v>
      </c>
      <c r="P1214" s="1">
        <f t="shared" si="946"/>
        <v>74.743184206215403</v>
      </c>
      <c r="Q1214" s="1">
        <f t="shared" si="969"/>
        <v>9.7290683499995794</v>
      </c>
      <c r="R1214">
        <f t="shared" si="970"/>
        <v>0</v>
      </c>
      <c r="S1214" s="23">
        <f t="shared" si="971"/>
        <v>-1.355646280000002</v>
      </c>
      <c r="T1214">
        <f>$S1214+測地線補正!$Q$26*(lattice!$N1214/1000)^3+測地線補正!$P$26*(lattice!$N1214/1000)^2+測地線補正!$O$26*(lattice!$N1214/1000)+測地線補正!$N$26</f>
        <v>-0.25681579378460362</v>
      </c>
      <c r="U1214">
        <f>-ATAN(($P$1216-$P$1214)/ABS($N$1216-$N$1214))</f>
        <v>8.7429200965915939E-5</v>
      </c>
      <c r="V1214">
        <v>0</v>
      </c>
      <c r="W1214">
        <f>ATAN(($M$1216-$M$1214)/ABS($N$1216-$N$1214))</f>
        <v>9.9532075869335522E-5</v>
      </c>
      <c r="X1214" t="s">
        <v>3860</v>
      </c>
      <c r="Y1214">
        <f>_xlfn.XLOOKUP($F1214,設計座標!$E$13:$E$2301,設計座標!$L$13:$L$2301," ",0,1)</f>
        <v>300</v>
      </c>
      <c r="Z1214">
        <f>SQRT(($M$1215-$M$1212)^2+($N$1215-$N$1212)^2)</f>
        <v>635.56299399670604</v>
      </c>
      <c r="AA1214">
        <f>_xlfn.XLOOKUP($G1214,magnet_list!$A$2:$A$592,magnet_list!$AJ$2:$AJ$592,"n/a",0,1)</f>
        <v>0.32714527067797677</v>
      </c>
      <c r="AB1214">
        <f>_xlfn.XLOOKUP($G1214,magnet_list!$A$2:$A$592,magnet_list!$L$2:$L$592,"n/a",0,1)</f>
        <v>120</v>
      </c>
    </row>
    <row r="1215" spans="1:30">
      <c r="A1215" t="s">
        <v>797</v>
      </c>
      <c r="B1215">
        <v>2</v>
      </c>
      <c r="C1215" t="s">
        <v>805</v>
      </c>
      <c r="D1215" t="s">
        <v>1152</v>
      </c>
      <c r="E1215" t="s">
        <v>804</v>
      </c>
      <c r="F1215" t="s">
        <v>700</v>
      </c>
      <c r="G1215" t="s">
        <v>2642</v>
      </c>
      <c r="I1215">
        <f>_xlfn.XLOOKUP($F1215,設計座標!$E$13:$E$2301,設計座標!$G$13:$G$2301,"n/a",0,1)</f>
        <v>333.61080081262884</v>
      </c>
      <c r="J1215">
        <f>_xlfn.XLOOKUP($F1215,設計座標!$E$13:$E$2301,設計座標!$H$13:$H$2301,"n/a",0,1)</f>
        <v>-15000</v>
      </c>
      <c r="K1215">
        <f>_xlfn.XLOOKUP($F1215,設計座標!$E$13:$E$2301,設計座標!$I$13:$I$2301,"n/a",0,1)</f>
        <v>-69148.743346719988</v>
      </c>
      <c r="L1215">
        <f>_xlfn.XLOOKUP($F1215,設計座標!$E$13:$E$2301,設計座標!$J$13:$J$2301,"n/a",0,1)</f>
        <v>75</v>
      </c>
      <c r="M1215" s="2">
        <f t="shared" si="981"/>
        <v>-14990.257494769947</v>
      </c>
      <c r="N1215" s="2">
        <f t="shared" si="982"/>
        <v>-69148.743346719988</v>
      </c>
      <c r="O1215" s="23">
        <f t="shared" si="983"/>
        <v>73.628926259760377</v>
      </c>
      <c r="P1215" s="1">
        <f t="shared" si="946"/>
        <v>74.731383599121983</v>
      </c>
      <c r="Q1215" s="1">
        <f>(Q$1216-Q$1214)/($N$1216-$N$1214)*($N1215-$N$1214)+Q$1214</f>
        <v>9.7425052300523483</v>
      </c>
      <c r="R1215">
        <f t="shared" si="970"/>
        <v>0</v>
      </c>
      <c r="S1215" s="23">
        <f>(S$1216-S$1214)/($N$1216-$N$1214)*($N1215-$N$1214)+S$1214</f>
        <v>-1.3710737402396174</v>
      </c>
      <c r="T1215">
        <f>$S1215+測地線補正!$Q$26*(lattice!$N1215/1000)^3+測地線補正!$P$26*(lattice!$N1215/1000)^2+測地線補正!$O$26*(lattice!$N1215/1000)+測地線補正!$N$26</f>
        <v>-0.26861640087801031</v>
      </c>
      <c r="U1215">
        <f t="shared" ref="U1215:U1216" si="987">-ATAN(($P$1216-$P$1214)/ABS($N$1216-$N$1214))</f>
        <v>8.7429200965915939E-5</v>
      </c>
      <c r="V1215">
        <v>0</v>
      </c>
      <c r="W1215">
        <f t="shared" ref="W1215:W1216" si="988">ATAN(($M$1216-$M$1214)/ABS($N$1216-$N$1214))</f>
        <v>9.9532075869335522E-5</v>
      </c>
      <c r="X1215" t="s">
        <v>3860</v>
      </c>
      <c r="Y1215">
        <f>_xlfn.XLOOKUP($F1215,設計座標!$E$13:$E$2301,設計座標!$L$13:$L$2301," ",0,1)</f>
        <v>300</v>
      </c>
      <c r="Z1215">
        <f>SQRT(($M$1215-$M$1212)^2+($N$1215-$N$1212)^2)</f>
        <v>635.56299399670604</v>
      </c>
      <c r="AA1215">
        <f>_xlfn.XLOOKUP($G1215,magnet_list!$A$2:$A$592,magnet_list!$AJ$2:$AJ$592,"n/a",0,1)</f>
        <v>0.32714527067797677</v>
      </c>
      <c r="AB1215">
        <f>_xlfn.XLOOKUP($G1215,magnet_list!$A$2:$A$592,magnet_list!$L$2:$L$592,"n/a",0,1)</f>
        <v>120</v>
      </c>
    </row>
    <row r="1216" spans="1:30">
      <c r="A1216" t="s">
        <v>797</v>
      </c>
      <c r="B1216">
        <v>2</v>
      </c>
      <c r="C1216" t="s">
        <v>805</v>
      </c>
      <c r="D1216" t="s">
        <v>806</v>
      </c>
      <c r="F1216" t="s">
        <v>309</v>
      </c>
      <c r="G1216" t="s">
        <v>2642</v>
      </c>
      <c r="I1216">
        <f>_xlfn.XLOOKUP($F1216,設計座標!$E$13:$E$2301,設計座標!$G$13:$G$2301,"n/a",0,1)</f>
        <v>333.74577890673885</v>
      </c>
      <c r="J1216">
        <f>_xlfn.XLOOKUP($F1216,設計座標!$E$13:$E$2301,設計座標!$H$13:$H$2301,"n/a",0,1)</f>
        <v>-15000</v>
      </c>
      <c r="K1216">
        <f>_xlfn.XLOOKUP($F1216,設計座標!$E$13:$E$2301,設計座標!$I$13:$I$2301,"n/a",0,1)</f>
        <v>-69283.721440830006</v>
      </c>
      <c r="L1216">
        <f>_xlfn.XLOOKUP($F1216,設計座標!$E$13:$E$2301,設計座標!$J$13:$J$2301,"n/a",0,1)</f>
        <v>75</v>
      </c>
      <c r="M1216" s="2">
        <f>_xlfn.XLOOKUP($F1216,survey_data!$A$2:$A$833,survey_data!$B$2:$B$833,"n/a",0,1)</f>
        <v>-14990.24406012</v>
      </c>
      <c r="N1216" s="2">
        <f>_xlfn.XLOOKUP($F1216,survey_data!$A$2:$A$833,survey_data!$C$2:$C$833,"n/a",0,1)</f>
        <v>-69283.721440830006</v>
      </c>
      <c r="O1216" s="23">
        <f>_xlfn.XLOOKUP($F1216,survey_data!$A$2:$A$833,survey_data!$D$2:$D$833,"n/a",0,1)</f>
        <v>73.613501360000001</v>
      </c>
      <c r="P1216" s="1">
        <f t="shared" si="946"/>
        <v>74.719580193394322</v>
      </c>
      <c r="Q1216" s="1">
        <f t="shared" si="969"/>
        <v>9.7559398800003692</v>
      </c>
      <c r="R1216">
        <f t="shared" si="970"/>
        <v>0</v>
      </c>
      <c r="S1216" s="23">
        <f t="shared" si="971"/>
        <v>-1.3864986399999992</v>
      </c>
      <c r="T1216">
        <f>$S1216+測地線補正!$Q$26*(lattice!$N1216/1000)^3+測地線補正!$P$26*(lattice!$N1216/1000)^2+測地線補正!$O$26*(lattice!$N1216/1000)+測地線補正!$N$26</f>
        <v>-0.28041980660567334</v>
      </c>
      <c r="U1216">
        <f t="shared" si="987"/>
        <v>8.7429200965915939E-5</v>
      </c>
      <c r="V1216">
        <v>0</v>
      </c>
      <c r="W1216">
        <f t="shared" si="988"/>
        <v>9.9532075869335522E-5</v>
      </c>
      <c r="X1216" t="s">
        <v>3860</v>
      </c>
      <c r="Y1216">
        <f>_xlfn.XLOOKUP($F1216,設計座標!$E$13:$E$2301,設計座標!$L$13:$L$2301," ",0,1)</f>
        <v>300</v>
      </c>
      <c r="Z1216">
        <f>SQRT(($M$1215-$M$1212)^2+($N$1215-$N$1212)^2)</f>
        <v>635.56299399670604</v>
      </c>
      <c r="AA1216">
        <f>_xlfn.XLOOKUP($G1216,magnet_list!$A$2:$A$592,magnet_list!$AJ$2:$AJ$592,"n/a",0,1)</f>
        <v>0.32714527067797677</v>
      </c>
      <c r="AB1216">
        <f>_xlfn.XLOOKUP($G1216,magnet_list!$A$2:$A$592,magnet_list!$L$2:$L$592,"n/a",0,1)</f>
        <v>120</v>
      </c>
    </row>
    <row r="1217" spans="1:28">
      <c r="A1217" t="s">
        <v>797</v>
      </c>
      <c r="B1217">
        <v>2</v>
      </c>
      <c r="C1217" t="s">
        <v>804</v>
      </c>
      <c r="D1217" t="s">
        <v>1152</v>
      </c>
      <c r="E1217" t="s">
        <v>804</v>
      </c>
      <c r="F1217" t="s">
        <v>1193</v>
      </c>
      <c r="G1217" t="s">
        <v>2641</v>
      </c>
      <c r="I1217">
        <f>_xlfn.XLOOKUP($F1217,設計座標!$E$13:$E$2301,設計座標!$G$13:$G$2301,"n/a",0,1)</f>
        <v>334.04996206136889</v>
      </c>
      <c r="J1217">
        <f>_xlfn.XLOOKUP($F1217,設計座標!$E$13:$E$2301,設計座標!$H$13:$H$2301,"n/a",0,1)</f>
        <v>-15000</v>
      </c>
      <c r="K1217">
        <f>_xlfn.XLOOKUP($F1217,設計座標!$E$13:$E$2301,設計座標!$I$13:$I$2301,"n/a",0,1)</f>
        <v>-69587.904595460073</v>
      </c>
      <c r="L1217">
        <f>_xlfn.XLOOKUP($F1217,設計座標!$E$13:$E$2301,設計座標!$J$13:$J$2301,"n/a",0,1)</f>
        <v>-270</v>
      </c>
      <c r="M1217" s="2">
        <f t="shared" si="981"/>
        <v>-14990.177656371499</v>
      </c>
      <c r="N1217" s="2">
        <f t="shared" si="982"/>
        <v>-69587.904595460073</v>
      </c>
      <c r="O1217" s="23">
        <f t="shared" si="983"/>
        <v>-271.36339079364575</v>
      </c>
      <c r="P1217" s="1">
        <f t="shared" si="946"/>
        <v>-270.24916808295433</v>
      </c>
      <c r="Q1217" s="1">
        <f>(Q$1218-Q$1216)/($N$1218-$N$1216)*($N1217-$N$1216)+Q$1216</f>
        <v>9.8223436285011019</v>
      </c>
      <c r="R1217">
        <f t="shared" si="970"/>
        <v>0</v>
      </c>
      <c r="S1217" s="23">
        <f>(S$1218-S$1216)/($N$1218-$N$1216)*($N1217-$N$1216)+S$1216</f>
        <v>-1.3633907936457232</v>
      </c>
      <c r="T1217">
        <f>$S1217+測地線補正!$Q$26*(lattice!$N1217/1000)^3+測地線補正!$P$26*(lattice!$N1217/1000)^2+測地線補正!$O$26*(lattice!$N1217/1000)+測地線補正!$N$26</f>
        <v>-0.24916808295432991</v>
      </c>
      <c r="U1217">
        <f>-ATAN(($P$1221-$P$1213)/ABS($N$1221-$N$1213))</f>
        <v>6.9130131774592307E-5</v>
      </c>
      <c r="V1217">
        <v>0</v>
      </c>
      <c r="W1217">
        <f>ATAN(($M$1221-$M$1213)/ABS($N$1221-$N$1213))</f>
        <v>2.238553867603944E-4</v>
      </c>
      <c r="X1217" t="s">
        <v>3860</v>
      </c>
      <c r="Y1217">
        <f>_xlfn.XLOOKUP($F1217,設計座標!$E$13:$E$2301,設計座標!$L$13:$L$2301," ",0,1)</f>
        <v>1889.4492</v>
      </c>
      <c r="Z1217">
        <f>SQRT(($M$1217-$M$1215)^2+($N$1217-$N$1215)^2)</f>
        <v>439.16125599729418</v>
      </c>
    </row>
    <row r="1218" spans="1:28">
      <c r="A1218" t="s">
        <v>797</v>
      </c>
      <c r="B1218">
        <v>2</v>
      </c>
      <c r="C1218" t="s">
        <v>805</v>
      </c>
      <c r="D1218" t="s">
        <v>806</v>
      </c>
      <c r="F1218" t="s">
        <v>310</v>
      </c>
      <c r="G1218" t="s">
        <v>2643</v>
      </c>
      <c r="I1218">
        <f>_xlfn.XLOOKUP($F1218,設計座標!$E$13:$E$2301,設計座標!$G$13:$G$2301,"n/a",0,1)</f>
        <v>334.28777007385884</v>
      </c>
      <c r="J1218">
        <f>_xlfn.XLOOKUP($F1218,設計座標!$E$13:$E$2301,設計座標!$H$13:$H$2301,"n/a",0,1)</f>
        <v>-15000</v>
      </c>
      <c r="K1218">
        <f>_xlfn.XLOOKUP($F1218,設計座標!$E$13:$E$2301,設計座標!$I$13:$I$2301,"n/a",0,1)</f>
        <v>-69825.712607950001</v>
      </c>
      <c r="L1218">
        <f>_xlfn.XLOOKUP($F1218,設計座標!$E$13:$E$2301,設計座標!$J$13:$J$2301,"n/a",0,1)</f>
        <v>75</v>
      </c>
      <c r="M1218" s="2">
        <f>_xlfn.XLOOKUP($F1218,survey_data!$A$2:$A$833,survey_data!$B$2:$B$833,"n/a",0,1)</f>
        <v>-14990.125742439999</v>
      </c>
      <c r="N1218" s="2">
        <f>_xlfn.XLOOKUP($F1218,survey_data!$A$2:$A$833,survey_data!$C$2:$C$833,"n/a",0,1)</f>
        <v>-69825.712607950001</v>
      </c>
      <c r="O1218" s="23">
        <f>_xlfn.XLOOKUP($F1218,survey_data!$A$2:$A$833,survey_data!$D$2:$D$833,"n/a",0,1)</f>
        <v>73.654674740000004</v>
      </c>
      <c r="P1218" s="1">
        <f t="shared" si="946"/>
        <v>74.775247466424332</v>
      </c>
      <c r="Q1218" s="1">
        <f t="shared" si="969"/>
        <v>9.8742575600008422</v>
      </c>
      <c r="R1218">
        <f t="shared" si="970"/>
        <v>0</v>
      </c>
      <c r="S1218" s="23">
        <f t="shared" si="971"/>
        <v>-1.3453252599999956</v>
      </c>
      <c r="T1218">
        <f>$S1218+測地線補正!$Q$26*(lattice!$N1218/1000)^3+測地線補正!$P$26*(lattice!$N1218/1000)^2+測地線補正!$O$26*(lattice!$N1218/1000)+測地線補正!$N$26</f>
        <v>-0.22475253357566261</v>
      </c>
      <c r="U1218">
        <f>-ATAN(($P$1220-$P$1218)/ABS($N$1220-$N$1218))</f>
        <v>-5.1820246374882771E-5</v>
      </c>
      <c r="V1218">
        <v>0</v>
      </c>
      <c r="W1218">
        <f>ATAN(($M$1220-$M$1218)/ABS($N$1220-$N$1218))</f>
        <v>1.5824565320289314E-4</v>
      </c>
      <c r="X1218" t="s">
        <v>3860</v>
      </c>
      <c r="Y1218">
        <f>_xlfn.XLOOKUP($F1218,設計座標!$E$13:$E$2301,設計座標!$L$13:$L$2301," ",0,1)</f>
        <v>300</v>
      </c>
      <c r="Z1218">
        <f>SQRT(($M$1219-$M$1217)^2+($N$1219-$N$1217)^2)</f>
        <v>372.80151969133431</v>
      </c>
      <c r="AA1218">
        <f>_xlfn.XLOOKUP($G1218,magnet_list!$A$2:$A$592,magnet_list!$AJ$2:$AJ$592,"n/a",0,1)</f>
        <v>0.32714527067797677</v>
      </c>
      <c r="AB1218">
        <f>_xlfn.XLOOKUP($G1218,magnet_list!$A$2:$A$592,magnet_list!$L$2:$L$592,"n/a",0,1)</f>
        <v>120</v>
      </c>
    </row>
    <row r="1219" spans="1:28">
      <c r="A1219" t="s">
        <v>797</v>
      </c>
      <c r="B1219">
        <v>2</v>
      </c>
      <c r="C1219" t="s">
        <v>805</v>
      </c>
      <c r="D1219" t="s">
        <v>1152</v>
      </c>
      <c r="E1219" t="s">
        <v>804</v>
      </c>
      <c r="F1219" t="s">
        <v>701</v>
      </c>
      <c r="G1219" t="s">
        <v>2643</v>
      </c>
      <c r="I1219">
        <f>_xlfn.XLOOKUP($F1219,設計座標!$E$13:$E$2301,設計座標!$G$13:$G$2301,"n/a",0,1)</f>
        <v>334.42276357385884</v>
      </c>
      <c r="J1219">
        <f>_xlfn.XLOOKUP($F1219,設計座標!$E$13:$E$2301,設計座標!$H$13:$H$2301,"n/a",0,1)</f>
        <v>-15000</v>
      </c>
      <c r="K1219">
        <f>_xlfn.XLOOKUP($F1219,設計座標!$E$13:$E$2301,設計座標!$I$13:$I$2301,"n/a",0,1)</f>
        <v>-69960.706107950013</v>
      </c>
      <c r="L1219">
        <f>_xlfn.XLOOKUP($F1219,設計座標!$E$13:$E$2301,設計座標!$J$13:$J$2301,"n/a",0,1)</f>
        <v>75</v>
      </c>
      <c r="M1219" s="2">
        <f t="shared" si="981"/>
        <v>-14990.104380305234</v>
      </c>
      <c r="N1219" s="2">
        <f t="shared" si="982"/>
        <v>-69960.706107950013</v>
      </c>
      <c r="O1219" s="23">
        <f t="shared" si="983"/>
        <v>73.658074432348016</v>
      </c>
      <c r="P1219" s="1">
        <f t="shared" si="946"/>
        <v>74.78224523623085</v>
      </c>
      <c r="Q1219" s="1">
        <f>(Q$1220-Q$1218)/($N$1220-$N$1218)*($N1219-$N$1218)+Q$1218</f>
        <v>9.8956196947648039</v>
      </c>
      <c r="R1219">
        <f t="shared" si="970"/>
        <v>0</v>
      </c>
      <c r="S1219" s="23">
        <f>(S$1220-S$1218)/($N$1220-$N$1218)*($N1219-$N$1218)+S$1218</f>
        <v>-1.3419255676519868</v>
      </c>
      <c r="T1219">
        <f>$S1219+測地線補正!$Q$26*(lattice!$N1219/1000)^3+測地線補正!$P$26*(lattice!$N1219/1000)^2+測地線補正!$O$26*(lattice!$N1219/1000)+測地線補正!$N$26</f>
        <v>-0.21775476376914882</v>
      </c>
      <c r="U1219">
        <f t="shared" ref="U1219:U1220" si="989">-ATAN(($P$1220-$P$1218)/ABS($N$1220-$N$1218))</f>
        <v>-5.1820246374882771E-5</v>
      </c>
      <c r="V1219">
        <v>0</v>
      </c>
      <c r="W1219">
        <f t="shared" ref="W1219:W1220" si="990">ATAN(($M$1220-$M$1218)/ABS($N$1220-$N$1218))</f>
        <v>1.5824565320289314E-4</v>
      </c>
      <c r="X1219" t="s">
        <v>3860</v>
      </c>
      <c r="Y1219">
        <f>_xlfn.XLOOKUP($F1219,設計座標!$E$13:$E$2301,設計座標!$L$13:$L$2301," ",0,1)</f>
        <v>300</v>
      </c>
      <c r="Z1219">
        <f>SQRT(($M$1219-$M$1217)^2+($N$1219-$N$1217)^2)</f>
        <v>372.80151969133431</v>
      </c>
      <c r="AA1219">
        <f>_xlfn.XLOOKUP($G1219,magnet_list!$A$2:$A$592,magnet_list!$AJ$2:$AJ$592,"n/a",0,1)</f>
        <v>0.32714527067797677</v>
      </c>
      <c r="AB1219">
        <f>_xlfn.XLOOKUP($G1219,magnet_list!$A$2:$A$592,magnet_list!$L$2:$L$592,"n/a",0,1)</f>
        <v>120</v>
      </c>
    </row>
    <row r="1220" spans="1:28">
      <c r="A1220" t="s">
        <v>797</v>
      </c>
      <c r="B1220">
        <v>2</v>
      </c>
      <c r="C1220" t="s">
        <v>805</v>
      </c>
      <c r="D1220" t="s">
        <v>806</v>
      </c>
      <c r="F1220" t="s">
        <v>311</v>
      </c>
      <c r="G1220" t="s">
        <v>2643</v>
      </c>
      <c r="I1220">
        <f>_xlfn.XLOOKUP($F1220,設計座標!$E$13:$E$2301,設計座標!$G$13:$G$2301,"n/a",0,1)</f>
        <v>334.55778349145885</v>
      </c>
      <c r="J1220">
        <f>_xlfn.XLOOKUP($F1220,設計座標!$E$13:$E$2301,設計座標!$H$13:$H$2301,"n/a",0,1)</f>
        <v>-15000</v>
      </c>
      <c r="K1220">
        <f>_xlfn.XLOOKUP($F1220,設計座標!$E$13:$E$2301,設計座標!$I$13:$I$2301,"n/a",0,1)</f>
        <v>-70095.72602555</v>
      </c>
      <c r="L1220">
        <f>_xlfn.XLOOKUP($F1220,設計座標!$E$13:$E$2301,設計座標!$J$13:$J$2301,"n/a",0,1)</f>
        <v>75</v>
      </c>
      <c r="M1220" s="2">
        <f>_xlfn.XLOOKUP($F1220,survey_data!$A$2:$A$833,survey_data!$B$2:$B$833,"n/a",0,1)</f>
        <v>-14990.083013990001</v>
      </c>
      <c r="N1220" s="2">
        <f>_xlfn.XLOOKUP($F1220,survey_data!$A$2:$A$833,survey_data!$C$2:$C$833,"n/a",0,1)</f>
        <v>-70095.72602555</v>
      </c>
      <c r="O1220" s="23">
        <f>_xlfn.XLOOKUP($F1220,survey_data!$A$2:$A$833,survey_data!$D$2:$D$833,"n/a",0,1)</f>
        <v>73.66147479</v>
      </c>
      <c r="P1220" s="1">
        <f t="shared" si="946"/>
        <v>74.789239628261413</v>
      </c>
      <c r="Q1220" s="1">
        <f t="shared" si="969"/>
        <v>9.9169860099991638</v>
      </c>
      <c r="R1220">
        <f t="shared" si="970"/>
        <v>0</v>
      </c>
      <c r="S1220" s="23">
        <f t="shared" si="971"/>
        <v>-1.3385252100000002</v>
      </c>
      <c r="T1220">
        <f>$S1220+測地線補正!$Q$26*(lattice!$N1220/1000)^3+測地線補正!$P$26*(lattice!$N1220/1000)^2+測地線補正!$O$26*(lattice!$N1220/1000)+測地線補正!$N$26</f>
        <v>-0.21076037173858864</v>
      </c>
      <c r="U1220">
        <f t="shared" si="989"/>
        <v>-5.1820246374882771E-5</v>
      </c>
      <c r="V1220">
        <v>0</v>
      </c>
      <c r="W1220">
        <f t="shared" si="990"/>
        <v>1.5824565320289314E-4</v>
      </c>
      <c r="X1220" t="s">
        <v>3860</v>
      </c>
      <c r="Y1220">
        <f>_xlfn.XLOOKUP($F1220,設計座標!$E$13:$E$2301,設計座標!$L$13:$L$2301," ",0,1)</f>
        <v>300</v>
      </c>
      <c r="Z1220">
        <f>SQRT(($M$1219-$M$1217)^2+($N$1219-$N$1217)^2)</f>
        <v>372.80151969133431</v>
      </c>
      <c r="AA1220">
        <f>_xlfn.XLOOKUP($G1220,magnet_list!$A$2:$A$592,magnet_list!$AJ$2:$AJ$592,"n/a",0,1)</f>
        <v>0.32714527067797677</v>
      </c>
      <c r="AB1220">
        <f>_xlfn.XLOOKUP($G1220,magnet_list!$A$2:$A$592,magnet_list!$L$2:$L$592,"n/a",0,1)</f>
        <v>120</v>
      </c>
    </row>
    <row r="1221" spans="1:28">
      <c r="A1221" t="s">
        <v>797</v>
      </c>
      <c r="B1221">
        <v>2</v>
      </c>
      <c r="C1221" t="s">
        <v>804</v>
      </c>
      <c r="D1221" t="s">
        <v>1152</v>
      </c>
      <c r="E1221" t="s">
        <v>804</v>
      </c>
      <c r="F1221" t="s">
        <v>1607</v>
      </c>
      <c r="G1221" t="s">
        <v>2641</v>
      </c>
      <c r="I1221">
        <f>_xlfn.XLOOKUP($F1221,設計座標!$E$13:$E$2301,設計座標!$G$13:$G$2301,"n/a",0,1)</f>
        <v>334.99468666136892</v>
      </c>
      <c r="J1221">
        <f>_xlfn.XLOOKUP($F1221,設計座標!$E$13:$E$2301,設計座標!$H$13:$H$2301,"n/a",0,1)</f>
        <v>-15000</v>
      </c>
      <c r="K1221">
        <f>_xlfn.XLOOKUP($F1221,設計座標!$E$13:$E$2301,設計座標!$I$13:$I$2301,"n/a",0,1)</f>
        <v>-70532.629195460075</v>
      </c>
      <c r="L1221">
        <f>_xlfn.XLOOKUP($F1221,設計座標!$E$13:$E$2301,設計座標!$J$13:$J$2301,"n/a",0,1)</f>
        <v>-270</v>
      </c>
      <c r="M1221" s="2">
        <f t="shared" si="981"/>
        <v>-14990.010564641636</v>
      </c>
      <c r="N1221" s="2">
        <f t="shared" si="982"/>
        <v>-70532.629195460075</v>
      </c>
      <c r="O1221" s="23">
        <f t="shared" si="983"/>
        <v>-271.41563300831211</v>
      </c>
      <c r="P1221" s="1">
        <f t="shared" si="946"/>
        <v>-270.27627095439169</v>
      </c>
      <c r="Q1221" s="1">
        <f>(Q$1222-Q$1220)/($N$1222-$N$1220)*($N1221-$N$1220)+Q$1220</f>
        <v>9.9894353583641795</v>
      </c>
      <c r="R1221">
        <f t="shared" si="970"/>
        <v>0</v>
      </c>
      <c r="S1221" s="23">
        <f>(S$1222-S$1220)/($N$1222-$N$1220)*($N1221-$N$1220)+S$1220</f>
        <v>-1.4156330083121136</v>
      </c>
      <c r="T1221">
        <f>$S1221+測地線補正!$Q$26*(lattice!$N1221/1000)^3+測地線補正!$P$26*(lattice!$N1221/1000)^2+測地線補正!$O$26*(lattice!$N1221/1000)+測地線補正!$N$26</f>
        <v>-0.27627095439169946</v>
      </c>
      <c r="U1221">
        <f>-ATAN(($P$1221-$P$1213)/ABS($N$1221-$N$1213))</f>
        <v>6.9130131774592307E-5</v>
      </c>
      <c r="V1221">
        <v>0</v>
      </c>
      <c r="W1221">
        <f>ATAN(($M$1221-$M$1213)/ABS($N$1221-$N$1213))</f>
        <v>2.238553867603944E-4</v>
      </c>
      <c r="X1221" t="s">
        <v>3860</v>
      </c>
      <c r="Y1221">
        <f>_xlfn.XLOOKUP($F1221,設計座標!$E$13:$E$2301,設計座標!$L$13:$L$2301," ",0,1)</f>
        <v>1889.4492</v>
      </c>
      <c r="Z1221">
        <f>SQRT(($M$1217-$M$1215)^2+($N$1217-$N$1215)^2)</f>
        <v>439.16125599729418</v>
      </c>
    </row>
    <row r="1222" spans="1:28">
      <c r="A1222" t="s">
        <v>797</v>
      </c>
      <c r="B1222">
        <v>2</v>
      </c>
      <c r="C1222" t="s">
        <v>805</v>
      </c>
      <c r="D1222" t="s">
        <v>806</v>
      </c>
      <c r="F1222" t="s">
        <v>312</v>
      </c>
      <c r="G1222" t="s">
        <v>2644</v>
      </c>
      <c r="I1222">
        <f>_xlfn.XLOOKUP($F1222,設計座標!$E$13:$E$2301,設計座標!$G$13:$G$2301,"n/a",0,1)</f>
        <v>335.16579679885882</v>
      </c>
      <c r="J1222">
        <f>_xlfn.XLOOKUP($F1222,設計座標!$E$13:$E$2301,設計座標!$H$13:$H$2301,"n/a",0,1)</f>
        <v>-15000</v>
      </c>
      <c r="K1222">
        <f>_xlfn.XLOOKUP($F1222,設計座標!$E$13:$E$2301,設計座標!$I$13:$I$2301,"n/a",0,1)</f>
        <v>-70703.739332950005</v>
      </c>
      <c r="L1222">
        <f>_xlfn.XLOOKUP($F1222,設計座標!$E$13:$E$2301,設計座標!$J$13:$J$2301,"n/a",0,1)</f>
        <v>90</v>
      </c>
      <c r="M1222" s="2">
        <f>_xlfn.XLOOKUP($F1222,survey_data!$A$2:$A$833,survey_data!$B$2:$B$833,"n/a",0,1)</f>
        <v>-14989.98219035</v>
      </c>
      <c r="N1222" s="2">
        <f>_xlfn.XLOOKUP($F1222,survey_data!$A$2:$A$833,survey_data!$C$2:$C$833,"n/a",0,1)</f>
        <v>-70703.739332950005</v>
      </c>
      <c r="O1222" s="23">
        <f>_xlfn.XLOOKUP($F1222,survey_data!$A$2:$A$833,survey_data!$D$2:$D$833,"n/a",0,1)</f>
        <v>88.554168250000004</v>
      </c>
      <c r="P1222" s="1">
        <f t="shared" si="946"/>
        <v>89.698058747538838</v>
      </c>
      <c r="Q1222" s="1">
        <f t="shared" si="969"/>
        <v>10.017809650000345</v>
      </c>
      <c r="R1222">
        <f t="shared" si="970"/>
        <v>0</v>
      </c>
      <c r="S1222" s="23">
        <f t="shared" si="971"/>
        <v>-1.4458317499999964</v>
      </c>
      <c r="T1222">
        <f>$S1222+測地線補正!$Q$26*(lattice!$N1222/1000)^3+測地線補正!$P$26*(lattice!$N1222/1000)^2+測地線補正!$O$26*(lattice!$N1222/1000)+測地線補正!$N$26</f>
        <v>-0.30194125246116932</v>
      </c>
      <c r="U1222">
        <f>-ATAN(($P$1224-$P$1222)/ABS($N$1224-$N$1222))</f>
        <v>-5.4331964192273167E-4</v>
      </c>
      <c r="V1222">
        <v>0</v>
      </c>
      <c r="W1222">
        <f>ATAN(($M$1224-$M$1222)/ABS($N$1224-$N$1222))</f>
        <v>8.6322015695898009E-5</v>
      </c>
      <c r="X1222">
        <f>SQRT(($M$1223-$M$1221)^2+($N$1223-$N$1221)^2)-$Y$1223/2</f>
        <v>161.10063994629394</v>
      </c>
      <c r="Y1222">
        <f>_xlfn.XLOOKUP($F1222,設計座標!$E$13:$E$2301,設計座標!$L$13:$L$2301," ",0,1)</f>
        <v>160</v>
      </c>
      <c r="Z1222">
        <f>SQRT(($M$1223-$M$1219)^2+($N$1223-$N$1219)^2)</f>
        <v>813.02373511246594</v>
      </c>
      <c r="AA1222">
        <f>_xlfn.XLOOKUP($G1222,magnet_list!$A$2:$A$592,magnet_list!$AJ$2:$AJ$592,"n/a",0,1)</f>
        <v>0.17374887133613809</v>
      </c>
      <c r="AB1222">
        <f>_xlfn.XLOOKUP($G1222,magnet_list!$A$2:$A$592,magnet_list!$L$2:$L$592,"n/a",0,1)</f>
        <v>44</v>
      </c>
    </row>
    <row r="1223" spans="1:28">
      <c r="A1223" t="s">
        <v>797</v>
      </c>
      <c r="B1223">
        <v>2</v>
      </c>
      <c r="C1223" t="s">
        <v>805</v>
      </c>
      <c r="D1223" t="s">
        <v>1152</v>
      </c>
      <c r="E1223" t="s">
        <v>804</v>
      </c>
      <c r="F1223" t="s">
        <v>702</v>
      </c>
      <c r="G1223" t="s">
        <v>2644</v>
      </c>
      <c r="I1223">
        <f>_xlfn.XLOOKUP($F1223,設計座標!$E$13:$E$2301,設計座標!$G$13:$G$2301,"n/a",0,1)</f>
        <v>335.23578729885884</v>
      </c>
      <c r="J1223">
        <f>_xlfn.XLOOKUP($F1223,設計座標!$E$13:$E$2301,設計座標!$H$13:$H$2301,"n/a",0,1)</f>
        <v>-15000</v>
      </c>
      <c r="K1223">
        <f>_xlfn.XLOOKUP($F1223,設計座標!$E$13:$E$2301,設計座標!$I$13:$I$2301,"n/a",0,1)</f>
        <v>-70773.729832950004</v>
      </c>
      <c r="L1223">
        <f>_xlfn.XLOOKUP($F1223,設計座標!$E$13:$E$2301,設計座標!$J$13:$J$2301,"n/a",0,1)</f>
        <v>90</v>
      </c>
      <c r="M1223" s="2">
        <f t="shared" si="981"/>
        <v>-14989.976148628944</v>
      </c>
      <c r="N1223" s="2">
        <f t="shared" si="982"/>
        <v>-70773.729832950004</v>
      </c>
      <c r="O1223" s="23">
        <f t="shared" si="983"/>
        <v>88.590345991509807</v>
      </c>
      <c r="P1223" s="1">
        <f t="shared" si="946"/>
        <v>89.736086600844544</v>
      </c>
      <c r="Q1223" s="1">
        <f>(Q$1224-Q$1222)/($N$1224-$N$1222)*($N1223-$N$1222)+Q$1222</f>
        <v>10.023851371054915</v>
      </c>
      <c r="R1223">
        <f t="shared" si="970"/>
        <v>0</v>
      </c>
      <c r="S1223" s="23">
        <f>(S$1224-S$1222)/($N$1224-$N$1222)*($N1223-$N$1222)+S$1222</f>
        <v>-1.4096540084901863</v>
      </c>
      <c r="T1223">
        <f>$S1223+測地線補正!$Q$26*(lattice!$N1223/1000)^3+測地線補正!$P$26*(lattice!$N1223/1000)^2+測地線補正!$O$26*(lattice!$N1223/1000)+測地線補正!$N$26</f>
        <v>-0.26391339915546186</v>
      </c>
      <c r="U1223">
        <f t="shared" ref="U1223:U1224" si="991">-ATAN(($P$1224-$P$1222)/ABS($N$1224-$N$1222))</f>
        <v>-5.4331964192273167E-4</v>
      </c>
      <c r="V1223">
        <v>0</v>
      </c>
      <c r="W1223">
        <f t="shared" ref="W1223:W1224" si="992">ATAN(($M$1224-$M$1222)/ABS($N$1224-$N$1222))</f>
        <v>8.6322015695898009E-5</v>
      </c>
      <c r="X1223">
        <f>SQRT(($M$1223-$M$1221)^2+($N$1223-$N$1221)^2)-$Y$1223/2</f>
        <v>161.10063994629394</v>
      </c>
      <c r="Y1223">
        <f>_xlfn.XLOOKUP($F1223,設計座標!$E$13:$E$2301,設計座標!$L$13:$L$2301," ",0,1)</f>
        <v>160</v>
      </c>
      <c r="Z1223">
        <f>SQRT(($M$1223-$M$1219)^2+($N$1223-$N$1219)^2)</f>
        <v>813.02373511246594</v>
      </c>
      <c r="AA1223">
        <f>_xlfn.XLOOKUP($G1223,magnet_list!$A$2:$A$592,magnet_list!$AJ$2:$AJ$592,"n/a",0,1)</f>
        <v>0.17374887133613809</v>
      </c>
      <c r="AB1223">
        <f>_xlfn.XLOOKUP($G1223,magnet_list!$A$2:$A$592,magnet_list!$L$2:$L$592,"n/a",0,1)</f>
        <v>44</v>
      </c>
    </row>
    <row r="1224" spans="1:28">
      <c r="A1224" t="s">
        <v>797</v>
      </c>
      <c r="B1224">
        <v>2</v>
      </c>
      <c r="C1224" t="s">
        <v>805</v>
      </c>
      <c r="D1224" t="s">
        <v>806</v>
      </c>
      <c r="F1224" t="s">
        <v>313</v>
      </c>
      <c r="G1224" t="s">
        <v>2644</v>
      </c>
      <c r="I1224">
        <f>_xlfn.XLOOKUP($F1224,設計座標!$E$13:$E$2301,設計座標!$G$13:$G$2301,"n/a",0,1)</f>
        <v>335.30576850679881</v>
      </c>
      <c r="J1224">
        <f>_xlfn.XLOOKUP($F1224,設計座標!$E$13:$E$2301,設計座標!$H$13:$H$2301,"n/a",0,1)</f>
        <v>-15000</v>
      </c>
      <c r="K1224">
        <f>_xlfn.XLOOKUP($F1224,設計座標!$E$13:$E$2301,設計座標!$I$13:$I$2301,"n/a",0,1)</f>
        <v>-70843.711040890004</v>
      </c>
      <c r="L1224">
        <f>_xlfn.XLOOKUP($F1224,設計座標!$E$13:$E$2301,設計座標!$J$13:$J$2301,"n/a",0,1)</f>
        <v>90</v>
      </c>
      <c r="M1224" s="2">
        <f>_xlfn.XLOOKUP($F1224,survey_data!$A$2:$A$833,survey_data!$B$2:$B$833,"n/a",0,1)</f>
        <v>-14989.97010771</v>
      </c>
      <c r="N1224" s="2">
        <f>_xlfn.XLOOKUP($F1224,survey_data!$A$2:$A$833,survey_data!$C$2:$C$833,"n/a",0,1)</f>
        <v>-70843.711040890004</v>
      </c>
      <c r="O1224" s="23">
        <f>_xlfn.XLOOKUP($F1224,survey_data!$A$2:$A$833,survey_data!$D$2:$D$833,"n/a",0,1)</f>
        <v>88.626518930000003</v>
      </c>
      <c r="P1224" s="1">
        <f t="shared" si="946"/>
        <v>89.774108133259276</v>
      </c>
      <c r="Q1224" s="1">
        <f t="shared" si="969"/>
        <v>10.029892290000134</v>
      </c>
      <c r="R1224">
        <f t="shared" si="970"/>
        <v>0</v>
      </c>
      <c r="S1224" s="23">
        <f t="shared" si="971"/>
        <v>-1.3734810699999969</v>
      </c>
      <c r="T1224">
        <f>$S1224+測地線補正!$Q$26*(lattice!$N1224/1000)^3+測地線補正!$P$26*(lattice!$N1224/1000)^2+測地線補正!$O$26*(lattice!$N1224/1000)+測地線補正!$N$26</f>
        <v>-0.22589186674073125</v>
      </c>
      <c r="U1224">
        <f t="shared" si="991"/>
        <v>-5.4331964192273167E-4</v>
      </c>
      <c r="V1224">
        <v>0</v>
      </c>
      <c r="W1224">
        <f t="shared" si="992"/>
        <v>8.6322015695898009E-5</v>
      </c>
      <c r="X1224">
        <f>SQRT(($M$1223-$M$1221)^2+($N$1223-$N$1221)^2)-$Y$1223/2</f>
        <v>161.10063994629394</v>
      </c>
      <c r="Y1224">
        <f>_xlfn.XLOOKUP($F1224,設計座標!$E$13:$E$2301,設計座標!$L$13:$L$2301," ",0,1)</f>
        <v>160</v>
      </c>
      <c r="Z1224">
        <f>SQRT(($M$1223-$M$1219)^2+($N$1223-$N$1219)^2)</f>
        <v>813.02373511246594</v>
      </c>
      <c r="AA1224">
        <f>_xlfn.XLOOKUP($G1224,magnet_list!$A$2:$A$592,magnet_list!$AJ$2:$AJ$592,"n/a",0,1)</f>
        <v>0.17374887133613809</v>
      </c>
      <c r="AB1224">
        <f>_xlfn.XLOOKUP($G1224,magnet_list!$A$2:$A$592,magnet_list!$L$2:$L$592,"n/a",0,1)</f>
        <v>44</v>
      </c>
    </row>
    <row r="1225" spans="1:28">
      <c r="A1225" t="s">
        <v>797</v>
      </c>
      <c r="B1225">
        <v>2</v>
      </c>
      <c r="C1225" t="s">
        <v>804</v>
      </c>
      <c r="D1225" t="s">
        <v>1152</v>
      </c>
      <c r="E1225" t="s">
        <v>804</v>
      </c>
      <c r="F1225" t="s">
        <v>1608</v>
      </c>
      <c r="G1225" t="s">
        <v>2645</v>
      </c>
      <c r="I1225">
        <f>_xlfn.XLOOKUP($F1225,設計座標!$E$13:$E$2301,設計座標!$G$13:$G$2301,"n/a",0,1)</f>
        <v>335.48682651601882</v>
      </c>
      <c r="J1225">
        <f>_xlfn.XLOOKUP($F1225,設計座標!$E$13:$E$2301,設計座標!$H$13:$H$2301,"n/a",0,1)</f>
        <v>-15000</v>
      </c>
      <c r="K1225">
        <f>_xlfn.XLOOKUP($F1225,設計座標!$E$13:$E$2301,設計座標!$I$13:$I$2301,"n/a",0,1)</f>
        <v>-71024.769050110001</v>
      </c>
      <c r="L1225">
        <f>_xlfn.XLOOKUP($F1225,設計座標!$E$13:$E$2301,設計座標!$J$13:$J$2301,"n/a",0,1)</f>
        <v>-270</v>
      </c>
      <c r="M1225" s="2">
        <f t="shared" si="981"/>
        <v>-14989.950080062896</v>
      </c>
      <c r="N1225" s="2">
        <f t="shared" si="982"/>
        <v>-71024.769050110001</v>
      </c>
      <c r="O1225" s="23">
        <f t="shared" si="983"/>
        <v>-271.34931903437968</v>
      </c>
      <c r="P1225" s="1">
        <f t="shared" si="946"/>
        <v>-270.19695298101232</v>
      </c>
      <c r="Q1225" s="1">
        <f>(Q$1226-Q$1224)/($N$1226-$N$1224)*($N1225-$N$1224)+Q$1224</f>
        <v>10.049919937105045</v>
      </c>
      <c r="R1225">
        <f t="shared" si="970"/>
        <v>0</v>
      </c>
      <c r="S1225" s="23">
        <f>(S$1226-S$1224)/($N$1226-$N$1224)*($N1225-$N$1224)+S$1224</f>
        <v>-1.3493190343796724</v>
      </c>
      <c r="T1225">
        <f>$S1225+測地線補正!$Q$26*(lattice!$N1225/1000)^3+測地線補正!$P$26*(lattice!$N1225/1000)^2+測地線補正!$O$26*(lattice!$N1225/1000)+測地線補正!$N$26</f>
        <v>-0.1969529810123325</v>
      </c>
      <c r="U1225">
        <f>-ATAN(($P$1233-$P$1225)/ABS($N$1233-$N$1225))</f>
        <v>-1.5868699987150015E-7</v>
      </c>
      <c r="V1225">
        <v>0</v>
      </c>
      <c r="W1225">
        <f>ATAN(($M$1233-$M$1225)/ABS($N$1233-$N$1225))</f>
        <v>1.7626694975130349E-4</v>
      </c>
      <c r="X1225">
        <f>SQRT(($M$1225-$M$1223)^2+($N$1225-$N$1223)^2)-$Y$1223/2</f>
        <v>171.03921851350992</v>
      </c>
      <c r="Y1225">
        <f>_xlfn.XLOOKUP($F1225,設計座標!$E$13:$E$2301,設計座標!$L$13:$L$2301," ",0,1)</f>
        <v>1889.4492</v>
      </c>
      <c r="Z1225">
        <f>SQRT(($M$1229-$M$1227)^2+($N$1229-$N$1227)^2)</f>
        <v>396.49794539640425</v>
      </c>
    </row>
    <row r="1226" spans="1:28">
      <c r="A1226" t="s">
        <v>797</v>
      </c>
      <c r="B1226">
        <v>2</v>
      </c>
      <c r="C1226" t="s">
        <v>805</v>
      </c>
      <c r="D1226" t="s">
        <v>806</v>
      </c>
      <c r="F1226" t="s">
        <v>314</v>
      </c>
      <c r="G1226" t="s">
        <v>2646</v>
      </c>
      <c r="I1226">
        <f>_xlfn.XLOOKUP($F1226,設計座標!$E$13:$E$2301,設計座標!$G$13:$G$2301,"n/a",0,1)</f>
        <v>335.90652112311881</v>
      </c>
      <c r="J1226">
        <f>_xlfn.XLOOKUP($F1226,設計座標!$E$13:$E$2301,設計座標!$H$13:$H$2301,"n/a",0,1)</f>
        <v>-15000</v>
      </c>
      <c r="K1226">
        <f>_xlfn.XLOOKUP($F1226,設計座標!$E$13:$E$2301,設計座標!$I$13:$I$2301,"n/a",0,1)</f>
        <v>-71444.463657209999</v>
      </c>
      <c r="L1226">
        <f>_xlfn.XLOOKUP($F1226,設計座標!$E$13:$E$2301,設計座標!$J$13:$J$2301,"n/a",0,1)</f>
        <v>75</v>
      </c>
      <c r="M1226" s="2">
        <f>_xlfn.XLOOKUP($F1226,survey_data!$A$2:$A$833,survey_data!$B$2:$B$833,"n/a",0,1)</f>
        <v>-14989.90365574</v>
      </c>
      <c r="N1226" s="2">
        <f>_xlfn.XLOOKUP($F1226,survey_data!$A$2:$A$833,survey_data!$C$2:$C$833,"n/a",0,1)</f>
        <v>-71444.463657209999</v>
      </c>
      <c r="O1226" s="23">
        <f>_xlfn.XLOOKUP($F1226,survey_data!$A$2:$A$833,survey_data!$D$2:$D$833,"n/a",0,1)</f>
        <v>73.706688850000006</v>
      </c>
      <c r="P1226" s="1">
        <f t="shared" si="946"/>
        <v>74.870094984793823</v>
      </c>
      <c r="Q1226" s="1">
        <f t="shared" si="969"/>
        <v>10.096344260000478</v>
      </c>
      <c r="R1226">
        <f t="shared" si="970"/>
        <v>0</v>
      </c>
      <c r="S1226" s="23">
        <f t="shared" si="971"/>
        <v>-1.2933111499999939</v>
      </c>
      <c r="T1226">
        <f>$S1226+測地線補正!$Q$26*(lattice!$N1226/1000)^3+測地線補正!$P$26*(lattice!$N1226/1000)^2+測地線補正!$O$26*(lattice!$N1226/1000)+測地線補正!$N$26</f>
        <v>-0.12990501520617515</v>
      </c>
      <c r="U1226">
        <f>-ATAN(($P$1228-$P$1226)/ABS($N$1228-$N$1226))</f>
        <v>1.7233632692806159E-5</v>
      </c>
      <c r="V1226">
        <v>0</v>
      </c>
      <c r="W1226">
        <f>ATAN(($M$1228-$M$1226)/ABS($N$1228-$N$1226))</f>
        <v>2.1231303193255089E-4</v>
      </c>
      <c r="X1226" t="s">
        <v>3860</v>
      </c>
      <c r="Y1226">
        <f>_xlfn.XLOOKUP($F1226,設計座標!$E$13:$E$2301,設計座標!$L$13:$L$2301," ",0,1)</f>
        <v>300</v>
      </c>
      <c r="Z1226">
        <f>SQRT(($M$1227-$M$1223)^2+($N$1227-$N$1223)^2)</f>
        <v>805.72983060963588</v>
      </c>
      <c r="AA1226">
        <f>_xlfn.XLOOKUP($G1226,magnet_list!$A$2:$A$592,magnet_list!$AJ$2:$AJ$592,"n/a",0,1)</f>
        <v>0.32714527067797677</v>
      </c>
      <c r="AB1226">
        <f>_xlfn.XLOOKUP($G1226,magnet_list!$A$2:$A$592,magnet_list!$L$2:$L$592,"n/a",0,1)</f>
        <v>120</v>
      </c>
    </row>
    <row r="1227" spans="1:28">
      <c r="A1227" t="s">
        <v>797</v>
      </c>
      <c r="B1227">
        <v>2</v>
      </c>
      <c r="C1227" t="s">
        <v>805</v>
      </c>
      <c r="D1227" t="s">
        <v>1152</v>
      </c>
      <c r="E1227" t="s">
        <v>804</v>
      </c>
      <c r="F1227" t="s">
        <v>703</v>
      </c>
      <c r="G1227" t="s">
        <v>2646</v>
      </c>
      <c r="I1227">
        <f>_xlfn.XLOOKUP($F1227,設計座標!$E$13:$E$2301,設計座標!$G$13:$G$2301,"n/a",0,1)</f>
        <v>336.04151712311881</v>
      </c>
      <c r="J1227">
        <f>_xlfn.XLOOKUP($F1227,設計座標!$E$13:$E$2301,設計座標!$H$13:$H$2301,"n/a",0,1)</f>
        <v>-15000</v>
      </c>
      <c r="K1227">
        <f>_xlfn.XLOOKUP($F1227,設計座標!$E$13:$E$2301,設計座標!$I$13:$I$2301,"n/a",0,1)</f>
        <v>-71579.459657209998</v>
      </c>
      <c r="L1227">
        <f>_xlfn.XLOOKUP($F1227,設計座標!$E$13:$E$2301,設計座標!$J$13:$J$2301,"n/a",0,1)</f>
        <v>75</v>
      </c>
      <c r="M1227" s="2">
        <f t="shared" si="981"/>
        <v>-14989.87499432951</v>
      </c>
      <c r="N1227" s="2">
        <f t="shared" si="982"/>
        <v>-71579.459657209998</v>
      </c>
      <c r="O1227" s="23">
        <f t="shared" si="983"/>
        <v>73.700823373291428</v>
      </c>
      <c r="P1227" s="1">
        <f t="shared" si="946"/>
        <v>74.867770874457321</v>
      </c>
      <c r="Q1227" s="1">
        <f>(Q$1228-Q$1226)/($N$1228-$N$1226)*($N1227-$N$1226)+Q$1226</f>
        <v>10.1250056704899</v>
      </c>
      <c r="R1227">
        <f t="shared" si="970"/>
        <v>0</v>
      </c>
      <c r="S1227" s="23">
        <f>(S$1228-S$1226)/($N$1228-$N$1226)*($N1227-$N$1226)+S$1226</f>
        <v>-1.2991766267085667</v>
      </c>
      <c r="T1227">
        <f>$S1227+測地線補正!$Q$26*(lattice!$N1227/1000)^3+測地線補正!$P$26*(lattice!$N1227/1000)^2+測地線補正!$O$26*(lattice!$N1227/1000)+測地線補正!$N$26</f>
        <v>-0.13222912554267885</v>
      </c>
      <c r="U1227">
        <f t="shared" ref="U1227:U1228" si="993">-ATAN(($P$1228-$P$1226)/ABS($N$1228-$N$1226))</f>
        <v>1.7233632692806159E-5</v>
      </c>
      <c r="V1227">
        <v>0</v>
      </c>
      <c r="W1227">
        <f t="shared" ref="W1227:W1228" si="994">ATAN(($M$1228-$M$1226)/ABS($N$1228-$N$1226))</f>
        <v>2.1231303193255089E-4</v>
      </c>
      <c r="X1227" t="s">
        <v>3860</v>
      </c>
      <c r="Y1227">
        <f>_xlfn.XLOOKUP($F1227,設計座標!$E$13:$E$2301,設計座標!$L$13:$L$2301," ",0,1)</f>
        <v>300</v>
      </c>
      <c r="Z1227">
        <f>SQRT(($M$1227-$M$1223)^2+($N$1227-$N$1223)^2)</f>
        <v>805.72983060963588</v>
      </c>
      <c r="AA1227">
        <f>_xlfn.XLOOKUP($G1227,magnet_list!$A$2:$A$592,magnet_list!$AJ$2:$AJ$592,"n/a",0,1)</f>
        <v>0.32714527067797677</v>
      </c>
      <c r="AB1227">
        <f>_xlfn.XLOOKUP($G1227,magnet_list!$A$2:$A$592,magnet_list!$L$2:$L$592,"n/a",0,1)</f>
        <v>120</v>
      </c>
    </row>
    <row r="1228" spans="1:28">
      <c r="A1228" t="s">
        <v>797</v>
      </c>
      <c r="B1228">
        <v>2</v>
      </c>
      <c r="C1228" t="s">
        <v>805</v>
      </c>
      <c r="D1228" t="s">
        <v>806</v>
      </c>
      <c r="F1228" t="s">
        <v>315</v>
      </c>
      <c r="G1228" t="s">
        <v>2646</v>
      </c>
      <c r="I1228">
        <f>_xlfn.XLOOKUP($F1228,設計座標!$E$13:$E$2301,設計座標!$G$13:$G$2301,"n/a",0,1)</f>
        <v>336.17652202045883</v>
      </c>
      <c r="J1228">
        <f>_xlfn.XLOOKUP($F1228,設計座標!$E$13:$E$2301,設計座標!$H$13:$H$2301,"n/a",0,1)</f>
        <v>-15000</v>
      </c>
      <c r="K1228">
        <f>_xlfn.XLOOKUP($F1228,設計座標!$E$13:$E$2301,設計座標!$I$13:$I$2301,"n/a",0,1)</f>
        <v>-71714.464554549995</v>
      </c>
      <c r="L1228">
        <f>_xlfn.XLOOKUP($F1228,設計座標!$E$13:$E$2301,設計座標!$J$13:$J$2301,"n/a",0,1)</f>
        <v>75</v>
      </c>
      <c r="M1228" s="2">
        <f>_xlfn.XLOOKUP($F1228,survey_data!$A$2:$A$833,survey_data!$B$2:$B$833,"n/a",0,1)</f>
        <v>-14989.846331029999</v>
      </c>
      <c r="N1228" s="2">
        <f>_xlfn.XLOOKUP($F1228,survey_data!$A$2:$A$833,survey_data!$C$2:$C$833,"n/a",0,1)</f>
        <v>-71714.464554549995</v>
      </c>
      <c r="O1228" s="23">
        <f>_xlfn.XLOOKUP($F1228,survey_data!$A$2:$A$833,survey_data!$D$2:$D$833,"n/a",0,1)</f>
        <v>73.694957509999995</v>
      </c>
      <c r="P1228" s="1">
        <f t="shared" si="946"/>
        <v>74.865441888501877</v>
      </c>
      <c r="Q1228" s="1">
        <f t="shared" si="969"/>
        <v>10.153668970000581</v>
      </c>
      <c r="R1228">
        <f t="shared" si="970"/>
        <v>0</v>
      </c>
      <c r="S1228" s="23">
        <f t="shared" si="971"/>
        <v>-1.3050424900000053</v>
      </c>
      <c r="T1228">
        <f>$S1228+測地線補正!$Q$26*(lattice!$N1228/1000)^3+測地線補正!$P$26*(lattice!$N1228/1000)^2+測地線補正!$O$26*(lattice!$N1228/1000)+測地線補正!$N$26</f>
        <v>-0.13455811149812757</v>
      </c>
      <c r="U1228">
        <f t="shared" si="993"/>
        <v>1.7233632692806159E-5</v>
      </c>
      <c r="V1228">
        <v>0</v>
      </c>
      <c r="W1228">
        <f t="shared" si="994"/>
        <v>2.1231303193255089E-4</v>
      </c>
      <c r="X1228" t="s">
        <v>3860</v>
      </c>
      <c r="Y1228">
        <f>_xlfn.XLOOKUP($F1228,設計座標!$E$13:$E$2301,設計座標!$L$13:$L$2301," ",0,1)</f>
        <v>300</v>
      </c>
      <c r="Z1228">
        <f>SQRT(($M$1227-$M$1223)^2+($N$1227-$N$1223)^2)</f>
        <v>805.72983060963588</v>
      </c>
      <c r="AA1228">
        <f>_xlfn.XLOOKUP($G1228,magnet_list!$A$2:$A$592,magnet_list!$AJ$2:$AJ$592,"n/a",0,1)</f>
        <v>0.32714527067797677</v>
      </c>
      <c r="AB1228">
        <f>_xlfn.XLOOKUP($G1228,magnet_list!$A$2:$A$592,magnet_list!$L$2:$L$592,"n/a",0,1)</f>
        <v>120</v>
      </c>
    </row>
    <row r="1229" spans="1:28">
      <c r="A1229" t="s">
        <v>797</v>
      </c>
      <c r="B1229">
        <v>2</v>
      </c>
      <c r="C1229" t="s">
        <v>804</v>
      </c>
      <c r="D1229" t="s">
        <v>1152</v>
      </c>
      <c r="E1229" t="s">
        <v>804</v>
      </c>
      <c r="F1229" t="s">
        <v>1249</v>
      </c>
      <c r="G1229" t="s">
        <v>2645</v>
      </c>
      <c r="I1229">
        <f>_xlfn.XLOOKUP($F1229,設計座標!$E$13:$E$2301,設計座標!$G$13:$G$2301,"n/a",0,1)</f>
        <v>336.4380150613689</v>
      </c>
      <c r="J1229">
        <f>_xlfn.XLOOKUP($F1229,設計座標!$E$13:$E$2301,設計座標!$H$13:$H$2301,"n/a",0,1)</f>
        <v>-15000</v>
      </c>
      <c r="K1229">
        <f>_xlfn.XLOOKUP($F1229,設計座標!$E$13:$E$2301,設計座標!$I$13:$I$2301,"n/a",0,1)</f>
        <v>-71975.957595460073</v>
      </c>
      <c r="L1229">
        <f>_xlfn.XLOOKUP($F1229,設計座標!$E$13:$E$2301,設計座標!$J$13:$J$2301,"n/a",0,1)</f>
        <v>-270</v>
      </c>
      <c r="M1229" s="2">
        <f t="shared" si="981"/>
        <v>-14989.799714786566</v>
      </c>
      <c r="N1229" s="2">
        <f t="shared" si="982"/>
        <v>-71975.957595460073</v>
      </c>
      <c r="O1229" s="23">
        <f t="shared" si="983"/>
        <v>-271.33799757524247</v>
      </c>
      <c r="P1229" s="1">
        <f t="shared" si="946"/>
        <v>-270.16067599008539</v>
      </c>
      <c r="Q1229" s="1">
        <f>(Q$1230-Q$1228)/($N$1230-$N$1228)*($N1229-$N$1228)+Q$1228</f>
        <v>10.200285213434505</v>
      </c>
      <c r="R1229">
        <f t="shared" si="970"/>
        <v>0</v>
      </c>
      <c r="S1229" s="23">
        <f>(S$1230-S$1228)/($N$1230-$N$1228)*($N1229-$N$1228)+S$1228</f>
        <v>-1.3379975752424922</v>
      </c>
      <c r="T1229">
        <f>$S1229+測地線補正!$Q$26*(lattice!$N1229/1000)^3+測地線補正!$P$26*(lattice!$N1229/1000)^2+測地線補正!$O$26*(lattice!$N1229/1000)+測地線補正!$N$26</f>
        <v>-0.16067599008537781</v>
      </c>
      <c r="U1229">
        <f>-ATAN(($P$1233-$P$1225)/ABS($N$1233-$N$1225))</f>
        <v>-1.5868699987150015E-7</v>
      </c>
      <c r="V1229">
        <v>0</v>
      </c>
      <c r="W1229">
        <f>ATAN(($M$1233-$M$1225)/ABS($N$1233-$N$1225))</f>
        <v>1.7626694975130349E-4</v>
      </c>
      <c r="X1229" t="s">
        <v>3860</v>
      </c>
      <c r="Y1229">
        <f>_xlfn.XLOOKUP($F1229,設計座標!$E$13:$E$2301,設計座標!$L$13:$L$2301," ",0,1)</f>
        <v>1889.4492</v>
      </c>
      <c r="Z1229">
        <f>SQRT(($M$1229-$M$1227)^2+($N$1229-$N$1227)^2)</f>
        <v>396.49794539640425</v>
      </c>
    </row>
    <row r="1230" spans="1:28">
      <c r="A1230" t="s">
        <v>797</v>
      </c>
      <c r="B1230">
        <v>2</v>
      </c>
      <c r="C1230" t="s">
        <v>805</v>
      </c>
      <c r="D1230" t="s">
        <v>806</v>
      </c>
      <c r="F1230" t="s">
        <v>316</v>
      </c>
      <c r="G1230" t="s">
        <v>2647</v>
      </c>
      <c r="I1230">
        <f>_xlfn.XLOOKUP($F1230,設計座標!$E$13:$E$2301,設計座標!$G$13:$G$2301,"n/a",0,1)</f>
        <v>336.7172368919388</v>
      </c>
      <c r="J1230">
        <f>_xlfn.XLOOKUP($F1230,設計座標!$E$13:$E$2301,設計座標!$H$13:$H$2301,"n/a",0,1)</f>
        <v>-15000</v>
      </c>
      <c r="K1230">
        <f>_xlfn.XLOOKUP($F1230,設計座標!$E$13:$E$2301,設計座標!$I$13:$I$2301,"n/a",0,1)</f>
        <v>-72255.179426029994</v>
      </c>
      <c r="L1230">
        <f>_xlfn.XLOOKUP($F1230,設計座標!$E$13:$E$2301,設計座標!$J$13:$J$2301,"n/a",0,1)</f>
        <v>75</v>
      </c>
      <c r="M1230" s="2">
        <f>_xlfn.XLOOKUP($F1230,survey_data!$A$2:$A$833,survey_data!$B$2:$B$833,"n/a",0,1)</f>
        <v>-14989.74993804</v>
      </c>
      <c r="N1230" s="2">
        <f>_xlfn.XLOOKUP($F1230,survey_data!$A$2:$A$833,survey_data!$C$2:$C$833,"n/a",0,1)</f>
        <v>-72255.179426029994</v>
      </c>
      <c r="O1230" s="23">
        <f>_xlfn.XLOOKUP($F1230,survey_data!$A$2:$A$833,survey_data!$D$2:$D$833,"n/a",0,1)</f>
        <v>73.626813040000002</v>
      </c>
      <c r="P1230" s="1">
        <f t="shared" si="946"/>
        <v>74.811415847658154</v>
      </c>
      <c r="Q1230" s="1">
        <f t="shared" si="969"/>
        <v>10.250061959999584</v>
      </c>
      <c r="R1230">
        <f t="shared" si="970"/>
        <v>0</v>
      </c>
      <c r="S1230" s="23">
        <f t="shared" si="971"/>
        <v>-1.3731869599999982</v>
      </c>
      <c r="T1230">
        <f>$S1230+測地線補正!$Q$26*(lattice!$N1230/1000)^3+測地線補正!$P$26*(lattice!$N1230/1000)^2+測地線補正!$O$26*(lattice!$N1230/1000)+測地線補正!$N$26</f>
        <v>-0.188584152341843</v>
      </c>
      <c r="U1230">
        <f>-ATAN(($P$1232-$P$1230)/ABS($N$1232-$N$1230))</f>
        <v>-1.8348959474108017E-4</v>
      </c>
      <c r="V1230">
        <v>0</v>
      </c>
      <c r="W1230">
        <f>ATAN(($M$1232-$M$1230)/ABS($N$1232-$N$1230))</f>
        <v>2.3292278359287935E-4</v>
      </c>
      <c r="X1230" t="s">
        <v>3860</v>
      </c>
      <c r="Y1230">
        <f>_xlfn.XLOOKUP($F1230,設計座標!$E$13:$E$2301,設計座標!$L$13:$L$2301," ",0,1)</f>
        <v>300</v>
      </c>
      <c r="Z1230">
        <f>SQRT(($M$1231-$M$1229)^2+($N$1231-$N$1229)^2)</f>
        <v>414.21883853283754</v>
      </c>
      <c r="AA1230">
        <f>_xlfn.XLOOKUP($G1230,magnet_list!$A$2:$A$592,magnet_list!$AJ$2:$AJ$592,"n/a",0,1)</f>
        <v>0.32714527067797677</v>
      </c>
      <c r="AB1230">
        <f>_xlfn.XLOOKUP($G1230,magnet_list!$A$2:$A$592,magnet_list!$L$2:$L$592,"n/a",0,1)</f>
        <v>120</v>
      </c>
    </row>
    <row r="1231" spans="1:28">
      <c r="A1231" t="s">
        <v>797</v>
      </c>
      <c r="B1231">
        <v>2</v>
      </c>
      <c r="C1231" t="s">
        <v>805</v>
      </c>
      <c r="D1231" t="s">
        <v>1152</v>
      </c>
      <c r="E1231" t="s">
        <v>804</v>
      </c>
      <c r="F1231" t="s">
        <v>704</v>
      </c>
      <c r="G1231" t="s">
        <v>2647</v>
      </c>
      <c r="I1231">
        <f>_xlfn.XLOOKUP($F1231,設計座標!$E$13:$E$2301,設計座標!$G$13:$G$2301,"n/a",0,1)</f>
        <v>336.85223389193879</v>
      </c>
      <c r="J1231">
        <f>_xlfn.XLOOKUP($F1231,設計座標!$E$13:$E$2301,設計座標!$H$13:$H$2301,"n/a",0,1)</f>
        <v>-15000</v>
      </c>
      <c r="K1231">
        <f>_xlfn.XLOOKUP($F1231,設計座標!$E$13:$E$2301,設計座標!$I$13:$I$2301,"n/a",0,1)</f>
        <v>-72390.176426029982</v>
      </c>
      <c r="L1231">
        <f>_xlfn.XLOOKUP($F1231,設計座標!$E$13:$E$2301,設計座標!$J$13:$J$2301,"n/a",0,1)</f>
        <v>75</v>
      </c>
      <c r="M1231" s="2">
        <f t="shared" si="981"/>
        <v>-14989.718494162415</v>
      </c>
      <c r="N1231" s="2">
        <f t="shared" si="982"/>
        <v>-72390.176426029982</v>
      </c>
      <c r="O1231" s="23">
        <f t="shared" si="983"/>
        <v>73.648072875292982</v>
      </c>
      <c r="P1231" s="1">
        <f t="shared" si="946"/>
        <v>74.836188747709102</v>
      </c>
      <c r="Q1231" s="1">
        <f>(Q$1232-Q$1230)/($N$1232-$N$1230)*($N1231-$N$1230)+Q$1230</f>
        <v>10.281505837584911</v>
      </c>
      <c r="R1231">
        <f t="shared" si="970"/>
        <v>0</v>
      </c>
      <c r="S1231" s="23">
        <f>(S$1232-S$1230)/($N$1232-$N$1230)*($N1231-$N$1230)+S$1230</f>
        <v>-1.3519271247070141</v>
      </c>
      <c r="T1231">
        <f>$S1231+測地線補正!$Q$26*(lattice!$N1231/1000)^3+測地線補正!$P$26*(lattice!$N1231/1000)^2+測地線補正!$O$26*(lattice!$N1231/1000)+測地線補正!$N$26</f>
        <v>-0.16381125229089766</v>
      </c>
      <c r="U1231">
        <f t="shared" ref="U1231:U1232" si="995">-ATAN(($P$1232-$P$1230)/ABS($N$1232-$N$1230))</f>
        <v>-1.8348959474108017E-4</v>
      </c>
      <c r="V1231">
        <v>0</v>
      </c>
      <c r="W1231">
        <f t="shared" ref="W1231:W1232" si="996">ATAN(($M$1232-$M$1230)/ABS($N$1232-$N$1230))</f>
        <v>2.3292278359287935E-4</v>
      </c>
      <c r="X1231" t="s">
        <v>3860</v>
      </c>
      <c r="Y1231">
        <f>_xlfn.XLOOKUP($F1231,設計座標!$E$13:$E$2301,設計座標!$L$13:$L$2301," ",0,1)</f>
        <v>300</v>
      </c>
      <c r="Z1231">
        <f>SQRT(($M$1231-$M$1229)^2+($N$1231-$N$1229)^2)</f>
        <v>414.21883853283754</v>
      </c>
      <c r="AA1231">
        <f>_xlfn.XLOOKUP($G1231,magnet_list!$A$2:$A$592,magnet_list!$AJ$2:$AJ$592,"n/a",0,1)</f>
        <v>0.32714527067797677</v>
      </c>
      <c r="AB1231">
        <f>_xlfn.XLOOKUP($G1231,magnet_list!$A$2:$A$592,magnet_list!$L$2:$L$592,"n/a",0,1)</f>
        <v>120</v>
      </c>
    </row>
    <row r="1232" spans="1:28">
      <c r="A1232" t="s">
        <v>797</v>
      </c>
      <c r="B1232">
        <v>2</v>
      </c>
      <c r="C1232" t="s">
        <v>805</v>
      </c>
      <c r="D1232" t="s">
        <v>806</v>
      </c>
      <c r="F1232" t="s">
        <v>317</v>
      </c>
      <c r="G1232" t="s">
        <v>2647</v>
      </c>
      <c r="I1232">
        <f>_xlfn.XLOOKUP($F1232,設計座標!$E$13:$E$2301,設計座標!$G$13:$G$2301,"n/a",0,1)</f>
        <v>336.98722764978879</v>
      </c>
      <c r="J1232">
        <f>_xlfn.XLOOKUP($F1232,設計座標!$E$13:$E$2301,設計座標!$H$13:$H$2301,"n/a",0,1)</f>
        <v>-15000</v>
      </c>
      <c r="K1232">
        <f>_xlfn.XLOOKUP($F1232,設計座標!$E$13:$E$2301,設計座標!$I$13:$I$2301,"n/a",0,1)</f>
        <v>-72525.170183880007</v>
      </c>
      <c r="L1232">
        <f>_xlfn.XLOOKUP($F1232,設計座標!$E$13:$E$2301,設計座標!$J$13:$J$2301,"n/a",0,1)</f>
        <v>75</v>
      </c>
      <c r="M1232" s="2">
        <f>_xlfn.XLOOKUP($F1232,survey_data!$A$2:$A$833,survey_data!$B$2:$B$833,"n/a",0,1)</f>
        <v>-14989.68705104</v>
      </c>
      <c r="N1232" s="2">
        <f>_xlfn.XLOOKUP($F1232,survey_data!$A$2:$A$833,survey_data!$C$2:$C$833,"n/a",0,1)</f>
        <v>-72525.170183880007</v>
      </c>
      <c r="O1232" s="23">
        <f>_xlfn.XLOOKUP($F1232,survey_data!$A$2:$A$833,survey_data!$D$2:$D$833,"n/a",0,1)</f>
        <v>73.669332199999999</v>
      </c>
      <c r="P1232" s="1">
        <f t="shared" si="946"/>
        <v>74.860956342955873</v>
      </c>
      <c r="Q1232" s="1">
        <f t="shared" si="969"/>
        <v>10.31294895999963</v>
      </c>
      <c r="R1232">
        <f t="shared" si="970"/>
        <v>0</v>
      </c>
      <c r="S1232" s="23">
        <f t="shared" si="971"/>
        <v>-1.3306678000000005</v>
      </c>
      <c r="T1232">
        <f>$S1232+測地線補正!$Q$26*(lattice!$N1232/1000)^3+測地線補正!$P$26*(lattice!$N1232/1000)^2+測地線補正!$O$26*(lattice!$N1232/1000)+測地線補正!$N$26</f>
        <v>-0.1390436570441278</v>
      </c>
      <c r="U1232">
        <f t="shared" si="995"/>
        <v>-1.8348959474108017E-4</v>
      </c>
      <c r="V1232">
        <v>0</v>
      </c>
      <c r="W1232">
        <f t="shared" si="996"/>
        <v>2.3292278359287935E-4</v>
      </c>
      <c r="X1232" t="s">
        <v>3860</v>
      </c>
      <c r="Y1232">
        <f>_xlfn.XLOOKUP($F1232,設計座標!$E$13:$E$2301,設計座標!$L$13:$L$2301," ",0,1)</f>
        <v>300</v>
      </c>
      <c r="Z1232">
        <f>SQRT(($M$1231-$M$1229)^2+($N$1231-$N$1229)^2)</f>
        <v>414.21883853283754</v>
      </c>
      <c r="AA1232">
        <f>_xlfn.XLOOKUP($G1232,magnet_list!$A$2:$A$592,magnet_list!$AJ$2:$AJ$592,"n/a",0,1)</f>
        <v>0.32714527067797677</v>
      </c>
      <c r="AB1232">
        <f>_xlfn.XLOOKUP($G1232,magnet_list!$A$2:$A$592,magnet_list!$L$2:$L$592,"n/a",0,1)</f>
        <v>120</v>
      </c>
    </row>
    <row r="1233" spans="1:28">
      <c r="A1233" t="s">
        <v>797</v>
      </c>
      <c r="B1233">
        <v>2</v>
      </c>
      <c r="C1233" t="s">
        <v>804</v>
      </c>
      <c r="D1233" t="s">
        <v>1152</v>
      </c>
      <c r="E1233" t="s">
        <v>804</v>
      </c>
      <c r="F1233" t="s">
        <v>1609</v>
      </c>
      <c r="G1233" t="s">
        <v>2645</v>
      </c>
      <c r="I1233">
        <f>_xlfn.XLOOKUP($F1233,設計座標!$E$13:$E$2301,設計座標!$G$13:$G$2301,"n/a",0,1)</f>
        <v>337.37728651601884</v>
      </c>
      <c r="J1233">
        <f>_xlfn.XLOOKUP($F1233,設計座標!$E$13:$E$2301,設計座標!$H$13:$H$2301,"n/a",0,1)</f>
        <v>-15000</v>
      </c>
      <c r="K1233">
        <f>_xlfn.XLOOKUP($F1233,設計座標!$E$13:$E$2301,設計座標!$I$13:$I$2301,"n/a",0,1)</f>
        <v>-72915.229050110007</v>
      </c>
      <c r="L1233">
        <f>_xlfn.XLOOKUP($F1233,設計座標!$E$13:$E$2301,設計座標!$J$13:$J$2301,"n/a",0,1)</f>
        <v>-270</v>
      </c>
      <c r="M1233" s="2">
        <f t="shared" si="981"/>
        <v>-14989.616854441618</v>
      </c>
      <c r="N1233" s="2">
        <f t="shared" si="982"/>
        <v>-72915.229050110007</v>
      </c>
      <c r="O1233" s="23">
        <f t="shared" si="983"/>
        <v>-271.39838768782687</v>
      </c>
      <c r="P1233" s="1">
        <f t="shared" si="946"/>
        <v>-270.19665298958654</v>
      </c>
      <c r="Q1233" s="1">
        <f>(Q$1235-Q$1232)/($N$1235-$N$1232)*($N1233-$N$1232)+Q$1232</f>
        <v>10.383145558382008</v>
      </c>
      <c r="R1233">
        <f t="shared" si="970"/>
        <v>0</v>
      </c>
      <c r="S1233" s="23">
        <f t="shared" ref="S1233:S1234" si="997">(S$1235-S$1232)/($N$1235-$N$1232)*($N1233-$N$1232)+S$1232</f>
        <v>-1.3983876878268857</v>
      </c>
      <c r="T1233">
        <f>$S1233+測地線補正!$Q$26*(lattice!$N1233/1000)^3+測地線補正!$P$26*(lattice!$N1233/1000)^2+測地線補正!$O$26*(lattice!$N1233/1000)+測地線補正!$N$26</f>
        <v>-0.19665298958654254</v>
      </c>
      <c r="U1233">
        <f>-ATAN(($P$1233-$P$1225)/ABS($N$1233-$N$1225))</f>
        <v>-1.5868699987150015E-7</v>
      </c>
      <c r="V1233">
        <v>0</v>
      </c>
      <c r="W1233">
        <f>ATAN(($M$1233-$M$1225)/ABS($N$1233-$N$1225))</f>
        <v>1.7626694975130349E-4</v>
      </c>
      <c r="X1233" t="s">
        <v>3860</v>
      </c>
      <c r="Y1233">
        <f>_xlfn.XLOOKUP($F1233,設計座標!$E$13:$E$2301,設計座標!$L$13:$L$2301," ",0,1)</f>
        <v>1889.4492</v>
      </c>
      <c r="Z1233">
        <f>SQRT(($M$1229-$M$1227)^2+($N$1229-$N$1227)^2)</f>
        <v>396.49794539640425</v>
      </c>
    </row>
    <row r="1234" spans="1:28">
      <c r="A1234" t="s">
        <v>797</v>
      </c>
      <c r="B1234">
        <v>2</v>
      </c>
      <c r="C1234" t="s">
        <v>1152</v>
      </c>
      <c r="D1234" t="s">
        <v>1152</v>
      </c>
      <c r="E1234" t="s">
        <v>804</v>
      </c>
      <c r="F1234" t="s">
        <v>2145</v>
      </c>
      <c r="G1234" t="s">
        <v>2145</v>
      </c>
      <c r="I1234">
        <f>_xlfn.XLOOKUP($F1234,設計座標!$E$13:$E$2301,設計座標!$G$13:$G$2301,"n/a",0,1)</f>
        <v>337.51274016136892</v>
      </c>
      <c r="J1234">
        <f>_xlfn.XLOOKUP($F1234,設計座標!$E$13:$E$2301,設計座標!$H$13:$H$2301,"n/a",0,1)</f>
        <v>-15000</v>
      </c>
      <c r="K1234">
        <f>_xlfn.XLOOKUP($F1234,設計座標!$E$13:$E$2301,設計座標!$I$13:$I$2301,"n/a",0,1)</f>
        <v>-73050.682695460069</v>
      </c>
      <c r="L1234">
        <f>_xlfn.XLOOKUP($F1234,設計座標!$E$13:$E$2301,設計座標!$J$13:$J$2301,"n/a",0,1)</f>
        <v>-270</v>
      </c>
      <c r="M1234" s="2">
        <f t="shared" si="981"/>
        <v>-14989.592477646305</v>
      </c>
      <c r="N1234" s="2">
        <f t="shared" si="982"/>
        <v>-73050.682695460069</v>
      </c>
      <c r="O1234" s="23">
        <f t="shared" si="983"/>
        <v>-271.42190440918102</v>
      </c>
      <c r="P1234" s="1">
        <f t="shared" si="946"/>
        <v>-270.21666785853176</v>
      </c>
      <c r="Q1234" s="1">
        <f>(Q$1235-Q$1232)/($N$1235-$N$1232)*($N1234-$N$1232)+Q$1232</f>
        <v>10.407522353694899</v>
      </c>
      <c r="R1234">
        <f t="shared" si="970"/>
        <v>0</v>
      </c>
      <c r="S1234" s="23">
        <f t="shared" si="997"/>
        <v>-1.4219044091810416</v>
      </c>
      <c r="T1234">
        <f>$S1234+測地線補正!$Q$26*(lattice!$N1234/1000)^3+測地線補正!$P$26*(lattice!$N1234/1000)^2+測地線補正!$O$26*(lattice!$N1234/1000)+測地線補正!$N$26</f>
        <v>-0.21666785853177362</v>
      </c>
      <c r="U1234">
        <v>0</v>
      </c>
      <c r="V1234">
        <v>0</v>
      </c>
      <c r="W1234">
        <v>0</v>
      </c>
      <c r="X1234">
        <f>SQRT(($M$1234-$M$1233)^2+($N$1234-$N$1233)^2)</f>
        <v>135.45364754353645</v>
      </c>
      <c r="Y1234">
        <f>_xlfn.XLOOKUP($F1234,設計座標!$E$13:$E$2301,設計座標!$L$13:$L$2301," ",0,1)</f>
        <v>0</v>
      </c>
      <c r="Z1234">
        <f>SQRT(($M$1234-$M$1231)^2+($N$1234-$N$1231)^2)</f>
        <v>660.50628145129156</v>
      </c>
    </row>
    <row r="1235" spans="1:28">
      <c r="A1235" t="s">
        <v>797</v>
      </c>
      <c r="B1235">
        <v>2</v>
      </c>
      <c r="C1235" t="s">
        <v>805</v>
      </c>
      <c r="D1235" t="s">
        <v>806</v>
      </c>
      <c r="F1235" t="s">
        <v>318</v>
      </c>
      <c r="G1235" t="s">
        <v>2648</v>
      </c>
      <c r="I1235">
        <f>_xlfn.XLOOKUP($F1235,設計座標!$E$13:$E$2301,設計座標!$G$13:$G$2301,"n/a",0,1)</f>
        <v>337.57278277790886</v>
      </c>
      <c r="J1235">
        <f>_xlfn.XLOOKUP($F1235,設計座標!$E$13:$E$2301,設計座標!$H$13:$H$2301,"n/a",0,1)</f>
        <v>-15000</v>
      </c>
      <c r="K1235">
        <f>_xlfn.XLOOKUP($F1235,設計座標!$E$13:$E$2301,設計座標!$I$13:$I$2301,"n/a",0,1)</f>
        <v>-73110.725311999995</v>
      </c>
      <c r="L1235">
        <f>_xlfn.XLOOKUP($F1235,設計座標!$E$13:$E$2301,設計座標!$J$13:$J$2301,"n/a",0,1)</f>
        <v>90</v>
      </c>
      <c r="M1235" s="2">
        <f>_xlfn.XLOOKUP($F1235,survey_data!$A$2:$A$833,survey_data!$B$2:$B$833,"n/a",0,1)</f>
        <v>-14989.58167213</v>
      </c>
      <c r="N1235" s="2">
        <f>_xlfn.XLOOKUP($F1235,survey_data!$A$2:$A$833,survey_data!$C$2:$C$833,"n/a",0,1)</f>
        <v>-73110.725311999995</v>
      </c>
      <c r="O1235" s="23">
        <f>_xlfn.XLOOKUP($F1235,survey_data!$A$2:$A$833,survey_data!$D$2:$D$833,"n/a",0,1)</f>
        <v>88.567671320000002</v>
      </c>
      <c r="P1235" s="1">
        <f t="shared" si="946"/>
        <v>89.774458625000236</v>
      </c>
      <c r="Q1235" s="1">
        <f t="shared" si="969"/>
        <v>10.418327870000212</v>
      </c>
      <c r="R1235">
        <f t="shared" si="970"/>
        <v>0</v>
      </c>
      <c r="S1235" s="23">
        <f t="shared" si="971"/>
        <v>-1.4323286799999977</v>
      </c>
      <c r="T1235">
        <f>$S1235+測地線補正!$Q$26*(lattice!$N1235/1000)^3+測地線補正!$P$26*(lattice!$N1235/1000)^2+測地線補正!$O$26*(lattice!$N1235/1000)+測地線補正!$N$26</f>
        <v>-0.22554137499975968</v>
      </c>
      <c r="U1235">
        <f>-ATAN(($P$1237-$P$1235)/ABS($N$1237-$N$1235))</f>
        <v>-2.7832958467409322E-4</v>
      </c>
      <c r="V1235">
        <v>0</v>
      </c>
      <c r="W1235">
        <f>ATAN(($M$1237-$M$1235)/ABS($N$1237-$N$1235))</f>
        <v>-2.7533952930287295E-4</v>
      </c>
      <c r="X1235">
        <f>$Z$1236-($Y$1236+$Y$1234)/2</f>
        <v>50.039616815603608</v>
      </c>
      <c r="Y1235">
        <f>_xlfn.XLOOKUP($F1235,設計座標!$E$13:$E$2301,設計座標!$L$13:$L$2301," ",0,1)</f>
        <v>160</v>
      </c>
      <c r="Z1235">
        <f>SQRT(($M$1236-$M$1234)^2+($N$1236-$N$1234)^2)</f>
        <v>130.03961681560361</v>
      </c>
      <c r="AA1235">
        <f>_xlfn.XLOOKUP($G1235,magnet_list!$A$2:$A$592,magnet_list!$AJ$2:$AJ$592,"n/a",0,1)</f>
        <v>0.17374887133613809</v>
      </c>
      <c r="AB1235">
        <f>_xlfn.XLOOKUP($G1235,magnet_list!$A$2:$A$592,magnet_list!$L$2:$L$592,"n/a",0,1)</f>
        <v>44</v>
      </c>
    </row>
    <row r="1236" spans="1:28">
      <c r="A1236" t="s">
        <v>797</v>
      </c>
      <c r="B1236">
        <v>2</v>
      </c>
      <c r="C1236" t="s">
        <v>805</v>
      </c>
      <c r="D1236" t="s">
        <v>1152</v>
      </c>
      <c r="E1236" t="s">
        <v>804</v>
      </c>
      <c r="F1236" t="s">
        <v>705</v>
      </c>
      <c r="G1236" t="s">
        <v>2648</v>
      </c>
      <c r="I1236">
        <f>_xlfn.XLOOKUP($F1236,設計座標!$E$13:$E$2301,設計座標!$G$13:$G$2301,"n/a",0,1)</f>
        <v>337.64277977790886</v>
      </c>
      <c r="J1236">
        <f>_xlfn.XLOOKUP($F1236,設計座標!$E$13:$E$2301,設計座標!$H$13:$H$2301,"n/a",0,1)</f>
        <v>-15000</v>
      </c>
      <c r="K1236">
        <f>_xlfn.XLOOKUP($F1236,設計座標!$E$13:$E$2301,設計座標!$I$13:$I$2301,"n/a",0,1)</f>
        <v>-73180.722311999998</v>
      </c>
      <c r="L1236">
        <f>_xlfn.XLOOKUP($F1236,設計座標!$E$13:$E$2301,設計座標!$J$13:$J$2301,"n/a",0,1)</f>
        <v>90</v>
      </c>
      <c r="M1236" s="2">
        <f t="shared" si="981"/>
        <v>-14989.600945071519</v>
      </c>
      <c r="N1236" s="2">
        <f t="shared" si="982"/>
        <v>-73180.722311999998</v>
      </c>
      <c r="O1236" s="23">
        <f t="shared" si="983"/>
        <v>88.585347509523558</v>
      </c>
      <c r="P1236" s="1">
        <f t="shared" si="946"/>
        <v>89.793941492755252</v>
      </c>
      <c r="Q1236" s="1">
        <f>(Q$1237-Q$1235)/($N$1237-$N$1235)*($N1236-$N$1235)+Q$1235</f>
        <v>10.39905492848056</v>
      </c>
      <c r="R1236">
        <f t="shared" si="970"/>
        <v>0</v>
      </c>
      <c r="S1236" s="23">
        <f>(S$1237-S$1235)/($N$1237-$N$1235)*($N1236-$N$1235)+S$1235</f>
        <v>-1.4146524904764457</v>
      </c>
      <c r="T1236">
        <f>$S1236+測地線補正!$Q$26*(lattice!$N1236/1000)^3+測地線補正!$P$26*(lattice!$N1236/1000)^2+測地線補正!$O$26*(lattice!$N1236/1000)+測地線補正!$N$26</f>
        <v>-0.20605850724474739</v>
      </c>
      <c r="U1236">
        <f t="shared" ref="U1236:U1237" si="998">-ATAN(($P$1237-$P$1235)/ABS($N$1237-$N$1235))</f>
        <v>-2.7832958467409322E-4</v>
      </c>
      <c r="V1236">
        <v>0</v>
      </c>
      <c r="W1236">
        <f t="shared" ref="W1236:W1237" si="999">ATAN(($M$1237-$M$1235)/ABS($N$1237-$N$1235))</f>
        <v>-2.7533952930287295E-4</v>
      </c>
      <c r="X1236">
        <f>$Z$1236-($Y$1236+$Y$1234)/2</f>
        <v>50.039616815603608</v>
      </c>
      <c r="Y1236">
        <f>_xlfn.XLOOKUP($F1236,設計座標!$E$13:$E$2301,設計座標!$L$13:$L$2301," ",0,1)</f>
        <v>160</v>
      </c>
      <c r="Z1236">
        <f>SQRT(($M$1236-$M$1234)^2+($N$1236-$N$1234)^2)</f>
        <v>130.03961681560361</v>
      </c>
      <c r="AA1236">
        <f>_xlfn.XLOOKUP($G1236,magnet_list!$A$2:$A$592,magnet_list!$AJ$2:$AJ$592,"n/a",0,1)</f>
        <v>0.17374887133613809</v>
      </c>
      <c r="AB1236">
        <f>_xlfn.XLOOKUP($G1236,magnet_list!$A$2:$A$592,magnet_list!$L$2:$L$592,"n/a",0,1)</f>
        <v>44</v>
      </c>
    </row>
    <row r="1237" spans="1:28">
      <c r="A1237" t="s">
        <v>797</v>
      </c>
      <c r="B1237">
        <v>2</v>
      </c>
      <c r="C1237" t="s">
        <v>805</v>
      </c>
      <c r="D1237" t="s">
        <v>806</v>
      </c>
      <c r="F1237" t="s">
        <v>319</v>
      </c>
      <c r="G1237" t="s">
        <v>2648</v>
      </c>
      <c r="I1237">
        <f>_xlfn.XLOOKUP($F1237,設計座標!$E$13:$E$2301,設計座標!$G$13:$G$2301,"n/a",0,1)</f>
        <v>337.71274854716887</v>
      </c>
      <c r="J1237">
        <f>_xlfn.XLOOKUP($F1237,設計座標!$E$13:$E$2301,設計座標!$H$13:$H$2301,"n/a",0,1)</f>
        <v>-15000</v>
      </c>
      <c r="K1237">
        <f>_xlfn.XLOOKUP($F1237,設計座標!$E$13:$E$2301,設計座標!$I$13:$I$2301,"n/a",0,1)</f>
        <v>-73250.691081259996</v>
      </c>
      <c r="L1237">
        <f>_xlfn.XLOOKUP($F1237,設計座標!$E$13:$E$2301,設計座標!$J$13:$J$2301,"n/a",0,1)</f>
        <v>90</v>
      </c>
      <c r="M1237" s="2">
        <f>_xlfn.XLOOKUP($F1237,survey_data!$A$2:$A$833,survey_data!$B$2:$B$833,"n/a",0,1)</f>
        <v>-14989.62021024</v>
      </c>
      <c r="N1237" s="2">
        <f>_xlfn.XLOOKUP($F1237,survey_data!$A$2:$A$833,survey_data!$C$2:$C$833,"n/a",0,1)</f>
        <v>-73250.691081259996</v>
      </c>
      <c r="O1237" s="23">
        <f>_xlfn.XLOOKUP($F1237,survey_data!$A$2:$A$833,survey_data!$D$2:$D$833,"n/a",0,1)</f>
        <v>88.603016569999994</v>
      </c>
      <c r="P1237" s="1">
        <f t="shared" si="946"/>
        <v>89.813415240432917</v>
      </c>
      <c r="Q1237" s="1">
        <f t="shared" si="969"/>
        <v>10.379789759999767</v>
      </c>
      <c r="R1237">
        <f t="shared" si="970"/>
        <v>0</v>
      </c>
      <c r="S1237" s="23">
        <f t="shared" si="971"/>
        <v>-1.3969834300000059</v>
      </c>
      <c r="T1237">
        <f>$S1237+測地線補正!$Q$26*(lattice!$N1237/1000)^3+測地線補正!$P$26*(lattice!$N1237/1000)^2+測地線補正!$O$26*(lattice!$N1237/1000)+測地線補正!$N$26</f>
        <v>-0.18658475956708442</v>
      </c>
      <c r="U1237">
        <f t="shared" si="998"/>
        <v>-2.7832958467409322E-4</v>
      </c>
      <c r="V1237">
        <v>0</v>
      </c>
      <c r="W1237">
        <f t="shared" si="999"/>
        <v>-2.7533952930287295E-4</v>
      </c>
      <c r="X1237">
        <f>$Z$1236-($Y$1236+$Y$1234)/2</f>
        <v>50.039616815603608</v>
      </c>
      <c r="Y1237">
        <f>_xlfn.XLOOKUP($F1237,設計座標!$E$13:$E$2301,設計座標!$L$13:$L$2301," ",0,1)</f>
        <v>160</v>
      </c>
      <c r="Z1237">
        <f>SQRT(($M$1236-$M$1234)^2+($N$1236-$N$1234)^2)</f>
        <v>130.03961681560361</v>
      </c>
      <c r="AA1237">
        <f>_xlfn.XLOOKUP($G1237,magnet_list!$A$2:$A$592,magnet_list!$AJ$2:$AJ$592,"n/a",0,1)</f>
        <v>0.17374887133613809</v>
      </c>
      <c r="AB1237">
        <f>_xlfn.XLOOKUP($G1237,magnet_list!$A$2:$A$592,magnet_list!$L$2:$L$592,"n/a",0,1)</f>
        <v>44</v>
      </c>
    </row>
    <row r="1238" spans="1:28">
      <c r="A1238" t="s">
        <v>797</v>
      </c>
      <c r="B1238">
        <v>2</v>
      </c>
      <c r="C1238" t="s">
        <v>804</v>
      </c>
      <c r="D1238" t="s">
        <v>1152</v>
      </c>
      <c r="E1238" t="s">
        <v>804</v>
      </c>
      <c r="F1238" t="s">
        <v>1610</v>
      </c>
      <c r="G1238" t="s">
        <v>2649</v>
      </c>
      <c r="I1238">
        <f>_xlfn.XLOOKUP($F1238,設計座標!$E$13:$E$2301,設計座標!$G$13:$G$2301,"n/a",0,1)</f>
        <v>337.9600704613689</v>
      </c>
      <c r="J1238">
        <f>_xlfn.XLOOKUP($F1238,設計座標!$E$13:$E$2301,設計座標!$H$13:$H$2301,"n/a",0,1)</f>
        <v>-15000</v>
      </c>
      <c r="K1238">
        <f>_xlfn.XLOOKUP($F1238,設計座標!$E$13:$E$2301,設計座標!$I$13:$I$2301,"n/a",0,1)</f>
        <v>-73498.012995460071</v>
      </c>
      <c r="L1238">
        <f>_xlfn.XLOOKUP($F1238,設計座標!$E$13:$E$2301,設計座標!$J$13:$J$2301,"n/a",0,1)</f>
        <v>-270</v>
      </c>
      <c r="M1238" s="2">
        <f t="shared" si="981"/>
        <v>-14989.600119043165</v>
      </c>
      <c r="N1238" s="2">
        <f t="shared" si="982"/>
        <v>-73498.012995460071</v>
      </c>
      <c r="O1238" s="23">
        <f t="shared" si="983"/>
        <v>-271.39182994767924</v>
      </c>
      <c r="P1238" s="1">
        <f t="shared" si="946"/>
        <v>-270.17506227537456</v>
      </c>
      <c r="Q1238" s="1">
        <f>(Q$1239-Q$1237)/($N$1239-$N$1237)*($N1238-$N$1237)+Q$1237</f>
        <v>10.399880956835609</v>
      </c>
      <c r="R1238">
        <f t="shared" si="970"/>
        <v>0</v>
      </c>
      <c r="S1238" s="23">
        <f>(S$1239-S$1237)/($N$1239-$N$1237)*($N1238-$N$1237)+S$1237</f>
        <v>-1.3918299476792413</v>
      </c>
      <c r="T1238">
        <f>$S1238+測地線補正!$Q$26*(lattice!$N1238/1000)^3+測地線補正!$P$26*(lattice!$N1238/1000)^2+測地線補正!$O$26*(lattice!$N1238/1000)+測地線補正!$N$26</f>
        <v>-0.17506227537458119</v>
      </c>
      <c r="U1238">
        <f>-ATAN(($P$1246-$P$1238)/ABS($N$1246-$N$1238))</f>
        <v>-2.1833568656335693E-5</v>
      </c>
      <c r="V1238">
        <v>0</v>
      </c>
      <c r="W1238">
        <f>ATAN(($M$1246-$M$1238)/ABS($N$1246-$N$1238))</f>
        <v>1.2212878456135113E-4</v>
      </c>
      <c r="X1238">
        <f>SQRT(($M$1238-$M$1236)^2+($N$1238-$N$1236)^2)-$Y$1236/2</f>
        <v>237.29068346114786</v>
      </c>
      <c r="Y1238">
        <f>_xlfn.XLOOKUP($F1238,設計座標!$E$13:$E$2301,設計座標!$L$13:$L$2301," ",0,1)</f>
        <v>1889.4492</v>
      </c>
      <c r="Z1238">
        <f>SQRT(($M$1242-$M$1240)^2+($N$1242-$N$1240)^2)</f>
        <v>425.33544439889727</v>
      </c>
    </row>
    <row r="1239" spans="1:28">
      <c r="A1239" t="s">
        <v>797</v>
      </c>
      <c r="B1239">
        <v>2</v>
      </c>
      <c r="C1239" t="s">
        <v>805</v>
      </c>
      <c r="D1239" t="s">
        <v>806</v>
      </c>
      <c r="F1239" t="s">
        <v>320</v>
      </c>
      <c r="G1239" t="s">
        <v>2650</v>
      </c>
      <c r="I1239">
        <f>_xlfn.XLOOKUP($F1239,設計座標!$E$13:$E$2301,設計座標!$G$13:$G$2301,"n/a",0,1)</f>
        <v>338.34446612086884</v>
      </c>
      <c r="J1239">
        <f>_xlfn.XLOOKUP($F1239,設計座標!$E$13:$E$2301,設計座標!$H$13:$H$2301,"n/a",0,1)</f>
        <v>-15000</v>
      </c>
      <c r="K1239">
        <f>_xlfn.XLOOKUP($F1239,設計座標!$E$13:$E$2301,設計座標!$I$13:$I$2301,"n/a",0,1)</f>
        <v>-73882.408654960003</v>
      </c>
      <c r="L1239">
        <f>_xlfn.XLOOKUP($F1239,設計座標!$E$13:$E$2301,設計座標!$J$13:$J$2301,"n/a",0,1)</f>
        <v>75</v>
      </c>
      <c r="M1239" s="2">
        <f>_xlfn.XLOOKUP($F1239,survey_data!$A$2:$A$833,survey_data!$B$2:$B$833,"n/a",0,1)</f>
        <v>-14989.56889266</v>
      </c>
      <c r="N1239" s="2">
        <f>_xlfn.XLOOKUP($F1239,survey_data!$A$2:$A$833,survey_data!$C$2:$C$833,"n/a",0,1)</f>
        <v>-73882.408654960003</v>
      </c>
      <c r="O1239" s="23">
        <f>_xlfn.XLOOKUP($F1239,survey_data!$A$2:$A$833,survey_data!$D$2:$D$833,"n/a",0,1)</f>
        <v>73.616179759999994</v>
      </c>
      <c r="P1239" s="1">
        <f t="shared" si="946"/>
        <v>74.842815074039436</v>
      </c>
      <c r="Q1239" s="1">
        <f t="shared" si="969"/>
        <v>10.431107340000381</v>
      </c>
      <c r="R1239">
        <f t="shared" si="970"/>
        <v>0</v>
      </c>
      <c r="S1239" s="23">
        <f t="shared" si="971"/>
        <v>-1.3838202400000057</v>
      </c>
      <c r="T1239">
        <f>$S1239+測地線補正!$Q$26*(lattice!$N1239/1000)^3+測地線補正!$P$26*(lattice!$N1239/1000)^2+測地線補正!$O$26*(lattice!$N1239/1000)+測地線補正!$N$26</f>
        <v>-0.15718492596056399</v>
      </c>
      <c r="U1239">
        <f>-ATAN(($P$1241-$P$1239)/ABS($N$1241-$N$1239))</f>
        <v>-3.3085460296777109E-4</v>
      </c>
      <c r="V1239">
        <v>0</v>
      </c>
      <c r="W1239">
        <f>ATAN(($M$1241-$M$1239)/ABS($N$1241-$N$1239))</f>
        <v>1.1888106083241655E-4</v>
      </c>
      <c r="X1239" t="s">
        <v>3860</v>
      </c>
      <c r="Y1239">
        <f>_xlfn.XLOOKUP($F1239,設計座標!$E$13:$E$2301,設計座標!$L$13:$L$2301," ",0,1)</f>
        <v>300</v>
      </c>
      <c r="Z1239">
        <f>SQRT(($M$1240-$M$1236)^2+($N$1240-$N$1236)^2)</f>
        <v>836.67984434264929</v>
      </c>
      <c r="AA1239">
        <f>_xlfn.XLOOKUP($G1239,magnet_list!$A$2:$A$592,magnet_list!$AJ$2:$AJ$592,"n/a",0,1)</f>
        <v>0.32714527067797677</v>
      </c>
      <c r="AB1239">
        <f>_xlfn.XLOOKUP($G1239,magnet_list!$A$2:$A$592,magnet_list!$L$2:$L$592,"n/a",0,1)</f>
        <v>120</v>
      </c>
    </row>
    <row r="1240" spans="1:28">
      <c r="A1240" t="s">
        <v>797</v>
      </c>
      <c r="B1240">
        <v>2</v>
      </c>
      <c r="C1240" t="s">
        <v>805</v>
      </c>
      <c r="D1240" t="s">
        <v>1152</v>
      </c>
      <c r="E1240" t="s">
        <v>804</v>
      </c>
      <c r="F1240" t="s">
        <v>706</v>
      </c>
      <c r="G1240" t="s">
        <v>2650</v>
      </c>
      <c r="I1240">
        <f>_xlfn.XLOOKUP($F1240,設計座標!$E$13:$E$2301,設計座標!$G$13:$G$2301,"n/a",0,1)</f>
        <v>338.47945962086885</v>
      </c>
      <c r="J1240">
        <f>_xlfn.XLOOKUP($F1240,設計座標!$E$13:$E$2301,設計座標!$H$13:$H$2301,"n/a",0,1)</f>
        <v>-15000</v>
      </c>
      <c r="K1240">
        <f>_xlfn.XLOOKUP($F1240,設計座標!$E$13:$E$2301,設計座標!$I$13:$I$2301,"n/a",0,1)</f>
        <v>-74017.40215496</v>
      </c>
      <c r="L1240">
        <f>_xlfn.XLOOKUP($F1240,設計座標!$E$13:$E$2301,設計座標!$J$13:$J$2301,"n/a",0,1)</f>
        <v>75</v>
      </c>
      <c r="M1240" s="2">
        <f t="shared" si="981"/>
        <v>-14989.552844489439</v>
      </c>
      <c r="N1240" s="2">
        <f t="shared" si="982"/>
        <v>-74017.40215496</v>
      </c>
      <c r="O1240" s="23">
        <f t="shared" si="983"/>
        <v>73.657388990556854</v>
      </c>
      <c r="P1240" s="1">
        <f t="shared" si="946"/>
        <v>74.887480639549679</v>
      </c>
      <c r="Q1240" s="1">
        <f>(Q$1241-Q$1239)/($N$1241-$N$1239)*($N1240-$N$1239)+Q$1239</f>
        <v>10.447155510561462</v>
      </c>
      <c r="R1240">
        <f t="shared" si="970"/>
        <v>0</v>
      </c>
      <c r="S1240" s="23">
        <f>(S$1241-S$1239)/($N$1241-$N$1239)*($N1240-$N$1239)+S$1239</f>
        <v>-1.34261100944315</v>
      </c>
      <c r="T1240">
        <f>$S1240+測地線補正!$Q$26*(lattice!$N1240/1000)^3+測地線補正!$P$26*(lattice!$N1240/1000)^2+測地線補正!$O$26*(lattice!$N1240/1000)+測地線補正!$N$26</f>
        <v>-0.11251936045032651</v>
      </c>
      <c r="U1240">
        <f t="shared" ref="U1240:U1241" si="1000">-ATAN(($P$1241-$P$1239)/ABS($N$1241-$N$1239))</f>
        <v>-3.3085460296777109E-4</v>
      </c>
      <c r="V1240">
        <v>0</v>
      </c>
      <c r="W1240">
        <f t="shared" ref="W1240:W1241" si="1001">ATAN(($M$1241-$M$1239)/ABS($N$1241-$N$1239))</f>
        <v>1.1888106083241655E-4</v>
      </c>
      <c r="X1240" t="s">
        <v>3860</v>
      </c>
      <c r="Y1240">
        <f>_xlfn.XLOOKUP($F1240,設計座標!$E$13:$E$2301,設計座標!$L$13:$L$2301," ",0,1)</f>
        <v>300</v>
      </c>
      <c r="Z1240">
        <f>SQRT(($M$1240-$M$1236)^2+($N$1240-$N$1236)^2)</f>
        <v>836.67984434264929</v>
      </c>
      <c r="AA1240">
        <f>_xlfn.XLOOKUP($G1240,magnet_list!$A$2:$A$592,magnet_list!$AJ$2:$AJ$592,"n/a",0,1)</f>
        <v>0.32714527067797677</v>
      </c>
      <c r="AB1240">
        <f>_xlfn.XLOOKUP($G1240,magnet_list!$A$2:$A$592,magnet_list!$L$2:$L$592,"n/a",0,1)</f>
        <v>120</v>
      </c>
    </row>
    <row r="1241" spans="1:28">
      <c r="A1241" t="s">
        <v>797</v>
      </c>
      <c r="B1241">
        <v>2</v>
      </c>
      <c r="C1241" t="s">
        <v>805</v>
      </c>
      <c r="D1241" t="s">
        <v>806</v>
      </c>
      <c r="F1241" t="s">
        <v>321</v>
      </c>
      <c r="G1241" t="s">
        <v>2650</v>
      </c>
      <c r="I1241">
        <f>_xlfn.XLOOKUP($F1241,設計座標!$E$13:$E$2301,設計座標!$G$13:$G$2301,"n/a",0,1)</f>
        <v>338.61446572907886</v>
      </c>
      <c r="J1241">
        <f>_xlfn.XLOOKUP($F1241,設計座標!$E$13:$E$2301,設計座標!$H$13:$H$2301,"n/a",0,1)</f>
        <v>-15000</v>
      </c>
      <c r="K1241">
        <f>_xlfn.XLOOKUP($F1241,設計座標!$E$13:$E$2301,設計座標!$I$13:$I$2301,"n/a",0,1)</f>
        <v>-74152.40826317</v>
      </c>
      <c r="L1241">
        <f>_xlfn.XLOOKUP($F1241,設計座標!$E$13:$E$2301,設計座標!$J$13:$J$2301,"n/a",0,1)</f>
        <v>75</v>
      </c>
      <c r="M1241" s="2">
        <f>_xlfn.XLOOKUP($F1241,survey_data!$A$2:$A$833,survey_data!$B$2:$B$833,"n/a",0,1)</f>
        <v>-14989.53679482</v>
      </c>
      <c r="N1241" s="2">
        <f>_xlfn.XLOOKUP($F1241,survey_data!$A$2:$A$833,survey_data!$C$2:$C$833,"n/a",0,1)</f>
        <v>-74152.40826317</v>
      </c>
      <c r="O1241" s="23">
        <f>_xlfn.XLOOKUP($F1241,survey_data!$A$2:$A$833,survey_data!$D$2:$D$833,"n/a",0,1)</f>
        <v>73.698602070000007</v>
      </c>
      <c r="P1241" s="1">
        <f t="shared" si="946"/>
        <v>74.932145690474727</v>
      </c>
      <c r="Q1241" s="1">
        <f t="shared" si="969"/>
        <v>10.463205179999932</v>
      </c>
      <c r="R1241">
        <f t="shared" si="970"/>
        <v>0</v>
      </c>
      <c r="S1241" s="23">
        <f t="shared" si="971"/>
        <v>-1.3013979299999932</v>
      </c>
      <c r="T1241">
        <f>$S1241+測地線補正!$Q$26*(lattice!$N1241/1000)^3+測地線補正!$P$26*(lattice!$N1241/1000)^2+測地線補正!$O$26*(lattice!$N1241/1000)+測地線補正!$N$26</f>
        <v>-6.785430952526883E-2</v>
      </c>
      <c r="U1241">
        <f t="shared" si="1000"/>
        <v>-3.3085460296777109E-4</v>
      </c>
      <c r="V1241">
        <v>0</v>
      </c>
      <c r="W1241">
        <f t="shared" si="1001"/>
        <v>1.1888106083241655E-4</v>
      </c>
      <c r="X1241" t="s">
        <v>3860</v>
      </c>
      <c r="Y1241">
        <f>_xlfn.XLOOKUP($F1241,設計座標!$E$13:$E$2301,設計座標!$L$13:$L$2301," ",0,1)</f>
        <v>300</v>
      </c>
      <c r="Z1241">
        <f>SQRT(($M$1240-$M$1236)^2+($N$1240-$N$1236)^2)</f>
        <v>836.67984434264929</v>
      </c>
      <c r="AA1241">
        <f>_xlfn.XLOOKUP($G1241,magnet_list!$A$2:$A$592,magnet_list!$AJ$2:$AJ$592,"n/a",0,1)</f>
        <v>0.32714527067797677</v>
      </c>
      <c r="AB1241">
        <f>_xlfn.XLOOKUP($G1241,magnet_list!$A$2:$A$592,magnet_list!$L$2:$L$592,"n/a",0,1)</f>
        <v>120</v>
      </c>
    </row>
    <row r="1242" spans="1:28">
      <c r="A1242" t="s">
        <v>797</v>
      </c>
      <c r="B1242">
        <v>2</v>
      </c>
      <c r="C1242" t="s">
        <v>804</v>
      </c>
      <c r="D1242" t="s">
        <v>1152</v>
      </c>
      <c r="E1242" t="s">
        <v>804</v>
      </c>
      <c r="F1242" t="s">
        <v>1303</v>
      </c>
      <c r="G1242" t="s">
        <v>2649</v>
      </c>
      <c r="I1242">
        <f>_xlfn.XLOOKUP($F1242,設計座標!$E$13:$E$2301,設計座標!$G$13:$G$2301,"n/a",0,1)</f>
        <v>338.90479506136893</v>
      </c>
      <c r="J1242">
        <f>_xlfn.XLOOKUP($F1242,設計座標!$E$13:$E$2301,設計座標!$H$13:$H$2301,"n/a",0,1)</f>
        <v>-15000</v>
      </c>
      <c r="K1242">
        <f>_xlfn.XLOOKUP($F1242,設計座標!$E$13:$E$2301,設計座標!$I$13:$I$2301,"n/a",0,1)</f>
        <v>-74442.737595460072</v>
      </c>
      <c r="L1242">
        <f>_xlfn.XLOOKUP($F1242,設計座標!$E$13:$E$2301,設計座標!$J$13:$J$2301,"n/a",0,1)</f>
        <v>-270</v>
      </c>
      <c r="M1242" s="2">
        <f t="shared" si="981"/>
        <v>-14989.495254409941</v>
      </c>
      <c r="N1242" s="2">
        <f t="shared" si="982"/>
        <v>-74442.737595460072</v>
      </c>
      <c r="O1242" s="23">
        <f t="shared" si="983"/>
        <v>-271.34925987627145</v>
      </c>
      <c r="P1242" s="1">
        <f t="shared" si="946"/>
        <v>-270.10830869083941</v>
      </c>
      <c r="Q1242" s="1">
        <f>(Q$1243-Q$1241)/($N$1243-$N$1241)*($N1242-$N$1241)+Q$1241</f>
        <v>10.504745590058844</v>
      </c>
      <c r="R1242">
        <f t="shared" si="970"/>
        <v>0</v>
      </c>
      <c r="S1242" s="23">
        <f>(S$1243-S$1241)/($N$1243-$N$1241)*($N1242-$N$1241)+S$1241</f>
        <v>-1.3492598762714201</v>
      </c>
      <c r="T1242">
        <f>$S1242+測地線補正!$Q$26*(lattice!$N1242/1000)^3+測地線補正!$P$26*(lattice!$N1242/1000)^2+測地線補正!$O$26*(lattice!$N1242/1000)+測地線補正!$N$26</f>
        <v>-0.10830869083941796</v>
      </c>
      <c r="U1242">
        <f>-ATAN(($P$1246-$P$1238)/ABS($N$1246-$N$1238))</f>
        <v>-2.1833568656335693E-5</v>
      </c>
      <c r="V1242">
        <v>0</v>
      </c>
      <c r="W1242">
        <f>ATAN(($M$1246-$M$1238)/ABS($N$1246-$N$1238))</f>
        <v>1.2212878456135113E-4</v>
      </c>
      <c r="X1242" t="s">
        <v>3860</v>
      </c>
      <c r="Y1242">
        <f>_xlfn.XLOOKUP($F1242,設計座標!$E$13:$E$2301,設計座標!$L$13:$L$2301," ",0,1)</f>
        <v>1889.4492</v>
      </c>
      <c r="Z1242">
        <f>SQRT(($M$1242-$M$1240)^2+($N$1242-$N$1240)^2)</f>
        <v>425.33544439889727</v>
      </c>
    </row>
    <row r="1243" spans="1:28">
      <c r="A1243" t="s">
        <v>797</v>
      </c>
      <c r="B1243">
        <v>2</v>
      </c>
      <c r="C1243" t="s">
        <v>805</v>
      </c>
      <c r="D1243" t="s">
        <v>806</v>
      </c>
      <c r="F1243" t="s">
        <v>322</v>
      </c>
      <c r="G1243" t="s">
        <v>2651</v>
      </c>
      <c r="I1243">
        <f>_xlfn.XLOOKUP($F1243,設計座標!$E$13:$E$2301,設計座標!$G$13:$G$2301,"n/a",0,1)</f>
        <v>339.15450091282884</v>
      </c>
      <c r="J1243">
        <f>_xlfn.XLOOKUP($F1243,設計座標!$E$13:$E$2301,設計座標!$H$13:$H$2301,"n/a",0,1)</f>
        <v>-15000</v>
      </c>
      <c r="K1243">
        <f>_xlfn.XLOOKUP($F1243,設計座標!$E$13:$E$2301,設計座標!$I$13:$I$2301,"n/a",0,1)</f>
        <v>-74692.443446920006</v>
      </c>
      <c r="L1243">
        <f>_xlfn.XLOOKUP($F1243,設計座標!$E$13:$E$2301,設計座標!$J$13:$J$2301,"n/a",0,1)</f>
        <v>75</v>
      </c>
      <c r="M1243" s="2">
        <f>_xlfn.XLOOKUP($F1243,survey_data!$A$2:$A$833,survey_data!$B$2:$B$833,"n/a",0,1)</f>
        <v>-14989.45952642</v>
      </c>
      <c r="N1243" s="2">
        <f>_xlfn.XLOOKUP($F1243,survey_data!$A$2:$A$833,survey_data!$C$2:$C$833,"n/a",0,1)</f>
        <v>-74692.443446920006</v>
      </c>
      <c r="O1243" s="23">
        <f>_xlfn.XLOOKUP($F1243,survey_data!$A$2:$A$833,survey_data!$D$2:$D$833,"n/a",0,1)</f>
        <v>73.609575120000002</v>
      </c>
      <c r="P1243" s="1">
        <f t="shared" ref="P1243:P1306" si="1002">$L1243+$T1243</f>
        <v>74.856880074605385</v>
      </c>
      <c r="Q1243" s="1">
        <f t="shared" si="969"/>
        <v>10.540473580000253</v>
      </c>
      <c r="R1243">
        <f t="shared" si="970"/>
        <v>0</v>
      </c>
      <c r="S1243" s="23">
        <f t="shared" si="971"/>
        <v>-1.3904248799999976</v>
      </c>
      <c r="T1243">
        <f>$S1243+測地線補正!$Q$26*(lattice!$N1243/1000)^3+測地線補正!$P$26*(lattice!$N1243/1000)^2+測地線補正!$O$26*(lattice!$N1243/1000)+測地線補正!$N$26</f>
        <v>-0.14311992539461182</v>
      </c>
      <c r="U1243">
        <f>-ATAN(($P$1245-$P$1243)/ABS($N$1245-$N$1243))</f>
        <v>-9.5386474033085298E-5</v>
      </c>
      <c r="V1243">
        <v>0</v>
      </c>
      <c r="W1243">
        <f>ATAN(($M$1245-$M$1243)/ABS($N$1245-$N$1243))</f>
        <v>1.6672551984626448E-4</v>
      </c>
      <c r="X1243" t="s">
        <v>3860</v>
      </c>
      <c r="Y1243">
        <f>_xlfn.XLOOKUP($F1243,設計座標!$E$13:$E$2301,設計座標!$L$13:$L$2301," ",0,1)</f>
        <v>300</v>
      </c>
      <c r="Z1243">
        <f>SQRT(($M$1244-$M$1242)^2+($N$1244-$N$1242)^2)</f>
        <v>384.69385586759523</v>
      </c>
      <c r="AA1243">
        <f>_xlfn.XLOOKUP($G1243,magnet_list!$A$2:$A$592,magnet_list!$AJ$2:$AJ$592,"n/a",0,1)</f>
        <v>0.32714527067797677</v>
      </c>
      <c r="AB1243">
        <f>_xlfn.XLOOKUP($G1243,magnet_list!$A$2:$A$592,magnet_list!$L$2:$L$592,"n/a",0,1)</f>
        <v>120</v>
      </c>
    </row>
    <row r="1244" spans="1:28">
      <c r="A1244" t="s">
        <v>797</v>
      </c>
      <c r="B1244">
        <v>2</v>
      </c>
      <c r="C1244" t="s">
        <v>805</v>
      </c>
      <c r="D1244" t="s">
        <v>1152</v>
      </c>
      <c r="E1244" t="s">
        <v>804</v>
      </c>
      <c r="F1244" t="s">
        <v>707</v>
      </c>
      <c r="G1244" t="s">
        <v>2651</v>
      </c>
      <c r="I1244">
        <f>_xlfn.XLOOKUP($F1244,設計座標!$E$13:$E$2301,設計座標!$G$13:$G$2301,"n/a",0,1)</f>
        <v>339.28948891282886</v>
      </c>
      <c r="J1244">
        <f>_xlfn.XLOOKUP($F1244,設計座標!$E$13:$E$2301,設計座標!$H$13:$H$2301,"n/a",0,1)</f>
        <v>-15000</v>
      </c>
      <c r="K1244">
        <f>_xlfn.XLOOKUP($F1244,設計座標!$E$13:$E$2301,設計座標!$I$13:$I$2301,"n/a",0,1)</f>
        <v>-74827.431446920018</v>
      </c>
      <c r="L1244">
        <f>_xlfn.XLOOKUP($F1244,設計座標!$E$13:$E$2301,設計座標!$J$13:$J$2301,"n/a",0,1)</f>
        <v>75</v>
      </c>
      <c r="M1244" s="2">
        <f t="shared" si="981"/>
        <v>-14989.437020475318</v>
      </c>
      <c r="N1244" s="2">
        <f t="shared" si="982"/>
        <v>-74827.431446920018</v>
      </c>
      <c r="O1244" s="23">
        <f t="shared" si="983"/>
        <v>73.61902537717485</v>
      </c>
      <c r="P1244" s="1">
        <f t="shared" si="1002"/>
        <v>74.869758440844748</v>
      </c>
      <c r="Q1244" s="1">
        <f>(Q$1245-Q$1243)/($N$1245-$N$1243)*($N1244-$N$1243)+Q$1243</f>
        <v>10.562979524681797</v>
      </c>
      <c r="R1244">
        <f t="shared" si="970"/>
        <v>0</v>
      </c>
      <c r="S1244" s="23">
        <f>(S$1245-S$1243)/($N$1245-$N$1243)*($N1244-$N$1243)+S$1243</f>
        <v>-1.3809746228251503</v>
      </c>
      <c r="T1244">
        <f>$S1244+測地線補正!$Q$26*(lattice!$N1244/1000)^3+測地線補正!$P$26*(lattice!$N1244/1000)^2+測地線補正!$O$26*(lattice!$N1244/1000)+測地線補正!$N$26</f>
        <v>-0.13024155915525371</v>
      </c>
      <c r="U1244">
        <f t="shared" ref="U1244:U1245" si="1003">-ATAN(($P$1245-$P$1243)/ABS($N$1245-$N$1243))</f>
        <v>-9.5386474033085298E-5</v>
      </c>
      <c r="V1244">
        <v>0</v>
      </c>
      <c r="W1244">
        <f t="shared" ref="W1244:W1245" si="1004">ATAN(($M$1245-$M$1243)/ABS($N$1245-$N$1243))</f>
        <v>1.6672551984626448E-4</v>
      </c>
      <c r="X1244" t="s">
        <v>3860</v>
      </c>
      <c r="Y1244">
        <f>_xlfn.XLOOKUP($F1244,設計座標!$E$13:$E$2301,設計座標!$L$13:$L$2301," ",0,1)</f>
        <v>300</v>
      </c>
      <c r="Z1244">
        <f>SQRT(($M$1244-$M$1242)^2+($N$1244-$N$1242)^2)</f>
        <v>384.69385586759523</v>
      </c>
      <c r="AA1244">
        <f>_xlfn.XLOOKUP($G1244,magnet_list!$A$2:$A$592,magnet_list!$AJ$2:$AJ$592,"n/a",0,1)</f>
        <v>0.32714527067797677</v>
      </c>
      <c r="AB1244">
        <f>_xlfn.XLOOKUP($G1244,magnet_list!$A$2:$A$592,magnet_list!$L$2:$L$592,"n/a",0,1)</f>
        <v>120</v>
      </c>
    </row>
    <row r="1245" spans="1:28">
      <c r="A1245" t="s">
        <v>797</v>
      </c>
      <c r="B1245">
        <v>2</v>
      </c>
      <c r="C1245" t="s">
        <v>805</v>
      </c>
      <c r="D1245" t="s">
        <v>806</v>
      </c>
      <c r="F1245" t="s">
        <v>323</v>
      </c>
      <c r="G1245" t="s">
        <v>2651</v>
      </c>
      <c r="I1245">
        <f>_xlfn.XLOOKUP($F1245,設計座標!$E$13:$E$2301,設計座標!$G$13:$G$2301,"n/a",0,1)</f>
        <v>339.42448999202884</v>
      </c>
      <c r="J1245">
        <f>_xlfn.XLOOKUP($F1245,設計座標!$E$13:$E$2301,設計座標!$H$13:$H$2301,"n/a",0,1)</f>
        <v>-15000</v>
      </c>
      <c r="K1245">
        <f>_xlfn.XLOOKUP($F1245,設計座標!$E$13:$E$2301,設計座標!$I$13:$I$2301,"n/a",0,1)</f>
        <v>-74962.432526119999</v>
      </c>
      <c r="L1245">
        <f>_xlfn.XLOOKUP($F1245,設計座標!$E$13:$E$2301,設計座標!$J$13:$J$2301,"n/a",0,1)</f>
        <v>75</v>
      </c>
      <c r="M1245" s="2">
        <f>_xlfn.XLOOKUP($F1245,survey_data!$A$2:$A$833,survey_data!$B$2:$B$833,"n/a",0,1)</f>
        <v>-14989.41451235</v>
      </c>
      <c r="N1245" s="2">
        <f>_xlfn.XLOOKUP($F1245,survey_data!$A$2:$A$833,survey_data!$C$2:$C$833,"n/a",0,1)</f>
        <v>-74962.432526119999</v>
      </c>
      <c r="O1245" s="23">
        <f>_xlfn.XLOOKUP($F1245,survey_data!$A$2:$A$833,survey_data!$D$2:$D$833,"n/a",0,1)</f>
        <v>73.628476550000002</v>
      </c>
      <c r="P1245" s="1">
        <f t="shared" si="1002"/>
        <v>74.882633380975818</v>
      </c>
      <c r="Q1245" s="1">
        <f t="shared" si="969"/>
        <v>10.585487649999777</v>
      </c>
      <c r="R1245">
        <f t="shared" si="970"/>
        <v>0</v>
      </c>
      <c r="S1245" s="23">
        <f t="shared" si="971"/>
        <v>-1.371523449999998</v>
      </c>
      <c r="T1245">
        <f>$S1245+測地線補正!$Q$26*(lattice!$N1245/1000)^3+測地線補正!$P$26*(lattice!$N1245/1000)^2+測地線補正!$O$26*(lattice!$N1245/1000)+測地線補正!$N$26</f>
        <v>-0.11736661902418022</v>
      </c>
      <c r="U1245">
        <f t="shared" si="1003"/>
        <v>-9.5386474033085298E-5</v>
      </c>
      <c r="V1245">
        <v>0</v>
      </c>
      <c r="W1245">
        <f t="shared" si="1004"/>
        <v>1.6672551984626448E-4</v>
      </c>
      <c r="X1245" t="s">
        <v>3860</v>
      </c>
      <c r="Y1245">
        <f>_xlfn.XLOOKUP($F1245,設計座標!$E$13:$E$2301,設計座標!$L$13:$L$2301," ",0,1)</f>
        <v>300</v>
      </c>
      <c r="Z1245">
        <f>SQRT(($M$1244-$M$1242)^2+($N$1244-$N$1242)^2)</f>
        <v>384.69385586759523</v>
      </c>
      <c r="AA1245">
        <f>_xlfn.XLOOKUP($G1245,magnet_list!$A$2:$A$592,magnet_list!$AJ$2:$AJ$592,"n/a",0,1)</f>
        <v>0.32714527067797677</v>
      </c>
      <c r="AB1245">
        <f>_xlfn.XLOOKUP($G1245,magnet_list!$A$2:$A$592,magnet_list!$L$2:$L$592,"n/a",0,1)</f>
        <v>120</v>
      </c>
    </row>
    <row r="1246" spans="1:28">
      <c r="A1246" t="s">
        <v>797</v>
      </c>
      <c r="B1246">
        <v>2</v>
      </c>
      <c r="C1246" t="s">
        <v>804</v>
      </c>
      <c r="D1246" t="s">
        <v>1152</v>
      </c>
      <c r="E1246" t="s">
        <v>804</v>
      </c>
      <c r="F1246" t="s">
        <v>1611</v>
      </c>
      <c r="G1246" t="s">
        <v>2649</v>
      </c>
      <c r="I1246">
        <f>_xlfn.XLOOKUP($F1246,設計座標!$E$13:$E$2301,設計座標!$G$13:$G$2301,"n/a",0,1)</f>
        <v>339.84951966136896</v>
      </c>
      <c r="J1246">
        <f>_xlfn.XLOOKUP($F1246,設計座標!$E$13:$E$2301,設計座標!$H$13:$H$2301,"n/a",0,1)</f>
        <v>-15000</v>
      </c>
      <c r="K1246">
        <f>_xlfn.XLOOKUP($F1246,設計座標!$E$13:$E$2301,設計座標!$I$13:$I$2301,"n/a",0,1)</f>
        <v>-75387.462195460073</v>
      </c>
      <c r="L1246">
        <f>_xlfn.XLOOKUP($F1246,設計座標!$E$13:$E$2301,設計座標!$J$13:$J$2301,"n/a",0,1)</f>
        <v>-270</v>
      </c>
      <c r="M1246" s="2">
        <f t="shared" si="981"/>
        <v>-14989.369362907732</v>
      </c>
      <c r="N1246" s="2">
        <f t="shared" si="982"/>
        <v>-75387.462195460073</v>
      </c>
      <c r="O1246" s="23">
        <f t="shared" si="983"/>
        <v>-271.39871437986488</v>
      </c>
      <c r="P1246" s="1">
        <f t="shared" si="1002"/>
        <v>-270.13380885653714</v>
      </c>
      <c r="Q1246" s="1">
        <f>(Q$1247-Q$1245)/($N$1247-$N$1245)*($N1246-$N$1245)+Q$1245</f>
        <v>10.630637092268355</v>
      </c>
      <c r="R1246">
        <f t="shared" si="970"/>
        <v>0</v>
      </c>
      <c r="S1246" s="23">
        <f>(S$1247-S$1245)/($N$1247-$N$1245)*($N1246-$N$1245)+S$1245</f>
        <v>-1.3987143798648993</v>
      </c>
      <c r="T1246">
        <f>$S1246+測地線補正!$Q$26*(lattice!$N1246/1000)^3+測地線補正!$P$26*(lattice!$N1246/1000)^2+測地線補正!$O$26*(lattice!$N1246/1000)+測地線補正!$N$26</f>
        <v>-0.13380885653712826</v>
      </c>
      <c r="U1246">
        <f>-ATAN(($P$1246-$P$1238)/ABS($N$1246-$N$1238))</f>
        <v>-2.1833568656335693E-5</v>
      </c>
      <c r="V1246">
        <v>0</v>
      </c>
      <c r="W1246">
        <f>ATAN(($M$1246-$M$1238)/ABS($N$1246-$N$1238))</f>
        <v>1.2212878456135113E-4</v>
      </c>
      <c r="X1246" t="s">
        <v>3860</v>
      </c>
      <c r="Y1246">
        <f>_xlfn.XLOOKUP($F1246,設計座標!$E$13:$E$2301,設計座標!$L$13:$L$2301," ",0,1)</f>
        <v>1889.4492</v>
      </c>
      <c r="Z1246">
        <f>SQRT(($M$1242-$M$1240)^2+($N$1242-$N$1240)^2)</f>
        <v>425.33544439889727</v>
      </c>
    </row>
    <row r="1247" spans="1:28">
      <c r="A1247" t="s">
        <v>797</v>
      </c>
      <c r="B1247">
        <v>2</v>
      </c>
      <c r="C1247" t="s">
        <v>805</v>
      </c>
      <c r="D1247" t="s">
        <v>806</v>
      </c>
      <c r="F1247" t="s">
        <v>324</v>
      </c>
      <c r="G1247" t="s">
        <v>2652</v>
      </c>
      <c r="I1247">
        <f>_xlfn.XLOOKUP($F1247,設計座標!$E$13:$E$2301,設計座標!$G$13:$G$2301,"n/a",0,1)</f>
        <v>340.0301492198189</v>
      </c>
      <c r="J1247">
        <f>_xlfn.XLOOKUP($F1247,設計座標!$E$13:$E$2301,設計座標!$H$13:$H$2301,"n/a",0,1)</f>
        <v>-15000</v>
      </c>
      <c r="K1247">
        <f>_xlfn.XLOOKUP($F1247,設計座標!$E$13:$E$2301,設計座標!$I$13:$I$2301,"n/a",0,1)</f>
        <v>-75568.091753910005</v>
      </c>
      <c r="L1247">
        <f>_xlfn.XLOOKUP($F1247,設計座標!$E$13:$E$2301,設計座標!$J$13:$J$2301,"n/a",0,1)</f>
        <v>90</v>
      </c>
      <c r="M1247" s="2">
        <f>_xlfn.XLOOKUP($F1247,survey_data!$A$2:$A$833,survey_data!$B$2:$B$833,"n/a",0,1)</f>
        <v>-14989.35017525</v>
      </c>
      <c r="N1247" s="2">
        <f>_xlfn.XLOOKUP($F1247,survey_data!$A$2:$A$833,survey_data!$C$2:$C$833,"n/a",0,1)</f>
        <v>-75568.091753910005</v>
      </c>
      <c r="O1247" s="23">
        <f>_xlfn.XLOOKUP($F1247,survey_data!$A$2:$A$833,survey_data!$D$2:$D$833,"n/a",0,1)</f>
        <v>88.589729989999995</v>
      </c>
      <c r="P1247" s="1">
        <f t="shared" si="1002"/>
        <v>89.859189496681395</v>
      </c>
      <c r="Q1247" s="1">
        <f t="shared" si="969"/>
        <v>10.649824750000334</v>
      </c>
      <c r="R1247">
        <f t="shared" si="970"/>
        <v>0</v>
      </c>
      <c r="S1247" s="23">
        <f t="shared" si="971"/>
        <v>-1.410270010000005</v>
      </c>
      <c r="T1247">
        <f>$S1247+測地線補正!$Q$26*(lattice!$N1247/1000)^3+測地線補正!$P$26*(lattice!$N1247/1000)^2+測地線補正!$O$26*(lattice!$N1247/1000)+測地線補正!$N$26</f>
        <v>-0.14081050331860889</v>
      </c>
      <c r="U1247">
        <f>-ATAN(($P$1249-$P$1247)/ABS($N$1249-$N$1247))</f>
        <v>-2.4572169399065814E-4</v>
      </c>
      <c r="V1247">
        <v>0</v>
      </c>
      <c r="W1247">
        <f>ATAN(($M$1249-$M$1247)/ABS($N$1249-$N$1247))</f>
        <v>4.250526946650929E-4</v>
      </c>
      <c r="X1247">
        <f>SQRT(($M$1248-$M$1246)^2+($N$1248-$N$1246)^2)-$Y$1248/2</f>
        <v>170.62656322822016</v>
      </c>
      <c r="Y1247">
        <f>_xlfn.XLOOKUP($F1247,設計座標!$E$13:$E$2301,設計座標!$L$13:$L$2301," ",0,1)</f>
        <v>160</v>
      </c>
      <c r="Z1247">
        <f>SQRT(($M$1248-$M$1244)^2+($N$1248-$N$1244)^2)</f>
        <v>810.65731537516638</v>
      </c>
      <c r="AA1247">
        <f>_xlfn.XLOOKUP($G1247,magnet_list!$A$2:$A$592,magnet_list!$AJ$2:$AJ$592,"n/a",0,1)</f>
        <v>0.17374887133613809</v>
      </c>
      <c r="AB1247">
        <f>_xlfn.XLOOKUP($G1247,magnet_list!$A$2:$A$592,magnet_list!$L$2:$L$592,"n/a",0,1)</f>
        <v>44</v>
      </c>
    </row>
    <row r="1248" spans="1:28">
      <c r="A1248" t="s">
        <v>797</v>
      </c>
      <c r="B1248">
        <v>2</v>
      </c>
      <c r="C1248" t="s">
        <v>805</v>
      </c>
      <c r="D1248" t="s">
        <v>1152</v>
      </c>
      <c r="E1248" t="s">
        <v>804</v>
      </c>
      <c r="F1248" t="s">
        <v>708</v>
      </c>
      <c r="G1248" t="s">
        <v>2652</v>
      </c>
      <c r="I1248">
        <f>_xlfn.XLOOKUP($F1248,設計座標!$E$13:$E$2301,設計座標!$G$13:$G$2301,"n/a",0,1)</f>
        <v>340.1001462198189</v>
      </c>
      <c r="J1248">
        <f>_xlfn.XLOOKUP($F1248,設計座標!$E$13:$E$2301,設計座標!$H$13:$H$2301,"n/a",0,1)</f>
        <v>-15000</v>
      </c>
      <c r="K1248">
        <f>_xlfn.XLOOKUP($F1248,設計座標!$E$13:$E$2301,設計座標!$I$13:$I$2301,"n/a",0,1)</f>
        <v>-75638.088753910008</v>
      </c>
      <c r="L1248">
        <f>_xlfn.XLOOKUP($F1248,設計座標!$E$13:$E$2301,設計座標!$J$13:$J$2301,"n/a",0,1)</f>
        <v>90</v>
      </c>
      <c r="M1248" s="2">
        <f t="shared" si="981"/>
        <v>-14989.320422834739</v>
      </c>
      <c r="N1248" s="2">
        <f t="shared" si="982"/>
        <v>-75638.088753910008</v>
      </c>
      <c r="O1248" s="23">
        <f t="shared" si="983"/>
        <v>88.605167897675088</v>
      </c>
      <c r="P1248" s="1">
        <f t="shared" si="1002"/>
        <v>89.876389905137032</v>
      </c>
      <c r="Q1248" s="1">
        <f>(Q$1249-Q$1247)/($N$1249-$N$1247)*($N1248-$N$1247)+Q$1247</f>
        <v>10.679577165260596</v>
      </c>
      <c r="R1248">
        <f t="shared" si="970"/>
        <v>0</v>
      </c>
      <c r="S1248" s="23">
        <f>(S$1249-S$1247)/($N$1249-$N$1247)*($N1248-$N$1247)+S$1247</f>
        <v>-1.3948321023249122</v>
      </c>
      <c r="T1248">
        <f>$S1248+測地線補正!$Q$26*(lattice!$N1248/1000)^3+測地線補正!$P$26*(lattice!$N1248/1000)^2+測地線補正!$O$26*(lattice!$N1248/1000)+測地線補正!$N$26</f>
        <v>-0.12361009486296459</v>
      </c>
      <c r="U1248">
        <f t="shared" ref="U1248:U1249" si="1005">-ATAN(($P$1249-$P$1247)/ABS($N$1249-$N$1247))</f>
        <v>-2.4572169399065814E-4</v>
      </c>
      <c r="V1248">
        <v>0</v>
      </c>
      <c r="W1248">
        <f t="shared" ref="W1248:W1249" si="1006">ATAN(($M$1249-$M$1247)/ABS($N$1249-$N$1247))</f>
        <v>4.250526946650929E-4</v>
      </c>
      <c r="X1248">
        <f>SQRT(($M$1248-$M$1246)^2+($N$1248-$N$1246)^2)-$Y$1248/2</f>
        <v>170.62656322822016</v>
      </c>
      <c r="Y1248">
        <f>_xlfn.XLOOKUP($F1248,設計座標!$E$13:$E$2301,設計座標!$L$13:$L$2301," ",0,1)</f>
        <v>160</v>
      </c>
      <c r="Z1248">
        <f>SQRT(($M$1248-$M$1244)^2+($N$1248-$N$1244)^2)</f>
        <v>810.65731537516638</v>
      </c>
      <c r="AA1248">
        <f>_xlfn.XLOOKUP($G1248,magnet_list!$A$2:$A$592,magnet_list!$AJ$2:$AJ$592,"n/a",0,1)</f>
        <v>0.17374887133613809</v>
      </c>
      <c r="AB1248">
        <f>_xlfn.XLOOKUP($G1248,magnet_list!$A$2:$A$592,magnet_list!$L$2:$L$592,"n/a",0,1)</f>
        <v>44</v>
      </c>
    </row>
    <row r="1249" spans="1:28">
      <c r="A1249" t="s">
        <v>797</v>
      </c>
      <c r="B1249">
        <v>2</v>
      </c>
      <c r="C1249" t="s">
        <v>805</v>
      </c>
      <c r="D1249" t="s">
        <v>806</v>
      </c>
      <c r="F1249" t="s">
        <v>325</v>
      </c>
      <c r="G1249" t="s">
        <v>2652</v>
      </c>
      <c r="I1249">
        <f>_xlfn.XLOOKUP($F1249,設計座標!$E$13:$E$2301,設計座標!$G$13:$G$2301,"n/a",0,1)</f>
        <v>340.17014632408888</v>
      </c>
      <c r="J1249">
        <f>_xlfn.XLOOKUP($F1249,設計座標!$E$13:$E$2301,設計座標!$H$13:$H$2301,"n/a",0,1)</f>
        <v>-15000</v>
      </c>
      <c r="K1249">
        <f>_xlfn.XLOOKUP($F1249,設計座標!$E$13:$E$2301,設計座標!$I$13:$I$2301,"n/a",0,1)</f>
        <v>-75708.088858179995</v>
      </c>
      <c r="L1249">
        <f>_xlfn.XLOOKUP($F1249,設計座標!$E$13:$E$2301,設計座標!$J$13:$J$2301,"n/a",0,1)</f>
        <v>90</v>
      </c>
      <c r="M1249" s="2">
        <f>_xlfn.XLOOKUP($F1249,survey_data!$A$2:$A$833,survey_data!$B$2:$B$833,"n/a",0,1)</f>
        <v>-14989.290669100001</v>
      </c>
      <c r="N1249" s="2">
        <f>_xlfn.XLOOKUP($F1249,survey_data!$A$2:$A$833,survey_data!$C$2:$C$833,"n/a",0,1)</f>
        <v>-75708.088858179995</v>
      </c>
      <c r="O1249" s="23">
        <f>_xlfn.XLOOKUP($F1249,survey_data!$A$2:$A$833,survey_data!$D$2:$D$833,"n/a",0,1)</f>
        <v>88.62060649</v>
      </c>
      <c r="P1249" s="1">
        <f t="shared" si="1002"/>
        <v>89.893589822988758</v>
      </c>
      <c r="Q1249" s="1">
        <f t="shared" si="969"/>
        <v>10.709330899999259</v>
      </c>
      <c r="R1249">
        <f t="shared" si="970"/>
        <v>0</v>
      </c>
      <c r="S1249" s="23">
        <f t="shared" si="971"/>
        <v>-1.3793935099999999</v>
      </c>
      <c r="T1249">
        <f>$S1249+測地線補正!$Q$26*(lattice!$N1249/1000)^3+測地線補正!$P$26*(lattice!$N1249/1000)^2+測地線補正!$O$26*(lattice!$N1249/1000)+測地線補正!$N$26</f>
        <v>-0.10641017701123823</v>
      </c>
      <c r="U1249">
        <f t="shared" si="1005"/>
        <v>-2.4572169399065814E-4</v>
      </c>
      <c r="V1249">
        <v>0</v>
      </c>
      <c r="W1249">
        <f t="shared" si="1006"/>
        <v>4.250526946650929E-4</v>
      </c>
      <c r="X1249">
        <f>SQRT(($M$1248-$M$1246)^2+($N$1248-$N$1246)^2)-$Y$1248/2</f>
        <v>170.62656322822016</v>
      </c>
      <c r="Y1249">
        <f>_xlfn.XLOOKUP($F1249,設計座標!$E$13:$E$2301,設計座標!$L$13:$L$2301," ",0,1)</f>
        <v>160</v>
      </c>
      <c r="Z1249">
        <f>SQRT(($M$1248-$M$1244)^2+($N$1248-$N$1244)^2)</f>
        <v>810.65731537516638</v>
      </c>
      <c r="AA1249">
        <f>_xlfn.XLOOKUP($G1249,magnet_list!$A$2:$A$592,magnet_list!$AJ$2:$AJ$592,"n/a",0,1)</f>
        <v>0.17374887133613809</v>
      </c>
      <c r="AB1249">
        <f>_xlfn.XLOOKUP($G1249,magnet_list!$A$2:$A$592,magnet_list!$L$2:$L$592,"n/a",0,1)</f>
        <v>44</v>
      </c>
    </row>
    <row r="1250" spans="1:28">
      <c r="A1250" t="s">
        <v>797</v>
      </c>
      <c r="B1250">
        <v>2</v>
      </c>
      <c r="C1250" t="s">
        <v>804</v>
      </c>
      <c r="D1250" t="s">
        <v>1152</v>
      </c>
      <c r="E1250" t="s">
        <v>804</v>
      </c>
      <c r="F1250" t="s">
        <v>1612</v>
      </c>
      <c r="G1250" t="s">
        <v>2653</v>
      </c>
      <c r="I1250">
        <f>_xlfn.XLOOKUP($F1250,設計座標!$E$13:$E$2301,設計座標!$G$13:$G$2301,"n/a",0,1)</f>
        <v>340.34812346136891</v>
      </c>
      <c r="J1250">
        <f>_xlfn.XLOOKUP($F1250,設計座標!$E$13:$E$2301,設計座標!$H$13:$H$2301,"n/a",0,1)</f>
        <v>-15000</v>
      </c>
      <c r="K1250">
        <f>_xlfn.XLOOKUP($F1250,設計座標!$E$13:$E$2301,設計座標!$I$13:$I$2301,"n/a",0,1)</f>
        <v>-75886.065995460071</v>
      </c>
      <c r="L1250">
        <f>_xlfn.XLOOKUP($F1250,設計座標!$E$13:$E$2301,設計座標!$J$13:$J$2301,"n/a",0,1)</f>
        <v>-270</v>
      </c>
      <c r="M1250" s="2">
        <f t="shared" si="981"/>
        <v>-14989.271104564399</v>
      </c>
      <c r="N1250" s="2">
        <f t="shared" si="982"/>
        <v>-75886.065995460071</v>
      </c>
      <c r="O1250" s="23">
        <f t="shared" si="983"/>
        <v>-271.31714155659256</v>
      </c>
      <c r="P1250" s="1">
        <f t="shared" si="1002"/>
        <v>-270.03968564931523</v>
      </c>
      <c r="Q1250" s="1">
        <f>(Q$1251-Q$1249)/($N$1251-$N$1249)*($N1250-$N$1249)+Q$1249</f>
        <v>10.728895435600093</v>
      </c>
      <c r="R1250">
        <f t="shared" si="970"/>
        <v>0</v>
      </c>
      <c r="S1250" s="23">
        <f>(S$1251-S$1249)/($N$1251-$N$1249)*($N1250-$N$1249)+S$1249</f>
        <v>-1.3171415565925542</v>
      </c>
      <c r="T1250">
        <f>$S1250+測地線補正!$Q$26*(lattice!$N1250/1000)^3+測地線補正!$P$26*(lattice!$N1250/1000)^2+測地線補正!$O$26*(lattice!$N1250/1000)+測地線補正!$N$26</f>
        <v>-3.9685649315245319E-2</v>
      </c>
      <c r="U1250">
        <f>-ATAN(($P$1258-$P$1250)/ABS($N$1258-$N$1250))</f>
        <v>-4.9959054336113856E-5</v>
      </c>
      <c r="V1250">
        <v>0</v>
      </c>
      <c r="W1250">
        <f>ATAN(($M$1258-$M$1250)/ABS($N$1258-$N$1250))</f>
        <v>1.0120129869056192E-4</v>
      </c>
      <c r="X1250">
        <f>SQRT(($M$1250-$M$1248)^2+($N$1250-$N$1248)^2)-$Y$1248/2</f>
        <v>167.977246454327</v>
      </c>
      <c r="Y1250">
        <f>_xlfn.XLOOKUP($F1250,設計座標!$E$13:$E$2301,設計座標!$L$13:$L$2301," ",0,1)</f>
        <v>1889.4492</v>
      </c>
      <c r="Z1250">
        <f>SQRT(($M$1254-$M$1252)^2+($N$1254-$N$1252)^2)</f>
        <v>382.17725737758161</v>
      </c>
    </row>
    <row r="1251" spans="1:28">
      <c r="A1251" t="s">
        <v>797</v>
      </c>
      <c r="B1251">
        <v>2</v>
      </c>
      <c r="C1251" t="s">
        <v>805</v>
      </c>
      <c r="D1251" t="s">
        <v>806</v>
      </c>
      <c r="F1251" t="s">
        <v>326</v>
      </c>
      <c r="G1251" t="s">
        <v>2654</v>
      </c>
      <c r="I1251">
        <f>_xlfn.XLOOKUP($F1251,設計座標!$E$13:$E$2301,設計座標!$G$13:$G$2301,"n/a",0,1)</f>
        <v>340.77567430426882</v>
      </c>
      <c r="J1251">
        <f>_xlfn.XLOOKUP($F1251,設計座標!$E$13:$E$2301,設計座標!$H$13:$H$2301,"n/a",0,1)</f>
        <v>-15000</v>
      </c>
      <c r="K1251">
        <f>_xlfn.XLOOKUP($F1251,設計座標!$E$13:$E$2301,設計座標!$I$13:$I$2301,"n/a",0,1)</f>
        <v>-76313.616838360002</v>
      </c>
      <c r="L1251">
        <f>_xlfn.XLOOKUP($F1251,設計座標!$E$13:$E$2301,設計座標!$J$13:$J$2301,"n/a",0,1)</f>
        <v>75</v>
      </c>
      <c r="M1251" s="2">
        <f>_xlfn.XLOOKUP($F1251,survey_data!$A$2:$A$833,survey_data!$B$2:$B$833,"n/a",0,1)</f>
        <v>-14989.22410508</v>
      </c>
      <c r="N1251" s="2">
        <f>_xlfn.XLOOKUP($F1251,survey_data!$A$2:$A$833,survey_data!$C$2:$C$833,"n/a",0,1)</f>
        <v>-76313.616838360002</v>
      </c>
      <c r="O1251" s="23">
        <f>_xlfn.XLOOKUP($F1251,survey_data!$A$2:$A$833,survey_data!$D$2:$D$833,"n/a",0,1)</f>
        <v>73.832405039999998</v>
      </c>
      <c r="P1251" s="1">
        <f t="shared" si="1002"/>
        <v>75.120572242936305</v>
      </c>
      <c r="Q1251" s="1">
        <f t="shared" si="969"/>
        <v>10.775894919999701</v>
      </c>
      <c r="R1251">
        <f t="shared" si="970"/>
        <v>0</v>
      </c>
      <c r="S1251" s="23">
        <f t="shared" si="971"/>
        <v>-1.1675949600000024</v>
      </c>
      <c r="T1251">
        <f>$S1251+測地線補正!$Q$26*(lattice!$N1251/1000)^3+測地線補正!$P$26*(lattice!$N1251/1000)^2+測地線補正!$O$26*(lattice!$N1251/1000)+測地線補正!$N$26</f>
        <v>0.12057224293630431</v>
      </c>
      <c r="U1251">
        <f>-ATAN(($P$1253-$P$1251)/ABS($N$1253-$N$1251))</f>
        <v>-2.011952442771773E-4</v>
      </c>
      <c r="V1251">
        <v>0</v>
      </c>
      <c r="W1251">
        <f>ATAN(($M$1253-$M$1251)/ABS($N$1253-$N$1251))</f>
        <v>-2.4962977781248956E-4</v>
      </c>
      <c r="X1251" t="s">
        <v>3860</v>
      </c>
      <c r="Y1251">
        <f>_xlfn.XLOOKUP($F1251,設計座標!$E$13:$E$2301,設計座標!$L$13:$L$2301," ",0,1)</f>
        <v>300</v>
      </c>
      <c r="Z1251">
        <f>SQRT(($M$1252-$M$1248)^2+($N$1252-$N$1248)^2)</f>
        <v>810.52458686884711</v>
      </c>
      <c r="AA1251">
        <f>_xlfn.XLOOKUP($G1251,magnet_list!$A$2:$A$592,magnet_list!$AJ$2:$AJ$592,"n/a",0,1)</f>
        <v>0.32714527067797677</v>
      </c>
      <c r="AB1251">
        <f>_xlfn.XLOOKUP($G1251,magnet_list!$A$2:$A$592,magnet_list!$L$2:$L$592,"n/a",0,1)</f>
        <v>120</v>
      </c>
    </row>
    <row r="1252" spans="1:28">
      <c r="A1252" t="s">
        <v>797</v>
      </c>
      <c r="B1252">
        <v>2</v>
      </c>
      <c r="C1252" t="s">
        <v>805</v>
      </c>
      <c r="D1252" t="s">
        <v>1152</v>
      </c>
      <c r="E1252" t="s">
        <v>804</v>
      </c>
      <c r="F1252" t="s">
        <v>709</v>
      </c>
      <c r="G1252" t="s">
        <v>2654</v>
      </c>
      <c r="I1252">
        <f>_xlfn.XLOOKUP($F1252,設計座標!$E$13:$E$2301,設計座標!$G$13:$G$2301,"n/a",0,1)</f>
        <v>340.91067080426882</v>
      </c>
      <c r="J1252">
        <f>_xlfn.XLOOKUP($F1252,設計座標!$E$13:$E$2301,設計座標!$H$13:$H$2301,"n/a",0,1)</f>
        <v>-15000</v>
      </c>
      <c r="K1252">
        <f>_xlfn.XLOOKUP($F1252,設計座標!$E$13:$E$2301,設計座標!$I$13:$I$2301,"n/a",0,1)</f>
        <v>-76448.613338359995</v>
      </c>
      <c r="L1252">
        <f>_xlfn.XLOOKUP($F1252,設計座標!$E$13:$E$2301,設計座標!$J$13:$J$2301,"n/a",0,1)</f>
        <v>75</v>
      </c>
      <c r="M1252" s="2">
        <f t="shared" si="981"/>
        <v>-14989.257804227002</v>
      </c>
      <c r="N1252" s="2">
        <f t="shared" si="982"/>
        <v>-76448.613338359995</v>
      </c>
      <c r="O1252" s="23">
        <f t="shared" si="983"/>
        <v>73.856195691679659</v>
      </c>
      <c r="P1252" s="1">
        <f t="shared" si="1002"/>
        <v>75.147735223835696</v>
      </c>
      <c r="Q1252" s="1">
        <f>(Q$1253-Q$1251)/($N$1253-$N$1251)*($N1252-$N$1251)+Q$1251</f>
        <v>10.742195772999251</v>
      </c>
      <c r="R1252">
        <f t="shared" si="970"/>
        <v>0</v>
      </c>
      <c r="S1252" s="23">
        <f>(S$1253-S$1251)/($N$1253-$N$1251)*($N1252-$N$1251)+S$1251</f>
        <v>-1.1438043083203406</v>
      </c>
      <c r="T1252">
        <f>$S1252+測地線補正!$Q$26*(lattice!$N1252/1000)^3+測地線補正!$P$26*(lattice!$N1252/1000)^2+測地線補正!$O$26*(lattice!$N1252/1000)+測地線補正!$N$26</f>
        <v>0.14773522383569326</v>
      </c>
      <c r="U1252">
        <f t="shared" ref="U1252:U1253" si="1007">-ATAN(($P$1253-$P$1251)/ABS($N$1253-$N$1251))</f>
        <v>-2.011952442771773E-4</v>
      </c>
      <c r="V1252">
        <v>0</v>
      </c>
      <c r="W1252">
        <f t="shared" ref="W1252:W1253" si="1008">ATAN(($M$1253-$M$1251)/ABS($N$1253-$N$1251))</f>
        <v>-2.4962977781248956E-4</v>
      </c>
      <c r="X1252" t="s">
        <v>3860</v>
      </c>
      <c r="Y1252">
        <f>_xlfn.XLOOKUP($F1252,設計座標!$E$13:$E$2301,設計座標!$L$13:$L$2301," ",0,1)</f>
        <v>300</v>
      </c>
      <c r="Z1252">
        <f>SQRT(($M$1252-$M$1248)^2+($N$1252-$N$1248)^2)</f>
        <v>810.52458686884711</v>
      </c>
      <c r="AA1252">
        <f>_xlfn.XLOOKUP($G1252,magnet_list!$A$2:$A$592,magnet_list!$AJ$2:$AJ$592,"n/a",0,1)</f>
        <v>0.32714527067797677</v>
      </c>
      <c r="AB1252">
        <f>_xlfn.XLOOKUP($G1252,magnet_list!$A$2:$A$592,magnet_list!$L$2:$L$592,"n/a",0,1)</f>
        <v>120</v>
      </c>
    </row>
    <row r="1253" spans="1:28">
      <c r="A1253" t="s">
        <v>797</v>
      </c>
      <c r="B1253">
        <v>2</v>
      </c>
      <c r="C1253" t="s">
        <v>805</v>
      </c>
      <c r="D1253" t="s">
        <v>806</v>
      </c>
      <c r="F1253" t="s">
        <v>327</v>
      </c>
      <c r="G1253" t="s">
        <v>2654</v>
      </c>
      <c r="I1253">
        <f>_xlfn.XLOOKUP($F1253,設計座標!$E$13:$E$2301,設計座標!$G$13:$G$2301,"n/a",0,1)</f>
        <v>341.04577492763883</v>
      </c>
      <c r="J1253">
        <f>_xlfn.XLOOKUP($F1253,設計座標!$E$13:$E$2301,設計座標!$H$13:$H$2301,"n/a",0,1)</f>
        <v>-15000</v>
      </c>
      <c r="K1253">
        <f>_xlfn.XLOOKUP($F1253,設計座標!$E$13:$E$2301,設計座標!$I$13:$I$2301,"n/a",0,1)</f>
        <v>-76583.717461730004</v>
      </c>
      <c r="L1253">
        <f>_xlfn.XLOOKUP($F1253,設計座標!$E$13:$E$2301,設計座標!$J$13:$J$2301,"n/a",0,1)</f>
        <v>75</v>
      </c>
      <c r="M1253" s="2">
        <f>_xlfn.XLOOKUP($F1253,survey_data!$A$2:$A$833,survey_data!$B$2:$B$833,"n/a",0,1)</f>
        <v>-14989.29153024</v>
      </c>
      <c r="N1253" s="2">
        <f>_xlfn.XLOOKUP($F1253,survey_data!$A$2:$A$833,survey_data!$C$2:$C$833,"n/a",0,1)</f>
        <v>-76583.717461730004</v>
      </c>
      <c r="O1253" s="23">
        <f>_xlfn.XLOOKUP($F1253,survey_data!$A$2:$A$833,survey_data!$D$2:$D$833,"n/a",0,1)</f>
        <v>73.880005310000001</v>
      </c>
      <c r="P1253" s="1">
        <f t="shared" si="1002"/>
        <v>75.17491520456791</v>
      </c>
      <c r="Q1253" s="1">
        <f t="shared" si="969"/>
        <v>10.708469760000298</v>
      </c>
      <c r="R1253">
        <f t="shared" si="970"/>
        <v>0</v>
      </c>
      <c r="S1253" s="23">
        <f t="shared" si="971"/>
        <v>-1.1199946899999986</v>
      </c>
      <c r="T1253">
        <f>$S1253+測地線補正!$Q$26*(lattice!$N1253/1000)^3+測地線補正!$P$26*(lattice!$N1253/1000)^2+測地線補正!$O$26*(lattice!$N1253/1000)+測地線補正!$N$26</f>
        <v>0.17491520456790322</v>
      </c>
      <c r="U1253">
        <f t="shared" si="1007"/>
        <v>-2.011952442771773E-4</v>
      </c>
      <c r="V1253">
        <v>0</v>
      </c>
      <c r="W1253">
        <f t="shared" si="1008"/>
        <v>-2.4962977781248956E-4</v>
      </c>
      <c r="X1253" t="s">
        <v>3860</v>
      </c>
      <c r="Y1253">
        <f>_xlfn.XLOOKUP($F1253,設計座標!$E$13:$E$2301,設計座標!$L$13:$L$2301," ",0,1)</f>
        <v>300</v>
      </c>
      <c r="Z1253">
        <f>SQRT(($M$1252-$M$1248)^2+($N$1252-$N$1248)^2)</f>
        <v>810.52458686884711</v>
      </c>
      <c r="AA1253">
        <f>_xlfn.XLOOKUP($G1253,magnet_list!$A$2:$A$592,magnet_list!$AJ$2:$AJ$592,"n/a",0,1)</f>
        <v>0.32714527067797677</v>
      </c>
      <c r="AB1253">
        <f>_xlfn.XLOOKUP($G1253,magnet_list!$A$2:$A$592,magnet_list!$L$2:$L$592,"n/a",0,1)</f>
        <v>120</v>
      </c>
    </row>
    <row r="1254" spans="1:28">
      <c r="A1254" t="s">
        <v>797</v>
      </c>
      <c r="B1254">
        <v>2</v>
      </c>
      <c r="C1254" t="s">
        <v>804</v>
      </c>
      <c r="D1254" t="s">
        <v>1152</v>
      </c>
      <c r="E1254" t="s">
        <v>804</v>
      </c>
      <c r="F1254" t="s">
        <v>1357</v>
      </c>
      <c r="G1254" t="s">
        <v>2653</v>
      </c>
      <c r="I1254">
        <f>_xlfn.XLOOKUP($F1254,設計座標!$E$13:$E$2301,設計座標!$G$13:$G$2301,"n/a",0,1)</f>
        <v>341.29284806136894</v>
      </c>
      <c r="J1254">
        <f>_xlfn.XLOOKUP($F1254,設計座標!$E$13:$E$2301,設計座標!$H$13:$H$2301,"n/a",0,1)</f>
        <v>-15000</v>
      </c>
      <c r="K1254">
        <f>_xlfn.XLOOKUP($F1254,設計座標!$E$13:$E$2301,設計座標!$I$13:$I$2301,"n/a",0,1)</f>
        <v>-76830.790595460072</v>
      </c>
      <c r="L1254">
        <f>_xlfn.XLOOKUP($F1254,設計座標!$E$13:$E$2301,設計座標!$J$13:$J$2301,"n/a",0,1)</f>
        <v>-270</v>
      </c>
      <c r="M1254" s="2">
        <f t="shared" si="981"/>
        <v>-14989.243240152276</v>
      </c>
      <c r="N1254" s="2">
        <f t="shared" si="982"/>
        <v>-76830.790595460072</v>
      </c>
      <c r="O1254" s="23">
        <f t="shared" si="983"/>
        <v>-271.09797717820703</v>
      </c>
      <c r="P1254" s="1">
        <f t="shared" si="1002"/>
        <v>-269.79691573624012</v>
      </c>
      <c r="Q1254" s="1">
        <f>(Q$1255-Q$1253)/($N$1255-$N$1253)*($N1254-$N$1253)+Q$1253</f>
        <v>10.756759847723446</v>
      </c>
      <c r="R1254">
        <f t="shared" si="970"/>
        <v>0</v>
      </c>
      <c r="S1254" s="23">
        <f>(S$1255-S$1253)/($N$1255-$N$1253)*($N1254-$N$1253)+S$1253</f>
        <v>-1.0979771782070189</v>
      </c>
      <c r="T1254">
        <f>$S1254+測地線補正!$Q$26*(lattice!$N1254/1000)^3+測地線補正!$P$26*(lattice!$N1254/1000)^2+測地線補正!$O$26*(lattice!$N1254/1000)+測地線補正!$N$26</f>
        <v>0.20308426375986999</v>
      </c>
      <c r="U1254">
        <f>-ATAN(($P$1258-$P$1250)/ABS($N$1258-$N$1250))</f>
        <v>-4.9959054336113856E-5</v>
      </c>
      <c r="V1254">
        <v>0</v>
      </c>
      <c r="W1254">
        <f>ATAN(($M$1258-$M$1250)/ABS($N$1258-$N$1250))</f>
        <v>1.0120129869056192E-4</v>
      </c>
      <c r="X1254" t="s">
        <v>3860</v>
      </c>
      <c r="Y1254">
        <f>_xlfn.XLOOKUP($F1254,設計座標!$E$13:$E$2301,設計座標!$L$13:$L$2301," ",0,1)</f>
        <v>1889.4492</v>
      </c>
      <c r="Z1254">
        <f>SQRT(($M$1254-$M$1252)^2+($N$1254-$N$1252)^2)</f>
        <v>382.17725737758161</v>
      </c>
    </row>
    <row r="1255" spans="1:28">
      <c r="A1255" t="s">
        <v>797</v>
      </c>
      <c r="B1255">
        <v>2</v>
      </c>
      <c r="C1255" t="s">
        <v>805</v>
      </c>
      <c r="D1255" t="s">
        <v>806</v>
      </c>
      <c r="F1255" t="s">
        <v>328</v>
      </c>
      <c r="G1255" t="s">
        <v>2655</v>
      </c>
      <c r="I1255">
        <f>_xlfn.XLOOKUP($F1255,設計座標!$E$13:$E$2301,設計座標!$G$13:$G$2301,"n/a",0,1)</f>
        <v>341.58526767726886</v>
      </c>
      <c r="J1255">
        <f>_xlfn.XLOOKUP($F1255,設計座標!$E$13:$E$2301,設計座標!$H$13:$H$2301,"n/a",0,1)</f>
        <v>-15000</v>
      </c>
      <c r="K1255">
        <f>_xlfn.XLOOKUP($F1255,設計座標!$E$13:$E$2301,設計座標!$I$13:$I$2301,"n/a",0,1)</f>
        <v>-77123.210211359998</v>
      </c>
      <c r="L1255">
        <f>_xlfn.XLOOKUP($F1255,設計座標!$E$13:$E$2301,設計座標!$J$13:$J$2301,"n/a",0,1)</f>
        <v>75</v>
      </c>
      <c r="M1255" s="2">
        <f>_xlfn.XLOOKUP($F1255,survey_data!$A$2:$A$833,survey_data!$B$2:$B$833,"n/a",0,1)</f>
        <v>-14989.18608716</v>
      </c>
      <c r="N1255" s="2">
        <f>_xlfn.XLOOKUP($F1255,survey_data!$A$2:$A$833,survey_data!$C$2:$C$833,"n/a",0,1)</f>
        <v>-77123.210211359998</v>
      </c>
      <c r="O1255" s="23">
        <f>_xlfn.XLOOKUP($F1255,survey_data!$A$2:$A$833,survey_data!$D$2:$D$833,"n/a",0,1)</f>
        <v>73.928081309999996</v>
      </c>
      <c r="P1255" s="1">
        <f t="shared" si="1002"/>
        <v>75.236403221409176</v>
      </c>
      <c r="Q1255" s="1">
        <f t="shared" si="969"/>
        <v>10.81391283999983</v>
      </c>
      <c r="R1255">
        <f t="shared" si="970"/>
        <v>0</v>
      </c>
      <c r="S1255" s="23">
        <f t="shared" si="971"/>
        <v>-1.0719186900000039</v>
      </c>
      <c r="T1255">
        <f>$S1255+測地線補正!$Q$26*(lattice!$N1255/1000)^3+測地線補正!$P$26*(lattice!$N1255/1000)^2+測地線補正!$O$26*(lattice!$N1255/1000)+測地線補正!$N$26</f>
        <v>0.23640322140917114</v>
      </c>
      <c r="U1255">
        <f>-ATAN(($P$1257-$P$1255)/ABS($N$1257-$N$1255))</f>
        <v>-1.2533250091264475E-4</v>
      </c>
      <c r="V1255">
        <v>0</v>
      </c>
      <c r="W1255">
        <f>ATAN(($M$1257-$M$1255)/ABS($N$1257-$N$1255))</f>
        <v>2.3603678368890645E-4</v>
      </c>
      <c r="X1255" t="s">
        <v>3860</v>
      </c>
      <c r="Y1255">
        <f>_xlfn.XLOOKUP($F1255,設計座標!$E$13:$E$2301,設計座標!$L$13:$L$2301," ",0,1)</f>
        <v>300</v>
      </c>
      <c r="Z1255">
        <f>SQRT(($M$1256-$M$1254)^2+($N$1256-$N$1254)^2)</f>
        <v>427.4186251697185</v>
      </c>
      <c r="AA1255">
        <f>_xlfn.XLOOKUP($G1255,magnet_list!$A$2:$A$592,magnet_list!$AJ$2:$AJ$592,"n/a",0,1)</f>
        <v>0.32714527067797677</v>
      </c>
      <c r="AB1255">
        <f>_xlfn.XLOOKUP($G1255,magnet_list!$A$2:$A$592,magnet_list!$L$2:$L$592,"n/a",0,1)</f>
        <v>120</v>
      </c>
    </row>
    <row r="1256" spans="1:28">
      <c r="A1256" t="s">
        <v>797</v>
      </c>
      <c r="B1256">
        <v>2</v>
      </c>
      <c r="C1256" t="s">
        <v>805</v>
      </c>
      <c r="D1256" t="s">
        <v>1152</v>
      </c>
      <c r="E1256" t="s">
        <v>804</v>
      </c>
      <c r="F1256" t="s">
        <v>710</v>
      </c>
      <c r="G1256" t="s">
        <v>2655</v>
      </c>
      <c r="I1256">
        <f>_xlfn.XLOOKUP($F1256,設計座標!$E$13:$E$2301,設計座標!$G$13:$G$2301,"n/a",0,1)</f>
        <v>341.72026667726885</v>
      </c>
      <c r="J1256">
        <f>_xlfn.XLOOKUP($F1256,設計座標!$E$13:$E$2301,設計座標!$H$13:$H$2301,"n/a",0,1)</f>
        <v>-15000</v>
      </c>
      <c r="K1256">
        <f>_xlfn.XLOOKUP($F1256,設計座標!$E$13:$E$2301,設計座標!$I$13:$I$2301,"n/a",0,1)</f>
        <v>-77258.209211360008</v>
      </c>
      <c r="L1256">
        <f>_xlfn.XLOOKUP($F1256,設計座標!$E$13:$E$2301,設計座標!$J$13:$J$2301,"n/a",0,1)</f>
        <v>75</v>
      </c>
      <c r="M1256" s="2">
        <f t="shared" si="981"/>
        <v>-14989.154222429646</v>
      </c>
      <c r="N1256" s="2">
        <f t="shared" si="982"/>
        <v>-77258.209211360008</v>
      </c>
      <c r="O1256" s="23">
        <f t="shared" si="983"/>
        <v>73.941658855503832</v>
      </c>
      <c r="P1256" s="1">
        <f t="shared" si="1002"/>
        <v>75.253325302691124</v>
      </c>
      <c r="Q1256" s="1">
        <f>(Q$1257-Q$1255)/($N$1257-$N$1255)*($N1256-$N$1255)+Q$1255</f>
        <v>10.845777570352816</v>
      </c>
      <c r="R1256">
        <f t="shared" si="970"/>
        <v>0</v>
      </c>
      <c r="S1256" s="23">
        <f>(S$1257-S$1255)/($N$1257-$N$1255)*($N1256-$N$1255)+S$1255</f>
        <v>-1.0583411444961686</v>
      </c>
      <c r="T1256">
        <f>$S1256+測地線補正!$Q$26*(lattice!$N1256/1000)^3+測地線補正!$P$26*(lattice!$N1256/1000)^2+測地線補正!$O$26*(lattice!$N1256/1000)+測地線補正!$N$26</f>
        <v>0.25332530269112774</v>
      </c>
      <c r="U1256">
        <f t="shared" ref="U1256:U1257" si="1009">-ATAN(($P$1257-$P$1255)/ABS($N$1257-$N$1255))</f>
        <v>-1.2533250091264475E-4</v>
      </c>
      <c r="V1256">
        <v>0</v>
      </c>
      <c r="W1256">
        <f t="shared" ref="W1256:W1257" si="1010">ATAN(($M$1257-$M$1255)/ABS($N$1257-$N$1255))</f>
        <v>2.3603678368890645E-4</v>
      </c>
      <c r="X1256" t="s">
        <v>3860</v>
      </c>
      <c r="Y1256">
        <f>_xlfn.XLOOKUP($F1256,設計座標!$E$13:$E$2301,設計座標!$L$13:$L$2301," ",0,1)</f>
        <v>300</v>
      </c>
      <c r="Z1256">
        <f>SQRT(($M$1256-$M$1254)^2+($N$1256-$N$1254)^2)</f>
        <v>427.4186251697185</v>
      </c>
      <c r="AA1256">
        <f>_xlfn.XLOOKUP($G1256,magnet_list!$A$2:$A$592,magnet_list!$AJ$2:$AJ$592,"n/a",0,1)</f>
        <v>0.32714527067797677</v>
      </c>
      <c r="AB1256">
        <f>_xlfn.XLOOKUP($G1256,magnet_list!$A$2:$A$592,magnet_list!$L$2:$L$592,"n/a",0,1)</f>
        <v>120</v>
      </c>
    </row>
    <row r="1257" spans="1:28">
      <c r="A1257" t="s">
        <v>797</v>
      </c>
      <c r="B1257">
        <v>2</v>
      </c>
      <c r="C1257" t="s">
        <v>805</v>
      </c>
      <c r="D1257" t="s">
        <v>806</v>
      </c>
      <c r="F1257" t="s">
        <v>329</v>
      </c>
      <c r="G1257" t="s">
        <v>2655</v>
      </c>
      <c r="I1257">
        <f>_xlfn.XLOOKUP($F1257,設計座標!$E$13:$E$2301,設計座標!$G$13:$G$2301,"n/a",0,1)</f>
        <v>341.85526198840887</v>
      </c>
      <c r="J1257">
        <f>_xlfn.XLOOKUP($F1257,設計座標!$E$13:$E$2301,設計座標!$H$13:$H$2301,"n/a",0,1)</f>
        <v>-15000</v>
      </c>
      <c r="K1257">
        <f>_xlfn.XLOOKUP($F1257,設計座標!$E$13:$E$2301,設計座標!$I$13:$I$2301,"n/a",0,1)</f>
        <v>-77393.204522500004</v>
      </c>
      <c r="L1257">
        <f>_xlfn.XLOOKUP($F1257,設計座標!$E$13:$E$2301,設計座標!$J$13:$J$2301,"n/a",0,1)</f>
        <v>75</v>
      </c>
      <c r="M1257" s="2">
        <f>_xlfn.XLOOKUP($F1257,survey_data!$A$2:$A$833,survey_data!$B$2:$B$833,"n/a",0,1)</f>
        <v>-14989.122358570001</v>
      </c>
      <c r="N1257" s="2">
        <f>_xlfn.XLOOKUP($F1257,survey_data!$A$2:$A$833,survey_data!$C$2:$C$833,"n/a",0,1)</f>
        <v>-77393.204522500004</v>
      </c>
      <c r="O1257" s="23">
        <f>_xlfn.XLOOKUP($F1257,survey_data!$A$2:$A$833,survey_data!$D$2:$D$833,"n/a",0,1)</f>
        <v>73.955236029999995</v>
      </c>
      <c r="P1257" s="1">
        <f t="shared" si="1002"/>
        <v>75.270242283833724</v>
      </c>
      <c r="Q1257" s="1">
        <f t="shared" si="969"/>
        <v>10.87764142999913</v>
      </c>
      <c r="R1257">
        <f t="shared" si="970"/>
        <v>0</v>
      </c>
      <c r="S1257" s="23">
        <f t="shared" si="971"/>
        <v>-1.0447639700000053</v>
      </c>
      <c r="T1257">
        <f>$S1257+測地線補正!$Q$26*(lattice!$N1257/1000)^3+測地線補正!$P$26*(lattice!$N1257/1000)^2+測地線補正!$O$26*(lattice!$N1257/1000)+測地線補正!$N$26</f>
        <v>0.27024228383371995</v>
      </c>
      <c r="U1257">
        <f t="shared" si="1009"/>
        <v>-1.2533250091264475E-4</v>
      </c>
      <c r="V1257">
        <v>0</v>
      </c>
      <c r="W1257">
        <f t="shared" si="1010"/>
        <v>2.3603678368890645E-4</v>
      </c>
      <c r="X1257" t="s">
        <v>3860</v>
      </c>
      <c r="Y1257">
        <f>_xlfn.XLOOKUP($F1257,設計座標!$E$13:$E$2301,設計座標!$L$13:$L$2301," ",0,1)</f>
        <v>300</v>
      </c>
      <c r="Z1257">
        <f>SQRT(($M$1256-$M$1254)^2+($N$1256-$N$1254)^2)</f>
        <v>427.4186251697185</v>
      </c>
      <c r="AA1257">
        <f>_xlfn.XLOOKUP($G1257,magnet_list!$A$2:$A$592,magnet_list!$AJ$2:$AJ$592,"n/a",0,1)</f>
        <v>0.32714527067797677</v>
      </c>
      <c r="AB1257">
        <f>_xlfn.XLOOKUP($G1257,magnet_list!$A$2:$A$592,magnet_list!$L$2:$L$592,"n/a",0,1)</f>
        <v>120</v>
      </c>
    </row>
    <row r="1258" spans="1:28">
      <c r="A1258" t="s">
        <v>797</v>
      </c>
      <c r="B1258">
        <v>2</v>
      </c>
      <c r="C1258" t="s">
        <v>804</v>
      </c>
      <c r="D1258" t="s">
        <v>1152</v>
      </c>
      <c r="E1258" t="s">
        <v>804</v>
      </c>
      <c r="F1258" t="s">
        <v>1613</v>
      </c>
      <c r="G1258" t="s">
        <v>2653</v>
      </c>
      <c r="I1258">
        <f>_xlfn.XLOOKUP($F1258,設計座標!$E$13:$E$2301,設計座標!$G$13:$G$2301,"n/a",0,1)</f>
        <v>342.23757266136897</v>
      </c>
      <c r="J1258">
        <f>_xlfn.XLOOKUP($F1258,設計座標!$E$13:$E$2301,設計座標!$H$13:$H$2301,"n/a",0,1)</f>
        <v>-15000</v>
      </c>
      <c r="K1258">
        <f>_xlfn.XLOOKUP($F1258,設計座標!$E$13:$E$2301,設計座標!$I$13:$I$2301,"n/a",0,1)</f>
        <v>-77775.515195460073</v>
      </c>
      <c r="L1258">
        <f>_xlfn.XLOOKUP($F1258,設計座標!$E$13:$E$2301,設計座標!$J$13:$J$2301,"n/a",0,1)</f>
        <v>-270</v>
      </c>
      <c r="M1258" s="2">
        <f t="shared" si="981"/>
        <v>-14989.079889850897</v>
      </c>
      <c r="N1258" s="2">
        <f t="shared" si="982"/>
        <v>-77775.515195460073</v>
      </c>
      <c r="O1258" s="23">
        <f t="shared" si="983"/>
        <v>-271.26973009050141</v>
      </c>
      <c r="P1258" s="1">
        <f t="shared" si="1002"/>
        <v>-269.94529055398857</v>
      </c>
      <c r="Q1258" s="1">
        <f>(Q$1260-Q$1257)/($N$1260-$N$1257)*($N1258-$N$1257)+Q$1257</f>
        <v>10.920110149103305</v>
      </c>
      <c r="R1258">
        <f t="shared" si="970"/>
        <v>0</v>
      </c>
      <c r="S1258" s="23">
        <f t="shared" ref="S1258:S1259" si="1011">(S$1260-S$1257)/($N$1260-$N$1257)*($N1258-$N$1257)+S$1257</f>
        <v>-1.2697300905013944</v>
      </c>
      <c r="T1258">
        <f>$S1258+測地線補正!$Q$26*(lattice!$N1258/1000)^3+測地線補正!$P$26*(lattice!$N1258/1000)^2+測地線補正!$O$26*(lattice!$N1258/1000)+測地線補正!$N$26</f>
        <v>5.4709446011456775E-2</v>
      </c>
      <c r="U1258">
        <f>-ATAN(($P$1258-$P$1250)/ABS($N$1258-$N$1250))</f>
        <v>-4.9959054336113856E-5</v>
      </c>
      <c r="V1258">
        <v>0</v>
      </c>
      <c r="W1258">
        <f>ATAN(($M$1258-$M$1250)/ABS($N$1258-$N$1250))</f>
        <v>1.0120129869056192E-4</v>
      </c>
      <c r="X1258" t="s">
        <v>3860</v>
      </c>
      <c r="Y1258">
        <f>_xlfn.XLOOKUP($F1258,設計座標!$E$13:$E$2301,設計座標!$L$13:$L$2301," ",0,1)</f>
        <v>1889.4492</v>
      </c>
      <c r="Z1258">
        <f>SQRT(($M$1254-$M$1252)^2+($N$1254-$N$1252)^2)</f>
        <v>382.17725737758161</v>
      </c>
    </row>
    <row r="1259" spans="1:28">
      <c r="A1259" t="s">
        <v>797</v>
      </c>
      <c r="B1259">
        <v>2</v>
      </c>
      <c r="C1259" t="s">
        <v>1152</v>
      </c>
      <c r="D1259" t="s">
        <v>1152</v>
      </c>
      <c r="E1259" t="s">
        <v>804</v>
      </c>
      <c r="F1259" t="s">
        <v>2088</v>
      </c>
      <c r="G1259" t="s">
        <v>2088</v>
      </c>
      <c r="I1259">
        <f>_xlfn.XLOOKUP($F1259,設計座標!$E$13:$E$2301,設計座標!$G$13:$G$2301,"n/a",0,1)</f>
        <v>342.36757316136897</v>
      </c>
      <c r="J1259">
        <f>_xlfn.XLOOKUP($F1259,設計座標!$E$13:$E$2301,設計座標!$H$13:$H$2301,"n/a",0,1)</f>
        <v>-15000</v>
      </c>
      <c r="K1259">
        <f>_xlfn.XLOOKUP($F1259,設計座標!$E$13:$E$2301,設計座標!$I$13:$I$2301,"n/a",0,1)</f>
        <v>-77905.515695460068</v>
      </c>
      <c r="L1259">
        <f>_xlfn.XLOOKUP($F1259,設計座標!$E$13:$E$2301,設計座標!$J$13:$J$2301,"n/a",0,1)</f>
        <v>-270</v>
      </c>
      <c r="M1259" s="2">
        <f t="shared" si="981"/>
        <v>-14989.065448834444</v>
      </c>
      <c r="N1259" s="2">
        <f t="shared" si="982"/>
        <v>-77905.515695460068</v>
      </c>
      <c r="O1259" s="23">
        <f t="shared" si="983"/>
        <v>-271.34622732224699</v>
      </c>
      <c r="P1259" s="1">
        <f t="shared" si="1002"/>
        <v>-270.01858856540372</v>
      </c>
      <c r="Q1259" s="1">
        <f>(Q$1260-Q$1257)/($N$1260-$N$1257)*($N1259-$N$1257)+Q$1257</f>
        <v>10.934551165555071</v>
      </c>
      <c r="R1259">
        <f t="shared" si="970"/>
        <v>0</v>
      </c>
      <c r="S1259" s="23">
        <f t="shared" si="1011"/>
        <v>-1.3462273222469863</v>
      </c>
      <c r="T1259">
        <f>$S1259+測地線補正!$Q$26*(lattice!$N1259/1000)^3+測地線補正!$P$26*(lattice!$N1259/1000)^2+測地線補正!$O$26*(lattice!$N1259/1000)+測地線補正!$N$26</f>
        <v>-1.8588565403729218E-2</v>
      </c>
      <c r="U1259">
        <v>0</v>
      </c>
      <c r="V1259">
        <v>0</v>
      </c>
      <c r="W1259">
        <v>0</v>
      </c>
      <c r="X1259">
        <f>SQRT(($M$1259-$M$1258)^2+($N$1259-$N$1258)^2)</f>
        <v>130.00050080207984</v>
      </c>
      <c r="Y1259">
        <f>_xlfn.XLOOKUP($F1259,設計座標!$E$13:$E$2301,設計座標!$L$13:$L$2301," ",0,1)</f>
        <v>0</v>
      </c>
      <c r="Z1259">
        <f>SQRT(($M$1259-$M$1256)^2+($N$1259-$N$1256)^2)</f>
        <v>647.3064901874011</v>
      </c>
    </row>
    <row r="1260" spans="1:28">
      <c r="A1260" t="s">
        <v>797</v>
      </c>
      <c r="B1260">
        <v>2</v>
      </c>
      <c r="C1260" t="s">
        <v>805</v>
      </c>
      <c r="D1260" t="s">
        <v>806</v>
      </c>
      <c r="F1260" t="s">
        <v>330</v>
      </c>
      <c r="G1260" t="s">
        <v>330</v>
      </c>
      <c r="I1260">
        <f>_xlfn.XLOOKUP($F1260,設計座標!$E$13:$E$2301,設計座標!$G$13:$G$2301,"n/a",0,1)</f>
        <v>342.50036548660893</v>
      </c>
      <c r="J1260">
        <f>_xlfn.XLOOKUP($F1260,設計座標!$E$13:$E$2301,設計座標!$H$13:$H$2301,"n/a",0,1)</f>
        <v>-15000</v>
      </c>
      <c r="K1260">
        <f>_xlfn.XLOOKUP($F1260,設計座標!$E$13:$E$2301,設計座標!$I$13:$I$2301,"n/a",0,1)</f>
        <v>-78038.308020700002</v>
      </c>
      <c r="L1260">
        <f>_xlfn.XLOOKUP($F1260,設計座標!$E$13:$E$2301,設計座標!$J$13:$J$2301,"n/a",0,1)</f>
        <v>5</v>
      </c>
      <c r="M1260" s="2">
        <f>_xlfn.XLOOKUP($F1260,survey_data!$A$2:$A$833,survey_data!$B$2:$B$833,"n/a",0,1)</f>
        <v>-14989.05069769</v>
      </c>
      <c r="N1260" s="2">
        <f>_xlfn.XLOOKUP($F1260,survey_data!$A$2:$A$833,survey_data!$C$2:$C$833,"n/a",0,1)</f>
        <v>-78038.308020700002</v>
      </c>
      <c r="O1260" s="23">
        <f>_xlfn.XLOOKUP($F1260,survey_data!$A$2:$A$833,survey_data!$D$2:$D$833,"n/a",0,1)</f>
        <v>3.5756326299999999</v>
      </c>
      <c r="P1260" s="1">
        <f t="shared" si="1002"/>
        <v>4.9065348808493141</v>
      </c>
      <c r="Q1260" s="1">
        <f t="shared" si="969"/>
        <v>10.949302310000348</v>
      </c>
      <c r="R1260">
        <f t="shared" si="970"/>
        <v>0</v>
      </c>
      <c r="S1260" s="23">
        <f t="shared" si="971"/>
        <v>-1.4243673700000001</v>
      </c>
      <c r="T1260">
        <f>$S1260+測地線補正!$Q$26*(lattice!$N1260/1000)^3+測地線補正!$P$26*(lattice!$N1260/1000)^2+測地線補正!$O$26*(lattice!$N1260/1000)+測地線補正!$N$26</f>
        <v>-9.3465119150685672E-2</v>
      </c>
      <c r="U1260">
        <v>0</v>
      </c>
      <c r="V1260">
        <v>0</v>
      </c>
      <c r="W1260">
        <v>0</v>
      </c>
      <c r="X1260">
        <f>$Z$1261-($Y$1261+$Y$1259)/2</f>
        <v>92.792326059244516</v>
      </c>
      <c r="Y1260">
        <f>_xlfn.XLOOKUP($F1260,設計座標!$E$13:$E$2301,設計座標!$L$13:$L$2301," ",0,1)</f>
        <v>80</v>
      </c>
      <c r="Z1260">
        <f>SQRT(($M$1261-$M$1259)^2+($N$1261-$N$1259)^2)</f>
        <v>132.79232605924452</v>
      </c>
      <c r="AA1260">
        <f>_xlfn.XLOOKUP($G1260,magnet_list!$A$2:$A$592,magnet_list!$AJ$2:$AJ$592,"n/a",0,1)</f>
        <v>0.1204063936938909</v>
      </c>
      <c r="AB1260">
        <f>_xlfn.XLOOKUP($G1260,magnet_list!$A$2:$A$592,magnet_list!$L$2:$L$592,"n/a",0,1)</f>
        <v>39</v>
      </c>
    </row>
    <row r="1261" spans="1:28">
      <c r="A1261" t="s">
        <v>797</v>
      </c>
      <c r="B1261">
        <v>2</v>
      </c>
      <c r="C1261" t="s">
        <v>805</v>
      </c>
      <c r="D1261" t="s">
        <v>1152</v>
      </c>
      <c r="E1261" t="s">
        <v>804</v>
      </c>
      <c r="F1261" t="s">
        <v>1888</v>
      </c>
      <c r="G1261" t="s">
        <v>330</v>
      </c>
      <c r="I1261">
        <f>_xlfn.XLOOKUP($F1261,設計座標!$E$13:$E$2301,設計座標!$G$13:$G$2301,"n/a",0,1)</f>
        <v>342.50036548660893</v>
      </c>
      <c r="J1261">
        <f>_xlfn.XLOOKUP($F1261,設計座標!$E$13:$E$2301,設計座標!$H$13:$H$2301,"n/a",0,1)</f>
        <v>-15000</v>
      </c>
      <c r="K1261">
        <f>_xlfn.XLOOKUP($F1261,設計座標!$E$13:$E$2301,設計座標!$I$13:$I$2301,"n/a",0,1)</f>
        <v>-78038.308020700002</v>
      </c>
      <c r="L1261">
        <f>_xlfn.XLOOKUP($F1261,設計座標!$E$13:$E$2301,設計座標!$J$13:$J$2301,"n/a",0,1)</f>
        <v>5</v>
      </c>
      <c r="M1261" s="2">
        <f t="shared" si="981"/>
        <v>-14989.05069769</v>
      </c>
      <c r="N1261" s="2">
        <f t="shared" si="982"/>
        <v>-78038.308020700002</v>
      </c>
      <c r="O1261" s="23">
        <f t="shared" si="983"/>
        <v>3.5756326299999999</v>
      </c>
      <c r="P1261" s="1">
        <f t="shared" si="1002"/>
        <v>4.9065348808493141</v>
      </c>
      <c r="Q1261" s="1">
        <f>(Q$1263-Q$1260)/($N$1263-$N$1260)*($N1261-$N$1260)+Q$1260</f>
        <v>10.949302310000348</v>
      </c>
      <c r="R1261">
        <f t="shared" si="970"/>
        <v>0</v>
      </c>
      <c r="S1261" s="23">
        <f t="shared" ref="S1261:S1262" si="1012">(S$1263-S$1260)/($N$1263-$N$1260)*($N1261-$N$1260)+S$1260</f>
        <v>-1.4243673700000001</v>
      </c>
      <c r="T1261">
        <f>$S1261+測地線補正!$Q$26*(lattice!$N1261/1000)^3+測地線補正!$P$26*(lattice!$N1261/1000)^2+測地線補正!$O$26*(lattice!$N1261/1000)+測地線補正!$N$26</f>
        <v>-9.3465119150685672E-2</v>
      </c>
      <c r="U1261">
        <v>0</v>
      </c>
      <c r="V1261">
        <v>0</v>
      </c>
      <c r="W1261">
        <v>0</v>
      </c>
      <c r="X1261">
        <f>$Z$1261-($Y$1261+$Y$1259)/2</f>
        <v>92.792326059244516</v>
      </c>
      <c r="Y1261">
        <f>_xlfn.XLOOKUP($F1261,設計座標!$E$13:$E$2301,設計座標!$L$13:$L$2301," ",0,1)</f>
        <v>80</v>
      </c>
      <c r="Z1261">
        <f>SQRT(($M$1261-$M$1259)^2+($N$1261-$N$1259)^2)</f>
        <v>132.79232605924452</v>
      </c>
      <c r="AA1261">
        <f>_xlfn.XLOOKUP($G1261,magnet_list!$A$2:$A$592,magnet_list!$AJ$2:$AJ$592,"n/a",0,1)</f>
        <v>0.1204063936938909</v>
      </c>
      <c r="AB1261">
        <f>_xlfn.XLOOKUP($G1261,magnet_list!$A$2:$A$592,magnet_list!$L$2:$L$592,"n/a",0,1)</f>
        <v>39</v>
      </c>
    </row>
    <row r="1262" spans="1:28">
      <c r="A1262" t="s">
        <v>797</v>
      </c>
      <c r="B1262">
        <v>2</v>
      </c>
      <c r="C1262" t="s">
        <v>1152</v>
      </c>
      <c r="D1262" t="s">
        <v>1152</v>
      </c>
      <c r="E1262" t="s">
        <v>804</v>
      </c>
      <c r="F1262" t="s">
        <v>2089</v>
      </c>
      <c r="G1262" t="s">
        <v>2089</v>
      </c>
      <c r="I1262">
        <f>_xlfn.XLOOKUP($F1262,設計座標!$E$13:$E$2301,設計座標!$G$13:$G$2301,"n/a",0,1)</f>
        <v>342.65257316136899</v>
      </c>
      <c r="J1262">
        <f>_xlfn.XLOOKUP($F1262,設計座標!$E$13:$E$2301,設計座標!$H$13:$H$2301,"n/a",0,1)</f>
        <v>-15000</v>
      </c>
      <c r="K1262">
        <f>_xlfn.XLOOKUP($F1262,設計座標!$E$13:$E$2301,設計座標!$I$13:$I$2301,"n/a",0,1)</f>
        <v>-78190.515695460068</v>
      </c>
      <c r="L1262">
        <f>_xlfn.XLOOKUP($F1262,設計座標!$E$13:$E$2301,設計座標!$J$13:$J$2301,"n/a",0,1)</f>
        <v>-270</v>
      </c>
      <c r="M1262" s="2">
        <f t="shared" si="981"/>
        <v>-14989.028076535224</v>
      </c>
      <c r="N1262" s="2">
        <f t="shared" si="982"/>
        <v>-78190.515695460068</v>
      </c>
      <c r="O1262" s="23">
        <f t="shared" si="983"/>
        <v>-271.4110589964468</v>
      </c>
      <c r="P1262" s="1">
        <f t="shared" si="1002"/>
        <v>-270.0764216072514</v>
      </c>
      <c r="Q1262" s="1">
        <f>(Q$1263-Q$1260)/($N$1263-$N$1260)*($N1262-$N$1260)+Q$1260</f>
        <v>10.971923464775978</v>
      </c>
      <c r="R1262">
        <f t="shared" si="970"/>
        <v>0</v>
      </c>
      <c r="S1262" s="23">
        <f t="shared" si="1012"/>
        <v>-1.411058996446775</v>
      </c>
      <c r="T1262">
        <f>$S1262+測地線補正!$Q$26*(lattice!$N1262/1000)^3+測地線補正!$P$26*(lattice!$N1262/1000)^2+測地線補正!$O$26*(lattice!$N1262/1000)+測地線補正!$N$26</f>
        <v>-7.6421607251387913E-2</v>
      </c>
      <c r="U1262">
        <v>0</v>
      </c>
      <c r="V1262">
        <v>0</v>
      </c>
      <c r="W1262">
        <v>0</v>
      </c>
      <c r="X1262">
        <f>$Z$1262-($Y$1262+$Y$1260)/2</f>
        <v>112.2076764410476</v>
      </c>
      <c r="Y1262">
        <f>_xlfn.XLOOKUP($F1262,設計座標!$E$13:$E$2301,設計座標!$L$13:$L$2301," ",0,1)</f>
        <v>0</v>
      </c>
      <c r="Z1262">
        <f>SQRT(($M$1262-$M$1261)^2+($N$1262-$N$1261)^2)</f>
        <v>152.2076764410476</v>
      </c>
    </row>
    <row r="1263" spans="1:28">
      <c r="A1263" t="s">
        <v>797</v>
      </c>
      <c r="B1263">
        <v>2</v>
      </c>
      <c r="C1263" t="s">
        <v>805</v>
      </c>
      <c r="D1263" t="s">
        <v>806</v>
      </c>
      <c r="F1263" t="s">
        <v>331</v>
      </c>
      <c r="G1263" t="s">
        <v>2656</v>
      </c>
      <c r="I1263">
        <f>_xlfn.XLOOKUP($F1263,設計座標!$E$13:$E$2301,設計座標!$G$13:$G$2301,"n/a",0,1)</f>
        <v>342.70227036799895</v>
      </c>
      <c r="J1263">
        <f>_xlfn.XLOOKUP($F1263,設計座標!$E$13:$E$2301,設計座標!$H$13:$H$2301,"n/a",0,1)</f>
        <v>-15000</v>
      </c>
      <c r="K1263">
        <f>_xlfn.XLOOKUP($F1263,設計座標!$E$13:$E$2301,設計座標!$I$13:$I$2301,"n/a",0,1)</f>
        <v>-78240.212902090003</v>
      </c>
      <c r="L1263">
        <f>_xlfn.XLOOKUP($F1263,設計座標!$E$13:$E$2301,設計座標!$J$13:$J$2301,"n/a",0,1)</f>
        <v>90</v>
      </c>
      <c r="M1263" s="2">
        <f>_xlfn.XLOOKUP($F1263,survey_data!$A$2:$A$833,survey_data!$B$2:$B$833,"n/a",0,1)</f>
        <v>-14989.020690519999</v>
      </c>
      <c r="N1263" s="2">
        <f>_xlfn.XLOOKUP($F1263,survey_data!$A$2:$A$833,survey_data!$C$2:$C$833,"n/a",0,1)</f>
        <v>-78240.212902090003</v>
      </c>
      <c r="O1263" s="23">
        <f>_xlfn.XLOOKUP($F1263,survey_data!$A$2:$A$833,survey_data!$D$2:$D$833,"n/a",0,1)</f>
        <v>88.593286309999996</v>
      </c>
      <c r="P1263" s="1">
        <f t="shared" si="1002"/>
        <v>89.92914198314115</v>
      </c>
      <c r="Q1263" s="1">
        <f t="shared" si="969"/>
        <v>10.979309480000666</v>
      </c>
      <c r="R1263">
        <f t="shared" si="970"/>
        <v>0</v>
      </c>
      <c r="S1263" s="23">
        <f t="shared" si="971"/>
        <v>-1.4067136900000037</v>
      </c>
      <c r="T1263">
        <f>$S1263+測地線補正!$Q$26*(lattice!$N1263/1000)^3+測地線補正!$P$26*(lattice!$N1263/1000)^2+測地線補正!$O$26*(lattice!$N1263/1000)+測地線補正!$N$26</f>
        <v>-7.0858016858849515E-2</v>
      </c>
      <c r="U1263">
        <f>-ATAN(($P$1265-$P$1263)/ABS($N$1265-$N$1263))</f>
        <v>-3.5976992548369121E-6</v>
      </c>
      <c r="V1263">
        <v>0</v>
      </c>
      <c r="W1263">
        <f>ATAN(($M$1265-$M$1263)/ABS($N$1265-$N$1263))</f>
        <v>-9.6794745611905302E-5</v>
      </c>
      <c r="X1263">
        <f>$Z$1264-($Y$1264+$Y$1262)/2</f>
        <v>39.688206631490331</v>
      </c>
      <c r="Y1263">
        <f>_xlfn.XLOOKUP($F1263,設計座標!$E$13:$E$2301,設計座標!$L$13:$L$2301," ",0,1)</f>
        <v>160</v>
      </c>
      <c r="Z1263">
        <f>SQRT(($M$1264-$M$1262)^2+($N$1264-$N$1262)^2)</f>
        <v>119.68820663149033</v>
      </c>
      <c r="AA1263">
        <f>_xlfn.XLOOKUP($G1263,magnet_list!$A$2:$A$592,magnet_list!$AJ$2:$AJ$592,"n/a",0,1)</f>
        <v>0.17374887133613809</v>
      </c>
      <c r="AB1263">
        <f>_xlfn.XLOOKUP($G1263,magnet_list!$A$2:$A$592,magnet_list!$L$2:$L$592,"n/a",0,1)</f>
        <v>44</v>
      </c>
    </row>
    <row r="1264" spans="1:28">
      <c r="A1264" t="s">
        <v>797</v>
      </c>
      <c r="B1264">
        <v>2</v>
      </c>
      <c r="C1264" t="s">
        <v>805</v>
      </c>
      <c r="D1264" t="s">
        <v>1152</v>
      </c>
      <c r="E1264" t="s">
        <v>804</v>
      </c>
      <c r="F1264" t="s">
        <v>711</v>
      </c>
      <c r="G1264" t="s">
        <v>2656</v>
      </c>
      <c r="I1264">
        <f>_xlfn.XLOOKUP($F1264,設計座標!$E$13:$E$2301,設計座標!$G$13:$G$2301,"n/a",0,1)</f>
        <v>342.77226136799896</v>
      </c>
      <c r="J1264">
        <f>_xlfn.XLOOKUP($F1264,設計座標!$E$13:$E$2301,設計座標!$H$13:$H$2301,"n/a",0,1)</f>
        <v>-15000</v>
      </c>
      <c r="K1264">
        <f>_xlfn.XLOOKUP($F1264,設計座標!$E$13:$E$2301,設計座標!$I$13:$I$2301,"n/a",0,1)</f>
        <v>-78310.203902089997</v>
      </c>
      <c r="L1264">
        <f>_xlfn.XLOOKUP($F1264,設計座標!$E$13:$E$2301,設計座標!$J$13:$J$2301,"n/a",0,1)</f>
        <v>90</v>
      </c>
      <c r="M1264" s="2">
        <f t="shared" si="981"/>
        <v>-14989.02746528106</v>
      </c>
      <c r="N1264" s="2">
        <f t="shared" si="982"/>
        <v>-78310.203902089997</v>
      </c>
      <c r="O1264" s="23">
        <f t="shared" si="983"/>
        <v>88.591824031523231</v>
      </c>
      <c r="P1264" s="1">
        <f t="shared" si="1002"/>
        <v>89.929394410811142</v>
      </c>
      <c r="Q1264" s="1">
        <f>(Q$1265-Q$1263)/($N$1265-$N$1263)*($N1264-$N$1263)+Q$1263</f>
        <v>10.972534718939386</v>
      </c>
      <c r="R1264">
        <f t="shared" si="970"/>
        <v>0</v>
      </c>
      <c r="S1264" s="23">
        <f>(S$1265-S$1263)/($N$1265-$N$1263)*($N1264-$N$1263)+S$1263</f>
        <v>-1.4081759684767716</v>
      </c>
      <c r="T1264">
        <f>$S1264+測地線補正!$Q$26*(lattice!$N1264/1000)^3+測地線補正!$P$26*(lattice!$N1264/1000)^2+測地線補正!$O$26*(lattice!$N1264/1000)+測地線補正!$N$26</f>
        <v>-7.0605589188862838E-2</v>
      </c>
      <c r="U1264">
        <f t="shared" ref="U1264:U1265" si="1013">-ATAN(($P$1265-$P$1263)/ABS($N$1265-$N$1263))</f>
        <v>-3.5976992548369121E-6</v>
      </c>
      <c r="V1264">
        <v>0</v>
      </c>
      <c r="W1264">
        <f t="shared" ref="W1264:W1265" si="1014">ATAN(($M$1265-$M$1263)/ABS($N$1265-$N$1263))</f>
        <v>-9.6794745611905302E-5</v>
      </c>
      <c r="X1264">
        <f>$Z$1264-($Y$1264+$Y$1262)/2</f>
        <v>39.688206631490331</v>
      </c>
      <c r="Y1264">
        <f>_xlfn.XLOOKUP($F1264,設計座標!$E$13:$E$2301,設計座標!$L$13:$L$2301," ",0,1)</f>
        <v>160</v>
      </c>
      <c r="Z1264">
        <f>SQRT(($M$1264-$M$1262)^2+($N$1264-$N$1262)^2)</f>
        <v>119.68820663149033</v>
      </c>
      <c r="AA1264">
        <f>_xlfn.XLOOKUP($G1264,magnet_list!$A$2:$A$592,magnet_list!$AJ$2:$AJ$592,"n/a",0,1)</f>
        <v>0.17374887133613809</v>
      </c>
      <c r="AB1264">
        <f>_xlfn.XLOOKUP($G1264,magnet_list!$A$2:$A$592,magnet_list!$L$2:$L$592,"n/a",0,1)</f>
        <v>44</v>
      </c>
    </row>
    <row r="1265" spans="1:28">
      <c r="A1265" t="s">
        <v>797</v>
      </c>
      <c r="B1265">
        <v>2</v>
      </c>
      <c r="C1265" t="s">
        <v>805</v>
      </c>
      <c r="D1265" t="s">
        <v>806</v>
      </c>
      <c r="F1265" t="s">
        <v>332</v>
      </c>
      <c r="G1265" t="s">
        <v>2656</v>
      </c>
      <c r="I1265">
        <f>_xlfn.XLOOKUP($F1265,設計座標!$E$13:$E$2301,設計座標!$G$13:$G$2301,"n/a",0,1)</f>
        <v>342.84223767586894</v>
      </c>
      <c r="J1265">
        <f>_xlfn.XLOOKUP($F1265,設計座標!$E$13:$E$2301,設計座標!$H$13:$H$2301,"n/a",0,1)</f>
        <v>-15000</v>
      </c>
      <c r="K1265">
        <f>_xlfn.XLOOKUP($F1265,設計座標!$E$13:$E$2301,設計座標!$I$13:$I$2301,"n/a",0,1)</f>
        <v>-78380.180209960003</v>
      </c>
      <c r="L1265">
        <f>_xlfn.XLOOKUP($F1265,設計座標!$E$13:$E$2301,設計座標!$J$13:$J$2301,"n/a",0,1)</f>
        <v>90</v>
      </c>
      <c r="M1265" s="2">
        <f>_xlfn.XLOOKUP($F1265,survey_data!$A$2:$A$833,survey_data!$B$2:$B$833,"n/a",0,1)</f>
        <v>-14989.034238620001</v>
      </c>
      <c r="N1265" s="2">
        <f>_xlfn.XLOOKUP($F1265,survey_data!$A$2:$A$833,survey_data!$C$2:$C$833,"n/a",0,1)</f>
        <v>-78380.180209960003</v>
      </c>
      <c r="O1265" s="23">
        <f>_xlfn.XLOOKUP($F1265,survey_data!$A$2:$A$833,survey_data!$D$2:$D$833,"n/a",0,1)</f>
        <v>88.590362060000004</v>
      </c>
      <c r="P1265" s="1">
        <f t="shared" si="1002"/>
        <v>89.929645543420378</v>
      </c>
      <c r="Q1265" s="1">
        <f t="shared" si="969"/>
        <v>10.965761379999094</v>
      </c>
      <c r="R1265">
        <f t="shared" si="970"/>
        <v>0</v>
      </c>
      <c r="S1265" s="23">
        <f t="shared" si="971"/>
        <v>-1.4096379399999961</v>
      </c>
      <c r="T1265">
        <f>$S1265+測地線補正!$Q$26*(lattice!$N1265/1000)^3+測地線補正!$P$26*(lattice!$N1265/1000)^2+測地線補正!$O$26*(lattice!$N1265/1000)+測地線補正!$N$26</f>
        <v>-7.0354456579620583E-2</v>
      </c>
      <c r="U1265">
        <f t="shared" si="1013"/>
        <v>-3.5976992548369121E-6</v>
      </c>
      <c r="V1265">
        <v>0</v>
      </c>
      <c r="W1265">
        <f t="shared" si="1014"/>
        <v>-9.6794745611905302E-5</v>
      </c>
      <c r="X1265">
        <f>$Z$1264-($Y$1264+$Y$1262)/2</f>
        <v>39.688206631490331</v>
      </c>
      <c r="Y1265">
        <f>_xlfn.XLOOKUP($F1265,設計座標!$E$13:$E$2301,設計座標!$L$13:$L$2301," ",0,1)</f>
        <v>160</v>
      </c>
      <c r="Z1265">
        <f>SQRT(($M$1264-$M$1262)^2+($N$1264-$N$1262)^2)</f>
        <v>119.68820663149033</v>
      </c>
      <c r="AA1265">
        <f>_xlfn.XLOOKUP($G1265,magnet_list!$A$2:$A$592,magnet_list!$AJ$2:$AJ$592,"n/a",0,1)</f>
        <v>0.17374887133613809</v>
      </c>
      <c r="AB1265">
        <f>_xlfn.XLOOKUP($G1265,magnet_list!$A$2:$A$592,magnet_list!$L$2:$L$592,"n/a",0,1)</f>
        <v>44</v>
      </c>
    </row>
    <row r="1266" spans="1:28">
      <c r="A1266" t="s">
        <v>797</v>
      </c>
      <c r="B1266">
        <v>2</v>
      </c>
      <c r="C1266" t="s">
        <v>805</v>
      </c>
      <c r="D1266" t="s">
        <v>806</v>
      </c>
      <c r="E1266" t="s">
        <v>804</v>
      </c>
      <c r="F1266" t="s">
        <v>2146</v>
      </c>
      <c r="G1266" t="s">
        <v>333</v>
      </c>
      <c r="I1266">
        <f>_xlfn.XLOOKUP($F1266,設計座標!$E$13:$E$2301,設計座標!$G$13:$G$2301,"n/a",0,1)</f>
        <v>343.02393296590895</v>
      </c>
      <c r="J1266">
        <f>_xlfn.XLOOKUP($F1266,設計座標!$E$13:$E$2301,設計座標!$H$13:$H$2301,"n/a",0,1)</f>
        <v>-15000</v>
      </c>
      <c r="K1266">
        <f>_xlfn.XLOOKUP($F1266,設計座標!$E$13:$E$2301,設計座標!$I$13:$I$2301,"n/a",0,1)</f>
        <v>-78561.875499999995</v>
      </c>
      <c r="L1266">
        <f>_xlfn.XLOOKUP($F1266,設計座標!$E$13:$E$2301,設計座標!$J$13:$J$2301,"n/a",0,1)</f>
        <v>5</v>
      </c>
      <c r="M1266" s="2">
        <f t="shared" si="981"/>
        <v>-14989.0867037977</v>
      </c>
      <c r="N1266" s="2">
        <f t="shared" si="982"/>
        <v>-78561.875499999995</v>
      </c>
      <c r="O1266" s="23">
        <f t="shared" si="983"/>
        <v>3.606131509196973</v>
      </c>
      <c r="P1266" s="1">
        <f t="shared" si="1002"/>
        <v>4.949857314801136</v>
      </c>
      <c r="Q1266" s="1">
        <f>(Q$1269-Q$1265)/($N$1269-$N$1265)*($N1266-$N$1265)+Q$1265</f>
        <v>10.913296202300323</v>
      </c>
      <c r="R1266">
        <f t="shared" ref="R1266:R1329" si="1015">$N1266-$K1266</f>
        <v>0</v>
      </c>
      <c r="S1266" s="23">
        <f t="shared" ref="S1266:S1268" si="1016">(S$1269-S$1265)/($N$1269-$N$1265)*($N1266-$N$1265)+S$1265</f>
        <v>-1.3938684908030268</v>
      </c>
      <c r="T1266">
        <f>$S1266+測地線補正!$Q$26*(lattice!$N1266/1000)^3+測地線補正!$P$26*(lattice!$N1266/1000)^2+測地線補正!$O$26*(lattice!$N1266/1000)+測地線補正!$N$26</f>
        <v>-5.0142685198863779E-2</v>
      </c>
      <c r="U1266">
        <v>0</v>
      </c>
      <c r="V1266">
        <v>0</v>
      </c>
      <c r="W1266">
        <v>0</v>
      </c>
      <c r="X1266">
        <f>$Z$1266-($Y$1266+$Y$1264)/2</f>
        <v>131.67160488178473</v>
      </c>
      <c r="Y1266">
        <f>_xlfn.XLOOKUP($F1266,設計座標!$E$13:$E$2301,設計座標!$L$13:$L$2301," ",0,1)</f>
        <v>80</v>
      </c>
      <c r="Z1266">
        <f>SQRT(($M$1266-$M$1264)^2+($N$1266-$N$1264)^2)</f>
        <v>251.67160488178473</v>
      </c>
      <c r="AA1266">
        <f>_xlfn.XLOOKUP($G1266,magnet_list!$A$2:$A$592,magnet_list!$AJ$2:$AJ$592,"n/a",0,1)</f>
        <v>0.1204063936938909</v>
      </c>
      <c r="AB1266">
        <f>_xlfn.XLOOKUP($G1266,magnet_list!$A$2:$A$592,magnet_list!$L$2:$L$592,"n/a",0,1)</f>
        <v>39</v>
      </c>
    </row>
    <row r="1267" spans="1:28">
      <c r="A1267" t="s">
        <v>797</v>
      </c>
      <c r="B1267">
        <v>2</v>
      </c>
      <c r="C1267" t="s">
        <v>2288</v>
      </c>
      <c r="D1267" t="s">
        <v>1152</v>
      </c>
      <c r="E1267" t="s">
        <v>804</v>
      </c>
      <c r="F1267" t="s">
        <v>2340</v>
      </c>
      <c r="G1267" t="s">
        <v>2340</v>
      </c>
      <c r="I1267">
        <f>_xlfn.XLOOKUP($F1267,設計座標!$E$13:$E$2301,設計座標!$G$13:$G$2301,"n/a",0,1)</f>
        <v>343.181437961369</v>
      </c>
      <c r="J1267">
        <f>_xlfn.XLOOKUP($F1267,設計座標!$E$13:$E$2301,設計座標!$H$13:$H$2301,"n/a",0,1)</f>
        <v>-15000</v>
      </c>
      <c r="K1267">
        <f>_xlfn.XLOOKUP($F1267,設計座標!$E$13:$E$2301,設計座標!$I$13:$I$2301,"n/a",0,1)</f>
        <v>-78719.380495460064</v>
      </c>
      <c r="L1267">
        <f>_xlfn.XLOOKUP($F1267,設計座標!$E$13:$E$2301,設計座標!$J$13:$J$2301,"n/a",0,1)</f>
        <v>-270</v>
      </c>
      <c r="M1267" s="2">
        <f t="shared" si="981"/>
        <v>-14989.13218393961</v>
      </c>
      <c r="N1267" s="2">
        <f t="shared" si="982"/>
        <v>-78719.380495460064</v>
      </c>
      <c r="O1267" s="23">
        <f t="shared" si="983"/>
        <v>-271.38019853257993</v>
      </c>
      <c r="P1267" s="1">
        <f t="shared" si="1002"/>
        <v>-270.03262861036552</v>
      </c>
      <c r="Q1267" s="1">
        <f t="shared" ref="Q1267:Q1268" si="1017">(Q$1269-Q$1265)/($N$1269-$N$1265)*($N1267-$N$1265)+Q$1265</f>
        <v>10.867816060391098</v>
      </c>
      <c r="R1267">
        <f t="shared" si="1015"/>
        <v>0</v>
      </c>
      <c r="S1267" s="23">
        <f t="shared" si="1016"/>
        <v>-1.3801985325799504</v>
      </c>
      <c r="T1267">
        <f>$S1267+測地線補正!$Q$26*(lattice!$N1267/1000)^3+測地線補正!$P$26*(lattice!$N1267/1000)^2+測地線補正!$O$26*(lattice!$N1267/1000)+測地線補正!$N$26</f>
        <v>-3.2628610365519117E-2</v>
      </c>
      <c r="U1267">
        <v>0</v>
      </c>
      <c r="V1267">
        <v>0</v>
      </c>
      <c r="W1267">
        <v>0</v>
      </c>
      <c r="X1267">
        <f>$Z$1267-($Y$1267+$Y$1266)/2</f>
        <v>117.50500202634734</v>
      </c>
      <c r="Y1267">
        <f>_xlfn.XLOOKUP($F1267,設計座標!$E$13:$E$2301,設計座標!$L$13:$L$2301," ",0,1)</f>
        <v>0</v>
      </c>
      <c r="Z1267">
        <f>SQRT(($M$1267-$M$1266)^2+($N$1267-$N$1266)^2)</f>
        <v>157.50500202634734</v>
      </c>
    </row>
    <row r="1268" spans="1:28">
      <c r="A1268" t="s">
        <v>797</v>
      </c>
      <c r="B1268">
        <v>2</v>
      </c>
      <c r="C1268" t="s">
        <v>804</v>
      </c>
      <c r="D1268" t="s">
        <v>1152</v>
      </c>
      <c r="E1268" t="s">
        <v>804</v>
      </c>
      <c r="F1268" t="s">
        <v>1614</v>
      </c>
      <c r="G1268" t="s">
        <v>2657</v>
      </c>
      <c r="I1268">
        <f>_xlfn.XLOOKUP($F1268,設計座標!$E$13:$E$2301,設計座標!$G$13:$G$2301,"n/a",0,1)</f>
        <v>343.31143756136896</v>
      </c>
      <c r="J1268">
        <f>_xlfn.XLOOKUP($F1268,設計座標!$E$13:$E$2301,設計座標!$H$13:$H$2301,"n/a",0,1)</f>
        <v>-15000</v>
      </c>
      <c r="K1268">
        <f>_xlfn.XLOOKUP($F1268,設計座標!$E$13:$E$2301,設計座標!$I$13:$I$2301,"n/a",0,1)</f>
        <v>-78849.380095460059</v>
      </c>
      <c r="L1268">
        <f>_xlfn.XLOOKUP($F1268,設計座標!$E$13:$E$2301,設計座標!$J$13:$J$2301,"n/a",0,1)</f>
        <v>-270</v>
      </c>
      <c r="M1268" s="2">
        <f t="shared" si="981"/>
        <v>-14989.169721798258</v>
      </c>
      <c r="N1268" s="2">
        <f t="shared" si="982"/>
        <v>-78849.380095460059</v>
      </c>
      <c r="O1268" s="23">
        <f t="shared" si="983"/>
        <v>-271.36891578503389</v>
      </c>
      <c r="P1268" s="1">
        <f t="shared" si="1002"/>
        <v>-270.01817778524043</v>
      </c>
      <c r="Q1268" s="1">
        <f t="shared" si="1017"/>
        <v>10.830278201741775</v>
      </c>
      <c r="R1268">
        <f t="shared" si="1015"/>
        <v>0</v>
      </c>
      <c r="S1268" s="23">
        <f t="shared" si="1016"/>
        <v>-1.3689157850339075</v>
      </c>
      <c r="T1268">
        <f>$S1268+測地線補正!$Q$26*(lattice!$N1268/1000)^3+測地線補正!$P$26*(lattice!$N1268/1000)^2+測地線補正!$O$26*(lattice!$N1268/1000)+測地線補正!$N$26</f>
        <v>-1.8177785240398814E-2</v>
      </c>
      <c r="U1268">
        <f>-ATAN(($P$1277-$P$1268)/ABS($N$1277-$N$1268))</f>
        <v>1.8122961580761034E-4</v>
      </c>
      <c r="V1268">
        <v>0</v>
      </c>
      <c r="W1268">
        <f>ATAN(($M$1277-$M$1268)/ABS($N$1277-$N$1268))</f>
        <v>1.5829496609566228E-4</v>
      </c>
      <c r="X1268">
        <f>SQRT(($M$1268-$M$1267)^2+($N$1268-$N$1267)^2)</f>
        <v>129.99960541959223</v>
      </c>
      <c r="Y1268">
        <f>_xlfn.XLOOKUP($F1268,設計座標!$E$13:$E$2301,設計座標!$L$13:$L$2301," ",0,1)</f>
        <v>1889.4492</v>
      </c>
      <c r="Z1268">
        <f>SQRT(($M$1272-$M$1270)^2+($N$1272-$N$1270)^2)</f>
        <v>415.50711990727291</v>
      </c>
    </row>
    <row r="1269" spans="1:28">
      <c r="A1269" t="s">
        <v>797</v>
      </c>
      <c r="B1269">
        <v>2</v>
      </c>
      <c r="C1269" t="s">
        <v>805</v>
      </c>
      <c r="D1269" t="s">
        <v>806</v>
      </c>
      <c r="F1269" t="s">
        <v>334</v>
      </c>
      <c r="G1269" t="s">
        <v>2658</v>
      </c>
      <c r="I1269">
        <f>_xlfn.XLOOKUP($F1269,設計座標!$E$13:$E$2301,設計座標!$G$13:$G$2301,"n/a",0,1)</f>
        <v>343.70564605985891</v>
      </c>
      <c r="J1269">
        <f>_xlfn.XLOOKUP($F1269,設計座標!$E$13:$E$2301,設計座標!$H$13:$H$2301,"n/a",0,1)</f>
        <v>-15000</v>
      </c>
      <c r="K1269">
        <f>_xlfn.XLOOKUP($F1269,設計座標!$E$13:$E$2301,設計座標!$I$13:$I$2301,"n/a",0,1)</f>
        <v>-79243.58859395</v>
      </c>
      <c r="L1269">
        <f>_xlfn.XLOOKUP($F1269,設計座標!$E$13:$E$2301,設計座標!$J$13:$J$2301,"n/a",0,1)</f>
        <v>75</v>
      </c>
      <c r="M1269" s="2">
        <f>_xlfn.XLOOKUP($F1269,survey_data!$A$2:$A$833,survey_data!$B$2:$B$833,"n/a",0,1)</f>
        <v>-14989.283550939999</v>
      </c>
      <c r="N1269" s="2">
        <f>_xlfn.XLOOKUP($F1269,survey_data!$A$2:$A$833,survey_data!$C$2:$C$833,"n/a",0,1)</f>
        <v>-79243.58859395</v>
      </c>
      <c r="O1269" s="23">
        <f>_xlfn.XLOOKUP($F1269,survey_data!$A$2:$A$833,survey_data!$D$2:$D$833,"n/a",0,1)</f>
        <v>73.665297820000006</v>
      </c>
      <c r="P1269" s="1">
        <f t="shared" si="1002"/>
        <v>75.025616489336429</v>
      </c>
      <c r="Q1269" s="1">
        <f t="shared" ref="Q1269:Q1323" si="1018">$M1269-$J1269</f>
        <v>10.716449060000741</v>
      </c>
      <c r="R1269">
        <f t="shared" si="1015"/>
        <v>0</v>
      </c>
      <c r="S1269" s="23">
        <f t="shared" ref="S1269:S1323" si="1019">$O1269-$L1269</f>
        <v>-1.3347021799999936</v>
      </c>
      <c r="T1269">
        <f>$S1269+測地線補正!$Q$26*(lattice!$N1269/1000)^3+測地線補正!$P$26*(lattice!$N1269/1000)^2+測地線補正!$O$26*(lattice!$N1269/1000)+測地線補正!$N$26</f>
        <v>2.5616489336431458E-2</v>
      </c>
      <c r="U1269">
        <f>-ATAN(($P$1269-$P$1271)/ABS($N$1271-$N$1269))</f>
        <v>2.9408129571738411E-7</v>
      </c>
      <c r="V1269">
        <v>0</v>
      </c>
      <c r="W1269">
        <f>ATAN(($M$1271-$M$1269)/ABS($N$1271-$N$1269))</f>
        <v>4.079959710906528E-4</v>
      </c>
      <c r="X1269" t="s">
        <v>3860</v>
      </c>
      <c r="Y1269">
        <f>_xlfn.XLOOKUP($F1269,設計座標!$E$13:$E$2301,設計座標!$L$13:$L$2301," ",0,1)</f>
        <v>300</v>
      </c>
      <c r="Z1269">
        <f>SQRT(($M$1270-$M$1267)^2+($N$1270-$N$1267)^2)</f>
        <v>659.2171055214377</v>
      </c>
      <c r="AA1269">
        <f>_xlfn.XLOOKUP($G1269,magnet_list!$A$2:$A$592,magnet_list!$AJ$2:$AJ$592,"n/a",0,1)</f>
        <v>0.32714527067797677</v>
      </c>
      <c r="AB1269">
        <f>_xlfn.XLOOKUP($G1269,magnet_list!$A$2:$A$592,magnet_list!$L$2:$L$592,"n/a",0,1)</f>
        <v>120</v>
      </c>
    </row>
    <row r="1270" spans="1:28">
      <c r="A1270" t="s">
        <v>797</v>
      </c>
      <c r="B1270">
        <v>2</v>
      </c>
      <c r="C1270" t="s">
        <v>805</v>
      </c>
      <c r="D1270" t="s">
        <v>1152</v>
      </c>
      <c r="E1270" t="s">
        <v>804</v>
      </c>
      <c r="F1270" t="s">
        <v>712</v>
      </c>
      <c r="G1270" t="s">
        <v>2658</v>
      </c>
      <c r="I1270">
        <f>_xlfn.XLOOKUP($F1270,設計座標!$E$13:$E$2301,設計座標!$G$13:$G$2301,"n/a",0,1)</f>
        <v>343.84065505985888</v>
      </c>
      <c r="J1270">
        <f>_xlfn.XLOOKUP($F1270,設計座標!$E$13:$E$2301,設計座標!$H$13:$H$2301,"n/a",0,1)</f>
        <v>-15000</v>
      </c>
      <c r="K1270">
        <f>_xlfn.XLOOKUP($F1270,設計座標!$E$13:$E$2301,設計座標!$I$13:$I$2301,"n/a",0,1)</f>
        <v>-79378.597593949991</v>
      </c>
      <c r="L1270">
        <f>_xlfn.XLOOKUP($F1270,設計座標!$E$13:$E$2301,設計座標!$J$13:$J$2301,"n/a",0,1)</f>
        <v>75</v>
      </c>
      <c r="M1270" s="2">
        <f t="shared" si="981"/>
        <v>-14989.228467808882</v>
      </c>
      <c r="N1270" s="2">
        <f t="shared" si="982"/>
        <v>-79378.597593949991</v>
      </c>
      <c r="O1270" s="23">
        <f t="shared" si="983"/>
        <v>73.662067663840645</v>
      </c>
      <c r="P1270" s="1">
        <f t="shared" si="1002"/>
        <v>75.025658496227607</v>
      </c>
      <c r="Q1270" s="1">
        <f>(Q$1271-Q$1269)/($N$1271-$N$1269)*($N1270-$N$1269)+Q$1269</f>
        <v>10.771532191118109</v>
      </c>
      <c r="R1270">
        <f t="shared" si="1015"/>
        <v>0</v>
      </c>
      <c r="S1270" s="23">
        <f>(S$1271-S$1269)/($N$1271-$N$1269)*($N1270-$N$1269)+S$1269</f>
        <v>-1.3379323361593614</v>
      </c>
      <c r="T1270">
        <f>$S1270+測地線補正!$Q$26*(lattice!$N1270/1000)^3+測地線補正!$P$26*(lattice!$N1270/1000)^2+測地線補正!$O$26*(lattice!$N1270/1000)+測地線補正!$N$26</f>
        <v>2.5658496227612959E-2</v>
      </c>
      <c r="U1270">
        <f t="shared" ref="U1270:U1271" si="1020">-ATAN(($P$1269-$P$1271)/ABS($N$1271-$N$1269))</f>
        <v>2.9408129571738411E-7</v>
      </c>
      <c r="V1270">
        <v>0</v>
      </c>
      <c r="W1270">
        <f t="shared" ref="W1270:W1271" si="1021">ATAN(($M$1271-$M$1269)/ABS($N$1271-$N$1269))</f>
        <v>4.079959710906528E-4</v>
      </c>
      <c r="X1270" t="s">
        <v>3860</v>
      </c>
      <c r="Y1270">
        <f>_xlfn.XLOOKUP($F1270,設計座標!$E$13:$E$2301,設計座標!$L$13:$L$2301," ",0,1)</f>
        <v>300</v>
      </c>
      <c r="Z1270">
        <f>SQRT(($M$1270-$M$1267)^2+($N$1270-$N$1267)^2)</f>
        <v>659.2171055214377</v>
      </c>
      <c r="AA1270">
        <f>_xlfn.XLOOKUP($G1270,magnet_list!$A$2:$A$592,magnet_list!$AJ$2:$AJ$592,"n/a",0,1)</f>
        <v>0.32714527067797677</v>
      </c>
      <c r="AB1270">
        <f>_xlfn.XLOOKUP($G1270,magnet_list!$A$2:$A$592,magnet_list!$L$2:$L$592,"n/a",0,1)</f>
        <v>120</v>
      </c>
    </row>
    <row r="1271" spans="1:28">
      <c r="A1271" t="s">
        <v>797</v>
      </c>
      <c r="B1271">
        <v>2</v>
      </c>
      <c r="C1271" t="s">
        <v>805</v>
      </c>
      <c r="D1271" t="s">
        <v>806</v>
      </c>
      <c r="F1271" t="s">
        <v>335</v>
      </c>
      <c r="G1271" t="s">
        <v>2658</v>
      </c>
      <c r="I1271">
        <f>_xlfn.XLOOKUP($F1271,設計座標!$E$13:$E$2301,設計座標!$G$13:$G$2301,"n/a",0,1)</f>
        <v>343.97564599047888</v>
      </c>
      <c r="J1271">
        <f>_xlfn.XLOOKUP($F1271,設計座標!$E$13:$E$2301,設計座標!$H$13:$H$2301,"n/a",0,1)</f>
        <v>-15000</v>
      </c>
      <c r="K1271">
        <f>_xlfn.XLOOKUP($F1271,設計座標!$E$13:$E$2301,設計座標!$I$13:$I$2301,"n/a",0,1)</f>
        <v>-79513.588524570005</v>
      </c>
      <c r="L1271">
        <f>_xlfn.XLOOKUP($F1271,設計座標!$E$13:$E$2301,設計座標!$J$13:$J$2301,"n/a",0,1)</f>
        <v>75</v>
      </c>
      <c r="M1271" s="2">
        <f>_xlfn.XLOOKUP($F1271,survey_data!$A$2:$A$833,survey_data!$B$2:$B$833,"n/a",0,1)</f>
        <v>-14989.173392049999</v>
      </c>
      <c r="N1271" s="2">
        <f>_xlfn.XLOOKUP($F1271,survey_data!$A$2:$A$833,survey_data!$C$2:$C$833,"n/a",0,1)</f>
        <v>-79513.588524570005</v>
      </c>
      <c r="O1271" s="23">
        <f>_xlfn.XLOOKUP($F1271,survey_data!$A$2:$A$833,survey_data!$D$2:$D$833,"n/a",0,1)</f>
        <v>73.658837939999998</v>
      </c>
      <c r="P1271" s="1">
        <f t="shared" si="1002"/>
        <v>75.025695891265869</v>
      </c>
      <c r="Q1271" s="1">
        <f t="shared" si="1018"/>
        <v>10.826607950000835</v>
      </c>
      <c r="R1271">
        <f t="shared" si="1015"/>
        <v>0</v>
      </c>
      <c r="S1271" s="23">
        <f t="shared" si="1019"/>
        <v>-1.341162060000002</v>
      </c>
      <c r="T1271">
        <f>$S1271+測地線補正!$Q$26*(lattice!$N1271/1000)^3+測地線補正!$P$26*(lattice!$N1271/1000)^2+測地線補正!$O$26*(lattice!$N1271/1000)+測地線補正!$N$26</f>
        <v>2.5695891265862469E-2</v>
      </c>
      <c r="U1271">
        <f t="shared" si="1020"/>
        <v>2.9408129571738411E-7</v>
      </c>
      <c r="V1271">
        <v>0</v>
      </c>
      <c r="W1271">
        <f t="shared" si="1021"/>
        <v>4.079959710906528E-4</v>
      </c>
      <c r="X1271" t="s">
        <v>3860</v>
      </c>
      <c r="Y1271">
        <f>_xlfn.XLOOKUP($F1271,設計座標!$E$13:$E$2301,設計座標!$L$13:$L$2301," ",0,1)</f>
        <v>300</v>
      </c>
      <c r="Z1271">
        <f>SQRT(($M$1270-$M$1267)^2+($N$1270-$N$1267)^2)</f>
        <v>659.2171055214377</v>
      </c>
      <c r="AA1271">
        <f>_xlfn.XLOOKUP($G1271,magnet_list!$A$2:$A$592,magnet_list!$AJ$2:$AJ$592,"n/a",0,1)</f>
        <v>0.32714527067797677</v>
      </c>
      <c r="AB1271">
        <f>_xlfn.XLOOKUP($G1271,magnet_list!$A$2:$A$592,magnet_list!$L$2:$L$592,"n/a",0,1)</f>
        <v>120</v>
      </c>
    </row>
    <row r="1272" spans="1:28">
      <c r="A1272" t="s">
        <v>797</v>
      </c>
      <c r="B1272">
        <v>2</v>
      </c>
      <c r="C1272" t="s">
        <v>804</v>
      </c>
      <c r="D1272" t="s">
        <v>1152</v>
      </c>
      <c r="E1272" t="s">
        <v>804</v>
      </c>
      <c r="F1272" t="s">
        <v>1194</v>
      </c>
      <c r="G1272" t="s">
        <v>2657</v>
      </c>
      <c r="I1272">
        <f>_xlfn.XLOOKUP($F1272,設計座標!$E$13:$E$2301,設計座標!$G$13:$G$2301,"n/a",0,1)</f>
        <v>344.25616216136899</v>
      </c>
      <c r="J1272">
        <f>_xlfn.XLOOKUP($F1272,設計座標!$E$13:$E$2301,設計座標!$H$13:$H$2301,"n/a",0,1)</f>
        <v>-15000</v>
      </c>
      <c r="K1272">
        <f>_xlfn.XLOOKUP($F1272,設計座標!$E$13:$E$2301,設計座標!$I$13:$I$2301,"n/a",0,1)</f>
        <v>-79794.104695460061</v>
      </c>
      <c r="L1272">
        <f>_xlfn.XLOOKUP($F1272,設計座標!$E$13:$E$2301,設計座標!$J$13:$J$2301,"n/a",0,1)</f>
        <v>-270</v>
      </c>
      <c r="M1272" s="2">
        <f t="shared" si="981"/>
        <v>-14989.104821790717</v>
      </c>
      <c r="N1272" s="2">
        <f t="shared" si="982"/>
        <v>-79794.104695460061</v>
      </c>
      <c r="O1272" s="23">
        <f t="shared" si="983"/>
        <v>-271.39854776398431</v>
      </c>
      <c r="P1272" s="1">
        <f t="shared" si="1002"/>
        <v>-270.02491533993162</v>
      </c>
      <c r="Q1272" s="1">
        <f>(Q$1273-Q$1271)/($N$1273-$N$1271)*($N1272-$N$1271)+Q$1271</f>
        <v>10.895178209282454</v>
      </c>
      <c r="R1272">
        <f t="shared" si="1015"/>
        <v>0</v>
      </c>
      <c r="S1272" s="23">
        <f>(S$1273-S$1271)/($N$1273-$N$1271)*($N1272-$N$1271)+S$1271</f>
        <v>-1.3985477639843344</v>
      </c>
      <c r="T1272">
        <f>$S1272+測地線補正!$Q$26*(lattice!$N1272/1000)^3+測地線補正!$P$26*(lattice!$N1272/1000)^2+測地線補正!$O$26*(lattice!$N1272/1000)+測地線補正!$N$26</f>
        <v>-2.4915339931623537E-2</v>
      </c>
      <c r="U1272">
        <f>-ATAN(($P$1277-$P$1268)/ABS($N$1277-$N$1268))</f>
        <v>1.8122961580761034E-4</v>
      </c>
      <c r="V1272">
        <v>0</v>
      </c>
      <c r="W1272">
        <f>ATAN(($M$1277-$M$1268)/ABS($N$1277-$N$1268))</f>
        <v>1.5829496609566228E-4</v>
      </c>
      <c r="X1272" t="s">
        <v>3860</v>
      </c>
      <c r="Y1272">
        <f>_xlfn.XLOOKUP($F1272,設計座標!$E$13:$E$2301,設計座標!$L$13:$L$2301," ",0,1)</f>
        <v>1889.4492</v>
      </c>
      <c r="Z1272">
        <f>SQRT(($M$1272-$M$1270)^2+($N$1272-$N$1270)^2)</f>
        <v>415.50711990727291</v>
      </c>
    </row>
    <row r="1273" spans="1:28">
      <c r="A1273" t="s">
        <v>797</v>
      </c>
      <c r="B1273">
        <v>2</v>
      </c>
      <c r="C1273" t="s">
        <v>805</v>
      </c>
      <c r="D1273" t="s">
        <v>806</v>
      </c>
      <c r="F1273" t="s">
        <v>336</v>
      </c>
      <c r="G1273" t="s">
        <v>2659</v>
      </c>
      <c r="I1273">
        <f>_xlfn.XLOOKUP($F1273,設計座標!$E$13:$E$2301,設計座標!$G$13:$G$2301,"n/a",0,1)</f>
        <v>344.51561556837891</v>
      </c>
      <c r="J1273">
        <f>_xlfn.XLOOKUP($F1273,設計座標!$E$13:$E$2301,設計座標!$H$13:$H$2301,"n/a",0,1)</f>
        <v>-15000</v>
      </c>
      <c r="K1273">
        <f>_xlfn.XLOOKUP($F1273,設計座標!$E$13:$E$2301,設計座標!$I$13:$I$2301,"n/a",0,1)</f>
        <v>-80053.558102469993</v>
      </c>
      <c r="L1273">
        <f>_xlfn.XLOOKUP($F1273,設計座標!$E$13:$E$2301,設計座標!$J$13:$J$2301,"n/a",0,1)</f>
        <v>75</v>
      </c>
      <c r="M1273" s="2">
        <f>_xlfn.XLOOKUP($F1273,survey_data!$A$2:$A$833,survey_data!$B$2:$B$833,"n/a",0,1)</f>
        <v>-14989.04140018</v>
      </c>
      <c r="N1273" s="2">
        <f>_xlfn.XLOOKUP($F1273,survey_data!$A$2:$A$833,survey_data!$C$2:$C$833,"n/a",0,1)</f>
        <v>-80053.558102469993</v>
      </c>
      <c r="O1273" s="23">
        <f>_xlfn.XLOOKUP($F1273,survey_data!$A$2:$A$833,survey_data!$D$2:$D$833,"n/a",0,1)</f>
        <v>73.548375379999996</v>
      </c>
      <c r="P1273" s="1">
        <f t="shared" si="1002"/>
        <v>74.9282559284256</v>
      </c>
      <c r="Q1273" s="1">
        <f t="shared" si="1018"/>
        <v>10.958599820000018</v>
      </c>
      <c r="R1273">
        <f t="shared" si="1015"/>
        <v>0</v>
      </c>
      <c r="S1273" s="23">
        <f t="shared" si="1019"/>
        <v>-1.451624620000004</v>
      </c>
      <c r="T1273">
        <f>$S1273+測地線補正!$Q$26*(lattice!$N1273/1000)^3+測地線補正!$P$26*(lattice!$N1273/1000)^2+測地線補正!$O$26*(lattice!$N1273/1000)+測地線補正!$N$26</f>
        <v>-7.1744071574395774E-2</v>
      </c>
      <c r="U1273">
        <f>-ATAN(($P$1275-$P$1273)/ABS($N$1275-$N$1273))</f>
        <v>2.4242371688168414E-4</v>
      </c>
      <c r="V1273">
        <v>0</v>
      </c>
      <c r="W1273">
        <f>ATAN(($M$1275-$M$1273)/ABS($N$1275-$N$1273))</f>
        <v>2.1776801889619469E-4</v>
      </c>
      <c r="X1273" t="s">
        <v>3860</v>
      </c>
      <c r="Y1273">
        <f>_xlfn.XLOOKUP($F1273,設計座標!$E$13:$E$2301,設計座標!$L$13:$L$2301," ",0,1)</f>
        <v>300</v>
      </c>
      <c r="Z1273">
        <f>SQRT(($M$1274-$M$1272)^2+($N$1274-$N$1272)^2)</f>
        <v>394.44691793071985</v>
      </c>
      <c r="AA1273">
        <f>_xlfn.XLOOKUP($G1273,magnet_list!$A$2:$A$592,magnet_list!$AJ$2:$AJ$592,"n/a",0,1)</f>
        <v>0.32714527067797677</v>
      </c>
      <c r="AB1273">
        <f>_xlfn.XLOOKUP($G1273,magnet_list!$A$2:$A$592,magnet_list!$L$2:$L$592,"n/a",0,1)</f>
        <v>120</v>
      </c>
    </row>
    <row r="1274" spans="1:28">
      <c r="A1274" t="s">
        <v>797</v>
      </c>
      <c r="B1274">
        <v>2</v>
      </c>
      <c r="C1274" t="s">
        <v>805</v>
      </c>
      <c r="D1274" t="s">
        <v>1152</v>
      </c>
      <c r="E1274" t="s">
        <v>804</v>
      </c>
      <c r="F1274" t="s">
        <v>713</v>
      </c>
      <c r="G1274" t="s">
        <v>2659</v>
      </c>
      <c r="I1274">
        <f>_xlfn.XLOOKUP($F1274,設計座標!$E$13:$E$2301,設計座標!$G$13:$G$2301,"n/a",0,1)</f>
        <v>344.65060906837891</v>
      </c>
      <c r="J1274">
        <f>_xlfn.XLOOKUP($F1274,設計座標!$E$13:$E$2301,設計座標!$H$13:$H$2301,"n/a",0,1)</f>
        <v>-15000</v>
      </c>
      <c r="K1274">
        <f>_xlfn.XLOOKUP($F1274,設計座標!$E$13:$E$2301,設計座標!$I$13:$I$2301,"n/a",0,1)</f>
        <v>-80188.55160246999</v>
      </c>
      <c r="L1274">
        <f>_xlfn.XLOOKUP($F1274,設計座標!$E$13:$E$2301,設計座標!$J$13:$J$2301,"n/a",0,1)</f>
        <v>75</v>
      </c>
      <c r="M1274" s="2">
        <f t="shared" si="981"/>
        <v>-14989.012002912477</v>
      </c>
      <c r="N1274" s="2">
        <f t="shared" si="982"/>
        <v>-80188.55160246999</v>
      </c>
      <c r="O1274" s="23">
        <f t="shared" si="983"/>
        <v>73.512407869315254</v>
      </c>
      <c r="P1274" s="1">
        <f t="shared" si="1002"/>
        <v>74.895532598550233</v>
      </c>
      <c r="Q1274" s="1">
        <f>(Q$1275-Q$1273)/($N$1275-$N$1273)*($N1274-$N$1273)+Q$1273</f>
        <v>10.987997087523581</v>
      </c>
      <c r="R1274">
        <f t="shared" si="1015"/>
        <v>0</v>
      </c>
      <c r="S1274" s="23">
        <f>(S$1275-S$1273)/($N$1275-$N$1273)*($N1274-$N$1273)+S$1273</f>
        <v>-1.4875921306847453</v>
      </c>
      <c r="T1274">
        <f>$S1274+測地線補正!$Q$26*(lattice!$N1274/1000)^3+測地線補正!$P$26*(lattice!$N1274/1000)^2+測地線補正!$O$26*(lattice!$N1274/1000)+測地線補正!$N$26</f>
        <v>-0.10446740144976574</v>
      </c>
      <c r="U1274">
        <f t="shared" ref="U1274:U1275" si="1022">-ATAN(($P$1275-$P$1273)/ABS($N$1275-$N$1273))</f>
        <v>2.4242371688168414E-4</v>
      </c>
      <c r="V1274">
        <v>0</v>
      </c>
      <c r="W1274">
        <f t="shared" ref="W1274:W1275" si="1023">ATAN(($M$1275-$M$1273)/ABS($N$1275-$N$1273))</f>
        <v>2.1776801889619469E-4</v>
      </c>
      <c r="X1274" t="s">
        <v>3860</v>
      </c>
      <c r="Y1274">
        <f>_xlfn.XLOOKUP($F1274,設計座標!$E$13:$E$2301,設計座標!$L$13:$L$2301," ",0,1)</f>
        <v>300</v>
      </c>
      <c r="Z1274">
        <f>SQRT(($M$1274-$M$1272)^2+($N$1274-$N$1272)^2)</f>
        <v>394.44691793071985</v>
      </c>
      <c r="AA1274">
        <f>_xlfn.XLOOKUP($G1274,magnet_list!$A$2:$A$592,magnet_list!$AJ$2:$AJ$592,"n/a",0,1)</f>
        <v>0.32714527067797677</v>
      </c>
      <c r="AB1274">
        <f>_xlfn.XLOOKUP($G1274,magnet_list!$A$2:$A$592,magnet_list!$L$2:$L$592,"n/a",0,1)</f>
        <v>120</v>
      </c>
    </row>
    <row r="1275" spans="1:28">
      <c r="A1275" t="s">
        <v>797</v>
      </c>
      <c r="B1275">
        <v>2</v>
      </c>
      <c r="C1275" t="s">
        <v>805</v>
      </c>
      <c r="D1275" t="s">
        <v>806</v>
      </c>
      <c r="F1275" t="s">
        <v>337</v>
      </c>
      <c r="G1275" t="s">
        <v>2659</v>
      </c>
      <c r="I1275">
        <f>_xlfn.XLOOKUP($F1275,設計座標!$E$13:$E$2301,設計座標!$G$13:$G$2301,"n/a",0,1)</f>
        <v>344.78558785066895</v>
      </c>
      <c r="J1275">
        <f>_xlfn.XLOOKUP($F1275,設計座標!$E$13:$E$2301,設計座標!$H$13:$H$2301,"n/a",0,1)</f>
        <v>-15000</v>
      </c>
      <c r="K1275">
        <f>_xlfn.XLOOKUP($F1275,設計座標!$E$13:$E$2301,設計座標!$I$13:$I$2301,"n/a",0,1)</f>
        <v>-80323.530384760001</v>
      </c>
      <c r="L1275">
        <f>_xlfn.XLOOKUP($F1275,設計座標!$E$13:$E$2301,設計座標!$J$13:$J$2301,"n/a",0,1)</f>
        <v>75</v>
      </c>
      <c r="M1275" s="2">
        <f>_xlfn.XLOOKUP($F1275,survey_data!$A$2:$A$833,survey_data!$B$2:$B$833,"n/a",0,1)</f>
        <v>-14988.982608849999</v>
      </c>
      <c r="N1275" s="2">
        <f>_xlfn.XLOOKUP($F1275,survey_data!$A$2:$A$833,survey_data!$C$2:$C$833,"n/a",0,1)</f>
        <v>-80323.530384760001</v>
      </c>
      <c r="O1275" s="23">
        <f>_xlfn.XLOOKUP($F1275,survey_data!$A$2:$A$833,survey_data!$D$2:$D$833,"n/a",0,1)</f>
        <v>73.476444279999996</v>
      </c>
      <c r="P1275" s="1">
        <f t="shared" si="1002"/>
        <v>74.862808243015721</v>
      </c>
      <c r="Q1275" s="1">
        <f t="shared" si="1018"/>
        <v>11.017391150000549</v>
      </c>
      <c r="R1275">
        <f t="shared" si="1015"/>
        <v>0</v>
      </c>
      <c r="S1275" s="23">
        <f t="shared" si="1019"/>
        <v>-1.5235557200000045</v>
      </c>
      <c r="T1275">
        <f>$S1275+測地線補正!$Q$26*(lattice!$N1275/1000)^3+測地線補正!$P$26*(lattice!$N1275/1000)^2+測地線補正!$O$26*(lattice!$N1275/1000)+測地線補正!$N$26</f>
        <v>-0.13719175698427644</v>
      </c>
      <c r="U1275">
        <f t="shared" si="1022"/>
        <v>2.4242371688168414E-4</v>
      </c>
      <c r="V1275">
        <v>0</v>
      </c>
      <c r="W1275">
        <f t="shared" si="1023"/>
        <v>2.1776801889619469E-4</v>
      </c>
      <c r="X1275" t="s">
        <v>3860</v>
      </c>
      <c r="Y1275">
        <f>_xlfn.XLOOKUP($F1275,設計座標!$E$13:$E$2301,設計座標!$L$13:$L$2301," ",0,1)</f>
        <v>300</v>
      </c>
      <c r="Z1275">
        <f>SQRT(($M$1274-$M$1272)^2+($N$1274-$N$1272)^2)</f>
        <v>394.44691793071985</v>
      </c>
      <c r="AA1275">
        <f>_xlfn.XLOOKUP($G1275,magnet_list!$A$2:$A$592,magnet_list!$AJ$2:$AJ$592,"n/a",0,1)</f>
        <v>0.32714527067797677</v>
      </c>
      <c r="AB1275">
        <f>_xlfn.XLOOKUP($G1275,magnet_list!$A$2:$A$592,magnet_list!$L$2:$L$592,"n/a",0,1)</f>
        <v>120</v>
      </c>
    </row>
    <row r="1276" spans="1:28">
      <c r="A1276" t="s">
        <v>797</v>
      </c>
      <c r="B1276">
        <v>2</v>
      </c>
      <c r="C1276" t="s">
        <v>805</v>
      </c>
      <c r="D1276" t="s">
        <v>1152</v>
      </c>
      <c r="E1276" t="s">
        <v>804</v>
      </c>
      <c r="F1276" t="s">
        <v>2090</v>
      </c>
      <c r="G1276" t="s">
        <v>2090</v>
      </c>
      <c r="I1276">
        <f>_xlfn.XLOOKUP($F1276,設計座標!$E$13:$E$2301,設計座標!$G$13:$G$2301,"n/a",0,1)</f>
        <v>345.02058785066896</v>
      </c>
      <c r="J1276">
        <f>_xlfn.XLOOKUP($F1276,設計座標!$E$13:$E$2301,設計座標!$H$13:$H$2301,"n/a",0,1)</f>
        <v>-15000</v>
      </c>
      <c r="K1276">
        <f>_xlfn.XLOOKUP($F1276,設計座標!$E$13:$E$2301,設計座標!$I$13:$I$2301,"n/a",0,1)</f>
        <v>-80558.530384760001</v>
      </c>
      <c r="L1276">
        <f>_xlfn.XLOOKUP($F1276,設計座標!$E$13:$E$2301,設計座標!$J$13:$J$2301,"n/a",0,1)</f>
        <v>-270</v>
      </c>
      <c r="M1276" s="2">
        <f t="shared" si="981"/>
        <v>-14988.919245626847</v>
      </c>
      <c r="N1276" s="2">
        <f t="shared" si="982"/>
        <v>-80558.530384760001</v>
      </c>
      <c r="O1276" s="23">
        <f t="shared" si="983"/>
        <v>-271.65559731112666</v>
      </c>
      <c r="P1276" s="1">
        <f t="shared" si="1002"/>
        <v>-270.26360474900827</v>
      </c>
      <c r="Q1276" s="1">
        <f>(Q$1278-Q$1275)/($N$1278-$N$1275)*($N1276-$N$1275)+Q$1275</f>
        <v>11.080754373153075</v>
      </c>
      <c r="R1276">
        <f t="shared" si="1015"/>
        <v>0</v>
      </c>
      <c r="S1276" s="23">
        <f t="shared" ref="S1276:S1277" si="1024">(S$1278-S$1275)/($N$1278-$N$1275)*($N1276-$N$1275)+S$1275</f>
        <v>-1.6555973111266773</v>
      </c>
      <c r="T1276">
        <f>$S1276+測地線補正!$Q$26*(lattice!$N1276/1000)^3+測地線補正!$P$26*(lattice!$N1276/1000)^2+測地線補正!$O$26*(lattice!$N1276/1000)+測地線補正!$N$26</f>
        <v>-0.26360474900824538</v>
      </c>
      <c r="U1276">
        <v>0</v>
      </c>
      <c r="V1276">
        <v>0</v>
      </c>
      <c r="W1276">
        <v>0</v>
      </c>
      <c r="X1276" t="s">
        <v>3860</v>
      </c>
      <c r="Y1276">
        <f>_xlfn.XLOOKUP($F1276,設計座標!$E$13:$E$2301,設計座標!$L$13:$L$2301," ",0,1)</f>
        <v>100</v>
      </c>
      <c r="Z1276">
        <f>SQRT(($M$1276-$M$1274)^2+($N$1276-$N$1274)^2)</f>
        <v>369.97879391758818</v>
      </c>
      <c r="AA1276">
        <f>_xlfn.XLOOKUP($G1276,magnet_list!$A$2:$A$592,magnet_list!$AJ$2:$AJ$592,"n/a",0,1)</f>
        <v>0.21834200000000001</v>
      </c>
      <c r="AB1276">
        <f>_xlfn.XLOOKUP($G1276,magnet_list!$A$2:$A$592,magnet_list!$L$2:$L$592,"n/a",0,1)</f>
        <v>120</v>
      </c>
    </row>
    <row r="1277" spans="1:28">
      <c r="A1277" t="s">
        <v>797</v>
      </c>
      <c r="B1277">
        <v>2</v>
      </c>
      <c r="C1277" t="s">
        <v>804</v>
      </c>
      <c r="D1277" t="s">
        <v>1152</v>
      </c>
      <c r="E1277" t="s">
        <v>804</v>
      </c>
      <c r="F1277" t="s">
        <v>1615</v>
      </c>
      <c r="G1277" t="s">
        <v>2657</v>
      </c>
      <c r="I1277">
        <f>_xlfn.XLOOKUP($F1277,設計座標!$E$13:$E$2301,設計座標!$G$13:$G$2301,"n/a",0,1)</f>
        <v>345.20088676136902</v>
      </c>
      <c r="J1277">
        <f>_xlfn.XLOOKUP($F1277,設計座標!$E$13:$E$2301,設計座標!$H$13:$H$2301,"n/a",0,1)</f>
        <v>-15000</v>
      </c>
      <c r="K1277">
        <f>_xlfn.XLOOKUP($F1277,設計座標!$E$13:$E$2301,設計座標!$I$13:$I$2301,"n/a",0,1)</f>
        <v>-80738.829295460062</v>
      </c>
      <c r="L1277">
        <f>_xlfn.XLOOKUP($F1277,設計座標!$E$13:$E$2301,設計座標!$J$13:$J$2301,"n/a",0,1)</f>
        <v>-270</v>
      </c>
      <c r="M1277" s="2">
        <f t="shared" ref="M1277:M1340" si="1025">$J1277+$Q1277</f>
        <v>-14988.870631498707</v>
      </c>
      <c r="N1277" s="2">
        <f t="shared" ref="N1277:N1340" si="1026">$K1277</f>
        <v>-80738.829295460062</v>
      </c>
      <c r="O1277" s="23">
        <f t="shared" ref="O1277:O1340" si="1027">$L1277+$S1277</f>
        <v>-271.75690350281707</v>
      </c>
      <c r="P1277" s="1">
        <f t="shared" si="1002"/>
        <v>-270.3606019415933</v>
      </c>
      <c r="Q1277" s="1">
        <f>(Q$1278-Q$1275)/($N$1278-$N$1275)*($N1277-$N$1275)+Q$1275</f>
        <v>11.129368501292843</v>
      </c>
      <c r="R1277">
        <f t="shared" si="1015"/>
        <v>0</v>
      </c>
      <c r="S1277" s="23">
        <f t="shared" si="1024"/>
        <v>-1.7569035028170688</v>
      </c>
      <c r="T1277">
        <f>$S1277+測地線補正!$Q$26*(lattice!$N1277/1000)^3+測地線補正!$P$26*(lattice!$N1277/1000)^2+測地線補正!$O$26*(lattice!$N1277/1000)+測地線補正!$N$26</f>
        <v>-0.36060194159329151</v>
      </c>
      <c r="U1277">
        <f>-ATAN(($P$1277-$P$1268)/ABS($N$1277-$N$1268))</f>
        <v>1.8122961580761034E-4</v>
      </c>
      <c r="V1277">
        <v>0</v>
      </c>
      <c r="W1277">
        <f>ATAN(($M$1277-$M$1268)/ABS($N$1277-$N$1268))</f>
        <v>1.5829496609566228E-4</v>
      </c>
      <c r="X1277" t="s">
        <v>3860</v>
      </c>
      <c r="Y1277">
        <f>_xlfn.XLOOKUP($F1277,設計座標!$E$13:$E$2301,設計座標!$L$13:$L$2301," ",0,1)</f>
        <v>1889.4492</v>
      </c>
      <c r="Z1277">
        <f>SQRT(($M$1272-$M$1270)^2+($N$1272-$N$1270)^2)</f>
        <v>415.50711990727291</v>
      </c>
    </row>
    <row r="1278" spans="1:28">
      <c r="A1278" t="s">
        <v>797</v>
      </c>
      <c r="B1278">
        <v>2</v>
      </c>
      <c r="C1278" t="s">
        <v>805</v>
      </c>
      <c r="D1278" t="s">
        <v>806</v>
      </c>
      <c r="F1278" t="s">
        <v>338</v>
      </c>
      <c r="G1278" t="s">
        <v>2660</v>
      </c>
      <c r="I1278">
        <f>_xlfn.XLOOKUP($F1278,設計座標!$E$13:$E$2301,設計座標!$G$13:$G$2301,"n/a",0,1)</f>
        <v>345.36972622397894</v>
      </c>
      <c r="J1278">
        <f>_xlfn.XLOOKUP($F1278,設計座標!$E$13:$E$2301,設計座標!$H$13:$H$2301,"n/a",0,1)</f>
        <v>-15000</v>
      </c>
      <c r="K1278">
        <f>_xlfn.XLOOKUP($F1278,設計座標!$E$13:$E$2301,設計座標!$I$13:$I$2301,"n/a",0,1)</f>
        <v>-80907.668758069995</v>
      </c>
      <c r="L1278">
        <f>_xlfn.XLOOKUP($F1278,設計座標!$E$13:$E$2301,設計座標!$J$13:$J$2301,"n/a",0,1)</f>
        <v>90</v>
      </c>
      <c r="M1278" s="2">
        <f>_xlfn.XLOOKUP($F1278,survey_data!$A$2:$A$833,survey_data!$B$2:$B$833,"n/a",0,1)</f>
        <v>-14988.825107189999</v>
      </c>
      <c r="N1278" s="2">
        <f>_xlfn.XLOOKUP($F1278,survey_data!$A$2:$A$833,survey_data!$C$2:$C$833,"n/a",0,1)</f>
        <v>-80907.668758069995</v>
      </c>
      <c r="O1278" s="23">
        <f>_xlfn.XLOOKUP($F1278,survey_data!$A$2:$A$833,survey_data!$D$2:$D$833,"n/a",0,1)</f>
        <v>88.148229130000004</v>
      </c>
      <c r="P1278" s="1">
        <f t="shared" si="1002"/>
        <v>89.548558401397983</v>
      </c>
      <c r="Q1278" s="1">
        <f t="shared" si="1018"/>
        <v>11.174892810000529</v>
      </c>
      <c r="R1278">
        <f t="shared" si="1015"/>
        <v>0</v>
      </c>
      <c r="S1278" s="23">
        <f t="shared" si="1019"/>
        <v>-1.8517708699999957</v>
      </c>
      <c r="T1278">
        <f>$S1278+測地線補正!$Q$26*(lattice!$N1278/1000)^3+測地線補正!$P$26*(lattice!$N1278/1000)^2+測地線補正!$O$26*(lattice!$N1278/1000)+測地線補正!$N$26</f>
        <v>-0.45144159860202282</v>
      </c>
      <c r="U1278">
        <f>-ATAN(($P$1280-$P$1278)/ABS($N$1280-$N$1278))</f>
        <v>-2.9398505058094538E-4</v>
      </c>
      <c r="V1278">
        <v>0</v>
      </c>
      <c r="W1278">
        <f>ATAN(($M$1280-$M$1278)/ABS($N$1280-$N$1278))</f>
        <v>-2.3783246215335543E-4</v>
      </c>
      <c r="X1278">
        <f>SQRT(($M$1279-$M$1277)^2+($N$1279-$N$1277)^2)-$Y$1279/2</f>
        <v>158.83246435576442</v>
      </c>
      <c r="Y1278">
        <f>_xlfn.XLOOKUP($F1278,設計座標!$E$13:$E$2301,設計座標!$L$13:$L$2301," ",0,1)</f>
        <v>160</v>
      </c>
      <c r="Z1278">
        <f>SQRT(($M$1279-$M$1276)^2+($N$1279-$N$1276)^2)</f>
        <v>419.13138047360133</v>
      </c>
      <c r="AA1278">
        <f>_xlfn.XLOOKUP($G1278,magnet_list!$A$2:$A$592,magnet_list!$AJ$2:$AJ$592,"n/a",0,1)</f>
        <v>0.17374887133613809</v>
      </c>
      <c r="AB1278">
        <f>_xlfn.XLOOKUP($G1278,magnet_list!$A$2:$A$592,magnet_list!$L$2:$L$592,"n/a",0,1)</f>
        <v>44</v>
      </c>
    </row>
    <row r="1279" spans="1:28">
      <c r="A1279" t="s">
        <v>797</v>
      </c>
      <c r="B1279">
        <v>2</v>
      </c>
      <c r="C1279" t="s">
        <v>805</v>
      </c>
      <c r="D1279" t="s">
        <v>1152</v>
      </c>
      <c r="E1279" t="s">
        <v>804</v>
      </c>
      <c r="F1279" t="s">
        <v>714</v>
      </c>
      <c r="G1279" t="s">
        <v>2660</v>
      </c>
      <c r="I1279">
        <f>_xlfn.XLOOKUP($F1279,設計座標!$E$13:$E$2301,設計座標!$G$13:$G$2301,"n/a",0,1)</f>
        <v>345.43971922397895</v>
      </c>
      <c r="J1279">
        <f>_xlfn.XLOOKUP($F1279,設計座標!$E$13:$E$2301,設計座標!$H$13:$H$2301,"n/a",0,1)</f>
        <v>-15000</v>
      </c>
      <c r="K1279">
        <f>_xlfn.XLOOKUP($F1279,設計座標!$E$13:$E$2301,設計座標!$I$13:$I$2301,"n/a",0,1)</f>
        <v>-80977.661758069997</v>
      </c>
      <c r="L1279">
        <f>_xlfn.XLOOKUP($F1279,設計座標!$E$13:$E$2301,設計座標!$J$13:$J$2301,"n/a",0,1)</f>
        <v>90</v>
      </c>
      <c r="M1279" s="2">
        <f t="shared" si="1025"/>
        <v>-14988.841753797837</v>
      </c>
      <c r="N1279" s="2">
        <f t="shared" si="1026"/>
        <v>-80977.661758069997</v>
      </c>
      <c r="O1279" s="23">
        <f t="shared" si="1027"/>
        <v>88.167139043229881</v>
      </c>
      <c r="P1279" s="1">
        <f t="shared" si="1002"/>
        <v>89.56913591375276</v>
      </c>
      <c r="Q1279" s="1">
        <f>(Q$1280-Q$1278)/($N$1280-$N$1278)*($N1279-$N$1278)+Q$1278</f>
        <v>11.158246202163161</v>
      </c>
      <c r="R1279">
        <f t="shared" si="1015"/>
        <v>0</v>
      </c>
      <c r="S1279" s="23">
        <f>(S$1280-S$1278)/($N$1280-$N$1278)*($N1279-$N$1278)+S$1278</f>
        <v>-1.8328609567701126</v>
      </c>
      <c r="T1279">
        <f>$S1279+測地線補正!$Q$26*(lattice!$N1279/1000)^3+測地線補正!$P$26*(lattice!$N1279/1000)^2+測地線補正!$O$26*(lattice!$N1279/1000)+測地線補正!$N$26</f>
        <v>-0.4308640862472346</v>
      </c>
      <c r="U1279">
        <f t="shared" ref="U1279:U1280" si="1028">-ATAN(($P$1280-$P$1278)/ABS($N$1280-$N$1278))</f>
        <v>-2.9398505058094538E-4</v>
      </c>
      <c r="V1279">
        <v>0</v>
      </c>
      <c r="W1279">
        <f t="shared" ref="W1279:W1280" si="1029">ATAN(($M$1280-$M$1278)/ABS($N$1280-$N$1278))</f>
        <v>-2.3783246215335543E-4</v>
      </c>
      <c r="X1279">
        <f>SQRT(($M$1279-$M$1277)^2+($N$1279-$N$1277)^2)-$Y$1279/2</f>
        <v>158.83246435576442</v>
      </c>
      <c r="Y1279">
        <f>_xlfn.XLOOKUP($F1279,設計座標!$E$13:$E$2301,設計座標!$L$13:$L$2301," ",0,1)</f>
        <v>160</v>
      </c>
      <c r="Z1279">
        <f>SQRT(($M$1279-$M$1276)^2+($N$1279-$N$1276)^2)</f>
        <v>419.13138047360133</v>
      </c>
      <c r="AA1279">
        <f>_xlfn.XLOOKUP($G1279,magnet_list!$A$2:$A$592,magnet_list!$AJ$2:$AJ$592,"n/a",0,1)</f>
        <v>0.17374887133613809</v>
      </c>
      <c r="AB1279">
        <f>_xlfn.XLOOKUP($G1279,magnet_list!$A$2:$A$592,magnet_list!$L$2:$L$592,"n/a",0,1)</f>
        <v>44</v>
      </c>
    </row>
    <row r="1280" spans="1:28">
      <c r="A1280" t="s">
        <v>797</v>
      </c>
      <c r="B1280">
        <v>2</v>
      </c>
      <c r="C1280" t="s">
        <v>805</v>
      </c>
      <c r="D1280" t="s">
        <v>806</v>
      </c>
      <c r="F1280" t="s">
        <v>339</v>
      </c>
      <c r="G1280" t="s">
        <v>2660</v>
      </c>
      <c r="I1280">
        <f>_xlfn.XLOOKUP($F1280,設計座標!$E$13:$E$2301,設計座標!$G$13:$G$2301,"n/a",0,1)</f>
        <v>345.50973137327895</v>
      </c>
      <c r="J1280">
        <f>_xlfn.XLOOKUP($F1280,設計座標!$E$13:$E$2301,設計座標!$H$13:$H$2301,"n/a",0,1)</f>
        <v>-15000</v>
      </c>
      <c r="K1280">
        <f>_xlfn.XLOOKUP($F1280,設計座標!$E$13:$E$2301,設計座標!$I$13:$I$2301,"n/a",0,1)</f>
        <v>-81047.673907370001</v>
      </c>
      <c r="L1280">
        <f>_xlfn.XLOOKUP($F1280,設計座標!$E$13:$E$2301,設計座標!$J$13:$J$2301,"n/a",0,1)</f>
        <v>90</v>
      </c>
      <c r="M1280" s="2">
        <f>_xlfn.XLOOKUP($F1280,survey_data!$A$2:$A$833,survey_data!$B$2:$B$833,"n/a",0,1)</f>
        <v>-14988.858404959999</v>
      </c>
      <c r="N1280" s="2">
        <f>_xlfn.XLOOKUP($F1280,survey_data!$A$2:$A$833,survey_data!$C$2:$C$833,"n/a",0,1)</f>
        <v>-81047.673907370001</v>
      </c>
      <c r="O1280" s="23">
        <f>_xlfn.XLOOKUP($F1280,survey_data!$A$2:$A$833,survey_data!$D$2:$D$833,"n/a",0,1)</f>
        <v>88.186054130000002</v>
      </c>
      <c r="P1280" s="1">
        <f t="shared" si="1002"/>
        <v>89.589717823482303</v>
      </c>
      <c r="Q1280" s="1">
        <f t="shared" si="1018"/>
        <v>11.141595040000539</v>
      </c>
      <c r="R1280">
        <f t="shared" si="1015"/>
        <v>0</v>
      </c>
      <c r="S1280" s="23">
        <f t="shared" si="1019"/>
        <v>-1.8139458699999977</v>
      </c>
      <c r="T1280">
        <f>$S1280+測地線補正!$Q$26*(lattice!$N1280/1000)^3+測地線補正!$P$26*(lattice!$N1280/1000)^2+測地線補正!$O$26*(lattice!$N1280/1000)+測地線補正!$N$26</f>
        <v>-0.41028217651770116</v>
      </c>
      <c r="U1280">
        <f t="shared" si="1028"/>
        <v>-2.9398505058094538E-4</v>
      </c>
      <c r="V1280">
        <v>0</v>
      </c>
      <c r="W1280">
        <f t="shared" si="1029"/>
        <v>-2.3783246215335543E-4</v>
      </c>
      <c r="X1280">
        <f>SQRT(($M$1279-$M$1277)^2+($N$1279-$N$1277)^2)-$Y$1279/2</f>
        <v>158.83246435576442</v>
      </c>
      <c r="Y1280">
        <f>_xlfn.XLOOKUP($F1280,設計座標!$E$13:$E$2301,設計座標!$L$13:$L$2301," ",0,1)</f>
        <v>160</v>
      </c>
      <c r="Z1280">
        <f>SQRT(($M$1279-$M$1276)^2+($N$1279-$N$1276)^2)</f>
        <v>419.13138047360133</v>
      </c>
      <c r="AA1280">
        <f>_xlfn.XLOOKUP($G1280,magnet_list!$A$2:$A$592,magnet_list!$AJ$2:$AJ$592,"n/a",0,1)</f>
        <v>0.17374887133613809</v>
      </c>
      <c r="AB1280">
        <f>_xlfn.XLOOKUP($G1280,magnet_list!$A$2:$A$592,magnet_list!$L$2:$L$592,"n/a",0,1)</f>
        <v>44</v>
      </c>
    </row>
    <row r="1281" spans="1:28">
      <c r="A1281" t="s">
        <v>797</v>
      </c>
      <c r="B1281">
        <v>2</v>
      </c>
      <c r="C1281" t="s">
        <v>804</v>
      </c>
      <c r="D1281" t="s">
        <v>1152</v>
      </c>
      <c r="E1281" t="s">
        <v>804</v>
      </c>
      <c r="F1281" t="s">
        <v>1616</v>
      </c>
      <c r="G1281" t="s">
        <v>2661</v>
      </c>
      <c r="I1281">
        <f>_xlfn.XLOOKUP($F1281,設計座標!$E$13:$E$2301,設計座標!$G$13:$G$2301,"n/a",0,1)</f>
        <v>345.69949056136898</v>
      </c>
      <c r="J1281">
        <f>_xlfn.XLOOKUP($F1281,設計座標!$E$13:$E$2301,設計座標!$H$13:$H$2301,"n/a",0,1)</f>
        <v>-15000</v>
      </c>
      <c r="K1281">
        <f>_xlfn.XLOOKUP($F1281,設計座標!$E$13:$E$2301,設計座標!$I$13:$I$2301,"n/a",0,1)</f>
        <v>-81237.433095460059</v>
      </c>
      <c r="L1281">
        <f>_xlfn.XLOOKUP($F1281,設計座標!$E$13:$E$2301,設計座標!$J$13:$J$2301,"n/a",0,1)</f>
        <v>-270</v>
      </c>
      <c r="M1281" s="2">
        <f t="shared" si="1025"/>
        <v>-14988.79289196291</v>
      </c>
      <c r="N1281" s="2">
        <f t="shared" si="1026"/>
        <v>-81237.433095460059</v>
      </c>
      <c r="O1281" s="23">
        <f t="shared" si="1027"/>
        <v>-271.73357930163627</v>
      </c>
      <c r="P1281" s="1">
        <f t="shared" si="1002"/>
        <v>-270.32540408813486</v>
      </c>
      <c r="Q1281" s="1">
        <f>(Q$1283-Q$1280)/($N$1283-$N$1280)*($N1281-$N$1280)+Q$1280</f>
        <v>11.207108037089352</v>
      </c>
      <c r="R1281">
        <f t="shared" si="1015"/>
        <v>0</v>
      </c>
      <c r="S1281" s="23">
        <f t="shared" ref="S1281:S1282" si="1030">(S$1283-S$1280)/($N$1283-$N$1280)*($N1281-$N$1280)+S$1280</f>
        <v>-1.733579301636246</v>
      </c>
      <c r="T1281">
        <f>$S1281+測地線補正!$Q$26*(lattice!$N1281/1000)^3+測地線補正!$P$26*(lattice!$N1281/1000)^2+測地線補正!$O$26*(lattice!$N1281/1000)+測地線補正!$N$26</f>
        <v>-0.32540408813484212</v>
      </c>
      <c r="U1281">
        <f>-ATAN(($P$1290-$P$1281)/ABS($N$1290-$N$1281))</f>
        <v>2.5289100016695068E-7</v>
      </c>
      <c r="V1281">
        <v>0</v>
      </c>
      <c r="W1281">
        <f>ATAN(($M$1290-$M$1281)/ABS($N$1290-$N$1281))</f>
        <v>2.1534475124409077E-4</v>
      </c>
      <c r="X1281">
        <f>SQRT(($M$1281-$M$1279)^2+($N$1281-$N$1279)^2)-$Y$1279/2</f>
        <v>179.77134198540944</v>
      </c>
      <c r="Y1281">
        <f>_xlfn.XLOOKUP($F1281,設計座標!$E$13:$E$2301,設計座標!$L$13:$L$2301," ",0,1)</f>
        <v>1889.4492</v>
      </c>
      <c r="Z1281">
        <f>SQRT(($M$1286-$M$1284)^2+($N$1286-$N$1284)^2)</f>
        <v>415.49312490827037</v>
      </c>
    </row>
    <row r="1282" spans="1:28">
      <c r="A1282" t="s">
        <v>797</v>
      </c>
      <c r="B1282">
        <v>2</v>
      </c>
      <c r="C1282" t="s">
        <v>805</v>
      </c>
      <c r="D1282" t="s">
        <v>1152</v>
      </c>
      <c r="E1282" t="s">
        <v>804</v>
      </c>
      <c r="F1282" t="s">
        <v>2091</v>
      </c>
      <c r="G1282" t="s">
        <v>2091</v>
      </c>
      <c r="I1282">
        <f>_xlfn.XLOOKUP($F1282,設計座標!$E$13:$E$2301,設計座標!$G$13:$G$2301,"n/a",0,1)</f>
        <v>345.86973137327891</v>
      </c>
      <c r="J1282">
        <f>_xlfn.XLOOKUP($F1282,設計座標!$E$13:$E$2301,設計座標!$H$13:$H$2301,"n/a",0,1)</f>
        <v>-15000</v>
      </c>
      <c r="K1282">
        <f>_xlfn.XLOOKUP($F1282,設計座標!$E$13:$E$2301,設計座標!$I$13:$I$2301,"n/a",0,1)</f>
        <v>-81407.673907370001</v>
      </c>
      <c r="L1282">
        <f>_xlfn.XLOOKUP($F1282,設計座標!$E$13:$E$2301,設計座標!$J$13:$J$2301,"n/a",0,1)</f>
        <v>-270</v>
      </c>
      <c r="M1282" s="2">
        <f t="shared" si="1025"/>
        <v>-14988.734117545044</v>
      </c>
      <c r="N1282" s="2">
        <f t="shared" si="1026"/>
        <v>-81407.673907370001</v>
      </c>
      <c r="O1282" s="23">
        <f t="shared" si="1027"/>
        <v>-271.66147913096012</v>
      </c>
      <c r="P1282" s="1">
        <f t="shared" si="1002"/>
        <v>-270.24926414553966</v>
      </c>
      <c r="Q1282" s="1">
        <f>(Q$1283-Q$1280)/($N$1283-$N$1280)*($N1282-$N$1280)+Q$1280</f>
        <v>11.26588245495712</v>
      </c>
      <c r="R1282">
        <f t="shared" si="1015"/>
        <v>0</v>
      </c>
      <c r="S1282" s="23">
        <f t="shared" si="1030"/>
        <v>-1.6614791309600956</v>
      </c>
      <c r="T1282">
        <f>$S1282+測地線補正!$Q$26*(lattice!$N1282/1000)^3+測地線補正!$P$26*(lattice!$N1282/1000)^2+測地線補正!$O$26*(lattice!$N1282/1000)+測地線補正!$N$26</f>
        <v>-0.24926414553963183</v>
      </c>
      <c r="U1282">
        <v>0</v>
      </c>
      <c r="V1282">
        <v>0</v>
      </c>
      <c r="W1282">
        <v>0</v>
      </c>
      <c r="X1282" t="s">
        <v>3860</v>
      </c>
      <c r="Y1282">
        <f>_xlfn.XLOOKUP($F1282,設計座標!$E$13:$E$2301,設計座標!$L$13:$L$2301," ",0,1)</f>
        <v>100</v>
      </c>
      <c r="Z1282">
        <f>SQRT(($M$1282-$M$1279)^2+($N$1282-$N$1279)^2)</f>
        <v>430.01216277120818</v>
      </c>
      <c r="AA1282">
        <f>_xlfn.XLOOKUP($G1282,magnet_list!$A$2:$A$592,magnet_list!$AJ$2:$AJ$592,"n/a",0,1)</f>
        <v>0.21834200000000001</v>
      </c>
      <c r="AB1282">
        <f>_xlfn.XLOOKUP($G1282,magnet_list!$A$2:$A$592,magnet_list!$L$2:$L$592,"n/a",0,1)</f>
        <v>120</v>
      </c>
    </row>
    <row r="1283" spans="1:28">
      <c r="A1283" t="s">
        <v>797</v>
      </c>
      <c r="B1283">
        <v>2</v>
      </c>
      <c r="C1283" t="s">
        <v>805</v>
      </c>
      <c r="D1283" t="s">
        <v>806</v>
      </c>
      <c r="F1283" t="s">
        <v>340</v>
      </c>
      <c r="G1283" t="s">
        <v>2662</v>
      </c>
      <c r="I1283">
        <f>_xlfn.XLOOKUP($F1283,設計座標!$E$13:$E$2301,設計座標!$G$13:$G$2301,"n/a",0,1)</f>
        <v>346.09372504009889</v>
      </c>
      <c r="J1283">
        <f>_xlfn.XLOOKUP($F1283,設計座標!$E$13:$E$2301,設計座標!$H$13:$H$2301,"n/a",0,1)</f>
        <v>-15000</v>
      </c>
      <c r="K1283">
        <f>_xlfn.XLOOKUP($F1283,設計座標!$E$13:$E$2301,設計座標!$I$13:$I$2301,"n/a",0,1)</f>
        <v>-81631.667574189996</v>
      </c>
      <c r="L1283">
        <f>_xlfn.XLOOKUP($F1283,設計座標!$E$13:$E$2301,設計座標!$J$13:$J$2301,"n/a",0,1)</f>
        <v>75</v>
      </c>
      <c r="M1283" s="2">
        <f>_xlfn.XLOOKUP($F1283,survey_data!$A$2:$A$833,survey_data!$B$2:$B$833,"n/a",0,1)</f>
        <v>-14988.656785339999</v>
      </c>
      <c r="N1283" s="2">
        <f>_xlfn.XLOOKUP($F1283,survey_data!$A$2:$A$833,survey_data!$C$2:$C$833,"n/a",0,1)</f>
        <v>-81631.667574189996</v>
      </c>
      <c r="O1283" s="23">
        <f>_xlfn.XLOOKUP($F1283,survey_data!$A$2:$A$833,survey_data!$D$2:$D$833,"n/a",0,1)</f>
        <v>73.433386380000002</v>
      </c>
      <c r="P1283" s="1">
        <f t="shared" si="1002"/>
        <v>74.850905592637361</v>
      </c>
      <c r="Q1283" s="1">
        <f t="shared" si="1018"/>
        <v>11.34321466000074</v>
      </c>
      <c r="R1283">
        <f t="shared" si="1015"/>
        <v>0</v>
      </c>
      <c r="S1283" s="23">
        <f t="shared" si="1019"/>
        <v>-1.5666136199999983</v>
      </c>
      <c r="T1283">
        <f>$S1283+測地線補正!$Q$26*(lattice!$N1283/1000)^3+測地線補正!$P$26*(lattice!$N1283/1000)^2+測地線補正!$O$26*(lattice!$N1283/1000)+測地線補正!$N$26</f>
        <v>-0.14909440736263924</v>
      </c>
      <c r="U1283">
        <f>-ATAN(($P$1285-$P$1283)/ABS($N$1285-$N$1283))</f>
        <v>9.4633526932868975E-5</v>
      </c>
      <c r="V1283">
        <v>0</v>
      </c>
      <c r="W1283">
        <f>ATAN(($M$1285-$M$1283)/ABS($N$1285-$N$1283))</f>
        <v>1.5689461476122498E-4</v>
      </c>
      <c r="X1283" t="s">
        <v>3860</v>
      </c>
      <c r="Y1283">
        <f>_xlfn.XLOOKUP($F1283,設計座標!$E$13:$E$2301,設計座標!$L$13:$L$2301," ",0,1)</f>
        <v>300</v>
      </c>
      <c r="Z1283">
        <f>SQRT(($M$1284-$M$1282)^2+($N$1284-$N$1282)^2)</f>
        <v>358.99068033666441</v>
      </c>
      <c r="AA1283">
        <f>_xlfn.XLOOKUP($G1283,magnet_list!$A$2:$A$592,magnet_list!$AJ$2:$AJ$592,"n/a",0,1)</f>
        <v>0.32714527067797677</v>
      </c>
      <c r="AB1283">
        <f>_xlfn.XLOOKUP($G1283,magnet_list!$A$2:$A$592,magnet_list!$L$2:$L$592,"n/a",0,1)</f>
        <v>120</v>
      </c>
    </row>
    <row r="1284" spans="1:28">
      <c r="A1284" t="s">
        <v>797</v>
      </c>
      <c r="B1284">
        <v>2</v>
      </c>
      <c r="C1284" t="s">
        <v>805</v>
      </c>
      <c r="D1284" t="s">
        <v>1152</v>
      </c>
      <c r="E1284" t="s">
        <v>804</v>
      </c>
      <c r="F1284" t="s">
        <v>715</v>
      </c>
      <c r="G1284" t="s">
        <v>2662</v>
      </c>
      <c r="I1284">
        <f>_xlfn.XLOOKUP($F1284,設計座標!$E$13:$E$2301,設計座標!$G$13:$G$2301,"n/a",0,1)</f>
        <v>346.22872204009889</v>
      </c>
      <c r="J1284">
        <f>_xlfn.XLOOKUP($F1284,設計座標!$E$13:$E$2301,設計座標!$H$13:$H$2301,"n/a",0,1)</f>
        <v>-15000</v>
      </c>
      <c r="K1284">
        <f>_xlfn.XLOOKUP($F1284,設計座標!$E$13:$E$2301,設計座標!$I$13:$I$2301,"n/a",0,1)</f>
        <v>-81766.664574189999</v>
      </c>
      <c r="L1284">
        <f>_xlfn.XLOOKUP($F1284,設計座標!$E$13:$E$2301,設計座標!$J$13:$J$2301,"n/a",0,1)</f>
        <v>75</v>
      </c>
      <c r="M1284" s="2">
        <f t="shared" si="1025"/>
        <v>-14988.635605037516</v>
      </c>
      <c r="N1284" s="2">
        <f t="shared" si="1026"/>
        <v>-81766.664574189999</v>
      </c>
      <c r="O1284" s="23">
        <f t="shared" si="1027"/>
        <v>73.417422740591292</v>
      </c>
      <c r="P1284" s="1">
        <f t="shared" si="1002"/>
        <v>74.838132635814873</v>
      </c>
      <c r="Q1284" s="1">
        <f>(Q$1285-Q$1283)/($N$1285-$N$1283)*($N1284-$N$1283)+Q$1283</f>
        <v>11.364394962483452</v>
      </c>
      <c r="R1284">
        <f t="shared" si="1015"/>
        <v>0</v>
      </c>
      <c r="S1284" s="23">
        <f>(S$1285-S$1283)/($N$1285-$N$1283)*($N1284-$N$1283)+S$1283</f>
        <v>-1.5825772594087049</v>
      </c>
      <c r="T1284">
        <f>$S1284+測地線補正!$Q$26*(lattice!$N1284/1000)^3+測地線補正!$P$26*(lattice!$N1284/1000)^2+測地線補正!$O$26*(lattice!$N1284/1000)+測地線補正!$N$26</f>
        <v>-0.16186736418512937</v>
      </c>
      <c r="U1284">
        <f t="shared" ref="U1284:U1285" si="1031">-ATAN(($P$1285-$P$1283)/ABS($N$1285-$N$1283))</f>
        <v>9.4633526932868975E-5</v>
      </c>
      <c r="V1284">
        <v>0</v>
      </c>
      <c r="W1284">
        <f t="shared" ref="W1284:W1285" si="1032">ATAN(($M$1285-$M$1283)/ABS($N$1285-$N$1283))</f>
        <v>1.5689461476122498E-4</v>
      </c>
      <c r="X1284" t="s">
        <v>3860</v>
      </c>
      <c r="Y1284">
        <f>_xlfn.XLOOKUP($F1284,設計座標!$E$13:$E$2301,設計座標!$L$13:$L$2301," ",0,1)</f>
        <v>300</v>
      </c>
      <c r="Z1284">
        <f>SQRT(($M$1284-$M$1282)^2+($N$1284-$N$1282)^2)</f>
        <v>358.99068033666441</v>
      </c>
      <c r="AA1284">
        <f>_xlfn.XLOOKUP($G1284,magnet_list!$A$2:$A$592,magnet_list!$AJ$2:$AJ$592,"n/a",0,1)</f>
        <v>0.32714527067797677</v>
      </c>
      <c r="AB1284">
        <f>_xlfn.XLOOKUP($G1284,magnet_list!$A$2:$A$592,magnet_list!$L$2:$L$592,"n/a",0,1)</f>
        <v>120</v>
      </c>
    </row>
    <row r="1285" spans="1:28">
      <c r="A1285" t="s">
        <v>797</v>
      </c>
      <c r="B1285">
        <v>2</v>
      </c>
      <c r="C1285" t="s">
        <v>805</v>
      </c>
      <c r="D1285" t="s">
        <v>806</v>
      </c>
      <c r="F1285" t="s">
        <v>341</v>
      </c>
      <c r="G1285" t="s">
        <v>2662</v>
      </c>
      <c r="I1285">
        <f>_xlfn.XLOOKUP($F1285,設計座標!$E$13:$E$2301,設計座標!$G$13:$G$2301,"n/a",0,1)</f>
        <v>346.36371888096892</v>
      </c>
      <c r="J1285">
        <f>_xlfn.XLOOKUP($F1285,設計座標!$E$13:$E$2301,設計座標!$H$13:$H$2301,"n/a",0,1)</f>
        <v>-15000</v>
      </c>
      <c r="K1285">
        <f>_xlfn.XLOOKUP($F1285,設計座標!$E$13:$E$2301,設計座標!$I$13:$I$2301,"n/a",0,1)</f>
        <v>-81901.661415060007</v>
      </c>
      <c r="L1285">
        <f>_xlfn.XLOOKUP($F1285,設計座標!$E$13:$E$2301,設計座標!$J$13:$J$2301,"n/a",0,1)</f>
        <v>75</v>
      </c>
      <c r="M1285" s="2">
        <f>_xlfn.XLOOKUP($F1285,survey_data!$A$2:$A$833,survey_data!$B$2:$B$833,"n/a",0,1)</f>
        <v>-14988.61442476</v>
      </c>
      <c r="N1285" s="2">
        <f>_xlfn.XLOOKUP($F1285,survey_data!$A$2:$A$833,survey_data!$C$2:$C$833,"n/a",0,1)</f>
        <v>-81901.661415060007</v>
      </c>
      <c r="O1285" s="23">
        <f>_xlfn.XLOOKUP($F1285,survey_data!$A$2:$A$833,survey_data!$D$2:$D$833,"n/a",0,1)</f>
        <v>73.401459119999998</v>
      </c>
      <c r="P1285" s="1">
        <f t="shared" si="1002"/>
        <v>74.825355123149407</v>
      </c>
      <c r="Q1285" s="1">
        <f t="shared" si="1018"/>
        <v>11.385575239999525</v>
      </c>
      <c r="R1285">
        <f t="shared" si="1015"/>
        <v>0</v>
      </c>
      <c r="S1285" s="23">
        <f t="shared" si="1019"/>
        <v>-1.5985408800000016</v>
      </c>
      <c r="T1285">
        <f>$S1285+測地線補正!$Q$26*(lattice!$N1285/1000)^3+測地線補正!$P$26*(lattice!$N1285/1000)^2+測地線補正!$O$26*(lattice!$N1285/1000)+測地線補正!$N$26</f>
        <v>-0.17464487685059127</v>
      </c>
      <c r="U1285">
        <f t="shared" si="1031"/>
        <v>9.4633526932868975E-5</v>
      </c>
      <c r="V1285">
        <v>0</v>
      </c>
      <c r="W1285">
        <f t="shared" si="1032"/>
        <v>1.5689461476122498E-4</v>
      </c>
      <c r="X1285" t="s">
        <v>3860</v>
      </c>
      <c r="Y1285">
        <f>_xlfn.XLOOKUP($F1285,設計座標!$E$13:$E$2301,設計座標!$L$13:$L$2301," ",0,1)</f>
        <v>300</v>
      </c>
      <c r="Z1285">
        <f>SQRT(($M$1284-$M$1282)^2+($N$1284-$N$1282)^2)</f>
        <v>358.99068033666441</v>
      </c>
      <c r="AA1285">
        <f>_xlfn.XLOOKUP($G1285,magnet_list!$A$2:$A$592,magnet_list!$AJ$2:$AJ$592,"n/a",0,1)</f>
        <v>0.32714527067797677</v>
      </c>
      <c r="AB1285">
        <f>_xlfn.XLOOKUP($G1285,magnet_list!$A$2:$A$592,magnet_list!$L$2:$L$592,"n/a",0,1)</f>
        <v>120</v>
      </c>
    </row>
    <row r="1286" spans="1:28">
      <c r="A1286" t="s">
        <v>797</v>
      </c>
      <c r="B1286">
        <v>2</v>
      </c>
      <c r="C1286" t="s">
        <v>804</v>
      </c>
      <c r="D1286" t="s">
        <v>1152</v>
      </c>
      <c r="E1286" t="s">
        <v>804</v>
      </c>
      <c r="F1286" t="s">
        <v>1250</v>
      </c>
      <c r="G1286" t="s">
        <v>2661</v>
      </c>
      <c r="I1286">
        <f>_xlfn.XLOOKUP($F1286,設計座標!$E$13:$E$2301,設計座標!$G$13:$G$2301,"n/a",0,1)</f>
        <v>346.644215161369</v>
      </c>
      <c r="J1286">
        <f>_xlfn.XLOOKUP($F1286,設計座標!$E$13:$E$2301,設計座標!$H$13:$H$2301,"n/a",0,1)</f>
        <v>-15000</v>
      </c>
      <c r="K1286">
        <f>_xlfn.XLOOKUP($F1286,設計座標!$E$13:$E$2301,設計座標!$I$13:$I$2301,"n/a",0,1)</f>
        <v>-82182.15769546006</v>
      </c>
      <c r="L1286">
        <f>_xlfn.XLOOKUP($F1286,設計座標!$E$13:$E$2301,設計座標!$J$13:$J$2301,"n/a",0,1)</f>
        <v>-270</v>
      </c>
      <c r="M1286" s="2">
        <f t="shared" si="1025"/>
        <v>-14988.580620478377</v>
      </c>
      <c r="N1286" s="2">
        <f t="shared" si="1026"/>
        <v>-82182.15769546006</v>
      </c>
      <c r="O1286" s="23">
        <f t="shared" si="1027"/>
        <v>-271.68456283556247</v>
      </c>
      <c r="P1286" s="1">
        <f t="shared" si="1002"/>
        <v>-270.25406134788057</v>
      </c>
      <c r="Q1286" s="1">
        <f>(Q$1287-Q$1285)/($N$1287-$N$1285)*($N1286-$N$1285)+Q$1285</f>
        <v>11.419379521623435</v>
      </c>
      <c r="R1286">
        <f t="shared" si="1015"/>
        <v>0</v>
      </c>
      <c r="S1286" s="23">
        <f>(S$1287-S$1285)/($N$1287-$N$1285)*($N1286-$N$1285)+S$1285</f>
        <v>-1.6845628355624986</v>
      </c>
      <c r="T1286">
        <f>$S1286+測地線補正!$Q$26*(lattice!$N1286/1000)^3+測地線補正!$P$26*(lattice!$N1286/1000)^2+測地線補正!$O$26*(lattice!$N1286/1000)+測地線補正!$N$26</f>
        <v>-0.25406134788057488</v>
      </c>
      <c r="U1286">
        <f>-ATAN(($P$1290-$P$1281)/ABS($N$1290-$N$1281))</f>
        <v>2.5289100016695068E-7</v>
      </c>
      <c r="V1286">
        <v>0</v>
      </c>
      <c r="W1286">
        <f>ATAN(($M$1290-$M$1281)/ABS($N$1290-$N$1281))</f>
        <v>2.1534475124409077E-4</v>
      </c>
      <c r="X1286" t="s">
        <v>3860</v>
      </c>
      <c r="Y1286">
        <f>_xlfn.XLOOKUP($F1286,設計座標!$E$13:$E$2301,設計座標!$L$13:$L$2301," ",0,1)</f>
        <v>1889.4492</v>
      </c>
      <c r="Z1286">
        <f>SQRT(($M$1286-$M$1284)^2+($N$1286-$N$1284)^2)</f>
        <v>415.49312490827037</v>
      </c>
    </row>
    <row r="1287" spans="1:28">
      <c r="A1287" t="s">
        <v>797</v>
      </c>
      <c r="B1287">
        <v>2</v>
      </c>
      <c r="C1287" t="s">
        <v>805</v>
      </c>
      <c r="D1287" t="s">
        <v>806</v>
      </c>
      <c r="F1287" t="s">
        <v>342</v>
      </c>
      <c r="G1287" t="s">
        <v>2663</v>
      </c>
      <c r="I1287">
        <f>_xlfn.XLOOKUP($F1287,設計座標!$E$13:$E$2301,設計座標!$G$13:$G$2301,"n/a",0,1)</f>
        <v>346.90376439860898</v>
      </c>
      <c r="J1287">
        <f>_xlfn.XLOOKUP($F1287,設計座標!$E$13:$E$2301,設計座標!$H$13:$H$2301,"n/a",0,1)</f>
        <v>-15000</v>
      </c>
      <c r="K1287">
        <f>_xlfn.XLOOKUP($F1287,設計座標!$E$13:$E$2301,設計座標!$I$13:$I$2301,"n/a",0,1)</f>
        <v>-82441.706932700006</v>
      </c>
      <c r="L1287">
        <f>_xlfn.XLOOKUP($F1287,設計座標!$E$13:$E$2301,設計座標!$J$13:$J$2301,"n/a",0,1)</f>
        <v>75</v>
      </c>
      <c r="M1287" s="2">
        <f>_xlfn.XLOOKUP($F1287,survey_data!$A$2:$A$833,survey_data!$B$2:$B$833,"n/a",0,1)</f>
        <v>-14988.549340650001</v>
      </c>
      <c r="N1287" s="2">
        <f>_xlfn.XLOOKUP($F1287,survey_data!$A$2:$A$833,survey_data!$C$2:$C$833,"n/a",0,1)</f>
        <v>-82441.706932700006</v>
      </c>
      <c r="O1287" s="23">
        <f>_xlfn.XLOOKUP($F1287,survey_data!$A$2:$A$833,survey_data!$D$2:$D$833,"n/a",0,1)</f>
        <v>73.235839200000001</v>
      </c>
      <c r="P1287" s="1">
        <f t="shared" si="1002"/>
        <v>74.672435329608859</v>
      </c>
      <c r="Q1287" s="1">
        <f t="shared" si="1018"/>
        <v>11.450659349999114</v>
      </c>
      <c r="R1287">
        <f t="shared" si="1015"/>
        <v>0</v>
      </c>
      <c r="S1287" s="23">
        <f t="shared" si="1019"/>
        <v>-1.7641607999999991</v>
      </c>
      <c r="T1287">
        <f>$S1287+測地線補正!$Q$26*(lattice!$N1287/1000)^3+測地線補正!$P$26*(lattice!$N1287/1000)^2+測地線補正!$O$26*(lattice!$N1287/1000)+測地線補正!$N$26</f>
        <v>-0.32756467039114168</v>
      </c>
      <c r="U1287">
        <f>-ATAN(($P$1289-$P$1287)/ABS($N$1289-$N$1287))</f>
        <v>-1.4674828754910214E-4</v>
      </c>
      <c r="V1287">
        <v>0</v>
      </c>
      <c r="W1287">
        <f>ATAN(($M$1289-$M$1287)/ABS($N$1289-$N$1287))</f>
        <v>4.3114733082091981E-4</v>
      </c>
      <c r="X1287" t="s">
        <v>3860</v>
      </c>
      <c r="Y1287">
        <f>_xlfn.XLOOKUP($F1287,設計座標!$E$13:$E$2301,設計座標!$L$13:$L$2301," ",0,1)</f>
        <v>300</v>
      </c>
      <c r="Z1287">
        <f>SQRT(($M$1288-$M$1286)^2+($N$1288-$N$1286)^2)</f>
        <v>394.54274738716435</v>
      </c>
      <c r="AA1287">
        <f>_xlfn.XLOOKUP($G1287,magnet_list!$A$2:$A$592,magnet_list!$AJ$2:$AJ$592,"n/a",0,1)</f>
        <v>0.32714527067797677</v>
      </c>
      <c r="AB1287">
        <f>_xlfn.XLOOKUP($G1287,magnet_list!$A$2:$A$592,magnet_list!$L$2:$L$592,"n/a",0,1)</f>
        <v>120</v>
      </c>
    </row>
    <row r="1288" spans="1:28">
      <c r="A1288" t="s">
        <v>797</v>
      </c>
      <c r="B1288">
        <v>2</v>
      </c>
      <c r="C1288" t="s">
        <v>805</v>
      </c>
      <c r="D1288" t="s">
        <v>1152</v>
      </c>
      <c r="E1288" t="s">
        <v>804</v>
      </c>
      <c r="F1288" t="s">
        <v>716</v>
      </c>
      <c r="G1288" t="s">
        <v>2663</v>
      </c>
      <c r="I1288">
        <f>_xlfn.XLOOKUP($F1288,設計座標!$E$13:$E$2301,設計座標!$G$13:$G$2301,"n/a",0,1)</f>
        <v>347.03875789860899</v>
      </c>
      <c r="J1288">
        <f>_xlfn.XLOOKUP($F1288,設計座標!$E$13:$E$2301,設計座標!$H$13:$H$2301,"n/a",0,1)</f>
        <v>-15000</v>
      </c>
      <c r="K1288">
        <f>_xlfn.XLOOKUP($F1288,設計座標!$E$13:$E$2301,設計座標!$I$13:$I$2301,"n/a",0,1)</f>
        <v>-82576.700432700018</v>
      </c>
      <c r="L1288">
        <f>_xlfn.XLOOKUP($F1288,設計座標!$E$13:$E$2301,設計座標!$J$13:$J$2301,"n/a",0,1)</f>
        <v>75</v>
      </c>
      <c r="M1288" s="2">
        <f t="shared" si="1025"/>
        <v>-14988.491138559191</v>
      </c>
      <c r="N1288" s="2">
        <f t="shared" si="1026"/>
        <v>-82576.700432700018</v>
      </c>
      <c r="O1288" s="23">
        <f t="shared" si="1027"/>
        <v>73.252488340698662</v>
      </c>
      <c r="P1288" s="1">
        <f t="shared" si="1002"/>
        <v>74.692247673600264</v>
      </c>
      <c r="Q1288" s="1">
        <f>(Q$1289-Q$1287)/($N$1289-$N$1287)*($N1288-$N$1287)+Q$1287</f>
        <v>11.50886144080865</v>
      </c>
      <c r="R1288">
        <f t="shared" si="1015"/>
        <v>0</v>
      </c>
      <c r="S1288" s="23">
        <f>(S$1289-S$1287)/($N$1289-$N$1287)*($N1288-$N$1287)+S$1287</f>
        <v>-1.7475116593013331</v>
      </c>
      <c r="T1288">
        <f>$S1288+測地線補正!$Q$26*(lattice!$N1288/1000)^3+測地線補正!$P$26*(lattice!$N1288/1000)^2+測地線補正!$O$26*(lattice!$N1288/1000)+測地線補正!$N$26</f>
        <v>-0.30775232639973926</v>
      </c>
      <c r="U1288">
        <f t="shared" ref="U1288:U1289" si="1033">-ATAN(($P$1289-$P$1287)/ABS($N$1289-$N$1287))</f>
        <v>-1.4674828754910214E-4</v>
      </c>
      <c r="V1288">
        <v>0</v>
      </c>
      <c r="W1288">
        <f t="shared" ref="W1288:W1289" si="1034">ATAN(($M$1289-$M$1287)/ABS($N$1289-$N$1287))</f>
        <v>4.3114733082091981E-4</v>
      </c>
      <c r="X1288" t="s">
        <v>3860</v>
      </c>
      <c r="Y1288">
        <f>_xlfn.XLOOKUP($F1288,設計座標!$E$13:$E$2301,設計座標!$L$13:$L$2301," ",0,1)</f>
        <v>300</v>
      </c>
      <c r="Z1288">
        <f>SQRT(($M$1288-$M$1286)^2+($N$1288-$N$1286)^2)</f>
        <v>394.54274738716435</v>
      </c>
      <c r="AA1288">
        <f>_xlfn.XLOOKUP($G1288,magnet_list!$A$2:$A$592,magnet_list!$AJ$2:$AJ$592,"n/a",0,1)</f>
        <v>0.32714527067797677</v>
      </c>
      <c r="AB1288">
        <f>_xlfn.XLOOKUP($G1288,magnet_list!$A$2:$A$592,magnet_list!$L$2:$L$592,"n/a",0,1)</f>
        <v>120</v>
      </c>
    </row>
    <row r="1289" spans="1:28">
      <c r="A1289" t="s">
        <v>797</v>
      </c>
      <c r="B1289">
        <v>2</v>
      </c>
      <c r="C1289" t="s">
        <v>805</v>
      </c>
      <c r="D1289" t="s">
        <v>806</v>
      </c>
      <c r="F1289" t="s">
        <v>343</v>
      </c>
      <c r="G1289" t="s">
        <v>2663</v>
      </c>
      <c r="I1289">
        <f>_xlfn.XLOOKUP($F1289,設計座標!$E$13:$E$2301,設計座標!$G$13:$G$2301,"n/a",0,1)</f>
        <v>347.17372576556897</v>
      </c>
      <c r="J1289">
        <f>_xlfn.XLOOKUP($F1289,設計座標!$E$13:$E$2301,設計座標!$H$13:$H$2301,"n/a",0,1)</f>
        <v>-15000</v>
      </c>
      <c r="K1289">
        <f>_xlfn.XLOOKUP($F1289,設計座標!$E$13:$E$2301,設計座標!$I$13:$I$2301,"n/a",0,1)</f>
        <v>-82711.668299659999</v>
      </c>
      <c r="L1289">
        <f>_xlfn.XLOOKUP($F1289,設計座標!$E$13:$E$2301,設計座標!$J$13:$J$2301,"n/a",0,1)</f>
        <v>75</v>
      </c>
      <c r="M1289" s="2">
        <f>_xlfn.XLOOKUP($F1289,survey_data!$A$2:$A$833,survey_data!$B$2:$B$833,"n/a",0,1)</f>
        <v>-14988.432947519999</v>
      </c>
      <c r="N1289" s="2">
        <f>_xlfn.XLOOKUP($F1289,survey_data!$A$2:$A$833,survey_data!$C$2:$C$833,"n/a",0,1)</f>
        <v>-82711.668299659999</v>
      </c>
      <c r="O1289" s="23">
        <f>_xlfn.XLOOKUP($F1289,survey_data!$A$2:$A$833,survey_data!$D$2:$D$833,"n/a",0,1)</f>
        <v>73.269134320000006</v>
      </c>
      <c r="P1289" s="1">
        <f t="shared" si="1002"/>
        <v>74.712051698199033</v>
      </c>
      <c r="Q1289" s="1">
        <f t="shared" si="1018"/>
        <v>11.567052480000712</v>
      </c>
      <c r="R1289">
        <f t="shared" si="1015"/>
        <v>0</v>
      </c>
      <c r="S1289" s="23">
        <f t="shared" si="1019"/>
        <v>-1.7308656799999937</v>
      </c>
      <c r="T1289">
        <f>$S1289+測地線補正!$Q$26*(lattice!$N1289/1000)^3+測地線補正!$P$26*(lattice!$N1289/1000)^2+測地線補正!$O$26*(lattice!$N1289/1000)+測地線補正!$N$26</f>
        <v>-0.28794830180096009</v>
      </c>
      <c r="U1289">
        <f t="shared" si="1033"/>
        <v>-1.4674828754910214E-4</v>
      </c>
      <c r="V1289">
        <v>0</v>
      </c>
      <c r="W1289">
        <f t="shared" si="1034"/>
        <v>4.3114733082091981E-4</v>
      </c>
      <c r="X1289" t="s">
        <v>3860</v>
      </c>
      <c r="Y1289">
        <f>_xlfn.XLOOKUP($F1289,設計座標!$E$13:$E$2301,設計座標!$L$13:$L$2301," ",0,1)</f>
        <v>300</v>
      </c>
      <c r="Z1289">
        <f>SQRT(($M$1288-$M$1286)^2+($N$1288-$N$1286)^2)</f>
        <v>394.54274738716435</v>
      </c>
      <c r="AA1289">
        <f>_xlfn.XLOOKUP($G1289,magnet_list!$A$2:$A$592,magnet_list!$AJ$2:$AJ$592,"n/a",0,1)</f>
        <v>0.32714527067797677</v>
      </c>
      <c r="AB1289">
        <f>_xlfn.XLOOKUP($G1289,magnet_list!$A$2:$A$592,magnet_list!$L$2:$L$592,"n/a",0,1)</f>
        <v>120</v>
      </c>
    </row>
    <row r="1290" spans="1:28">
      <c r="A1290" t="s">
        <v>797</v>
      </c>
      <c r="B1290">
        <v>2</v>
      </c>
      <c r="C1290" t="s">
        <v>804</v>
      </c>
      <c r="D1290" t="s">
        <v>1152</v>
      </c>
      <c r="E1290" t="s">
        <v>804</v>
      </c>
      <c r="F1290" t="s">
        <v>1617</v>
      </c>
      <c r="G1290" t="s">
        <v>2661</v>
      </c>
      <c r="I1290">
        <f>_xlfn.XLOOKUP($F1290,設計座標!$E$13:$E$2301,設計座標!$G$13:$G$2301,"n/a",0,1)</f>
        <v>347.58893976136903</v>
      </c>
      <c r="J1290">
        <f>_xlfn.XLOOKUP($F1290,設計座標!$E$13:$E$2301,設計座標!$H$13:$H$2301,"n/a",0,1)</f>
        <v>-15000</v>
      </c>
      <c r="K1290">
        <f>_xlfn.XLOOKUP($F1290,設計座標!$E$13:$E$2301,設計座標!$I$13:$I$2301,"n/a",0,1)</f>
        <v>-83126.882295460062</v>
      </c>
      <c r="L1290">
        <f>_xlfn.XLOOKUP($F1290,設計座標!$E$13:$E$2301,設計座標!$J$13:$J$2301,"n/a",0,1)</f>
        <v>-270</v>
      </c>
      <c r="M1290" s="2">
        <f t="shared" si="1025"/>
        <v>-14988.386008988658</v>
      </c>
      <c r="N1290" s="2">
        <f t="shared" si="1026"/>
        <v>-83126.882295460062</v>
      </c>
      <c r="O1290" s="23">
        <f t="shared" si="1027"/>
        <v>-271.77848612269509</v>
      </c>
      <c r="P1290" s="1">
        <f t="shared" si="1002"/>
        <v>-270.32588191283281</v>
      </c>
      <c r="Q1290" s="1">
        <f>(Q$1292-Q$1289)/($N$1292-$N$1289)*($N1290-$N$1289)+Q$1289</f>
        <v>11.613991011342442</v>
      </c>
      <c r="R1290">
        <f t="shared" si="1015"/>
        <v>0</v>
      </c>
      <c r="S1290" s="23">
        <f t="shared" ref="S1290:S1291" si="1035">(S$1292-S$1289)/($N$1292-$N$1289)*($N1290-$N$1289)+S$1289</f>
        <v>-1.7784861226950617</v>
      </c>
      <c r="T1290">
        <f>$S1290+測地線補正!$Q$26*(lattice!$N1290/1000)^3+測地線補正!$P$26*(lattice!$N1290/1000)^2+測地線補正!$O$26*(lattice!$N1290/1000)+測地線補正!$N$26</f>
        <v>-0.32588191283279921</v>
      </c>
      <c r="U1290">
        <f>-ATAN(($P$1290-$P$1281)/ABS($N$1290-$N$1281))</f>
        <v>2.5289100016695068E-7</v>
      </c>
      <c r="V1290">
        <v>0</v>
      </c>
      <c r="W1290">
        <f>ATAN(($M$1290-$M$1281)/ABS($N$1290-$N$1281))</f>
        <v>2.1534475124409077E-4</v>
      </c>
      <c r="X1290" t="s">
        <v>3860</v>
      </c>
      <c r="Y1290">
        <f>_xlfn.XLOOKUP($F1290,設計座標!$E$13:$E$2301,設計座標!$L$13:$L$2301," ",0,1)</f>
        <v>1889.4492</v>
      </c>
      <c r="Z1290">
        <f>SQRT(($M$1286-$M$1284)^2+($N$1286-$N$1284)^2)</f>
        <v>415.49312490827037</v>
      </c>
    </row>
    <row r="1291" spans="1:28">
      <c r="A1291" t="s">
        <v>797</v>
      </c>
      <c r="B1291">
        <v>2</v>
      </c>
      <c r="C1291" t="s">
        <v>1152</v>
      </c>
      <c r="D1291" t="s">
        <v>1152</v>
      </c>
      <c r="E1291" t="s">
        <v>804</v>
      </c>
      <c r="F1291" t="s">
        <v>2092</v>
      </c>
      <c r="G1291" t="s">
        <v>2092</v>
      </c>
      <c r="I1291">
        <f>_xlfn.XLOOKUP($F1291,設計座標!$E$13:$E$2301,設計座標!$G$13:$G$2301,"n/a",0,1)</f>
        <v>347.71894026136903</v>
      </c>
      <c r="J1291">
        <f>_xlfn.XLOOKUP($F1291,設計座標!$E$13:$E$2301,設計座標!$H$13:$H$2301,"n/a",0,1)</f>
        <v>-15000</v>
      </c>
      <c r="K1291">
        <f>_xlfn.XLOOKUP($F1291,設計座標!$E$13:$E$2301,設計座標!$I$13:$I$2301,"n/a",0,1)</f>
        <v>-83256.882795460057</v>
      </c>
      <c r="L1291">
        <f>_xlfn.XLOOKUP($F1291,設計座標!$E$13:$E$2301,設計座標!$J$13:$J$2301,"n/a",0,1)</f>
        <v>-270</v>
      </c>
      <c r="M1291" s="2">
        <f t="shared" si="1025"/>
        <v>-14988.371312873869</v>
      </c>
      <c r="N1291" s="2">
        <f t="shared" si="1026"/>
        <v>-83256.882795460057</v>
      </c>
      <c r="O1291" s="23">
        <f t="shared" si="1027"/>
        <v>-271.79339573899699</v>
      </c>
      <c r="P1291" s="1">
        <f t="shared" si="1002"/>
        <v>-270.33776750434549</v>
      </c>
      <c r="Q1291" s="1">
        <f>(Q$1292-Q$1289)/($N$1292-$N$1289)*($N1291-$N$1289)+Q$1289</f>
        <v>11.62868712613003</v>
      </c>
      <c r="R1291">
        <f t="shared" si="1015"/>
        <v>0</v>
      </c>
      <c r="S1291" s="23">
        <f t="shared" si="1035"/>
        <v>-1.7933957389970152</v>
      </c>
      <c r="T1291">
        <f>$S1291+測地線補正!$Q$26*(lattice!$N1291/1000)^3+測地線補正!$P$26*(lattice!$N1291/1000)^2+測地線補正!$O$26*(lattice!$N1291/1000)+測地線補正!$N$26</f>
        <v>-0.33776750434548375</v>
      </c>
      <c r="U1291">
        <v>0</v>
      </c>
      <c r="V1291">
        <v>0</v>
      </c>
      <c r="W1291">
        <v>0</v>
      </c>
      <c r="X1291">
        <f>SQRT(($M$1291-$M$1290)^2+($N$1291-$N$1290)^2)</f>
        <v>130.00050083066756</v>
      </c>
      <c r="Y1291">
        <f>_xlfn.XLOOKUP($F1291,設計座標!$E$13:$E$2301,設計座標!$L$13:$L$2301," ",0,1)</f>
        <v>0</v>
      </c>
      <c r="Z1291">
        <f>SQRT(($M$1291-$M$1288)^2+($N$1291-$N$1288)^2)</f>
        <v>680.18237331470436</v>
      </c>
    </row>
    <row r="1292" spans="1:28">
      <c r="A1292" t="s">
        <v>797</v>
      </c>
      <c r="B1292">
        <v>2</v>
      </c>
      <c r="C1292" t="s">
        <v>805</v>
      </c>
      <c r="D1292" t="s">
        <v>806</v>
      </c>
      <c r="F1292" t="s">
        <v>344</v>
      </c>
      <c r="G1292" t="s">
        <v>2664</v>
      </c>
      <c r="I1292">
        <f>_xlfn.XLOOKUP($F1292,設計座標!$E$13:$E$2301,設計座標!$G$13:$G$2301,"n/a",0,1)</f>
        <v>347.77838516063895</v>
      </c>
      <c r="J1292">
        <f>_xlfn.XLOOKUP($F1292,設計座標!$E$13:$E$2301,設計座標!$H$13:$H$2301,"n/a",0,1)</f>
        <v>-15000</v>
      </c>
      <c r="K1292">
        <f>_xlfn.XLOOKUP($F1292,設計座標!$E$13:$E$2301,設計座標!$I$13:$I$2301,"n/a",0,1)</f>
        <v>-83316.327694730004</v>
      </c>
      <c r="L1292">
        <f>_xlfn.XLOOKUP($F1292,設計座標!$E$13:$E$2301,設計座標!$J$13:$J$2301,"n/a",0,1)</f>
        <v>90</v>
      </c>
      <c r="M1292" s="2">
        <f>_xlfn.XLOOKUP($F1292,survey_data!$A$2:$A$833,survey_data!$B$2:$B$833,"n/a",0,1)</f>
        <v>-14988.364592829999</v>
      </c>
      <c r="N1292" s="2">
        <f>_xlfn.XLOOKUP($F1292,survey_data!$A$2:$A$833,survey_data!$C$2:$C$833,"n/a",0,1)</f>
        <v>-83316.327694730004</v>
      </c>
      <c r="O1292" s="23">
        <f>_xlfn.XLOOKUP($F1292,survey_data!$A$2:$A$833,survey_data!$D$2:$D$833,"n/a",0,1)</f>
        <v>88.199786590000002</v>
      </c>
      <c r="P1292" s="1">
        <f t="shared" si="1002"/>
        <v>89.656796204915764</v>
      </c>
      <c r="Q1292" s="1">
        <f t="shared" si="1018"/>
        <v>11.63540717000069</v>
      </c>
      <c r="R1292">
        <f t="shared" si="1015"/>
        <v>0</v>
      </c>
      <c r="S1292" s="23">
        <f t="shared" si="1019"/>
        <v>-1.8002134099999978</v>
      </c>
      <c r="T1292">
        <f>$S1292+測地線補正!$Q$26*(lattice!$N1292/1000)^3+測地線補正!$P$26*(lattice!$N1292/1000)^2+測地線補正!$O$26*(lattice!$N1292/1000)+測地線補正!$N$26</f>
        <v>-0.34320379508423637</v>
      </c>
      <c r="U1292">
        <f>-ATAN(($P$1294-$P$1292)/ABS($N$1294-$N$1292))</f>
        <v>-8.0961430876422074E-4</v>
      </c>
      <c r="V1292">
        <v>0</v>
      </c>
      <c r="W1292">
        <f>ATAN(($M$1294-$M$1292)/ABS($N$1294-$N$1292))</f>
        <v>-1.9402386034579768E-4</v>
      </c>
      <c r="X1292">
        <f>$Z$1293-($Y$1293+$Y$1291)/2</f>
        <v>49.453899451878897</v>
      </c>
      <c r="Y1292">
        <f>_xlfn.XLOOKUP($F1292,設計座標!$E$13:$E$2301,設計座標!$L$13:$L$2301," ",0,1)</f>
        <v>160</v>
      </c>
      <c r="Z1292">
        <f>SQRT(($M$1293-$M$1291)^2+($N$1293-$N$1291)^2)</f>
        <v>129.4538994518789</v>
      </c>
      <c r="AA1292">
        <f>_xlfn.XLOOKUP($G1292,magnet_list!$A$2:$A$592,magnet_list!$AJ$2:$AJ$592,"n/a",0,1)</f>
        <v>0.17374887133613809</v>
      </c>
      <c r="AB1292">
        <f>_xlfn.XLOOKUP($G1292,magnet_list!$A$2:$A$592,magnet_list!$L$2:$L$592,"n/a",0,1)</f>
        <v>44</v>
      </c>
    </row>
    <row r="1293" spans="1:28">
      <c r="A1293" t="s">
        <v>797</v>
      </c>
      <c r="B1293">
        <v>2</v>
      </c>
      <c r="C1293" t="s">
        <v>805</v>
      </c>
      <c r="D1293" t="s">
        <v>1152</v>
      </c>
      <c r="E1293" t="s">
        <v>804</v>
      </c>
      <c r="F1293" t="s">
        <v>717</v>
      </c>
      <c r="G1293" t="s">
        <v>2664</v>
      </c>
      <c r="I1293">
        <f>_xlfn.XLOOKUP($F1293,設計座標!$E$13:$E$2301,設計座標!$G$13:$G$2301,"n/a",0,1)</f>
        <v>347.84839416063892</v>
      </c>
      <c r="J1293">
        <f>_xlfn.XLOOKUP($F1293,設計座標!$E$13:$E$2301,設計座標!$H$13:$H$2301,"n/a",0,1)</f>
        <v>-15000</v>
      </c>
      <c r="K1293">
        <f>_xlfn.XLOOKUP($F1293,設計座標!$E$13:$E$2301,設計座標!$I$13:$I$2301,"n/a",0,1)</f>
        <v>-83386.336694729995</v>
      </c>
      <c r="L1293">
        <f>_xlfn.XLOOKUP($F1293,設計座標!$E$13:$E$2301,設計座標!$J$13:$J$2301,"n/a",0,1)</f>
        <v>90</v>
      </c>
      <c r="M1293" s="2">
        <f t="shared" si="1025"/>
        <v>-14988.378176246608</v>
      </c>
      <c r="N1293" s="2">
        <f t="shared" si="1026"/>
        <v>-83386.336694729995</v>
      </c>
      <c r="O1293" s="23">
        <f t="shared" si="1027"/>
        <v>88.254841763818675</v>
      </c>
      <c r="P1293" s="1">
        <f t="shared" si="1002"/>
        <v>89.713477116684714</v>
      </c>
      <c r="Q1293" s="1">
        <f>(Q$1294-Q$1292)/($N$1294-$N$1292)*($N1293-$N$1292)+Q$1292</f>
        <v>11.621823753391292</v>
      </c>
      <c r="R1293">
        <f t="shared" si="1015"/>
        <v>0</v>
      </c>
      <c r="S1293" s="23">
        <f>(S$1294-S$1292)/($N$1294-$N$1292)*($N1293-$N$1292)+S$1292</f>
        <v>-1.7451582361813205</v>
      </c>
      <c r="T1293">
        <f>$S1293+測地線補正!$Q$26*(lattice!$N1293/1000)^3+測地線補正!$P$26*(lattice!$N1293/1000)^2+測地線補正!$O$26*(lattice!$N1293/1000)+測地線補正!$N$26</f>
        <v>-0.2865228833152893</v>
      </c>
      <c r="U1293">
        <f t="shared" ref="U1293:U1294" si="1036">-ATAN(($P$1294-$P$1292)/ABS($N$1294-$N$1292))</f>
        <v>-8.0961430876422074E-4</v>
      </c>
      <c r="V1293">
        <v>0</v>
      </c>
      <c r="W1293">
        <f t="shared" ref="W1293:W1294" si="1037">ATAN(($M$1294-$M$1292)/ABS($N$1294-$N$1292))</f>
        <v>-1.9402386034579768E-4</v>
      </c>
      <c r="X1293">
        <f>$Z$1293-($Y$1293+$Y$1291)/2</f>
        <v>49.453899451878897</v>
      </c>
      <c r="Y1293">
        <f>_xlfn.XLOOKUP($F1293,設計座標!$E$13:$E$2301,設計座標!$L$13:$L$2301," ",0,1)</f>
        <v>160</v>
      </c>
      <c r="Z1293">
        <f>SQRT(($M$1293-$M$1291)^2+($N$1293-$N$1291)^2)</f>
        <v>129.4538994518789</v>
      </c>
      <c r="AA1293">
        <f>_xlfn.XLOOKUP($G1293,magnet_list!$A$2:$A$592,magnet_list!$AJ$2:$AJ$592,"n/a",0,1)</f>
        <v>0.17374887133613809</v>
      </c>
      <c r="AB1293">
        <f>_xlfn.XLOOKUP($G1293,magnet_list!$A$2:$A$592,magnet_list!$L$2:$L$592,"n/a",0,1)</f>
        <v>44</v>
      </c>
    </row>
    <row r="1294" spans="1:28">
      <c r="A1294" t="s">
        <v>797</v>
      </c>
      <c r="B1294">
        <v>2</v>
      </c>
      <c r="C1294" t="s">
        <v>805</v>
      </c>
      <c r="D1294" t="s">
        <v>806</v>
      </c>
      <c r="F1294" t="s">
        <v>345</v>
      </c>
      <c r="G1294" t="s">
        <v>2664</v>
      </c>
      <c r="I1294">
        <f>_xlfn.XLOOKUP($F1294,設計座標!$E$13:$E$2301,設計座標!$G$13:$G$2301,"n/a",0,1)</f>
        <v>347.91838232186893</v>
      </c>
      <c r="J1294">
        <f>_xlfn.XLOOKUP($F1294,設計座標!$E$13:$E$2301,設計座標!$H$13:$H$2301,"n/a",0,1)</f>
        <v>-15000</v>
      </c>
      <c r="K1294">
        <f>_xlfn.XLOOKUP($F1294,設計座標!$E$13:$E$2301,設計座標!$I$13:$I$2301,"n/a",0,1)</f>
        <v>-83456.324855960003</v>
      </c>
      <c r="L1294">
        <f>_xlfn.XLOOKUP($F1294,設計座標!$E$13:$E$2301,設計座標!$J$13:$J$2301,"n/a",0,1)</f>
        <v>90</v>
      </c>
      <c r="M1294" s="2">
        <f>_xlfn.XLOOKUP($F1294,survey_data!$A$2:$A$833,survey_data!$B$2:$B$833,"n/a",0,1)</f>
        <v>-14988.391755619999</v>
      </c>
      <c r="N1294" s="2">
        <f>_xlfn.XLOOKUP($F1294,survey_data!$A$2:$A$833,survey_data!$C$2:$C$833,"n/a",0,1)</f>
        <v>-83456.324855960003</v>
      </c>
      <c r="O1294" s="23">
        <f>_xlfn.XLOOKUP($F1294,survey_data!$A$2:$A$833,survey_data!$D$2:$D$833,"n/a",0,1)</f>
        <v>88.309880550000003</v>
      </c>
      <c r="P1294" s="1">
        <f t="shared" si="1002"/>
        <v>89.770139934598618</v>
      </c>
      <c r="Q1294" s="1">
        <f t="shared" si="1018"/>
        <v>11.608244380000542</v>
      </c>
      <c r="R1294">
        <f t="shared" si="1015"/>
        <v>0</v>
      </c>
      <c r="S1294" s="23">
        <f t="shared" si="1019"/>
        <v>-1.6901194499999974</v>
      </c>
      <c r="T1294">
        <f>$S1294+測地線補正!$Q$26*(lattice!$N1294/1000)^3+測地線補正!$P$26*(lattice!$N1294/1000)^2+測地線補正!$O$26*(lattice!$N1294/1000)+測地線補正!$N$26</f>
        <v>-0.2298600654013756</v>
      </c>
      <c r="U1294">
        <f t="shared" si="1036"/>
        <v>-8.0961430876422074E-4</v>
      </c>
      <c r="V1294">
        <v>0</v>
      </c>
      <c r="W1294">
        <f t="shared" si="1037"/>
        <v>-1.9402386034579768E-4</v>
      </c>
      <c r="X1294">
        <f>$Z$1293-($Y$1293+$Y$1291)/2</f>
        <v>49.453899451878897</v>
      </c>
      <c r="Y1294">
        <f>_xlfn.XLOOKUP($F1294,設計座標!$E$13:$E$2301,設計座標!$L$13:$L$2301," ",0,1)</f>
        <v>160</v>
      </c>
      <c r="Z1294">
        <f>SQRT(($M$1293-$M$1291)^2+($N$1293-$N$1291)^2)</f>
        <v>129.4538994518789</v>
      </c>
      <c r="AA1294">
        <f>_xlfn.XLOOKUP($G1294,magnet_list!$A$2:$A$592,magnet_list!$AJ$2:$AJ$592,"n/a",0,1)</f>
        <v>0.17374887133613809</v>
      </c>
      <c r="AB1294">
        <f>_xlfn.XLOOKUP($G1294,magnet_list!$A$2:$A$592,magnet_list!$L$2:$L$592,"n/a",0,1)</f>
        <v>44</v>
      </c>
    </row>
    <row r="1295" spans="1:28">
      <c r="A1295" t="s">
        <v>797</v>
      </c>
      <c r="B1295">
        <v>2</v>
      </c>
      <c r="C1295" t="s">
        <v>804</v>
      </c>
      <c r="D1295" t="s">
        <v>1152</v>
      </c>
      <c r="E1295" t="s">
        <v>804</v>
      </c>
      <c r="F1295" t="s">
        <v>1618</v>
      </c>
      <c r="G1295" t="s">
        <v>2665</v>
      </c>
      <c r="I1295">
        <f>_xlfn.XLOOKUP($F1295,設計座標!$E$13:$E$2301,設計座標!$G$13:$G$2301,"n/a",0,1)</f>
        <v>348.16627086136901</v>
      </c>
      <c r="J1295">
        <f>_xlfn.XLOOKUP($F1295,設計座標!$E$13:$E$2301,設計座標!$H$13:$H$2301,"n/a",0,1)</f>
        <v>-15000</v>
      </c>
      <c r="K1295">
        <f>_xlfn.XLOOKUP($F1295,設計座標!$E$13:$E$2301,設計座標!$I$13:$I$2301,"n/a",0,1)</f>
        <v>-83704.213395460058</v>
      </c>
      <c r="L1295">
        <f>_xlfn.XLOOKUP($F1295,設計座標!$E$13:$E$2301,設計座標!$J$13:$J$2301,"n/a",0,1)</f>
        <v>-270</v>
      </c>
      <c r="M1295" s="2">
        <f t="shared" si="1025"/>
        <v>-14988.324125550114</v>
      </c>
      <c r="N1295" s="2">
        <f t="shared" si="1026"/>
        <v>-83704.213395460058</v>
      </c>
      <c r="O1295" s="23">
        <f t="shared" si="1027"/>
        <v>-271.70804560011118</v>
      </c>
      <c r="P1295" s="1">
        <f t="shared" si="1002"/>
        <v>-270.24204394197574</v>
      </c>
      <c r="Q1295" s="1">
        <f>(Q$1296-Q$1294)/($N$1296-$N$1294)*($N1295-$N$1294)+Q$1294</f>
        <v>11.675874449886017</v>
      </c>
      <c r="R1295">
        <f t="shared" si="1015"/>
        <v>0</v>
      </c>
      <c r="S1295" s="23">
        <f>(S$1296-S$1294)/($N$1296-$N$1294)*($N1295-$N$1294)+S$1294</f>
        <v>-1.7080456001111826</v>
      </c>
      <c r="T1295">
        <f>$S1295+測地線補正!$Q$26*(lattice!$N1295/1000)^3+測地線補正!$P$26*(lattice!$N1295/1000)^2+測地線補正!$O$26*(lattice!$N1295/1000)+測地線補正!$N$26</f>
        <v>-0.24204394197574985</v>
      </c>
      <c r="U1295">
        <f>-ATAN(($P$1303-$P$1295)/ABS($N$1303-$N$1295))</f>
        <v>9.4728002726946793E-5</v>
      </c>
      <c r="V1295">
        <v>0</v>
      </c>
      <c r="W1295">
        <f>ATAN(($M$1303-$M$1295)/ABS($N$1303-$N$1295))</f>
        <v>1.5587406047961588E-4</v>
      </c>
      <c r="X1295">
        <f>SQRT(($M$1295-$M$1293)^2+($N$1295-$N$1293)^2)-$Y$1293/2</f>
        <v>237.87670532536328</v>
      </c>
      <c r="Y1295">
        <f>_xlfn.XLOOKUP($F1295,設計座標!$E$13:$E$2301,設計座標!$L$13:$L$2301," ",0,1)</f>
        <v>1889.4492</v>
      </c>
      <c r="Z1295">
        <f>SQRT(($M$1299-$M$1297)^2+($N$1299-$N$1297)^2)</f>
        <v>394.66882544706033</v>
      </c>
    </row>
    <row r="1296" spans="1:28">
      <c r="A1296" t="s">
        <v>797</v>
      </c>
      <c r="B1296">
        <v>2</v>
      </c>
      <c r="C1296" t="s">
        <v>805</v>
      </c>
      <c r="D1296" t="s">
        <v>806</v>
      </c>
      <c r="F1296" t="s">
        <v>346</v>
      </c>
      <c r="G1296" t="s">
        <v>2666</v>
      </c>
      <c r="I1296">
        <f>_xlfn.XLOOKUP($F1296,設計座標!$E$13:$E$2301,設計座標!$G$13:$G$2301,"n/a",0,1)</f>
        <v>348.58132663906895</v>
      </c>
      <c r="J1296">
        <f>_xlfn.XLOOKUP($F1296,設計座標!$E$13:$E$2301,設計座標!$H$13:$H$2301,"n/a",0,1)</f>
        <v>-15000</v>
      </c>
      <c r="K1296">
        <f>_xlfn.XLOOKUP($F1296,設計座標!$E$13:$E$2301,設計座標!$I$13:$I$2301,"n/a",0,1)</f>
        <v>-84119.269173160006</v>
      </c>
      <c r="L1296">
        <f>_xlfn.XLOOKUP($F1296,設計座標!$E$13:$E$2301,設計座標!$J$13:$J$2301,"n/a",0,1)</f>
        <v>75</v>
      </c>
      <c r="M1296" s="2">
        <f>_xlfn.XLOOKUP($F1296,survey_data!$A$2:$A$833,survey_data!$B$2:$B$833,"n/a",0,1)</f>
        <v>-14988.21088816</v>
      </c>
      <c r="N1296" s="2">
        <f>_xlfn.XLOOKUP($F1296,survey_data!$A$2:$A$833,survey_data!$C$2:$C$833,"n/a",0,1)</f>
        <v>-84119.269173160006</v>
      </c>
      <c r="O1296" s="23">
        <f>_xlfn.XLOOKUP($F1296,survey_data!$A$2:$A$833,survey_data!$D$2:$D$833,"n/a",0,1)</f>
        <v>73.261939490000003</v>
      </c>
      <c r="P1296" s="1">
        <f t="shared" si="1002"/>
        <v>74.737521523469297</v>
      </c>
      <c r="Q1296" s="1">
        <f t="shared" si="1018"/>
        <v>11.78911184000026</v>
      </c>
      <c r="R1296">
        <f t="shared" si="1015"/>
        <v>0</v>
      </c>
      <c r="S1296" s="23">
        <f t="shared" si="1019"/>
        <v>-1.7380605099999968</v>
      </c>
      <c r="T1296">
        <f>$S1296+測地線補正!$Q$26*(lattice!$N1296/1000)^3+測地線補正!$P$26*(lattice!$N1296/1000)^2+測地線補正!$O$26*(lattice!$N1296/1000)+測地線補正!$N$26</f>
        <v>-0.26247847653069623</v>
      </c>
      <c r="U1296">
        <f>-ATAN(($P$1298-$P$1296)/ABS($N$1298-$N$1296))</f>
        <v>2.8380568712920752E-4</v>
      </c>
      <c r="V1296">
        <v>0</v>
      </c>
      <c r="W1296">
        <f>ATAN(($M$1298-$M$1296)/ABS($N$1298-$N$1296))</f>
        <v>2.9888132006003905E-4</v>
      </c>
      <c r="X1296" t="s">
        <v>3860</v>
      </c>
      <c r="Y1296">
        <f>_xlfn.XLOOKUP($F1296,設計座標!$E$13:$E$2301,設計座標!$L$13:$L$2301," ",0,1)</f>
        <v>300</v>
      </c>
      <c r="Z1296">
        <f>SQRT(($M$1297-$M$1293)^2+($N$1297-$N$1293)^2)</f>
        <v>867.93250326670773</v>
      </c>
      <c r="AA1296">
        <f>_xlfn.XLOOKUP($G1296,magnet_list!$A$2:$A$592,magnet_list!$AJ$2:$AJ$592,"n/a",0,1)</f>
        <v>0.32714527067797677</v>
      </c>
      <c r="AB1296">
        <f>_xlfn.XLOOKUP($G1296,magnet_list!$A$2:$A$592,magnet_list!$L$2:$L$592,"n/a",0,1)</f>
        <v>120</v>
      </c>
    </row>
    <row r="1297" spans="1:28">
      <c r="A1297" t="s">
        <v>797</v>
      </c>
      <c r="B1297">
        <v>2</v>
      </c>
      <c r="C1297" t="s">
        <v>805</v>
      </c>
      <c r="D1297" t="s">
        <v>1152</v>
      </c>
      <c r="E1297" t="s">
        <v>804</v>
      </c>
      <c r="F1297" t="s">
        <v>718</v>
      </c>
      <c r="G1297" t="s">
        <v>2666</v>
      </c>
      <c r="I1297">
        <f>_xlfn.XLOOKUP($F1297,設計座標!$E$13:$E$2301,設計座標!$G$13:$G$2301,"n/a",0,1)</f>
        <v>348.71632663906894</v>
      </c>
      <c r="J1297">
        <f>_xlfn.XLOOKUP($F1297,設計座標!$E$13:$E$2301,設計座標!$H$13:$H$2301,"n/a",0,1)</f>
        <v>-15000</v>
      </c>
      <c r="K1297">
        <f>_xlfn.XLOOKUP($F1297,設計座標!$E$13:$E$2301,設計座標!$I$13:$I$2301,"n/a",0,1)</f>
        <v>-84254.269173160006</v>
      </c>
      <c r="L1297">
        <f>_xlfn.XLOOKUP($F1297,設計座標!$E$13:$E$2301,設計座標!$J$13:$J$2301,"n/a",0,1)</f>
        <v>75</v>
      </c>
      <c r="M1297" s="2">
        <f t="shared" si="1025"/>
        <v>-14988.17053918059</v>
      </c>
      <c r="N1297" s="2">
        <f t="shared" si="1026"/>
        <v>-84254.269173160006</v>
      </c>
      <c r="O1297" s="23">
        <f t="shared" si="1027"/>
        <v>73.220521143912109</v>
      </c>
      <c r="P1297" s="1">
        <f t="shared" si="1002"/>
        <v>74.699210022026918</v>
      </c>
      <c r="Q1297" s="1">
        <f>(Q$1298-Q$1296)/($N$1298-$N$1296)*($N1297-$N$1296)+Q$1296</f>
        <v>11.829460819409825</v>
      </c>
      <c r="R1297">
        <f t="shared" si="1015"/>
        <v>0</v>
      </c>
      <c r="S1297" s="23">
        <f>(S$1298-S$1296)/($N$1298-$N$1296)*($N1297-$N$1296)+S$1296</f>
        <v>-1.7794788560878885</v>
      </c>
      <c r="T1297">
        <f>$S1297+測地線補正!$Q$26*(lattice!$N1297/1000)^3+測地線補正!$P$26*(lattice!$N1297/1000)^2+測地線補正!$O$26*(lattice!$N1297/1000)+測地線補正!$N$26</f>
        <v>-0.30078997797308671</v>
      </c>
      <c r="U1297">
        <f t="shared" ref="U1297:U1298" si="1038">-ATAN(($P$1298-$P$1296)/ABS($N$1298-$N$1296))</f>
        <v>2.8380568712920752E-4</v>
      </c>
      <c r="V1297">
        <v>0</v>
      </c>
      <c r="W1297">
        <f t="shared" ref="W1297:W1298" si="1039">ATAN(($M$1298-$M$1296)/ABS($N$1298-$N$1296))</f>
        <v>2.9888132006003905E-4</v>
      </c>
      <c r="X1297" t="s">
        <v>3860</v>
      </c>
      <c r="Y1297">
        <f>_xlfn.XLOOKUP($F1297,設計座標!$E$13:$E$2301,設計座標!$L$13:$L$2301," ",0,1)</f>
        <v>300</v>
      </c>
      <c r="Z1297">
        <f>SQRT(($M$1297-$M$1293)^2+($N$1297-$N$1293)^2)</f>
        <v>867.93250326670773</v>
      </c>
      <c r="AA1297">
        <f>_xlfn.XLOOKUP($G1297,magnet_list!$A$2:$A$592,magnet_list!$AJ$2:$AJ$592,"n/a",0,1)</f>
        <v>0.32714527067797677</v>
      </c>
      <c r="AB1297">
        <f>_xlfn.XLOOKUP($G1297,magnet_list!$A$2:$A$592,magnet_list!$L$2:$L$592,"n/a",0,1)</f>
        <v>120</v>
      </c>
    </row>
    <row r="1298" spans="1:28">
      <c r="A1298" t="s">
        <v>797</v>
      </c>
      <c r="B1298">
        <v>2</v>
      </c>
      <c r="C1298" t="s">
        <v>805</v>
      </c>
      <c r="D1298" t="s">
        <v>806</v>
      </c>
      <c r="F1298" t="s">
        <v>347</v>
      </c>
      <c r="G1298" t="s">
        <v>2666</v>
      </c>
      <c r="I1298">
        <f>_xlfn.XLOOKUP($F1298,設計座標!$E$13:$E$2301,設計座標!$G$13:$G$2301,"n/a",0,1)</f>
        <v>348.8513413645789</v>
      </c>
      <c r="J1298">
        <f>_xlfn.XLOOKUP($F1298,設計座標!$E$13:$E$2301,設計座標!$H$13:$H$2301,"n/a",0,1)</f>
        <v>-15000</v>
      </c>
      <c r="K1298">
        <f>_xlfn.XLOOKUP($F1298,設計座標!$E$13:$E$2301,設計座標!$I$13:$I$2301,"n/a",0,1)</f>
        <v>-84389.283898669994</v>
      </c>
      <c r="L1298">
        <f>_xlfn.XLOOKUP($F1298,設計座標!$E$13:$E$2301,設計座標!$J$13:$J$2301,"n/a",0,1)</f>
        <v>75</v>
      </c>
      <c r="M1298" s="2">
        <f>_xlfn.XLOOKUP($F1298,survey_data!$A$2:$A$833,survey_data!$B$2:$B$833,"n/a",0,1)</f>
        <v>-14988.130185800001</v>
      </c>
      <c r="N1298" s="2">
        <f>_xlfn.XLOOKUP($F1298,survey_data!$A$2:$A$833,survey_data!$C$2:$C$833,"n/a",0,1)</f>
        <v>-84389.283898669994</v>
      </c>
      <c r="O1298" s="23">
        <f>_xlfn.XLOOKUP($F1298,survey_data!$A$2:$A$833,survey_data!$D$2:$D$833,"n/a",0,1)</f>
        <v>73.179098280000005</v>
      </c>
      <c r="P1298" s="1">
        <f t="shared" si="1002"/>
        <v>74.66088980670348</v>
      </c>
      <c r="Q1298" s="1">
        <f t="shared" si="1018"/>
        <v>11.869814199999382</v>
      </c>
      <c r="R1298">
        <f t="shared" si="1015"/>
        <v>0</v>
      </c>
      <c r="S1298" s="23">
        <f t="shared" si="1019"/>
        <v>-1.8209017199999948</v>
      </c>
      <c r="T1298">
        <f>$S1298+測地線補正!$Q$26*(lattice!$N1298/1000)^3+測地線補正!$P$26*(lattice!$N1298/1000)^2+測地線補正!$O$26*(lattice!$N1298/1000)+測地線補正!$N$26</f>
        <v>-0.33911019329651393</v>
      </c>
      <c r="U1298">
        <f t="shared" si="1038"/>
        <v>2.8380568712920752E-4</v>
      </c>
      <c r="V1298">
        <v>0</v>
      </c>
      <c r="W1298">
        <f t="shared" si="1039"/>
        <v>2.9888132006003905E-4</v>
      </c>
      <c r="X1298" t="s">
        <v>3860</v>
      </c>
      <c r="Y1298">
        <f>_xlfn.XLOOKUP($F1298,設計座標!$E$13:$E$2301,設計座標!$L$13:$L$2301," ",0,1)</f>
        <v>300</v>
      </c>
      <c r="Z1298">
        <f>SQRT(($M$1297-$M$1293)^2+($N$1297-$N$1293)^2)</f>
        <v>867.93250326670773</v>
      </c>
      <c r="AA1298">
        <f>_xlfn.XLOOKUP($G1298,magnet_list!$A$2:$A$592,magnet_list!$AJ$2:$AJ$592,"n/a",0,1)</f>
        <v>0.32714527067797677</v>
      </c>
      <c r="AB1298">
        <f>_xlfn.XLOOKUP($G1298,magnet_list!$A$2:$A$592,magnet_list!$L$2:$L$592,"n/a",0,1)</f>
        <v>120</v>
      </c>
    </row>
    <row r="1299" spans="1:28">
      <c r="A1299" t="s">
        <v>797</v>
      </c>
      <c r="B1299">
        <v>2</v>
      </c>
      <c r="C1299" t="s">
        <v>804</v>
      </c>
      <c r="D1299" t="s">
        <v>1152</v>
      </c>
      <c r="E1299" t="s">
        <v>804</v>
      </c>
      <c r="F1299" t="s">
        <v>1304</v>
      </c>
      <c r="G1299" t="s">
        <v>2665</v>
      </c>
      <c r="I1299">
        <f>_xlfn.XLOOKUP($F1299,設計座標!$E$13:$E$2301,設計座標!$G$13:$G$2301,"n/a",0,1)</f>
        <v>349.11099546136904</v>
      </c>
      <c r="J1299">
        <f>_xlfn.XLOOKUP($F1299,設計座標!$E$13:$E$2301,設計座標!$H$13:$H$2301,"n/a",0,1)</f>
        <v>-15000</v>
      </c>
      <c r="K1299">
        <f>_xlfn.XLOOKUP($F1299,設計座標!$E$13:$E$2301,設計座標!$I$13:$I$2301,"n/a",0,1)</f>
        <v>-84648.937995460059</v>
      </c>
      <c r="L1299">
        <f>_xlfn.XLOOKUP($F1299,設計座標!$E$13:$E$2301,設計座標!$J$13:$J$2301,"n/a",0,1)</f>
        <v>-270</v>
      </c>
      <c r="M1299" s="2">
        <f t="shared" si="1025"/>
        <v>-14988.12069892107</v>
      </c>
      <c r="N1299" s="2">
        <f t="shared" si="1026"/>
        <v>-84648.937995460059</v>
      </c>
      <c r="O1299" s="23">
        <f t="shared" si="1027"/>
        <v>-271.74816661785536</v>
      </c>
      <c r="P1299" s="1">
        <f t="shared" si="1002"/>
        <v>-270.26042096072132</v>
      </c>
      <c r="Q1299" s="1">
        <f>(Q$1300-Q$1298)/($N$1300-$N$1298)*($N1299-$N$1298)+Q$1298</f>
        <v>11.87930107892984</v>
      </c>
      <c r="R1299">
        <f t="shared" si="1015"/>
        <v>0</v>
      </c>
      <c r="S1299" s="23">
        <f>(S$1300-S$1298)/($N$1300-$N$1298)*($N1299-$N$1298)+S$1298</f>
        <v>-1.7481666178553494</v>
      </c>
      <c r="T1299">
        <f>$S1299+測地線補正!$Q$26*(lattice!$N1299/1000)^3+測地線補正!$P$26*(lattice!$N1299/1000)^2+測地線補正!$O$26*(lattice!$N1299/1000)+測地線補正!$N$26</f>
        <v>-0.26042096072132215</v>
      </c>
      <c r="U1299">
        <f>-ATAN(($P$1303-$P$1295)/ABS($N$1303-$N$1295))</f>
        <v>9.4728002726946793E-5</v>
      </c>
      <c r="V1299">
        <v>0</v>
      </c>
      <c r="W1299">
        <f>ATAN(($M$1303-$M$1295)/ABS($N$1303-$N$1295))</f>
        <v>1.5587406047961588E-4</v>
      </c>
      <c r="X1299" t="s">
        <v>3860</v>
      </c>
      <c r="Y1299">
        <f>_xlfn.XLOOKUP($F1299,設計座標!$E$13:$E$2301,設計座標!$L$13:$L$2301," ",0,1)</f>
        <v>1889.4492</v>
      </c>
      <c r="Z1299">
        <f>SQRT(($M$1299-$M$1297)^2+($N$1299-$N$1297)^2)</f>
        <v>394.66882544706033</v>
      </c>
    </row>
    <row r="1300" spans="1:28">
      <c r="A1300" t="s">
        <v>797</v>
      </c>
      <c r="B1300">
        <v>2</v>
      </c>
      <c r="C1300" t="s">
        <v>805</v>
      </c>
      <c r="D1300" t="s">
        <v>806</v>
      </c>
      <c r="F1300" t="s">
        <v>348</v>
      </c>
      <c r="G1300" t="s">
        <v>2667</v>
      </c>
      <c r="I1300">
        <f>_xlfn.XLOOKUP($F1300,設計座標!$E$13:$E$2301,設計座標!$G$13:$G$2301,"n/a",0,1)</f>
        <v>349.37057325494897</v>
      </c>
      <c r="J1300">
        <f>_xlfn.XLOOKUP($F1300,設計座標!$E$13:$E$2301,設計座標!$H$13:$H$2301,"n/a",0,1)</f>
        <v>-15000</v>
      </c>
      <c r="K1300">
        <f>_xlfn.XLOOKUP($F1300,設計座標!$E$13:$E$2301,設計座標!$I$13:$I$2301,"n/a",0,1)</f>
        <v>-84908.515789040001</v>
      </c>
      <c r="L1300">
        <f>_xlfn.XLOOKUP($F1300,設計座標!$E$13:$E$2301,設計座標!$J$13:$J$2301,"n/a",0,1)</f>
        <v>75</v>
      </c>
      <c r="M1300" s="2">
        <f>_xlfn.XLOOKUP($F1300,survey_data!$A$2:$A$833,survey_data!$B$2:$B$833,"n/a",0,1)</f>
        <v>-14988.11121483</v>
      </c>
      <c r="N1300" s="2">
        <f>_xlfn.XLOOKUP($F1300,survey_data!$A$2:$A$833,survey_data!$C$2:$C$833,"n/a",0,1)</f>
        <v>-84908.515789040001</v>
      </c>
      <c r="O1300" s="23">
        <f>_xlfn.XLOOKUP($F1300,survey_data!$A$2:$A$833,survey_data!$D$2:$D$833,"n/a",0,1)</f>
        <v>73.324547109999997</v>
      </c>
      <c r="P1300" s="1">
        <f t="shared" si="1002"/>
        <v>74.818228403395423</v>
      </c>
      <c r="Q1300" s="1">
        <f t="shared" si="1018"/>
        <v>11.888785170000119</v>
      </c>
      <c r="R1300">
        <f t="shared" si="1015"/>
        <v>0</v>
      </c>
      <c r="S1300" s="23">
        <f t="shared" si="1019"/>
        <v>-1.6754528900000025</v>
      </c>
      <c r="T1300">
        <f>$S1300+測地線補正!$Q$26*(lattice!$N1300/1000)^3+測地線補正!$P$26*(lattice!$N1300/1000)^2+測地線補正!$O$26*(lattice!$N1300/1000)+測地線補正!$N$26</f>
        <v>-0.18177159660457121</v>
      </c>
      <c r="U1300">
        <f>-ATAN(($P$1302-$P$1300)/ABS($N$1302-$N$1300))</f>
        <v>2.9978333497688426E-4</v>
      </c>
      <c r="V1300">
        <v>0</v>
      </c>
      <c r="W1300">
        <f>ATAN(($M$1302-$M$1300)/ABS($N$1302-$N$1300))</f>
        <v>1.7964267695114221E-4</v>
      </c>
      <c r="X1300" t="s">
        <v>3860</v>
      </c>
      <c r="Y1300">
        <f>_xlfn.XLOOKUP($F1300,設計座標!$E$13:$E$2301,設計座標!$L$13:$L$2301," ",0,1)</f>
        <v>300</v>
      </c>
      <c r="Z1300">
        <f>SQRT(($M$1301-$M$1299)^2+($N$1301-$N$1299)^2)</f>
        <v>394.59379502231627</v>
      </c>
      <c r="AA1300">
        <f>_xlfn.XLOOKUP($G1300,magnet_list!$A$2:$A$592,magnet_list!$AJ$2:$AJ$592,"n/a",0,1)</f>
        <v>0.32714527067797677</v>
      </c>
      <c r="AB1300">
        <f>_xlfn.XLOOKUP($G1300,magnet_list!$A$2:$A$592,magnet_list!$L$2:$L$592,"n/a",0,1)</f>
        <v>120</v>
      </c>
    </row>
    <row r="1301" spans="1:28">
      <c r="A1301" t="s">
        <v>797</v>
      </c>
      <c r="B1301">
        <v>2</v>
      </c>
      <c r="C1301" t="s">
        <v>805</v>
      </c>
      <c r="D1301" t="s">
        <v>1152</v>
      </c>
      <c r="E1301" t="s">
        <v>804</v>
      </c>
      <c r="F1301" t="s">
        <v>719</v>
      </c>
      <c r="G1301" t="s">
        <v>2667</v>
      </c>
      <c r="I1301">
        <f>_xlfn.XLOOKUP($F1301,設計座標!$E$13:$E$2301,設計座標!$G$13:$G$2301,"n/a",0,1)</f>
        <v>349.50558925494897</v>
      </c>
      <c r="J1301">
        <f>_xlfn.XLOOKUP($F1301,設計座標!$E$13:$E$2301,設計座標!$H$13:$H$2301,"n/a",0,1)</f>
        <v>-15000</v>
      </c>
      <c r="K1301">
        <f>_xlfn.XLOOKUP($F1301,設計座標!$E$13:$E$2301,設計座標!$I$13:$I$2301,"n/a",0,1)</f>
        <v>-85043.531789040004</v>
      </c>
      <c r="L1301">
        <f>_xlfn.XLOOKUP($F1301,設計座標!$E$13:$E$2301,設計座標!$J$13:$J$2301,"n/a",0,1)</f>
        <v>75</v>
      </c>
      <c r="M1301" s="2">
        <f t="shared" si="1025"/>
        <v>-14988.086960194069</v>
      </c>
      <c r="N1301" s="2">
        <f t="shared" si="1026"/>
        <v>-85043.531789040004</v>
      </c>
      <c r="O1301" s="23">
        <f t="shared" si="1027"/>
        <v>73.280993094294203</v>
      </c>
      <c r="P1301" s="1">
        <f t="shared" si="1002"/>
        <v>74.777755117341471</v>
      </c>
      <c r="Q1301" s="1">
        <f>(Q$1302-Q$1300)/($N$1302-$N$1300)*($N1301-$N$1300)+Q$1300</f>
        <v>11.913039805932266</v>
      </c>
      <c r="R1301">
        <f t="shared" si="1015"/>
        <v>0</v>
      </c>
      <c r="S1301" s="23">
        <f>(S$1302-S$1300)/($N$1302-$N$1300)*($N1301-$N$1300)+S$1300</f>
        <v>-1.719006905705792</v>
      </c>
      <c r="T1301">
        <f>$S1301+測地線補正!$Q$26*(lattice!$N1301/1000)^3+測地線補正!$P$26*(lattice!$N1301/1000)^2+測地線補正!$O$26*(lattice!$N1301/1000)+測地線補正!$N$26</f>
        <v>-0.22224488265852771</v>
      </c>
      <c r="U1301">
        <f t="shared" ref="U1301:U1302" si="1040">-ATAN(($P$1302-$P$1300)/ABS($N$1302-$N$1300))</f>
        <v>2.9978333497688426E-4</v>
      </c>
      <c r="V1301">
        <v>0</v>
      </c>
      <c r="W1301">
        <f t="shared" ref="W1301:W1302" si="1041">ATAN(($M$1302-$M$1300)/ABS($N$1302-$N$1300))</f>
        <v>1.7964267695114221E-4</v>
      </c>
      <c r="X1301" t="s">
        <v>3860</v>
      </c>
      <c r="Y1301">
        <f>_xlfn.XLOOKUP($F1301,設計座標!$E$13:$E$2301,設計座標!$L$13:$L$2301," ",0,1)</f>
        <v>300</v>
      </c>
      <c r="Z1301">
        <f>SQRT(($M$1301-$M$1299)^2+($N$1301-$N$1299)^2)</f>
        <v>394.59379502231627</v>
      </c>
      <c r="AA1301">
        <f>_xlfn.XLOOKUP($G1301,magnet_list!$A$2:$A$592,magnet_list!$AJ$2:$AJ$592,"n/a",0,1)</f>
        <v>0.32714527067797677</v>
      </c>
      <c r="AB1301">
        <f>_xlfn.XLOOKUP($G1301,magnet_list!$A$2:$A$592,magnet_list!$L$2:$L$592,"n/a",0,1)</f>
        <v>120</v>
      </c>
    </row>
    <row r="1302" spans="1:28">
      <c r="A1302" t="s">
        <v>797</v>
      </c>
      <c r="B1302">
        <v>2</v>
      </c>
      <c r="C1302" t="s">
        <v>805</v>
      </c>
      <c r="D1302" t="s">
        <v>806</v>
      </c>
      <c r="F1302" t="s">
        <v>349</v>
      </c>
      <c r="G1302" t="s">
        <v>2667</v>
      </c>
      <c r="I1302">
        <f>_xlfn.XLOOKUP($F1302,設計座標!$E$13:$E$2301,設計座標!$G$13:$G$2301,"n/a",0,1)</f>
        <v>349.64061309348898</v>
      </c>
      <c r="J1302">
        <f>_xlfn.XLOOKUP($F1302,設計座標!$E$13:$E$2301,設計座標!$H$13:$H$2301,"n/a",0,1)</f>
        <v>-15000</v>
      </c>
      <c r="K1302">
        <f>_xlfn.XLOOKUP($F1302,設計座標!$E$13:$E$2301,設計座標!$I$13:$I$2301,"n/a",0,1)</f>
        <v>-85178.555627580005</v>
      </c>
      <c r="L1302">
        <f>_xlfn.XLOOKUP($F1302,設計座標!$E$13:$E$2301,設計座標!$J$13:$J$2301,"n/a",0,1)</f>
        <v>75</v>
      </c>
      <c r="M1302" s="2">
        <f>_xlfn.XLOOKUP($F1302,survey_data!$A$2:$A$833,survey_data!$B$2:$B$833,"n/a",0,1)</f>
        <v>-14988.062704149999</v>
      </c>
      <c r="N1302" s="2">
        <f>_xlfn.XLOOKUP($F1302,survey_data!$A$2:$A$833,survey_data!$C$2:$C$833,"n/a",0,1)</f>
        <v>-85178.555627580005</v>
      </c>
      <c r="O1302" s="23">
        <f>_xlfn.XLOOKUP($F1302,survey_data!$A$2:$A$833,survey_data!$D$2:$D$833,"n/a",0,1)</f>
        <v>73.237436549999998</v>
      </c>
      <c r="P1302" s="1">
        <f t="shared" si="1002"/>
        <v>74.737274957596185</v>
      </c>
      <c r="Q1302" s="1">
        <f t="shared" si="1018"/>
        <v>11.937295850000737</v>
      </c>
      <c r="R1302">
        <f t="shared" si="1015"/>
        <v>0</v>
      </c>
      <c r="S1302" s="23">
        <f t="shared" si="1019"/>
        <v>-1.7625634500000018</v>
      </c>
      <c r="T1302">
        <f>$S1302+測地線補正!$Q$26*(lattice!$N1302/1000)^3+測地線補正!$P$26*(lattice!$N1302/1000)^2+測地線補正!$O$26*(lattice!$N1302/1000)+測地線補正!$N$26</f>
        <v>-0.26272504240381722</v>
      </c>
      <c r="U1302">
        <f t="shared" si="1040"/>
        <v>2.9978333497688426E-4</v>
      </c>
      <c r="V1302">
        <v>0</v>
      </c>
      <c r="W1302">
        <f t="shared" si="1041"/>
        <v>1.7964267695114221E-4</v>
      </c>
      <c r="X1302" t="s">
        <v>3860</v>
      </c>
      <c r="Y1302">
        <f>_xlfn.XLOOKUP($F1302,設計座標!$E$13:$E$2301,設計座標!$L$13:$L$2301," ",0,1)</f>
        <v>300</v>
      </c>
      <c r="Z1302">
        <f>SQRT(($M$1301-$M$1299)^2+($N$1301-$N$1299)^2)</f>
        <v>394.59379502231627</v>
      </c>
      <c r="AA1302">
        <f>_xlfn.XLOOKUP($G1302,magnet_list!$A$2:$A$592,magnet_list!$AJ$2:$AJ$592,"n/a",0,1)</f>
        <v>0.32714527067797677</v>
      </c>
      <c r="AB1302">
        <f>_xlfn.XLOOKUP($G1302,magnet_list!$A$2:$A$592,magnet_list!$L$2:$L$592,"n/a",0,1)</f>
        <v>120</v>
      </c>
    </row>
    <row r="1303" spans="1:28">
      <c r="A1303" t="s">
        <v>797</v>
      </c>
      <c r="B1303">
        <v>2</v>
      </c>
      <c r="C1303" t="s">
        <v>804</v>
      </c>
      <c r="D1303" t="s">
        <v>1152</v>
      </c>
      <c r="E1303" t="s">
        <v>804</v>
      </c>
      <c r="F1303" t="s">
        <v>1619</v>
      </c>
      <c r="G1303" t="s">
        <v>2665</v>
      </c>
      <c r="I1303">
        <f>_xlfn.XLOOKUP($F1303,設計座標!$E$13:$E$2301,設計座標!$G$13:$G$2301,"n/a",0,1)</f>
        <v>350.05572006136907</v>
      </c>
      <c r="J1303">
        <f>_xlfn.XLOOKUP($F1303,設計座標!$E$13:$E$2301,設計座標!$H$13:$H$2301,"n/a",0,1)</f>
        <v>-15000</v>
      </c>
      <c r="K1303">
        <f>_xlfn.XLOOKUP($F1303,設計座標!$E$13:$E$2301,設計座標!$I$13:$I$2301,"n/a",0,1)</f>
        <v>-85593.66259546006</v>
      </c>
      <c r="L1303">
        <f>_xlfn.XLOOKUP($F1303,設計座標!$E$13:$E$2301,設計座標!$J$13:$J$2301,"n/a",0,1)</f>
        <v>-270</v>
      </c>
      <c r="M1303" s="2">
        <f t="shared" si="1025"/>
        <v>-14988.029609428855</v>
      </c>
      <c r="N1303" s="2">
        <f t="shared" si="1026"/>
        <v>-85593.66259546006</v>
      </c>
      <c r="O1303" s="23">
        <f t="shared" si="1027"/>
        <v>-271.93029558790244</v>
      </c>
      <c r="P1303" s="1">
        <f t="shared" si="1002"/>
        <v>-270.42102769148113</v>
      </c>
      <c r="Q1303" s="1">
        <f>(Q$1304-Q$1302)/($N$1304-$N$1302)*($N1303-$N$1302)+Q$1302</f>
        <v>11.970390571145266</v>
      </c>
      <c r="R1303">
        <f t="shared" si="1015"/>
        <v>0</v>
      </c>
      <c r="S1303" s="23">
        <f>(S$1304-S$1302)/($N$1304-$N$1302)*($N1303-$N$1302)+S$1302</f>
        <v>-1.9302955879024446</v>
      </c>
      <c r="T1303">
        <f>$S1303+測地線補正!$Q$26*(lattice!$N1303/1000)^3+測地線補正!$P$26*(lattice!$N1303/1000)^2+測地線補正!$O$26*(lattice!$N1303/1000)+測地線補正!$N$26</f>
        <v>-0.42102769148114505</v>
      </c>
      <c r="U1303">
        <f>-ATAN(($P$1303-$P$1295)/ABS($N$1303-$N$1295))</f>
        <v>9.4728002726946793E-5</v>
      </c>
      <c r="V1303">
        <v>0</v>
      </c>
      <c r="W1303">
        <f>ATAN(($M$1303-$M$1295)/ABS($N$1303-$N$1295))</f>
        <v>1.5587406047961588E-4</v>
      </c>
      <c r="X1303" t="s">
        <v>3860</v>
      </c>
      <c r="Y1303">
        <f>_xlfn.XLOOKUP($F1303,設計座標!$E$13:$E$2301,設計座標!$L$13:$L$2301," ",0,1)</f>
        <v>1889.4492</v>
      </c>
      <c r="Z1303">
        <f>SQRT(($M$1299-$M$1297)^2+($N$1299-$N$1297)^2)</f>
        <v>394.66882544706033</v>
      </c>
    </row>
    <row r="1304" spans="1:28">
      <c r="A1304" t="s">
        <v>797</v>
      </c>
      <c r="B1304">
        <v>2</v>
      </c>
      <c r="C1304" t="s">
        <v>805</v>
      </c>
      <c r="D1304" t="s">
        <v>806</v>
      </c>
      <c r="F1304" t="s">
        <v>350</v>
      </c>
      <c r="G1304" t="s">
        <v>2668</v>
      </c>
      <c r="I1304">
        <f>_xlfn.XLOOKUP($F1304,設計座標!$E$13:$E$2301,設計座標!$G$13:$G$2301,"n/a",0,1)</f>
        <v>350.224568470929</v>
      </c>
      <c r="J1304">
        <f>_xlfn.XLOOKUP($F1304,設計座標!$E$13:$E$2301,設計座標!$H$13:$H$2301,"n/a",0,1)</f>
        <v>-15000</v>
      </c>
      <c r="K1304">
        <f>_xlfn.XLOOKUP($F1304,設計座標!$E$13:$E$2301,設計座標!$I$13:$I$2301,"n/a",0,1)</f>
        <v>-85762.511005020002</v>
      </c>
      <c r="L1304">
        <f>_xlfn.XLOOKUP($F1304,設計座標!$E$13:$E$2301,設計座標!$J$13:$J$2301,"n/a",0,1)</f>
        <v>90</v>
      </c>
      <c r="M1304" s="2">
        <f>_xlfn.XLOOKUP($F1304,survey_data!$A$2:$A$833,survey_data!$B$2:$B$833,"n/a",0,1)</f>
        <v>-14988.01614786</v>
      </c>
      <c r="N1304" s="2">
        <f>_xlfn.XLOOKUP($F1304,survey_data!$A$2:$A$833,survey_data!$C$2:$C$833,"n/a",0,1)</f>
        <v>-85762.511005020002</v>
      </c>
      <c r="O1304" s="23">
        <f>_xlfn.XLOOKUP($F1304,survey_data!$A$2:$A$833,survey_data!$D$2:$D$833,"n/a",0,1)</f>
        <v>88.001477890000004</v>
      </c>
      <c r="P1304" s="1">
        <f t="shared" si="1002"/>
        <v>89.514569099029885</v>
      </c>
      <c r="Q1304" s="1">
        <f t="shared" si="1018"/>
        <v>11.983852139999726</v>
      </c>
      <c r="R1304">
        <f t="shared" si="1015"/>
        <v>0</v>
      </c>
      <c r="S1304" s="23">
        <f t="shared" si="1019"/>
        <v>-1.9985221099999961</v>
      </c>
      <c r="T1304">
        <f>$S1304+測地線補正!$Q$26*(lattice!$N1304/1000)^3+測地線補正!$P$26*(lattice!$N1304/1000)^2+測地線補正!$O$26*(lattice!$N1304/1000)+測地線補正!$N$26</f>
        <v>-0.48543090097012231</v>
      </c>
      <c r="U1304">
        <f>-ATAN(($P$1306-$P$1304)/ABS($N$1306-$N$1304))</f>
        <v>1.4688891423573442E-4</v>
      </c>
      <c r="V1304">
        <v>0</v>
      </c>
      <c r="W1304">
        <f>ATAN(($M$1306-$M$1304)/ABS($N$1306-$N$1304))</f>
        <v>7.4286412922301638E-4</v>
      </c>
      <c r="X1304">
        <f>SQRT(($M$1305-$M$1303)^2+($N$1305-$N$1303)^2)-$Y$1305/2</f>
        <v>158.843418529822</v>
      </c>
      <c r="Y1304">
        <f>_xlfn.XLOOKUP($F1304,設計座標!$E$13:$E$2301,設計座標!$L$13:$L$2301," ",0,1)</f>
        <v>160</v>
      </c>
      <c r="Z1304">
        <f>SQRT(($M$1305-$M$1301)^2+($N$1305-$N$1301)^2)</f>
        <v>788.97422553802414</v>
      </c>
      <c r="AA1304">
        <f>_xlfn.XLOOKUP($G1304,magnet_list!$A$2:$A$592,magnet_list!$AJ$2:$AJ$592,"n/a",0,1)</f>
        <v>0.17374887133613809</v>
      </c>
      <c r="AB1304">
        <f>_xlfn.XLOOKUP($G1304,magnet_list!$A$2:$A$592,magnet_list!$L$2:$L$592,"n/a",0,1)</f>
        <v>44</v>
      </c>
    </row>
    <row r="1305" spans="1:28">
      <c r="A1305" t="s">
        <v>797</v>
      </c>
      <c r="B1305">
        <v>2</v>
      </c>
      <c r="C1305" t="s">
        <v>805</v>
      </c>
      <c r="D1305" t="s">
        <v>1152</v>
      </c>
      <c r="E1305" t="s">
        <v>804</v>
      </c>
      <c r="F1305" t="s">
        <v>720</v>
      </c>
      <c r="G1305" t="s">
        <v>2668</v>
      </c>
      <c r="I1305">
        <f>_xlfn.XLOOKUP($F1305,設計座標!$E$13:$E$2301,設計座標!$G$13:$G$2301,"n/a",0,1)</f>
        <v>350.29456347092901</v>
      </c>
      <c r="J1305">
        <f>_xlfn.XLOOKUP($F1305,設計座標!$E$13:$E$2301,設計座標!$H$13:$H$2301,"n/a",0,1)</f>
        <v>-15000</v>
      </c>
      <c r="K1305">
        <f>_xlfn.XLOOKUP($F1305,設計座標!$E$13:$E$2301,設計座標!$I$13:$I$2301,"n/a",0,1)</f>
        <v>-85832.506005019997</v>
      </c>
      <c r="L1305">
        <f>_xlfn.XLOOKUP($F1305,設計座標!$E$13:$E$2301,設計座標!$J$13:$J$2301,"n/a",0,1)</f>
        <v>90</v>
      </c>
      <c r="M1305" s="2">
        <f t="shared" si="1025"/>
        <v>-14987.96415107571</v>
      </c>
      <c r="N1305" s="2">
        <f t="shared" si="1026"/>
        <v>-85832.506005019997</v>
      </c>
      <c r="O1305" s="23">
        <f t="shared" si="1027"/>
        <v>87.989614146993944</v>
      </c>
      <c r="P1305" s="1">
        <f t="shared" si="1002"/>
        <v>89.504288215593064</v>
      </c>
      <c r="Q1305" s="1">
        <f>(Q$1306-Q$1304)/($N$1306-$N$1304)*($N1305-$N$1304)+Q$1304</f>
        <v>12.035848924289446</v>
      </c>
      <c r="R1305">
        <f t="shared" si="1015"/>
        <v>0</v>
      </c>
      <c r="S1305" s="23">
        <f>(S$1306-S$1304)/($N$1306-$N$1304)*($N1305-$N$1304)+S$1304</f>
        <v>-2.0103858530060594</v>
      </c>
      <c r="T1305">
        <f>$S1305+測地線補正!$Q$26*(lattice!$N1305/1000)^3+測地線補正!$P$26*(lattice!$N1305/1000)^2+測地線補正!$O$26*(lattice!$N1305/1000)+測地線補正!$N$26</f>
        <v>-0.49571178440693786</v>
      </c>
      <c r="U1305">
        <f t="shared" ref="U1305:U1306" si="1042">-ATAN(($P$1306-$P$1304)/ABS($N$1306-$N$1304))</f>
        <v>1.4688891423573442E-4</v>
      </c>
      <c r="V1305">
        <v>0</v>
      </c>
      <c r="W1305">
        <f t="shared" ref="W1305:W1306" si="1043">ATAN(($M$1306-$M$1304)/ABS($N$1306-$N$1304))</f>
        <v>7.4286412922301638E-4</v>
      </c>
      <c r="X1305">
        <f>SQRT(($M$1305-$M$1303)^2+($N$1305-$N$1303)^2)-$Y$1305/2</f>
        <v>158.843418529822</v>
      </c>
      <c r="Y1305">
        <f>_xlfn.XLOOKUP($F1305,設計座標!$E$13:$E$2301,設計座標!$L$13:$L$2301," ",0,1)</f>
        <v>160</v>
      </c>
      <c r="Z1305">
        <f>SQRT(($M$1305-$M$1301)^2+($N$1305-$N$1301)^2)</f>
        <v>788.97422553802414</v>
      </c>
      <c r="AA1305">
        <f>_xlfn.XLOOKUP($G1305,magnet_list!$A$2:$A$592,magnet_list!$AJ$2:$AJ$592,"n/a",0,1)</f>
        <v>0.17374887133613809</v>
      </c>
      <c r="AB1305">
        <f>_xlfn.XLOOKUP($G1305,magnet_list!$A$2:$A$592,magnet_list!$L$2:$L$592,"n/a",0,1)</f>
        <v>44</v>
      </c>
    </row>
    <row r="1306" spans="1:28">
      <c r="A1306" t="s">
        <v>797</v>
      </c>
      <c r="B1306">
        <v>2</v>
      </c>
      <c r="C1306" t="s">
        <v>805</v>
      </c>
      <c r="D1306" t="s">
        <v>806</v>
      </c>
      <c r="F1306" t="s">
        <v>351</v>
      </c>
      <c r="G1306" t="s">
        <v>2668</v>
      </c>
      <c r="I1306">
        <f>_xlfn.XLOOKUP($F1306,設計座標!$E$13:$E$2301,設計座標!$G$13:$G$2301,"n/a",0,1)</f>
        <v>350.36454545565903</v>
      </c>
      <c r="J1306">
        <f>_xlfn.XLOOKUP($F1306,設計座標!$E$13:$E$2301,設計座標!$H$13:$H$2301,"n/a",0,1)</f>
        <v>-15000</v>
      </c>
      <c r="K1306">
        <f>_xlfn.XLOOKUP($F1306,設計座標!$E$13:$E$2301,設計座標!$I$13:$I$2301,"n/a",0,1)</f>
        <v>-85902.487989750007</v>
      </c>
      <c r="L1306">
        <f>_xlfn.XLOOKUP($F1306,設計座標!$E$13:$E$2301,設計座標!$J$13:$J$2301,"n/a",0,1)</f>
        <v>90</v>
      </c>
      <c r="M1306" s="2">
        <f>_xlfn.XLOOKUP($F1306,survey_data!$A$2:$A$833,survey_data!$B$2:$B$833,"n/a",0,1)</f>
        <v>-14987.91216396</v>
      </c>
      <c r="N1306" s="2">
        <f>_xlfn.XLOOKUP($F1306,survey_data!$A$2:$A$833,survey_data!$C$2:$C$833,"n/a",0,1)</f>
        <v>-85902.487989750007</v>
      </c>
      <c r="O1306" s="23">
        <f>_xlfn.XLOOKUP($F1306,survey_data!$A$2:$A$833,survey_data!$D$2:$D$833,"n/a",0,1)</f>
        <v>87.977752609999996</v>
      </c>
      <c r="P1306" s="1">
        <f t="shared" si="1002"/>
        <v>89.494008031577025</v>
      </c>
      <c r="Q1306" s="1">
        <f t="shared" si="1018"/>
        <v>12.087836040000184</v>
      </c>
      <c r="R1306">
        <f t="shared" si="1015"/>
        <v>0</v>
      </c>
      <c r="S1306" s="23">
        <f t="shared" si="1019"/>
        <v>-2.022247390000004</v>
      </c>
      <c r="T1306">
        <f>$S1306+測地線補正!$Q$26*(lattice!$N1306/1000)^3+測地線補正!$P$26*(lattice!$N1306/1000)^2+測地線補正!$O$26*(lattice!$N1306/1000)+測地線補正!$N$26</f>
        <v>-0.50599196842297522</v>
      </c>
      <c r="U1306">
        <f t="shared" si="1042"/>
        <v>1.4688891423573442E-4</v>
      </c>
      <c r="V1306">
        <v>0</v>
      </c>
      <c r="W1306">
        <f t="shared" si="1043"/>
        <v>7.4286412922301638E-4</v>
      </c>
      <c r="X1306">
        <f>SQRT(($M$1305-$M$1303)^2+($N$1305-$N$1303)^2)-$Y$1305/2</f>
        <v>158.843418529822</v>
      </c>
      <c r="Y1306">
        <f>_xlfn.XLOOKUP($F1306,設計座標!$E$13:$E$2301,設計座標!$L$13:$L$2301," ",0,1)</f>
        <v>160</v>
      </c>
      <c r="Z1306">
        <f>SQRT(($M$1305-$M$1301)^2+($N$1305-$N$1301)^2)</f>
        <v>788.97422553802414</v>
      </c>
      <c r="AA1306">
        <f>_xlfn.XLOOKUP($G1306,magnet_list!$A$2:$A$592,magnet_list!$AJ$2:$AJ$592,"n/a",0,1)</f>
        <v>0.17374887133613809</v>
      </c>
      <c r="AB1306">
        <f>_xlfn.XLOOKUP($G1306,magnet_list!$A$2:$A$592,magnet_list!$L$2:$L$592,"n/a",0,1)</f>
        <v>44</v>
      </c>
    </row>
    <row r="1307" spans="1:28">
      <c r="A1307" t="s">
        <v>797</v>
      </c>
      <c r="B1307">
        <v>2</v>
      </c>
      <c r="C1307" t="s">
        <v>804</v>
      </c>
      <c r="D1307" t="s">
        <v>1152</v>
      </c>
      <c r="E1307" t="s">
        <v>804</v>
      </c>
      <c r="F1307" t="s">
        <v>1620</v>
      </c>
      <c r="G1307" t="s">
        <v>2669</v>
      </c>
      <c r="I1307">
        <f>_xlfn.XLOOKUP($F1307,設計座標!$E$13:$E$2301,設計座標!$G$13:$G$2301,"n/a",0,1)</f>
        <v>350.55432266136904</v>
      </c>
      <c r="J1307">
        <f>_xlfn.XLOOKUP($F1307,設計座標!$E$13:$E$2301,設計座標!$H$13:$H$2301,"n/a",0,1)</f>
        <v>-15000</v>
      </c>
      <c r="K1307">
        <f>_xlfn.XLOOKUP($F1307,設計座標!$E$13:$E$2301,設計座標!$I$13:$I$2301,"n/a",0,1)</f>
        <v>-86092.265195460059</v>
      </c>
      <c r="L1307">
        <f>_xlfn.XLOOKUP($F1307,設計座標!$E$13:$E$2301,設計座標!$J$13:$J$2301,"n/a",0,1)</f>
        <v>-270</v>
      </c>
      <c r="M1307" s="2">
        <f t="shared" si="1025"/>
        <v>-14987.902061916644</v>
      </c>
      <c r="N1307" s="2">
        <f t="shared" si="1026"/>
        <v>-86092.265195460059</v>
      </c>
      <c r="O1307" s="23">
        <f t="shared" si="1027"/>
        <v>-271.94519666653275</v>
      </c>
      <c r="P1307" s="1">
        <f t="shared" ref="P1307:P1370" si="1044">$L1307+$T1307</f>
        <v>-270.42465902896095</v>
      </c>
      <c r="Q1307" s="1">
        <f>(Q$1308-Q$1306)/($N$1308-$N$1306)*($N1307-$N$1306)+Q$1306</f>
        <v>12.097938083356837</v>
      </c>
      <c r="R1307">
        <f t="shared" si="1015"/>
        <v>0</v>
      </c>
      <c r="S1307" s="23">
        <f>(S$1308-S$1306)/($N$1308-$N$1306)*($N1307-$N$1306)+S$1306</f>
        <v>-1.9451966665327562</v>
      </c>
      <c r="T1307">
        <f>$S1307+測地線補正!$Q$26*(lattice!$N1307/1000)^3+測地線補正!$P$26*(lattice!$N1307/1000)^2+測地線補正!$O$26*(lattice!$N1307/1000)+測地線補正!$N$26</f>
        <v>-0.42465902896093266</v>
      </c>
      <c r="U1307">
        <f>-ATAN(($P$1315-$P$1307)/ABS($N$1315-$N$1307))</f>
        <v>-7.73321880302757E-5</v>
      </c>
      <c r="V1307">
        <v>0</v>
      </c>
      <c r="W1307">
        <f>ATAN(($M$1315-$M$1307)/ABS($N$1315-$N$1307))</f>
        <v>1.7378841847657446E-4</v>
      </c>
      <c r="X1307">
        <f>SQRT(($M$1307-$M$1305)^2+($N$1307-$N$1305)^2)-$Y$1305/2</f>
        <v>179.75919786051816</v>
      </c>
      <c r="Y1307">
        <f>_xlfn.XLOOKUP($F1307,設計座標!$E$13:$E$2301,設計座標!$L$13:$L$2301," ",0,1)</f>
        <v>1889.4492</v>
      </c>
      <c r="Z1307">
        <f>SQRT(($M$1311-$M$1309)^2+($N$1311-$N$1309)^2)</f>
        <v>415.41990413988219</v>
      </c>
    </row>
    <row r="1308" spans="1:28">
      <c r="A1308" t="s">
        <v>797</v>
      </c>
      <c r="B1308">
        <v>2</v>
      </c>
      <c r="C1308" t="s">
        <v>805</v>
      </c>
      <c r="D1308" t="s">
        <v>806</v>
      </c>
      <c r="F1308" t="s">
        <v>352</v>
      </c>
      <c r="G1308" t="s">
        <v>2670</v>
      </c>
      <c r="I1308">
        <f>_xlfn.XLOOKUP($F1308,設計座標!$E$13:$E$2301,設計座標!$G$13:$G$2301,"n/a",0,1)</f>
        <v>350.94862935857901</v>
      </c>
      <c r="J1308">
        <f>_xlfn.XLOOKUP($F1308,設計座標!$E$13:$E$2301,設計座標!$H$13:$H$2301,"n/a",0,1)</f>
        <v>-15000</v>
      </c>
      <c r="K1308">
        <f>_xlfn.XLOOKUP($F1308,設計座標!$E$13:$E$2301,設計座標!$I$13:$I$2301,"n/a",0,1)</f>
        <v>-86486.571892670006</v>
      </c>
      <c r="L1308">
        <f>_xlfn.XLOOKUP($F1308,設計座標!$E$13:$E$2301,設計座標!$J$13:$J$2301,"n/a",0,1)</f>
        <v>75</v>
      </c>
      <c r="M1308" s="2">
        <f>_xlfn.XLOOKUP($F1308,survey_data!$A$2:$A$833,survey_data!$B$2:$B$833,"n/a",0,1)</f>
        <v>-14987.881072550001</v>
      </c>
      <c r="N1308" s="2">
        <f>_xlfn.XLOOKUP($F1308,survey_data!$A$2:$A$833,survey_data!$C$2:$C$833,"n/a",0,1)</f>
        <v>-86486.571892670006</v>
      </c>
      <c r="O1308" s="23">
        <f>_xlfn.XLOOKUP($F1308,survey_data!$A$2:$A$833,survey_data!$D$2:$D$833,"n/a",0,1)</f>
        <v>73.214894299999997</v>
      </c>
      <c r="P1308" s="1">
        <f t="shared" si="1044"/>
        <v>74.744300776072521</v>
      </c>
      <c r="Q1308" s="1">
        <f t="shared" si="1018"/>
        <v>12.118927449999319</v>
      </c>
      <c r="R1308">
        <f t="shared" si="1015"/>
        <v>0</v>
      </c>
      <c r="S1308" s="23">
        <f t="shared" si="1019"/>
        <v>-1.7851057000000026</v>
      </c>
      <c r="T1308">
        <f>$S1308+測地線補正!$Q$26*(lattice!$N1308/1000)^3+測地線補正!$P$26*(lattice!$N1308/1000)^2+測地線補正!$O$26*(lattice!$N1308/1000)+測地線補正!$N$26</f>
        <v>-0.25569922392748379</v>
      </c>
      <c r="U1308">
        <f>-ATAN(($P$1310-$P$1308)/ABS($N$1310-$N$1308))</f>
        <v>-4.0172762603300957E-5</v>
      </c>
      <c r="V1308">
        <v>0</v>
      </c>
      <c r="W1308">
        <f>ATAN(($M$1310-$M$1308)/ABS($N$1310-$N$1308))</f>
        <v>2.4698101895190863E-4</v>
      </c>
      <c r="X1308" t="s">
        <v>3860</v>
      </c>
      <c r="Y1308">
        <f>_xlfn.XLOOKUP($F1308,設計座標!$E$13:$E$2301,設計座標!$L$13:$L$2301," ",0,1)</f>
        <v>300</v>
      </c>
      <c r="Z1308">
        <f>SQRT(($M$1309-$M$1305)^2+($N$1309-$N$1305)^2)</f>
        <v>789.06389623850043</v>
      </c>
      <c r="AA1308">
        <f>_xlfn.XLOOKUP($G1308,magnet_list!$A$2:$A$592,magnet_list!$AJ$2:$AJ$592,"n/a",0,1)</f>
        <v>0.32714527067797677</v>
      </c>
      <c r="AB1308">
        <f>_xlfn.XLOOKUP($G1308,magnet_list!$A$2:$A$592,magnet_list!$L$2:$L$592,"n/a",0,1)</f>
        <v>120</v>
      </c>
    </row>
    <row r="1309" spans="1:28">
      <c r="A1309" t="s">
        <v>797</v>
      </c>
      <c r="B1309">
        <v>2</v>
      </c>
      <c r="C1309" t="s">
        <v>805</v>
      </c>
      <c r="D1309" t="s">
        <v>1152</v>
      </c>
      <c r="E1309" t="s">
        <v>804</v>
      </c>
      <c r="F1309" t="s">
        <v>721</v>
      </c>
      <c r="G1309" t="s">
        <v>2670</v>
      </c>
      <c r="I1309">
        <f>_xlfn.XLOOKUP($F1309,設計座標!$E$13:$E$2301,設計座標!$G$13:$G$2301,"n/a",0,1)</f>
        <v>351.08362735857901</v>
      </c>
      <c r="J1309">
        <f>_xlfn.XLOOKUP($F1309,設計座標!$E$13:$E$2301,設計座標!$H$13:$H$2301,"n/a",0,1)</f>
        <v>-15000</v>
      </c>
      <c r="K1309">
        <f>_xlfn.XLOOKUP($F1309,設計座標!$E$13:$E$2301,設計座標!$I$13:$I$2301,"n/a",0,1)</f>
        <v>-86621.569892670013</v>
      </c>
      <c r="L1309">
        <f>_xlfn.XLOOKUP($F1309,設計座標!$E$13:$E$2301,設計座標!$J$13:$J$2301,"n/a",0,1)</f>
        <v>75</v>
      </c>
      <c r="M1309" s="2">
        <f t="shared" si="1025"/>
        <v>-14987.847730605727</v>
      </c>
      <c r="N1309" s="2">
        <f t="shared" si="1026"/>
        <v>-86621.569892670013</v>
      </c>
      <c r="O1309" s="23">
        <f t="shared" si="1027"/>
        <v>73.217292211575582</v>
      </c>
      <c r="P1309" s="1">
        <f t="shared" si="1044"/>
        <v>74.749726268001794</v>
      </c>
      <c r="Q1309" s="1">
        <f>(Q$1310-Q$1308)/($N$1310-$N$1308)*($N1309-$N$1308)+Q$1308</f>
        <v>12.152269394273739</v>
      </c>
      <c r="R1309">
        <f t="shared" si="1015"/>
        <v>0</v>
      </c>
      <c r="S1309" s="23">
        <f>(S$1310-S$1308)/($N$1310-$N$1308)*($N1309-$N$1308)+S$1308</f>
        <v>-1.782707788424418</v>
      </c>
      <c r="T1309">
        <f>$S1309+測地線補正!$Q$26*(lattice!$N1309/1000)^3+測地線補正!$P$26*(lattice!$N1309/1000)^2+測地線補正!$O$26*(lattice!$N1309/1000)+測地線補正!$N$26</f>
        <v>-0.25027373199821246</v>
      </c>
      <c r="U1309">
        <f t="shared" ref="U1309:U1310" si="1045">-ATAN(($P$1310-$P$1308)/ABS($N$1310-$N$1308))</f>
        <v>-4.0172762603300957E-5</v>
      </c>
      <c r="V1309">
        <v>0</v>
      </c>
      <c r="W1309">
        <f t="shared" ref="W1309:W1310" si="1046">ATAN(($M$1310-$M$1308)/ABS($N$1310-$N$1308))</f>
        <v>2.4698101895190863E-4</v>
      </c>
      <c r="X1309" t="s">
        <v>3860</v>
      </c>
      <c r="Y1309">
        <f>_xlfn.XLOOKUP($F1309,設計座標!$E$13:$E$2301,設計座標!$L$13:$L$2301," ",0,1)</f>
        <v>300</v>
      </c>
      <c r="Z1309">
        <f>SQRT(($M$1309-$M$1305)^2+($N$1309-$N$1305)^2)</f>
        <v>789.06389623850043</v>
      </c>
      <c r="AA1309">
        <f>_xlfn.XLOOKUP($G1309,magnet_list!$A$2:$A$592,magnet_list!$AJ$2:$AJ$592,"n/a",0,1)</f>
        <v>0.32714527067797677</v>
      </c>
      <c r="AB1309">
        <f>_xlfn.XLOOKUP($G1309,magnet_list!$A$2:$A$592,magnet_list!$L$2:$L$592,"n/a",0,1)</f>
        <v>120</v>
      </c>
    </row>
    <row r="1310" spans="1:28">
      <c r="A1310" t="s">
        <v>797</v>
      </c>
      <c r="B1310">
        <v>2</v>
      </c>
      <c r="C1310" t="s">
        <v>805</v>
      </c>
      <c r="D1310" t="s">
        <v>806</v>
      </c>
      <c r="F1310" t="s">
        <v>353</v>
      </c>
      <c r="G1310" t="s">
        <v>2670</v>
      </c>
      <c r="I1310">
        <f>_xlfn.XLOOKUP($F1310,設計座標!$E$13:$E$2301,設計座標!$G$13:$G$2301,"n/a",0,1)</f>
        <v>351.218616173469</v>
      </c>
      <c r="J1310">
        <f>_xlfn.XLOOKUP($F1310,設計座標!$E$13:$E$2301,設計座標!$H$13:$H$2301,"n/a",0,1)</f>
        <v>-15000</v>
      </c>
      <c r="K1310">
        <f>_xlfn.XLOOKUP($F1310,設計座標!$E$13:$E$2301,設計座標!$I$13:$I$2301,"n/a",0,1)</f>
        <v>-86756.558707560005</v>
      </c>
      <c r="L1310">
        <f>_xlfn.XLOOKUP($F1310,設計座標!$E$13:$E$2301,設計座標!$J$13:$J$2301,"n/a",0,1)</f>
        <v>75</v>
      </c>
      <c r="M1310" s="2">
        <f>_xlfn.XLOOKUP($F1310,survey_data!$A$2:$A$833,survey_data!$B$2:$B$833,"n/a",0,1)</f>
        <v>-14987.81439093</v>
      </c>
      <c r="N1310" s="2">
        <f>_xlfn.XLOOKUP($F1310,survey_data!$A$2:$A$833,survey_data!$C$2:$C$833,"n/a",0,1)</f>
        <v>-86756.558707560005</v>
      </c>
      <c r="O1310" s="23">
        <f>_xlfn.XLOOKUP($F1310,survey_data!$A$2:$A$833,survey_data!$D$2:$D$833,"n/a",0,1)</f>
        <v>73.219689959999997</v>
      </c>
      <c r="P1310" s="1">
        <f t="shared" si="1044"/>
        <v>74.755146892298953</v>
      </c>
      <c r="Q1310" s="1">
        <f t="shared" si="1018"/>
        <v>12.185609070000282</v>
      </c>
      <c r="R1310">
        <f t="shared" si="1015"/>
        <v>0</v>
      </c>
      <c r="S1310" s="23">
        <f t="shared" si="1019"/>
        <v>-1.7803100400000034</v>
      </c>
      <c r="T1310">
        <f>$S1310+測地線補正!$Q$26*(lattice!$N1310/1000)^3+測地線補正!$P$26*(lattice!$N1310/1000)^2+測地線補正!$O$26*(lattice!$N1310/1000)+測地線補正!$N$26</f>
        <v>-0.24485310770104562</v>
      </c>
      <c r="U1310">
        <f t="shared" si="1045"/>
        <v>-4.0172762603300957E-5</v>
      </c>
      <c r="V1310">
        <v>0</v>
      </c>
      <c r="W1310">
        <f t="shared" si="1046"/>
        <v>2.4698101895190863E-4</v>
      </c>
      <c r="X1310" t="s">
        <v>3860</v>
      </c>
      <c r="Y1310">
        <f>_xlfn.XLOOKUP($F1310,設計座標!$E$13:$E$2301,設計座標!$L$13:$L$2301," ",0,1)</f>
        <v>300</v>
      </c>
      <c r="Z1310">
        <f>SQRT(($M$1309-$M$1305)^2+($N$1309-$N$1305)^2)</f>
        <v>789.06389623850043</v>
      </c>
      <c r="AA1310">
        <f>_xlfn.XLOOKUP($G1310,magnet_list!$A$2:$A$592,magnet_list!$AJ$2:$AJ$592,"n/a",0,1)</f>
        <v>0.32714527067797677</v>
      </c>
      <c r="AB1310">
        <f>_xlfn.XLOOKUP($G1310,magnet_list!$A$2:$A$592,magnet_list!$L$2:$L$592,"n/a",0,1)</f>
        <v>120</v>
      </c>
    </row>
    <row r="1311" spans="1:28">
      <c r="A1311" t="s">
        <v>797</v>
      </c>
      <c r="B1311">
        <v>2</v>
      </c>
      <c r="C1311" t="s">
        <v>804</v>
      </c>
      <c r="D1311" t="s">
        <v>1152</v>
      </c>
      <c r="E1311" t="s">
        <v>804</v>
      </c>
      <c r="F1311" t="s">
        <v>1358</v>
      </c>
      <c r="G1311" t="s">
        <v>2669</v>
      </c>
      <c r="I1311">
        <f>_xlfn.XLOOKUP($F1311,設計座標!$E$13:$E$2301,設計座標!$G$13:$G$2301,"n/a",0,1)</f>
        <v>351.49904726136907</v>
      </c>
      <c r="J1311">
        <f>_xlfn.XLOOKUP($F1311,設計座標!$E$13:$E$2301,設計座標!$H$13:$H$2301,"n/a",0,1)</f>
        <v>-15000</v>
      </c>
      <c r="K1311">
        <f>_xlfn.XLOOKUP($F1311,設計座標!$E$13:$E$2301,設計座標!$I$13:$I$2301,"n/a",0,1)</f>
        <v>-87036.98979546006</v>
      </c>
      <c r="L1311">
        <f>_xlfn.XLOOKUP($F1311,設計座標!$E$13:$E$2301,設計座標!$J$13:$J$2301,"n/a",0,1)</f>
        <v>-270</v>
      </c>
      <c r="M1311" s="2">
        <f t="shared" si="1025"/>
        <v>-14987.814241846811</v>
      </c>
      <c r="N1311" s="2">
        <f t="shared" si="1026"/>
        <v>-87036.98979546006</v>
      </c>
      <c r="O1311" s="23">
        <f t="shared" si="1027"/>
        <v>-271.73211933812775</v>
      </c>
      <c r="P1311" s="1">
        <f t="shared" si="1044"/>
        <v>-270.19039693493454</v>
      </c>
      <c r="Q1311" s="1">
        <f>(Q$1312-Q$1310)/($N$1312-$N$1310)*($N1311-$N$1310)+Q$1310</f>
        <v>12.185758153188956</v>
      </c>
      <c r="R1311">
        <f t="shared" si="1015"/>
        <v>0</v>
      </c>
      <c r="S1311" s="23">
        <f>(S$1312-S$1310)/($N$1312-$N$1310)*($N1311-$N$1310)+S$1310</f>
        <v>-1.7321193381277524</v>
      </c>
      <c r="T1311">
        <f>$S1311+測地線補正!$Q$26*(lattice!$N1311/1000)^3+測地線補正!$P$26*(lattice!$N1311/1000)^2+測地線補正!$O$26*(lattice!$N1311/1000)+測地線補正!$N$26</f>
        <v>-0.19039693493455201</v>
      </c>
      <c r="U1311">
        <f>-ATAN(($P$1315-$P$1307)/ABS($N$1315-$N$1307))</f>
        <v>-7.73321880302757E-5</v>
      </c>
      <c r="V1311">
        <v>0</v>
      </c>
      <c r="W1311">
        <f>ATAN(($M$1315-$M$1307)/ABS($N$1315-$N$1307))</f>
        <v>1.7378841847657446E-4</v>
      </c>
      <c r="X1311" t="s">
        <v>3860</v>
      </c>
      <c r="Y1311">
        <f>_xlfn.XLOOKUP($F1311,設計座標!$E$13:$E$2301,設計座標!$L$13:$L$2301," ",0,1)</f>
        <v>1889.4492</v>
      </c>
      <c r="Z1311">
        <f>SQRT(($M$1311-$M$1309)^2+($N$1311-$N$1309)^2)</f>
        <v>415.41990413988219</v>
      </c>
    </row>
    <row r="1312" spans="1:28">
      <c r="A1312" t="s">
        <v>797</v>
      </c>
      <c r="B1312">
        <v>2</v>
      </c>
      <c r="C1312" t="s">
        <v>805</v>
      </c>
      <c r="D1312" t="s">
        <v>806</v>
      </c>
      <c r="F1312" t="s">
        <v>354</v>
      </c>
      <c r="G1312" t="s">
        <v>2671</v>
      </c>
      <c r="I1312">
        <f>_xlfn.XLOOKUP($F1312,設計座標!$E$13:$E$2301,設計座標!$G$13:$G$2301,"n/a",0,1)</f>
        <v>351.75858683576899</v>
      </c>
      <c r="J1312">
        <f>_xlfn.XLOOKUP($F1312,設計座標!$E$13:$E$2301,設計座標!$H$13:$H$2301,"n/a",0,1)</f>
        <v>-15000</v>
      </c>
      <c r="K1312">
        <f>_xlfn.XLOOKUP($F1312,設計座標!$E$13:$E$2301,設計座標!$I$13:$I$2301,"n/a",0,1)</f>
        <v>-87296.52936986</v>
      </c>
      <c r="L1312">
        <f>_xlfn.XLOOKUP($F1312,設計座標!$E$13:$E$2301,設計座標!$J$13:$J$2301,"n/a",0,1)</f>
        <v>75</v>
      </c>
      <c r="M1312" s="2">
        <f>_xlfn.XLOOKUP($F1312,survey_data!$A$2:$A$833,survey_data!$B$2:$B$833,"n/a",0,1)</f>
        <v>-14987.81410387</v>
      </c>
      <c r="N1312" s="2">
        <f>_xlfn.XLOOKUP($F1312,survey_data!$A$2:$A$833,survey_data!$C$2:$C$833,"n/a",0,1)</f>
        <v>-87296.52936986</v>
      </c>
      <c r="O1312" s="23">
        <f>_xlfn.XLOOKUP($F1312,survey_data!$A$2:$A$833,survey_data!$D$2:$D$833,"n/a",0,1)</f>
        <v>73.312481259999998</v>
      </c>
      <c r="P1312" s="1">
        <f t="shared" si="1044"/>
        <v>74.859985095106268</v>
      </c>
      <c r="Q1312" s="1">
        <f t="shared" si="1018"/>
        <v>12.185896130000401</v>
      </c>
      <c r="R1312">
        <f t="shared" si="1015"/>
        <v>0</v>
      </c>
      <c r="S1312" s="23">
        <f t="shared" si="1019"/>
        <v>-1.6875187400000016</v>
      </c>
      <c r="T1312">
        <f>$S1312+測地線補正!$Q$26*(lattice!$N1312/1000)^3+測地線補正!$P$26*(lattice!$N1312/1000)^2+測地線補正!$O$26*(lattice!$N1312/1000)+測地線補正!$N$26</f>
        <v>-0.14001490489373514</v>
      </c>
      <c r="U1312">
        <f>-ATAN(($P$1314-$P$1312)/ABS($N$1314-$N$1312))</f>
        <v>-1.5932221671407967E-4</v>
      </c>
      <c r="V1312">
        <v>0</v>
      </c>
      <c r="W1312">
        <f>ATAN(($M$1314-$M$1312)/ABS($N$1314-$N$1312))</f>
        <v>2.3218092838357766E-4</v>
      </c>
      <c r="X1312" t="s">
        <v>3860</v>
      </c>
      <c r="Y1312">
        <f>_xlfn.XLOOKUP($F1312,設計座標!$E$13:$E$2301,設計座標!$L$13:$L$2301," ",0,1)</f>
        <v>300</v>
      </c>
      <c r="Z1312">
        <f>SQRT(($M$1313-$M$1311)^2+($N$1313-$N$1311)^2)</f>
        <v>394.5320756558915</v>
      </c>
      <c r="AA1312">
        <f>_xlfn.XLOOKUP($G1312,magnet_list!$A$2:$A$592,magnet_list!$AJ$2:$AJ$592,"n/a",0,1)</f>
        <v>0.32714527067797677</v>
      </c>
      <c r="AB1312">
        <f>_xlfn.XLOOKUP($G1312,magnet_list!$A$2:$A$592,magnet_list!$L$2:$L$592,"n/a",0,1)</f>
        <v>120</v>
      </c>
    </row>
    <row r="1313" spans="1:28">
      <c r="A1313" t="s">
        <v>797</v>
      </c>
      <c r="B1313">
        <v>2</v>
      </c>
      <c r="C1313" t="s">
        <v>805</v>
      </c>
      <c r="D1313" t="s">
        <v>1152</v>
      </c>
      <c r="E1313" t="s">
        <v>804</v>
      </c>
      <c r="F1313" t="s">
        <v>722</v>
      </c>
      <c r="G1313" t="s">
        <v>2671</v>
      </c>
      <c r="I1313">
        <f>_xlfn.XLOOKUP($F1313,設計座標!$E$13:$E$2301,設計座標!$G$13:$G$2301,"n/a",0,1)</f>
        <v>351.893579335769</v>
      </c>
      <c r="J1313">
        <f>_xlfn.XLOOKUP($F1313,設計座標!$E$13:$E$2301,設計座標!$H$13:$H$2301,"n/a",0,1)</f>
        <v>-15000</v>
      </c>
      <c r="K1313">
        <f>_xlfn.XLOOKUP($F1313,設計座標!$E$13:$E$2301,設計座標!$I$13:$I$2301,"n/a",0,1)</f>
        <v>-87431.521869859993</v>
      </c>
      <c r="L1313">
        <f>_xlfn.XLOOKUP($F1313,設計座標!$E$13:$E$2301,設計座標!$J$13:$J$2301,"n/a",0,1)</f>
        <v>75</v>
      </c>
      <c r="M1313" s="2">
        <f t="shared" si="1025"/>
        <v>-14987.782761185461</v>
      </c>
      <c r="N1313" s="2">
        <f t="shared" si="1026"/>
        <v>-87431.521869859993</v>
      </c>
      <c r="O1313" s="23">
        <f t="shared" si="1027"/>
        <v>73.330990312378276</v>
      </c>
      <c r="P1313" s="1">
        <f t="shared" si="1044"/>
        <v>74.881494643056442</v>
      </c>
      <c r="Q1313" s="1">
        <f>(Q$1314-Q$1312)/($N$1314-$N$1312)*($N1313-$N$1312)+Q$1312</f>
        <v>12.217238814538426</v>
      </c>
      <c r="R1313">
        <f t="shared" si="1015"/>
        <v>0</v>
      </c>
      <c r="S1313" s="23">
        <f>(S$1314-S$1312)/($N$1314-$N$1312)*($N1313-$N$1312)+S$1312</f>
        <v>-1.6690096876217289</v>
      </c>
      <c r="T1313">
        <f>$S1313+測地線補正!$Q$26*(lattice!$N1313/1000)^3+測地線補正!$P$26*(lattice!$N1313/1000)^2+測地線補正!$O$26*(lattice!$N1313/1000)+測地線補正!$N$26</f>
        <v>-0.11850535694356412</v>
      </c>
      <c r="U1313">
        <f t="shared" ref="U1313:U1314" si="1047">-ATAN(($P$1314-$P$1312)/ABS($N$1314-$N$1312))</f>
        <v>-1.5932221671407967E-4</v>
      </c>
      <c r="V1313">
        <v>0</v>
      </c>
      <c r="W1313">
        <f t="shared" ref="W1313:W1314" si="1048">ATAN(($M$1314-$M$1312)/ABS($N$1314-$N$1312))</f>
        <v>2.3218092838357766E-4</v>
      </c>
      <c r="X1313" t="s">
        <v>3860</v>
      </c>
      <c r="Y1313">
        <f>_xlfn.XLOOKUP($F1313,設計座標!$E$13:$E$2301,設計座標!$L$13:$L$2301," ",0,1)</f>
        <v>300</v>
      </c>
      <c r="Z1313">
        <f>SQRT(($M$1313-$M$1311)^2+($N$1313-$N$1311)^2)</f>
        <v>394.5320756558915</v>
      </c>
      <c r="AA1313">
        <f>_xlfn.XLOOKUP($G1313,magnet_list!$A$2:$A$592,magnet_list!$AJ$2:$AJ$592,"n/a",0,1)</f>
        <v>0.32714527067797677</v>
      </c>
      <c r="AB1313">
        <f>_xlfn.XLOOKUP($G1313,magnet_list!$A$2:$A$592,magnet_list!$L$2:$L$592,"n/a",0,1)</f>
        <v>120</v>
      </c>
    </row>
    <row r="1314" spans="1:28">
      <c r="A1314" t="s">
        <v>797</v>
      </c>
      <c r="B1314">
        <v>2</v>
      </c>
      <c r="C1314" t="s">
        <v>805</v>
      </c>
      <c r="D1314" t="s">
        <v>806</v>
      </c>
      <c r="F1314" t="s">
        <v>355</v>
      </c>
      <c r="G1314" t="s">
        <v>2671</v>
      </c>
      <c r="I1314">
        <f>_xlfn.XLOOKUP($F1314,設計座標!$E$13:$E$2301,設計座標!$G$13:$G$2301,"n/a",0,1)</f>
        <v>352.02858062599898</v>
      </c>
      <c r="J1314">
        <f>_xlfn.XLOOKUP($F1314,設計座標!$E$13:$E$2301,設計座標!$H$13:$H$2301,"n/a",0,1)</f>
        <v>-15000</v>
      </c>
      <c r="K1314">
        <f>_xlfn.XLOOKUP($F1314,設計座標!$E$13:$E$2301,設計座標!$I$13:$I$2301,"n/a",0,1)</f>
        <v>-87566.523160090001</v>
      </c>
      <c r="L1314">
        <f>_xlfn.XLOOKUP($F1314,設計座標!$E$13:$E$2301,設計座標!$J$13:$J$2301,"n/a",0,1)</f>
        <v>75</v>
      </c>
      <c r="M1314" s="2">
        <f>_xlfn.XLOOKUP($F1314,survey_data!$A$2:$A$833,survey_data!$B$2:$B$833,"n/a",0,1)</f>
        <v>-14987.75141646</v>
      </c>
      <c r="N1314" s="2">
        <f>_xlfn.XLOOKUP($F1314,survey_data!$A$2:$A$833,survey_data!$C$2:$C$833,"n/a",0,1)</f>
        <v>-87566.523160090001</v>
      </c>
      <c r="O1314" s="23">
        <f>_xlfn.XLOOKUP($F1314,survey_data!$A$2:$A$833,survey_data!$D$2:$D$833,"n/a",0,1)</f>
        <v>73.349500570000004</v>
      </c>
      <c r="P1314" s="1">
        <f t="shared" si="1044"/>
        <v>74.903001104628714</v>
      </c>
      <c r="Q1314" s="1">
        <f t="shared" si="1018"/>
        <v>12.248583540000254</v>
      </c>
      <c r="R1314">
        <f t="shared" si="1015"/>
        <v>0</v>
      </c>
      <c r="S1314" s="23">
        <f t="shared" si="1019"/>
        <v>-1.6504994299999964</v>
      </c>
      <c r="T1314">
        <f>$S1314+測地線補正!$Q$26*(lattice!$N1314/1000)^3+測地線補正!$P$26*(lattice!$N1314/1000)^2+測地線補正!$O$26*(lattice!$N1314/1000)+測地線補正!$N$26</f>
        <v>-9.6998895371289473E-2</v>
      </c>
      <c r="U1314">
        <f t="shared" si="1047"/>
        <v>-1.5932221671407967E-4</v>
      </c>
      <c r="V1314">
        <v>0</v>
      </c>
      <c r="W1314">
        <f t="shared" si="1048"/>
        <v>2.3218092838357766E-4</v>
      </c>
      <c r="X1314" t="s">
        <v>3860</v>
      </c>
      <c r="Y1314">
        <f>_xlfn.XLOOKUP($F1314,設計座標!$E$13:$E$2301,設計座標!$L$13:$L$2301," ",0,1)</f>
        <v>300</v>
      </c>
      <c r="Z1314">
        <f>SQRT(($M$1313-$M$1311)^2+($N$1313-$N$1311)^2)</f>
        <v>394.5320756558915</v>
      </c>
      <c r="AA1314">
        <f>_xlfn.XLOOKUP($G1314,magnet_list!$A$2:$A$592,magnet_list!$AJ$2:$AJ$592,"n/a",0,1)</f>
        <v>0.32714527067797677</v>
      </c>
      <c r="AB1314">
        <f>_xlfn.XLOOKUP($G1314,magnet_list!$A$2:$A$592,magnet_list!$L$2:$L$592,"n/a",0,1)</f>
        <v>120</v>
      </c>
    </row>
    <row r="1315" spans="1:28">
      <c r="A1315" t="s">
        <v>797</v>
      </c>
      <c r="B1315">
        <v>2</v>
      </c>
      <c r="C1315" t="s">
        <v>804</v>
      </c>
      <c r="D1315" t="s">
        <v>1152</v>
      </c>
      <c r="E1315" t="s">
        <v>804</v>
      </c>
      <c r="F1315" t="s">
        <v>1621</v>
      </c>
      <c r="G1315" t="s">
        <v>2669</v>
      </c>
      <c r="I1315">
        <f>_xlfn.XLOOKUP($F1315,設計座標!$E$13:$E$2301,設計座標!$G$13:$G$2301,"n/a",0,1)</f>
        <v>352.4437718613691</v>
      </c>
      <c r="J1315">
        <f>_xlfn.XLOOKUP($F1315,設計座標!$E$13:$E$2301,設計座標!$H$13:$H$2301,"n/a",0,1)</f>
        <v>-15000</v>
      </c>
      <c r="K1315">
        <f>_xlfn.XLOOKUP($F1315,設計座標!$E$13:$E$2301,設計座標!$I$13:$I$2301,"n/a",0,1)</f>
        <v>-87981.714395460061</v>
      </c>
      <c r="L1315">
        <f>_xlfn.XLOOKUP($F1315,設計座標!$E$13:$E$2301,設計座標!$J$13:$J$2301,"n/a",0,1)</f>
        <v>-270</v>
      </c>
      <c r="M1315" s="2">
        <f t="shared" si="1025"/>
        <v>-14987.573697525078</v>
      </c>
      <c r="N1315" s="2">
        <f t="shared" si="1026"/>
        <v>-87981.714395460061</v>
      </c>
      <c r="O1315" s="23">
        <f t="shared" si="1027"/>
        <v>-271.84123093205193</v>
      </c>
      <c r="P1315" s="1">
        <f t="shared" si="1044"/>
        <v>-270.27854378786162</v>
      </c>
      <c r="Q1315" s="1">
        <f>(Q$1317-Q$1314)/($N$1317-$N$1314)*($N1315-$N$1314)+Q$1314</f>
        <v>12.42630247492075</v>
      </c>
      <c r="R1315">
        <f t="shared" si="1015"/>
        <v>0</v>
      </c>
      <c r="S1315" s="23">
        <f t="shared" ref="S1315:S1316" si="1049">(S$1317-S$1314)/($N$1317-$N$1314)*($N1315-$N$1314)+S$1314</f>
        <v>-1.8412309320519482</v>
      </c>
      <c r="T1315">
        <f>$S1315+測地線補正!$Q$26*(lattice!$N1315/1000)^3+測地線補正!$P$26*(lattice!$N1315/1000)^2+測地線補正!$O$26*(lattice!$N1315/1000)+測地線補正!$N$26</f>
        <v>-0.27854378786160905</v>
      </c>
      <c r="U1315">
        <f>-ATAN(($P$1315-$P$1307)/ABS($N$1315-$N$1307))</f>
        <v>-7.73321880302757E-5</v>
      </c>
      <c r="V1315">
        <v>0</v>
      </c>
      <c r="W1315">
        <f>ATAN(($M$1315-$M$1307)/ABS($N$1315-$N$1307))</f>
        <v>1.7378841847657446E-4</v>
      </c>
      <c r="X1315" t="s">
        <v>3860</v>
      </c>
      <c r="Y1315">
        <f>_xlfn.XLOOKUP($F1315,設計座標!$E$13:$E$2301,設計座標!$L$13:$L$2301," ",0,1)</f>
        <v>1889.4492</v>
      </c>
      <c r="Z1315">
        <f>SQRT(($M$1311-$M$1309)^2+($N$1311-$N$1309)^2)</f>
        <v>415.41990413988219</v>
      </c>
    </row>
    <row r="1316" spans="1:28">
      <c r="A1316" t="s">
        <v>797</v>
      </c>
      <c r="B1316">
        <v>2</v>
      </c>
      <c r="C1316" t="s">
        <v>1152</v>
      </c>
      <c r="D1316" t="s">
        <v>1152</v>
      </c>
      <c r="E1316" t="s">
        <v>804</v>
      </c>
      <c r="F1316" t="s">
        <v>2093</v>
      </c>
      <c r="G1316" t="s">
        <v>2093</v>
      </c>
      <c r="I1316">
        <f>_xlfn.XLOOKUP($F1316,設計座標!$E$13:$E$2301,設計座標!$G$13:$G$2301,"n/a",0,1)</f>
        <v>352.57377236136909</v>
      </c>
      <c r="J1316">
        <f>_xlfn.XLOOKUP($F1316,設計座標!$E$13:$E$2301,設計座標!$H$13:$H$2301,"n/a",0,1)</f>
        <v>-15000</v>
      </c>
      <c r="K1316">
        <f>_xlfn.XLOOKUP($F1316,設計座標!$E$13:$E$2301,設計座標!$I$13:$I$2301,"n/a",0,1)</f>
        <v>-88111.714895460056</v>
      </c>
      <c r="L1316">
        <f>_xlfn.XLOOKUP($F1316,設計座標!$E$13:$E$2301,設計座標!$J$13:$J$2301,"n/a",0,1)</f>
        <v>-270</v>
      </c>
      <c r="M1316" s="2">
        <f t="shared" si="1025"/>
        <v>-14987.518051961226</v>
      </c>
      <c r="N1316" s="2">
        <f t="shared" si="1026"/>
        <v>-88111.714895460056</v>
      </c>
      <c r="O1316" s="23">
        <f t="shared" si="1027"/>
        <v>-271.90095085993147</v>
      </c>
      <c r="P1316" s="1">
        <f t="shared" si="1044"/>
        <v>-270.33539600877396</v>
      </c>
      <c r="Q1316" s="1">
        <f>(Q$1317-Q$1314)/($N$1317-$N$1314)*($N1316-$N$1314)+Q$1314</f>
        <v>12.481948038774087</v>
      </c>
      <c r="R1316">
        <f t="shared" si="1015"/>
        <v>0</v>
      </c>
      <c r="S1316" s="23">
        <f t="shared" si="1049"/>
        <v>-1.900950859931456</v>
      </c>
      <c r="T1316">
        <f>$S1316+測地線補正!$Q$26*(lattice!$N1316/1000)^3+測地線補正!$P$26*(lattice!$N1316/1000)^2+測地線補正!$O$26*(lattice!$N1316/1000)+測地線補正!$N$26</f>
        <v>-0.33539600877395581</v>
      </c>
      <c r="U1316">
        <v>0</v>
      </c>
      <c r="V1316">
        <v>0</v>
      </c>
      <c r="W1316">
        <v>0</v>
      </c>
      <c r="X1316">
        <f>SQRT(($M$1316-$M$1315)^2+($N$1316-$N$1315)^2)</f>
        <v>130.00051190928974</v>
      </c>
      <c r="Y1316">
        <f>_xlfn.XLOOKUP($F1316,設計座標!$E$13:$E$2301,設計座標!$L$13:$L$2301," ",0,1)</f>
        <v>0</v>
      </c>
      <c r="Z1316">
        <f>SQRT(($M$1316-$M$1313)^2+($N$1316-$N$1313)^2)</f>
        <v>680.19307710821477</v>
      </c>
    </row>
    <row r="1317" spans="1:28">
      <c r="A1317" t="s">
        <v>797</v>
      </c>
      <c r="B1317">
        <v>2</v>
      </c>
      <c r="C1317" t="s">
        <v>805</v>
      </c>
      <c r="D1317" t="s">
        <v>1152</v>
      </c>
      <c r="F1317" t="s">
        <v>356</v>
      </c>
      <c r="G1317" t="s">
        <v>356</v>
      </c>
      <c r="I1317">
        <f>_xlfn.XLOOKUP($F1317,設計座標!$E$13:$E$2301,設計座標!$G$13:$G$2301,"n/a",0,1)</f>
        <v>352.74191042658902</v>
      </c>
      <c r="J1317">
        <f>_xlfn.XLOOKUP($F1317,設計座標!$E$13:$E$2301,設計座標!$H$13:$H$2301,"n/a",0,1)</f>
        <v>-15000</v>
      </c>
      <c r="K1317">
        <f>_xlfn.XLOOKUP($F1317,設計座標!$E$13:$E$2301,設計座標!$I$13:$I$2301,"n/a",0,1)</f>
        <v>-88279.85296068</v>
      </c>
      <c r="L1317">
        <f>_xlfn.XLOOKUP($F1317,設計座標!$E$13:$E$2301,設計座標!$J$13:$J$2301,"n/a",0,1)</f>
        <v>-60</v>
      </c>
      <c r="M1317" s="2">
        <f>_xlfn.XLOOKUP($F1317,survey_data!$A$2:$A$833,survey_data!$B$2:$B$833,"n/a",0,1)</f>
        <v>-14987.44608195</v>
      </c>
      <c r="N1317" s="2">
        <f>_xlfn.XLOOKUP($F1317,survey_data!$A$2:$A$833,survey_data!$C$2:$C$833,"n/a",0,1)</f>
        <v>-88279.85296068</v>
      </c>
      <c r="O1317" s="23">
        <f>_xlfn.XLOOKUP($F1317,survey_data!$A$2:$A$833,survey_data!$D$2:$D$833,"n/a",0,1)</f>
        <v>-61.978190509999997</v>
      </c>
      <c r="P1317" s="1">
        <f t="shared" si="1044"/>
        <v>-60.408932824481774</v>
      </c>
      <c r="Q1317" s="1">
        <f t="shared" si="1018"/>
        <v>12.553918049999993</v>
      </c>
      <c r="R1317">
        <f t="shared" si="1015"/>
        <v>0</v>
      </c>
      <c r="S1317" s="23">
        <f t="shared" si="1019"/>
        <v>-1.9781905099999975</v>
      </c>
      <c r="T1317">
        <f>$S1317+測地線補正!$Q$26*(lattice!$N1317/1000)^3+測地線補正!$P$26*(lattice!$N1317/1000)^2+測地線補正!$O$26*(lattice!$N1317/1000)+測地線補正!$N$26</f>
        <v>-0.4089328244817747</v>
      </c>
      <c r="U1317">
        <f>-ATAN(($P$1318-$P$1317)/ABS($N$1318-$N$1317))</f>
        <v>-9.8799223222782533E-4</v>
      </c>
      <c r="V1317">
        <v>0</v>
      </c>
      <c r="W1317">
        <f>ATAN(($M$1318-$M$1317)/ABS($N$1318-$N$1317))</f>
        <v>-7.7314731472025589E-4</v>
      </c>
      <c r="X1317">
        <f>$Z$1318-($Y$1318+$Y$1316)/2</f>
        <v>148.13806926682318</v>
      </c>
      <c r="Y1317">
        <f>_xlfn.XLOOKUP($F1317,設計座標!$E$13:$E$2301,設計座標!$L$13:$L$2301," ",0,1)</f>
        <v>120</v>
      </c>
      <c r="Z1317">
        <f>SQRT(($M$1318-$M$1316)^2+($N$1318-$N$1316)^2)</f>
        <v>208.13806926682318</v>
      </c>
      <c r="AA1317">
        <f>_xlfn.XLOOKUP($G1317,magnet_list!$A$2:$A$592,magnet_list!$AJ$2:$AJ$592,"n/a",0,1)</f>
        <v>0.1333</v>
      </c>
      <c r="AB1317">
        <f>_xlfn.XLOOKUP($G1317,magnet_list!$A$2:$A$592,magnet_list!$L$2:$L$592,"n/a",0,1)</f>
        <v>23</v>
      </c>
    </row>
    <row r="1318" spans="1:28">
      <c r="A1318" t="s">
        <v>797</v>
      </c>
      <c r="B1318">
        <v>2</v>
      </c>
      <c r="C1318" t="s">
        <v>805</v>
      </c>
      <c r="D1318" t="s">
        <v>1152</v>
      </c>
      <c r="E1318" t="s">
        <v>804</v>
      </c>
      <c r="F1318" t="s">
        <v>1153</v>
      </c>
      <c r="G1318" t="s">
        <v>356</v>
      </c>
      <c r="I1318">
        <f>_xlfn.XLOOKUP($F1318,設計座標!$E$13:$E$2301,設計座標!$G$13:$G$2301,"n/a",0,1)</f>
        <v>352.78191042658904</v>
      </c>
      <c r="J1318">
        <f>_xlfn.XLOOKUP($F1318,設計座標!$E$13:$E$2301,設計座標!$H$13:$H$2301,"n/a",0,1)</f>
        <v>-15000</v>
      </c>
      <c r="K1318">
        <f>_xlfn.XLOOKUP($F1318,設計座標!$E$13:$E$2301,設計座標!$I$13:$I$2301,"n/a",0,1)</f>
        <v>-88319.85296068</v>
      </c>
      <c r="L1318">
        <f>_xlfn.XLOOKUP($F1318,設計座標!$E$13:$E$2301,設計座標!$J$13:$J$2301,"n/a",0,1)</f>
        <v>-60</v>
      </c>
      <c r="M1318" s="2">
        <f t="shared" si="1025"/>
        <v>-14987.477007848751</v>
      </c>
      <c r="N1318" s="2">
        <f t="shared" si="1026"/>
        <v>-88319.85296068</v>
      </c>
      <c r="O1318" s="23">
        <f t="shared" si="1027"/>
        <v>-61.939550688982415</v>
      </c>
      <c r="P1318" s="1">
        <f t="shared" si="1044"/>
        <v>-60.369413122333889</v>
      </c>
      <c r="Q1318" s="1">
        <f>(Q$1319-Q$1317)/($N$1319-$N$1317)*($N1318-$N$1317)+Q$1317</f>
        <v>12.522992151248342</v>
      </c>
      <c r="R1318">
        <f t="shared" si="1015"/>
        <v>0</v>
      </c>
      <c r="S1318" s="23">
        <f>(S$1319-S$1317)/($N$1319-$N$1317)*($N1318-$N$1317)+S$1317</f>
        <v>-1.9395506889824159</v>
      </c>
      <c r="T1318">
        <f>$S1318+測地線補正!$Q$26*(lattice!$N1318/1000)^3+測地線補正!$P$26*(lattice!$N1318/1000)^2+測地線補正!$O$26*(lattice!$N1318/1000)+測地線補正!$N$26</f>
        <v>-0.36941312233389145</v>
      </c>
      <c r="U1318">
        <f>-ATAN(($P$1318-$P$1317)/ABS($N$1318-$N$1317))</f>
        <v>-9.8799223222782533E-4</v>
      </c>
      <c r="V1318">
        <v>0</v>
      </c>
      <c r="W1318">
        <f>ATAN(($M$1318-$M$1317)/ABS($N$1318-$N$1317))</f>
        <v>-7.7314731472025589E-4</v>
      </c>
      <c r="X1318">
        <f>$Z$1318-($Y$1318+$Y$1316)/2</f>
        <v>148.13806926682318</v>
      </c>
      <c r="Y1318">
        <f>_xlfn.XLOOKUP($F1318,設計座標!$E$13:$E$2301,設計座標!$L$13:$L$2301," ",0,1)</f>
        <v>120</v>
      </c>
      <c r="Z1318">
        <f>SQRT(($M$1318-$M$1316)^2+($N$1318-$N$1316)^2)</f>
        <v>208.13806926682318</v>
      </c>
      <c r="AA1318">
        <f>_xlfn.XLOOKUP($G1318,magnet_list!$A$2:$A$592,magnet_list!$AJ$2:$AJ$592,"n/a",0,1)</f>
        <v>0.1333</v>
      </c>
      <c r="AB1318">
        <f>_xlfn.XLOOKUP($G1318,magnet_list!$A$2:$A$592,magnet_list!$L$2:$L$592,"n/a",0,1)</f>
        <v>23</v>
      </c>
    </row>
    <row r="1319" spans="1:28">
      <c r="A1319" t="s">
        <v>797</v>
      </c>
      <c r="B1319">
        <v>2</v>
      </c>
      <c r="C1319" t="s">
        <v>805</v>
      </c>
      <c r="D1319" t="s">
        <v>806</v>
      </c>
      <c r="F1319" t="s">
        <v>357</v>
      </c>
      <c r="G1319" t="s">
        <v>2672</v>
      </c>
      <c r="I1319">
        <f>_xlfn.XLOOKUP($F1319,設計座標!$E$13:$E$2301,設計座標!$G$13:$G$2301,"n/a",0,1)</f>
        <v>353.02141031337902</v>
      </c>
      <c r="J1319">
        <f>_xlfn.XLOOKUP($F1319,設計座標!$E$13:$E$2301,設計座標!$H$13:$H$2301,"n/a",0,1)</f>
        <v>-15000</v>
      </c>
      <c r="K1319">
        <f>_xlfn.XLOOKUP($F1319,設計座標!$E$13:$E$2301,設計座標!$I$13:$I$2301,"n/a",0,1)</f>
        <v>-88559.35284747</v>
      </c>
      <c r="L1319">
        <f>_xlfn.XLOOKUP($F1319,設計座標!$E$13:$E$2301,設計座標!$J$13:$J$2301,"n/a",0,1)</f>
        <v>-70</v>
      </c>
      <c r="M1319" s="2">
        <f>_xlfn.XLOOKUP($F1319,survey_data!$A$2:$A$833,survey_data!$B$2:$B$833,"n/a",0,1)</f>
        <v>-14987.662176579999</v>
      </c>
      <c r="N1319" s="2">
        <f>_xlfn.XLOOKUP($F1319,survey_data!$A$2:$A$833,survey_data!$C$2:$C$833,"n/a",0,1)</f>
        <v>-88559.35284747</v>
      </c>
      <c r="O1319" s="23">
        <f>_xlfn.XLOOKUP($F1319,survey_data!$A$2:$A$833,survey_data!$D$2:$D$833,"n/a",0,1)</f>
        <v>-71.70819487</v>
      </c>
      <c r="P1319" s="1">
        <f t="shared" si="1044"/>
        <v>-70.132797232020422</v>
      </c>
      <c r="Q1319" s="1">
        <f t="shared" si="1018"/>
        <v>12.337823420000859</v>
      </c>
      <c r="R1319">
        <f t="shared" si="1015"/>
        <v>0</v>
      </c>
      <c r="S1319" s="23">
        <f t="shared" si="1019"/>
        <v>-1.7081948699999998</v>
      </c>
      <c r="T1319">
        <f>$S1319+測地線補正!$Q$26*(lattice!$N1319/1000)^3+測地線補正!$P$26*(lattice!$N1319/1000)^2+測地線補正!$O$26*(lattice!$N1319/1000)+測地線補正!$N$26</f>
        <v>-0.13279723202041605</v>
      </c>
      <c r="U1319">
        <f>-ATAN(($P$1321-$P$1319)/ABS($N$1321-$N$1319))</f>
        <v>-1.0859871363749262E-3</v>
      </c>
      <c r="V1319">
        <v>0</v>
      </c>
      <c r="W1319">
        <f>ATAN(($M$1321-$M$1319)/ABS($N$1321-$N$1319))</f>
        <v>4.5736552354502048E-4</v>
      </c>
      <c r="X1319">
        <f>$Z$1320-($Y$1320+$Y$1318)/2</f>
        <v>169.49993660570084</v>
      </c>
      <c r="Y1319">
        <f>_xlfn.XLOOKUP($F1319,設計座標!$E$13:$E$2301,設計座標!$L$13:$L$2301," ",0,1)</f>
        <v>100</v>
      </c>
      <c r="Z1319">
        <f>SQRT(($M$1320-$M$1318)^2+($N$1320-$N$1318)^2)</f>
        <v>279.49993660570084</v>
      </c>
      <c r="AA1319">
        <f>_xlfn.XLOOKUP($G1319,magnet_list!$A$2:$A$592,magnet_list!$AJ$2:$AJ$592,"n/a",0,1)</f>
        <v>0.1415535</v>
      </c>
      <c r="AB1319">
        <f>_xlfn.XLOOKUP($G1319,magnet_list!$A$2:$A$592,magnet_list!$L$2:$L$592,"n/a",0,1)</f>
        <v>44</v>
      </c>
    </row>
    <row r="1320" spans="1:28">
      <c r="A1320" t="s">
        <v>797</v>
      </c>
      <c r="B1320">
        <v>2</v>
      </c>
      <c r="C1320" t="s">
        <v>805</v>
      </c>
      <c r="D1320" t="s">
        <v>1152</v>
      </c>
      <c r="E1320" t="s">
        <v>804</v>
      </c>
      <c r="F1320" t="s">
        <v>723</v>
      </c>
      <c r="G1320" t="s">
        <v>2672</v>
      </c>
      <c r="I1320">
        <f>_xlfn.XLOOKUP($F1320,設計座標!$E$13:$E$2301,設計座標!$G$13:$G$2301,"n/a",0,1)</f>
        <v>353.06141031337904</v>
      </c>
      <c r="J1320">
        <f>_xlfn.XLOOKUP($F1320,設計座標!$E$13:$E$2301,設計座標!$H$13:$H$2301,"n/a",0,1)</f>
        <v>-15000</v>
      </c>
      <c r="K1320">
        <f>_xlfn.XLOOKUP($F1320,設計座標!$E$13:$E$2301,設計座標!$I$13:$I$2301,"n/a",0,1)</f>
        <v>-88599.35284747</v>
      </c>
      <c r="L1320">
        <f>_xlfn.XLOOKUP($F1320,設計座標!$E$13:$E$2301,設計座標!$J$13:$J$2301,"n/a",0,1)</f>
        <v>-70</v>
      </c>
      <c r="M1320" s="2">
        <f t="shared" si="1025"/>
        <v>-14987.643881957782</v>
      </c>
      <c r="N1320" s="2">
        <f t="shared" si="1026"/>
        <v>-88599.35284747</v>
      </c>
      <c r="O1320" s="23">
        <f t="shared" si="1027"/>
        <v>-71.665632308922156</v>
      </c>
      <c r="P1320" s="1">
        <f t="shared" si="1044"/>
        <v>-70.089357533194075</v>
      </c>
      <c r="Q1320" s="1">
        <f>(Q$1321-Q$1319)/($N$1321-$N$1319)*($N1320-$N$1319)+Q$1319</f>
        <v>12.356118042218302</v>
      </c>
      <c r="R1320">
        <f t="shared" si="1015"/>
        <v>0</v>
      </c>
      <c r="S1320" s="23">
        <f>(S$1321-S$1319)/($N$1321-$N$1319)*($N1320-$N$1319)+S$1319</f>
        <v>-1.6656323089221505</v>
      </c>
      <c r="T1320">
        <f>$S1320+測地線補正!$Q$26*(lattice!$N1320/1000)^3+測地線補正!$P$26*(lattice!$N1320/1000)^2+測地線補正!$O$26*(lattice!$N1320/1000)+測地線補正!$N$26</f>
        <v>-8.9357533194077243E-2</v>
      </c>
      <c r="U1320">
        <f t="shared" ref="U1320:U1321" si="1050">-ATAN(($P$1321-$P$1319)/ABS($N$1321-$N$1319))</f>
        <v>-1.0859871363749262E-3</v>
      </c>
      <c r="V1320">
        <v>0</v>
      </c>
      <c r="W1320">
        <f t="shared" ref="W1320:W1321" si="1051">ATAN(($M$1321-$M$1319)/ABS($N$1321-$N$1319))</f>
        <v>4.5736552354502048E-4</v>
      </c>
      <c r="X1320">
        <f>$Z$1320-($Y$1320+$Y$1318)/2</f>
        <v>169.49993660570084</v>
      </c>
      <c r="Y1320">
        <f>_xlfn.XLOOKUP($F1320,設計座標!$E$13:$E$2301,設計座標!$L$13:$L$2301," ",0,1)</f>
        <v>100</v>
      </c>
      <c r="Z1320">
        <f>SQRT(($M$1320-$M$1318)^2+($N$1320-$N$1318)^2)</f>
        <v>279.49993660570084</v>
      </c>
      <c r="AA1320">
        <f>_xlfn.XLOOKUP($G1320,magnet_list!$A$2:$A$592,magnet_list!$AJ$2:$AJ$592,"n/a",0,1)</f>
        <v>0.1415535</v>
      </c>
      <c r="AB1320">
        <f>_xlfn.XLOOKUP($G1320,magnet_list!$A$2:$A$592,magnet_list!$L$2:$L$592,"n/a",0,1)</f>
        <v>44</v>
      </c>
    </row>
    <row r="1321" spans="1:28">
      <c r="A1321" t="s">
        <v>797</v>
      </c>
      <c r="B1321">
        <v>2</v>
      </c>
      <c r="C1321" t="s">
        <v>805</v>
      </c>
      <c r="D1321" t="s">
        <v>806</v>
      </c>
      <c r="F1321" t="s">
        <v>358</v>
      </c>
      <c r="G1321" t="s">
        <v>2672</v>
      </c>
      <c r="I1321">
        <f>_xlfn.XLOOKUP($F1321,設計座標!$E$13:$E$2301,設計座標!$G$13:$G$2301,"n/a",0,1)</f>
        <v>353.10142904142901</v>
      </c>
      <c r="J1321">
        <f>_xlfn.XLOOKUP($F1321,設計座標!$E$13:$E$2301,設計座標!$H$13:$H$2301,"n/a",0,1)</f>
        <v>-15000</v>
      </c>
      <c r="K1321">
        <f>_xlfn.XLOOKUP($F1321,設計座標!$E$13:$E$2301,設計座標!$I$13:$I$2301,"n/a",0,1)</f>
        <v>-88639.371575519996</v>
      </c>
      <c r="L1321">
        <f>_xlfn.XLOOKUP($F1321,設計座標!$E$13:$E$2301,設計座標!$J$13:$J$2301,"n/a",0,1)</f>
        <v>-70</v>
      </c>
      <c r="M1321" s="2">
        <f>_xlfn.XLOOKUP($F1321,survey_data!$A$2:$A$833,survey_data!$B$2:$B$833,"n/a",0,1)</f>
        <v>-14987.625578769999</v>
      </c>
      <c r="N1321" s="2">
        <f>_xlfn.XLOOKUP($F1321,survey_data!$A$2:$A$833,survey_data!$C$2:$C$833,"n/a",0,1)</f>
        <v>-88639.371575519996</v>
      </c>
      <c r="O1321" s="23">
        <f>_xlfn.XLOOKUP($F1321,survey_data!$A$2:$A$833,survey_data!$D$2:$D$833,"n/a",0,1)</f>
        <v>-71.623049820000006</v>
      </c>
      <c r="P1321" s="1">
        <f t="shared" si="1044"/>
        <v>-70.045897888526937</v>
      </c>
      <c r="Q1321" s="1">
        <f t="shared" si="1018"/>
        <v>12.374421230000735</v>
      </c>
      <c r="R1321">
        <f t="shared" si="1015"/>
        <v>0</v>
      </c>
      <c r="S1321" s="23">
        <f t="shared" si="1019"/>
        <v>-1.6230498200000056</v>
      </c>
      <c r="T1321">
        <f>$S1321+測地線補正!$Q$26*(lattice!$N1321/1000)^3+測地線補正!$P$26*(lattice!$N1321/1000)^2+測地線補正!$O$26*(lattice!$N1321/1000)+測地線補正!$N$26</f>
        <v>-4.5897888526938102E-2</v>
      </c>
      <c r="U1321">
        <f t="shared" si="1050"/>
        <v>-1.0859871363749262E-3</v>
      </c>
      <c r="V1321">
        <v>0</v>
      </c>
      <c r="W1321">
        <f t="shared" si="1051"/>
        <v>4.5736552354502048E-4</v>
      </c>
      <c r="X1321">
        <f>$Z$1320-($Y$1320+$Y$1318)/2</f>
        <v>169.49993660570084</v>
      </c>
      <c r="Y1321">
        <f>_xlfn.XLOOKUP($F1321,設計座標!$E$13:$E$2301,設計座標!$L$13:$L$2301," ",0,1)</f>
        <v>100</v>
      </c>
      <c r="Z1321">
        <f>SQRT(($M$1320-$M$1318)^2+($N$1320-$N$1318)^2)</f>
        <v>279.49993660570084</v>
      </c>
      <c r="AA1321">
        <f>_xlfn.XLOOKUP($G1321,magnet_list!$A$2:$A$592,magnet_list!$AJ$2:$AJ$592,"n/a",0,1)</f>
        <v>0.1415535</v>
      </c>
      <c r="AB1321">
        <f>_xlfn.XLOOKUP($G1321,magnet_list!$A$2:$A$592,magnet_list!$L$2:$L$592,"n/a",0,1)</f>
        <v>44</v>
      </c>
    </row>
    <row r="1322" spans="1:28">
      <c r="A1322" t="s">
        <v>797</v>
      </c>
      <c r="B1322">
        <v>2</v>
      </c>
      <c r="C1322" t="s">
        <v>805</v>
      </c>
      <c r="D1322" t="s">
        <v>1152</v>
      </c>
      <c r="E1322" t="s">
        <v>804</v>
      </c>
      <c r="F1322" t="s">
        <v>1154</v>
      </c>
      <c r="G1322" t="s">
        <v>359</v>
      </c>
      <c r="I1322">
        <f>_xlfn.XLOOKUP($F1322,設計座標!$E$13:$E$2301,設計座標!$G$13:$G$2301,"n/a",0,1)</f>
        <v>353.34123746504901</v>
      </c>
      <c r="J1322">
        <f>_xlfn.XLOOKUP($F1322,設計座標!$E$13:$E$2301,設計座標!$H$13:$H$2301,"n/a",0,1)</f>
        <v>-15000</v>
      </c>
      <c r="K1322">
        <f>_xlfn.XLOOKUP($F1322,設計座標!$E$13:$E$2301,設計座標!$I$13:$I$2301,"n/a",0,1)</f>
        <v>-88879.179999140004</v>
      </c>
      <c r="L1322">
        <f>_xlfn.XLOOKUP($F1322,設計座標!$E$13:$E$2301,設計座標!$J$13:$J$2301,"n/a",0,1)</f>
        <v>-60</v>
      </c>
      <c r="M1322" s="2">
        <f t="shared" si="1025"/>
        <v>-14987.592472285409</v>
      </c>
      <c r="N1322" s="2">
        <f t="shared" si="1026"/>
        <v>-88879.179999140004</v>
      </c>
      <c r="O1322" s="23">
        <f t="shared" si="1027"/>
        <v>-61.785098389119646</v>
      </c>
      <c r="P1322" s="1">
        <f t="shared" si="1044"/>
        <v>-60.202698411157165</v>
      </c>
      <c r="Q1322" s="1">
        <f>(Q$1323-Q$1321)/($N$1323-$N$1321)*($N1322-$N$1321)+Q$1321</f>
        <v>12.407527714590739</v>
      </c>
      <c r="R1322">
        <f t="shared" si="1015"/>
        <v>0</v>
      </c>
      <c r="S1322" s="23">
        <f>(S$1323-S$1321)/($N$1323-$N$1321)*($N1322-$N$1321)+S$1321</f>
        <v>-1.7850983891196444</v>
      </c>
      <c r="T1322">
        <f>$S1322+測地線補正!$Q$26*(lattice!$N1322/1000)^3+測地線補正!$P$26*(lattice!$N1322/1000)^2+測地線補正!$O$26*(lattice!$N1322/1000)+測地線補正!$N$26</f>
        <v>-0.20269841115716791</v>
      </c>
      <c r="U1322">
        <f>-ATAN(($P$1323-$P$1322)/ABS($N$1323-$N$1322))</f>
        <v>6.5389163725315571E-4</v>
      </c>
      <c r="V1322">
        <v>0</v>
      </c>
      <c r="W1322">
        <f>ATAN(($M$1323-$M$1322)/ABS($N$1323-$N$1322))</f>
        <v>1.3805388433472463E-4</v>
      </c>
      <c r="X1322">
        <f>$Z$1322-($Y$1322+$Y$1320)/2</f>
        <v>169.8271563924809</v>
      </c>
      <c r="Y1322">
        <f>_xlfn.XLOOKUP($F1322,設計座標!$E$13:$E$2301,設計座標!$L$13:$L$2301," ",0,1)</f>
        <v>120</v>
      </c>
      <c r="Z1322">
        <f>SQRT(($M$1322-$M$1320)^2+($N$1322-$N$1320)^2)</f>
        <v>279.8271563924809</v>
      </c>
      <c r="AA1322">
        <f>_xlfn.XLOOKUP($G1322,magnet_list!$A$2:$A$592,magnet_list!$AJ$2:$AJ$592,"n/a",0,1)</f>
        <v>0.1333</v>
      </c>
      <c r="AB1322">
        <f>_xlfn.XLOOKUP($G1322,magnet_list!$A$2:$A$592,magnet_list!$L$2:$L$592,"n/a",0,1)</f>
        <v>23</v>
      </c>
    </row>
    <row r="1323" spans="1:28">
      <c r="A1323" t="s">
        <v>797</v>
      </c>
      <c r="B1323">
        <v>2</v>
      </c>
      <c r="C1323" t="s">
        <v>805</v>
      </c>
      <c r="D1323" t="s">
        <v>806</v>
      </c>
      <c r="F1323" t="s">
        <v>359</v>
      </c>
      <c r="G1323" t="s">
        <v>359</v>
      </c>
      <c r="I1323">
        <f>_xlfn.XLOOKUP($F1323,設計座標!$E$13:$E$2301,設計座標!$G$13:$G$2301,"n/a",0,1)</f>
        <v>353.38123746504903</v>
      </c>
      <c r="J1323">
        <f>_xlfn.XLOOKUP($F1323,設計座標!$E$13:$E$2301,設計座標!$H$13:$H$2301,"n/a",0,1)</f>
        <v>-15000</v>
      </c>
      <c r="K1323">
        <f>_xlfn.XLOOKUP($F1323,設計座標!$E$13:$E$2301,設計座標!$I$13:$I$2301,"n/a",0,1)</f>
        <v>-88919.179999140004</v>
      </c>
      <c r="L1323">
        <f>_xlfn.XLOOKUP($F1323,設計座標!$E$13:$E$2301,設計座標!$J$13:$J$2301,"n/a",0,1)</f>
        <v>-60</v>
      </c>
      <c r="M1323" s="2">
        <f>_xlfn.XLOOKUP($F1323,survey_data!$A$2:$A$833,survey_data!$B$2:$B$833,"n/a",0,1)</f>
        <v>-14987.58695013</v>
      </c>
      <c r="N1323" s="2">
        <f>_xlfn.XLOOKUP($F1323,survey_data!$A$2:$A$833,survey_data!$C$2:$C$833,"n/a",0,1)</f>
        <v>-88919.179999140004</v>
      </c>
      <c r="O1323" s="23">
        <f>_xlfn.XLOOKUP($F1323,survey_data!$A$2:$A$833,survey_data!$D$2:$D$833,"n/a",0,1)</f>
        <v>-61.812128059999999</v>
      </c>
      <c r="P1323" s="1">
        <f t="shared" si="1044"/>
        <v>-60.228854080375122</v>
      </c>
      <c r="Q1323" s="1">
        <f t="shared" si="1018"/>
        <v>12.413049869999668</v>
      </c>
      <c r="R1323">
        <f t="shared" si="1015"/>
        <v>0</v>
      </c>
      <c r="S1323" s="23">
        <f t="shared" si="1019"/>
        <v>-1.8121280599999992</v>
      </c>
      <c r="T1323">
        <f>$S1323+測地線補正!$Q$26*(lattice!$N1323/1000)^3+測地線補正!$P$26*(lattice!$N1323/1000)^2+測地線補正!$O$26*(lattice!$N1323/1000)+測地線補正!$N$26</f>
        <v>-0.22885408037512467</v>
      </c>
      <c r="U1323">
        <f>-ATAN(($P$1323-$P$1322)/ABS($N$1323-$N$1322))</f>
        <v>6.5389163725315571E-4</v>
      </c>
      <c r="V1323">
        <v>0</v>
      </c>
      <c r="W1323">
        <f>ATAN(($M$1323-$M$1322)/ABS($N$1323-$N$1322))</f>
        <v>1.3805388433472463E-4</v>
      </c>
      <c r="X1323">
        <f>$Z$1322-($Y$1322+$Y$1320)/2</f>
        <v>169.8271563924809</v>
      </c>
      <c r="Y1323">
        <f>_xlfn.XLOOKUP($F1323,設計座標!$E$13:$E$2301,設計座標!$L$13:$L$2301," ",0,1)</f>
        <v>120</v>
      </c>
      <c r="Z1323">
        <f>SQRT(($M$1322-$M$1320)^2+($N$1322-$N$1320)^2)</f>
        <v>279.8271563924809</v>
      </c>
      <c r="AA1323">
        <f>_xlfn.XLOOKUP($G1323,magnet_list!$A$2:$A$592,magnet_list!$AJ$2:$AJ$592,"n/a",0,1)</f>
        <v>0.1333</v>
      </c>
      <c r="AB1323">
        <f>_xlfn.XLOOKUP($G1323,magnet_list!$A$2:$A$592,magnet_list!$L$2:$L$592,"n/a",0,1)</f>
        <v>23</v>
      </c>
    </row>
    <row r="1324" spans="1:28">
      <c r="A1324" t="s">
        <v>797</v>
      </c>
      <c r="B1324">
        <v>2</v>
      </c>
      <c r="C1324" t="s">
        <v>1152</v>
      </c>
      <c r="D1324" t="s">
        <v>1152</v>
      </c>
      <c r="E1324" t="s">
        <v>804</v>
      </c>
      <c r="F1324" t="s">
        <v>2147</v>
      </c>
      <c r="G1324" t="s">
        <v>2147</v>
      </c>
      <c r="I1324">
        <f>_xlfn.XLOOKUP($F1324,設計座標!$E$13:$E$2301,設計座標!$G$13:$G$2301,"n/a",0,1)</f>
        <v>353.5299381613691</v>
      </c>
      <c r="J1324">
        <f>_xlfn.XLOOKUP($F1324,設計座標!$E$13:$E$2301,設計座標!$H$13:$H$2301,"n/a",0,1)</f>
        <v>-15000</v>
      </c>
      <c r="K1324">
        <f>_xlfn.XLOOKUP($F1324,設計座標!$E$13:$E$2301,設計座標!$I$13:$I$2301,"n/a",0,1)</f>
        <v>-89067.880695460059</v>
      </c>
      <c r="L1324">
        <f>_xlfn.XLOOKUP($F1324,設計座標!$E$13:$E$2301,設計座標!$J$13:$J$2301,"n/a",0,1)</f>
        <v>-270</v>
      </c>
      <c r="M1324" s="2">
        <f t="shared" si="1025"/>
        <v>-14987.549596124882</v>
      </c>
      <c r="N1324" s="2">
        <f t="shared" si="1026"/>
        <v>-89067.880695460059</v>
      </c>
      <c r="O1324" s="23">
        <f t="shared" si="1027"/>
        <v>-271.79343682807718</v>
      </c>
      <c r="P1324" s="1">
        <f t="shared" si="1044"/>
        <v>-270.20691716888189</v>
      </c>
      <c r="Q1324" s="1">
        <f>(Q$1332-Q$1323)/($N$1332-$N$1323)*($N1324-$N$1323)+Q$1323</f>
        <v>12.45040387511906</v>
      </c>
      <c r="R1324">
        <f t="shared" si="1015"/>
        <v>0</v>
      </c>
      <c r="S1324" s="23">
        <f t="shared" ref="S1324:S1331" si="1052">(S$1332-S$1323)/($N$1332-$N$1323)*($N1324-$N$1323)+S$1323</f>
        <v>-1.7934368280771593</v>
      </c>
      <c r="T1324">
        <f>$S1324+測地線補正!$Q$26*(lattice!$N1324/1000)^3+測地線補正!$P$26*(lattice!$N1324/1000)^2+測地線補正!$O$26*(lattice!$N1324/1000)+測地線補正!$N$26</f>
        <v>-0.20691716888187606</v>
      </c>
      <c r="U1324">
        <v>0</v>
      </c>
      <c r="V1324">
        <v>0</v>
      </c>
      <c r="W1324">
        <v>0</v>
      </c>
      <c r="X1324">
        <f>$Z$1324-($Y$1324+$Y$1322)/2</f>
        <v>128.70070119116846</v>
      </c>
      <c r="Y1324">
        <f>_xlfn.XLOOKUP($F1324,設計座標!$E$13:$E$2301,設計座標!$L$13:$L$2301," ",0,1)</f>
        <v>0</v>
      </c>
      <c r="Z1324">
        <f>SQRT(($M$1324-$M$1322)^2+($N$1324-$N$1322)^2)</f>
        <v>188.70070119116846</v>
      </c>
    </row>
    <row r="1325" spans="1:28">
      <c r="A1325" t="s">
        <v>797</v>
      </c>
      <c r="B1325">
        <v>2</v>
      </c>
      <c r="C1325" t="s">
        <v>2288</v>
      </c>
      <c r="D1325" t="s">
        <v>1152</v>
      </c>
      <c r="E1325" t="s">
        <v>804</v>
      </c>
      <c r="F1325" t="s">
        <v>2341</v>
      </c>
      <c r="G1325" t="s">
        <v>2341</v>
      </c>
      <c r="I1325">
        <f>_xlfn.XLOOKUP($F1325,設計座標!$E$13:$E$2301,設計座標!$G$13:$G$2301,"n/a",0,1)</f>
        <v>353.61493816136908</v>
      </c>
      <c r="J1325">
        <f>_xlfn.XLOOKUP($F1325,設計座標!$E$13:$E$2301,設計座標!$H$13:$H$2301,"n/a",0,1)</f>
        <v>-15000</v>
      </c>
      <c r="K1325">
        <f>_xlfn.XLOOKUP($F1325,設計座標!$E$13:$E$2301,設計座標!$I$13:$I$2301,"n/a",0,1)</f>
        <v>-89152.880695460059</v>
      </c>
      <c r="L1325">
        <f>_xlfn.XLOOKUP($F1325,設計座標!$E$13:$E$2301,設計座標!$J$13:$J$2301,"n/a",0,1)</f>
        <v>-270</v>
      </c>
      <c r="M1325" s="2">
        <f t="shared" si="1025"/>
        <v>-14987.528243901834</v>
      </c>
      <c r="N1325" s="2">
        <f t="shared" si="1026"/>
        <v>-89152.880695460059</v>
      </c>
      <c r="O1325" s="23">
        <f t="shared" si="1027"/>
        <v>-271.7827525827928</v>
      </c>
      <c r="P1325" s="1">
        <f t="shared" si="1044"/>
        <v>-270.19438006692064</v>
      </c>
      <c r="Q1325" s="1">
        <f t="shared" ref="Q1325:Q1331" si="1053">(Q$1332-Q$1323)/($N$1332-$N$1323)*($N1325-$N$1323)+Q$1323</f>
        <v>12.471756098166585</v>
      </c>
      <c r="R1325">
        <f t="shared" si="1015"/>
        <v>0</v>
      </c>
      <c r="S1325" s="23">
        <f t="shared" si="1052"/>
        <v>-1.7827525827927806</v>
      </c>
      <c r="T1325">
        <f>$S1325+測地線補正!$Q$26*(lattice!$N1325/1000)^3+測地線補正!$P$26*(lattice!$N1325/1000)^2+測地線補正!$O$26*(lattice!$N1325/1000)+測地線補正!$N$26</f>
        <v>-0.19438006692066812</v>
      </c>
      <c r="U1325">
        <v>0</v>
      </c>
      <c r="V1325">
        <v>0</v>
      </c>
      <c r="W1325">
        <v>0</v>
      </c>
      <c r="X1325">
        <f>$Z$1325-($Y$1325+$Y$1324)/2</f>
        <v>85.000002681867187</v>
      </c>
      <c r="Y1325">
        <f>_xlfn.XLOOKUP($F1325,設計座標!$E$13:$E$2301,設計座標!$L$13:$L$2301," ",0,1)</f>
        <v>0</v>
      </c>
      <c r="Z1325">
        <f>SQRT(($M$1325-$M$1324)^2+($N$1325-$N$1324)^2)</f>
        <v>85.000002681867187</v>
      </c>
    </row>
    <row r="1326" spans="1:28">
      <c r="A1326" t="s">
        <v>797</v>
      </c>
      <c r="B1326">
        <v>2</v>
      </c>
      <c r="C1326" t="s">
        <v>804</v>
      </c>
      <c r="D1326" t="s">
        <v>1152</v>
      </c>
      <c r="E1326" t="s">
        <v>804</v>
      </c>
      <c r="F1326" t="s">
        <v>1622</v>
      </c>
      <c r="G1326" t="s">
        <v>2673</v>
      </c>
      <c r="I1326">
        <f>_xlfn.XLOOKUP($F1326,設計座標!$E$13:$E$2301,設計座標!$G$13:$G$2301,"n/a",0,1)</f>
        <v>353.74493776136904</v>
      </c>
      <c r="J1326">
        <f>_xlfn.XLOOKUP($F1326,設計座標!$E$13:$E$2301,設計座標!$H$13:$H$2301,"n/a",0,1)</f>
        <v>-15000</v>
      </c>
      <c r="K1326">
        <f>_xlfn.XLOOKUP($F1326,設計座標!$E$13:$E$2301,設計座標!$I$13:$I$2301,"n/a",0,1)</f>
        <v>-89282.880295460054</v>
      </c>
      <c r="L1326">
        <f>_xlfn.XLOOKUP($F1326,設計座標!$E$13:$E$2301,設計座標!$J$13:$J$2301,"n/a",0,1)</f>
        <v>-270</v>
      </c>
      <c r="M1326" s="2">
        <f t="shared" si="1025"/>
        <v>-14987.495587661182</v>
      </c>
      <c r="N1326" s="2">
        <f t="shared" si="1026"/>
        <v>-89282.880295460054</v>
      </c>
      <c r="O1326" s="23">
        <f t="shared" si="1027"/>
        <v>-271.76641202263664</v>
      </c>
      <c r="P1326" s="1">
        <f t="shared" si="1044"/>
        <v>-270.17520915561033</v>
      </c>
      <c r="Q1326" s="1">
        <f t="shared" si="1053"/>
        <v>12.504412338817044</v>
      </c>
      <c r="R1326">
        <f t="shared" si="1015"/>
        <v>0</v>
      </c>
      <c r="S1326" s="23">
        <f t="shared" si="1052"/>
        <v>-1.7664120226366502</v>
      </c>
      <c r="T1326">
        <f>$S1326+測地線補正!$Q$26*(lattice!$N1326/1000)^3+測地線補正!$P$26*(lattice!$N1326/1000)^2+測地線補正!$O$26*(lattice!$N1326/1000)+測地線補正!$N$26</f>
        <v>-0.17520915561032546</v>
      </c>
      <c r="U1326">
        <f>-ATAN(($P$1330-$P$1326)/ABS($N$1330-$N$1326))</f>
        <v>-1.4722240719496432E-4</v>
      </c>
      <c r="V1326">
        <v>0</v>
      </c>
      <c r="W1326">
        <f>ATAN(($M$1330-$M$1326)/ABS($N$1330-$N$1326))</f>
        <v>2.512026188044839E-4</v>
      </c>
      <c r="X1326">
        <f>SQRT(($M$1326-$M$1325)^2+($N$1326-$N$1325)^2)</f>
        <v>129.99960410166216</v>
      </c>
      <c r="Y1326">
        <f>_xlfn.XLOOKUP($F1326,設計座標!$E$13:$E$2301,設計座標!$L$13:$L$2301," ",0,1)</f>
        <v>1889.4492</v>
      </c>
      <c r="Z1326">
        <f>SQRT(($M$1329-$M$1327)^2+($N$1329-$N$1327)^2)</f>
        <v>392.22421237521115</v>
      </c>
    </row>
    <row r="1327" spans="1:28">
      <c r="A1327" t="s">
        <v>797</v>
      </c>
      <c r="B1327">
        <v>2</v>
      </c>
      <c r="C1327" t="s">
        <v>3855</v>
      </c>
      <c r="D1327" t="s">
        <v>1152</v>
      </c>
      <c r="E1327" t="s">
        <v>804</v>
      </c>
      <c r="F1327" t="s">
        <v>2094</v>
      </c>
      <c r="G1327" t="s">
        <v>2094</v>
      </c>
      <c r="I1327">
        <f>_xlfn.XLOOKUP($F1327,設計座標!$E$13:$E$2301,設計座標!$G$13:$G$2301,"n/a",0,1)</f>
        <v>354.29743816136909</v>
      </c>
      <c r="J1327">
        <f>_xlfn.XLOOKUP($F1327,設計座標!$E$13:$E$2301,設計座標!$H$13:$H$2301,"n/a",0,1)</f>
        <v>-15000</v>
      </c>
      <c r="K1327">
        <f>_xlfn.XLOOKUP($F1327,設計座標!$E$13:$E$2301,設計座標!$I$13:$I$2301,"n/a",0,1)</f>
        <v>-89835.380695460059</v>
      </c>
      <c r="L1327">
        <f>_xlfn.XLOOKUP($F1327,設計座標!$E$13:$E$2301,設計座標!$J$13:$J$2301,"n/a",0,1)</f>
        <v>-270</v>
      </c>
      <c r="M1327" s="2">
        <f t="shared" si="1025"/>
        <v>-14987.356798110894</v>
      </c>
      <c r="N1327" s="2">
        <f t="shared" si="1026"/>
        <v>-89835.380695460059</v>
      </c>
      <c r="O1327" s="23">
        <f t="shared" si="1027"/>
        <v>-271.6969643780094</v>
      </c>
      <c r="P1327" s="1">
        <f t="shared" si="1044"/>
        <v>-270.09377858652226</v>
      </c>
      <c r="Q1327" s="1">
        <f t="shared" si="1053"/>
        <v>12.643201889107015</v>
      </c>
      <c r="R1327">
        <f t="shared" si="1015"/>
        <v>0</v>
      </c>
      <c r="S1327" s="23">
        <f t="shared" si="1052"/>
        <v>-1.6969643780093864</v>
      </c>
      <c r="T1327">
        <f>$S1327+測地線補正!$Q$26*(lattice!$N1327/1000)^3+測地線補正!$P$26*(lattice!$N1327/1000)^2+測地線補正!$O$26*(lattice!$N1327/1000)+測地線補正!$N$26</f>
        <v>-9.3778586522242025E-2</v>
      </c>
      <c r="U1327">
        <f t="shared" ref="U1327:U1328" si="1054">-ATAN(($P$1330-$P$1326)/ABS($N$1330-$N$1326))</f>
        <v>-1.4722240719496432E-4</v>
      </c>
      <c r="V1327">
        <v>0</v>
      </c>
      <c r="W1327">
        <f t="shared" ref="W1327:W1328" si="1055">ATAN(($M$1330-$M$1326)/ABS($N$1330-$N$1326))</f>
        <v>2.512026188044839E-4</v>
      </c>
      <c r="X1327" t="s">
        <v>3860</v>
      </c>
      <c r="Y1327">
        <f>_xlfn.XLOOKUP($F1327,設計座標!$E$13:$E$2301,設計座標!$L$13:$L$2301," ",0,1)</f>
        <v>800</v>
      </c>
      <c r="Z1327">
        <f>SQRT(($M$1327-$M$1325)^2+($N$1327-$N$1325)^2)</f>
        <v>682.50002153381593</v>
      </c>
      <c r="AA1327">
        <f>_xlfn.XLOOKUP($G1327,magnet_list!$A$2:$A$592,magnet_list!$AJ$2:$AJ$592,"n/a",0,1)</f>
        <v>0.74619000000000002</v>
      </c>
      <c r="AB1327">
        <f>_xlfn.XLOOKUP($G1327,magnet_list!$A$2:$A$592,magnet_list!$L$2:$L$592,"n/a",0,1)</f>
        <v>120</v>
      </c>
    </row>
    <row r="1328" spans="1:28">
      <c r="A1328" t="s">
        <v>797</v>
      </c>
      <c r="B1328">
        <v>2</v>
      </c>
      <c r="C1328" t="s">
        <v>3855</v>
      </c>
      <c r="D1328" t="s">
        <v>1152</v>
      </c>
      <c r="E1328" t="s">
        <v>804</v>
      </c>
      <c r="F1328" t="s">
        <v>2095</v>
      </c>
      <c r="G1328" t="s">
        <v>2095</v>
      </c>
      <c r="I1328">
        <f>_xlfn.XLOOKUP($F1328,設計座標!$E$13:$E$2301,設計座標!$G$13:$G$2301,"n/a",0,1)</f>
        <v>354.29743816136909</v>
      </c>
      <c r="J1328">
        <f>_xlfn.XLOOKUP($F1328,設計座標!$E$13:$E$2301,設計座標!$H$13:$H$2301,"n/a",0,1)</f>
        <v>-15000</v>
      </c>
      <c r="K1328">
        <f>_xlfn.XLOOKUP($F1328,設計座標!$E$13:$E$2301,設計座標!$I$13:$I$2301,"n/a",0,1)</f>
        <v>-89835.380695460059</v>
      </c>
      <c r="L1328">
        <f>_xlfn.XLOOKUP($F1328,設計座標!$E$13:$E$2301,設計座標!$J$13:$J$2301,"n/a",0,1)</f>
        <v>-270</v>
      </c>
      <c r="M1328" s="2">
        <f t="shared" si="1025"/>
        <v>-14987.356798110894</v>
      </c>
      <c r="N1328" s="2">
        <f t="shared" si="1026"/>
        <v>-89835.380695460059</v>
      </c>
      <c r="O1328" s="23">
        <f t="shared" si="1027"/>
        <v>-271.6969643780094</v>
      </c>
      <c r="P1328" s="1">
        <f t="shared" si="1044"/>
        <v>-270.09377858652226</v>
      </c>
      <c r="Q1328" s="1">
        <f t="shared" si="1053"/>
        <v>12.643201889107015</v>
      </c>
      <c r="R1328">
        <f t="shared" si="1015"/>
        <v>0</v>
      </c>
      <c r="S1328" s="23">
        <f t="shared" si="1052"/>
        <v>-1.6969643780093864</v>
      </c>
      <c r="T1328">
        <f>$S1328+測地線補正!$Q$26*(lattice!$N1328/1000)^3+測地線補正!$P$26*(lattice!$N1328/1000)^2+測地線補正!$O$26*(lattice!$N1328/1000)+測地線補正!$N$26</f>
        <v>-9.3778586522242025E-2</v>
      </c>
      <c r="U1328">
        <f t="shared" si="1054"/>
        <v>-1.4722240719496432E-4</v>
      </c>
      <c r="V1328">
        <v>0</v>
      </c>
      <c r="W1328">
        <f t="shared" si="1055"/>
        <v>2.512026188044839E-4</v>
      </c>
      <c r="X1328" t="s">
        <v>3860</v>
      </c>
      <c r="Y1328">
        <f>_xlfn.XLOOKUP($F1328,設計座標!$E$13:$E$2301,設計座標!$L$13:$L$2301," ",0,1)</f>
        <v>800</v>
      </c>
      <c r="Z1328">
        <f>SQRT(($M$1327-$M$1325)^2+($N$1327-$N$1325)^2)</f>
        <v>682.50002153381593</v>
      </c>
      <c r="AA1328">
        <f>_xlfn.XLOOKUP($G1328,magnet_list!$A$2:$A$592,magnet_list!$AJ$2:$AJ$592,"n/a",0,1)</f>
        <v>0.74619000000000002</v>
      </c>
      <c r="AB1328">
        <f>_xlfn.XLOOKUP($G1328,magnet_list!$A$2:$A$592,magnet_list!$L$2:$L$592,"n/a",0,1)</f>
        <v>120</v>
      </c>
    </row>
    <row r="1329" spans="1:28">
      <c r="A1329" t="s">
        <v>797</v>
      </c>
      <c r="B1329">
        <v>2</v>
      </c>
      <c r="C1329" t="s">
        <v>804</v>
      </c>
      <c r="D1329" t="s">
        <v>1152</v>
      </c>
      <c r="E1329" t="s">
        <v>804</v>
      </c>
      <c r="F1329" t="s">
        <v>1195</v>
      </c>
      <c r="G1329" t="s">
        <v>2673</v>
      </c>
      <c r="I1329">
        <f>_xlfn.XLOOKUP($F1329,設計座標!$E$13:$E$2301,設計座標!$G$13:$G$2301,"n/a",0,1)</f>
        <v>354.68966236136907</v>
      </c>
      <c r="J1329">
        <f>_xlfn.XLOOKUP($F1329,設計座標!$E$13:$E$2301,設計座標!$H$13:$H$2301,"n/a",0,1)</f>
        <v>-15000</v>
      </c>
      <c r="K1329">
        <f>_xlfn.XLOOKUP($F1329,設計座標!$E$13:$E$2301,設計座標!$I$13:$I$2301,"n/a",0,1)</f>
        <v>-90227.604895460056</v>
      </c>
      <c r="L1329">
        <f>_xlfn.XLOOKUP($F1329,設計座標!$E$13:$E$2301,設計座標!$J$13:$J$2301,"n/a",0,1)</f>
        <v>-270</v>
      </c>
      <c r="M1329" s="2">
        <f t="shared" si="1025"/>
        <v>-14987.258270362621</v>
      </c>
      <c r="N1329" s="2">
        <f t="shared" si="1026"/>
        <v>-90227.604895460056</v>
      </c>
      <c r="O1329" s="23">
        <f t="shared" si="1027"/>
        <v>-271.64766297142972</v>
      </c>
      <c r="P1329" s="1">
        <f t="shared" si="1044"/>
        <v>-270.03601567164782</v>
      </c>
      <c r="Q1329" s="1">
        <f t="shared" si="1053"/>
        <v>12.741729637378043</v>
      </c>
      <c r="R1329">
        <f t="shared" si="1015"/>
        <v>0</v>
      </c>
      <c r="S1329" s="23">
        <f t="shared" si="1052"/>
        <v>-1.6476629714297486</v>
      </c>
      <c r="T1329">
        <f>$S1329+測地線補正!$Q$26*(lattice!$N1329/1000)^3+測地線補正!$P$26*(lattice!$N1329/1000)^2+測地線補正!$O$26*(lattice!$N1329/1000)+測地線補正!$N$26</f>
        <v>-3.6015671647839698E-2</v>
      </c>
      <c r="U1329">
        <f t="shared" ref="U1329:U1330" si="1056">-ATAN(($P$1330-$P$1326)/ABS($N$1330-$N$1326))</f>
        <v>-1.4722240719496432E-4</v>
      </c>
      <c r="V1329">
        <v>0</v>
      </c>
      <c r="W1329">
        <f t="shared" ref="W1329:W1330" si="1057">ATAN(($M$1330-$M$1326)/ABS($N$1330-$N$1326))</f>
        <v>2.512026188044839E-4</v>
      </c>
      <c r="X1329" t="s">
        <v>3860</v>
      </c>
      <c r="Y1329">
        <f>_xlfn.XLOOKUP($F1329,設計座標!$E$13:$E$2301,設計座標!$L$13:$L$2301," ",0,1)</f>
        <v>1889.4492</v>
      </c>
      <c r="Z1329">
        <f>SQRT(($M$1329-$M$1327)^2+($N$1329-$N$1327)^2)</f>
        <v>392.22421237521115</v>
      </c>
    </row>
    <row r="1330" spans="1:28">
      <c r="A1330" t="s">
        <v>797</v>
      </c>
      <c r="B1330">
        <v>2</v>
      </c>
      <c r="C1330" t="s">
        <v>804</v>
      </c>
      <c r="D1330" t="s">
        <v>1152</v>
      </c>
      <c r="E1330" t="s">
        <v>804</v>
      </c>
      <c r="F1330" t="s">
        <v>1623</v>
      </c>
      <c r="G1330" t="s">
        <v>2673</v>
      </c>
      <c r="I1330">
        <f>_xlfn.XLOOKUP($F1330,設計座標!$E$13:$E$2301,設計座標!$G$13:$G$2301,"n/a",0,1)</f>
        <v>355.6343869613691</v>
      </c>
      <c r="J1330">
        <f>_xlfn.XLOOKUP($F1330,設計座標!$E$13:$E$2301,設計座標!$H$13:$H$2301,"n/a",0,1)</f>
        <v>-15000</v>
      </c>
      <c r="K1330">
        <f>_xlfn.XLOOKUP($F1330,設計座標!$E$13:$E$2301,設計座標!$I$13:$I$2301,"n/a",0,1)</f>
        <v>-91172.329495460057</v>
      </c>
      <c r="L1330">
        <f>_xlfn.XLOOKUP($F1330,設計座標!$E$13:$E$2301,設計座標!$J$13:$J$2301,"n/a",0,1)</f>
        <v>-270</v>
      </c>
      <c r="M1330" s="2">
        <f t="shared" si="1025"/>
        <v>-14987.02095306406</v>
      </c>
      <c r="N1330" s="2">
        <f t="shared" si="1026"/>
        <v>-91172.329495460057</v>
      </c>
      <c r="O1330" s="23">
        <f t="shared" si="1027"/>
        <v>-271.52891392022286</v>
      </c>
      <c r="P1330" s="1">
        <f t="shared" si="1044"/>
        <v>-269.89703989410401</v>
      </c>
      <c r="Q1330" s="1">
        <f t="shared" si="1053"/>
        <v>12.979046935939042</v>
      </c>
      <c r="R1330">
        <f t="shared" ref="R1330:R1393" si="1058">$N1330-$K1330</f>
        <v>0</v>
      </c>
      <c r="S1330" s="23">
        <f t="shared" si="1052"/>
        <v>-1.528913920222847</v>
      </c>
      <c r="T1330">
        <f>$S1330+測地線補正!$Q$26*(lattice!$N1330/1000)^3+測地線補正!$P$26*(lattice!$N1330/1000)^2+測地線補正!$O$26*(lattice!$N1330/1000)+測地線補正!$N$26</f>
        <v>0.10296010589600502</v>
      </c>
      <c r="U1330">
        <f t="shared" si="1056"/>
        <v>-1.4722240719496432E-4</v>
      </c>
      <c r="V1330">
        <v>0</v>
      </c>
      <c r="W1330">
        <f t="shared" si="1057"/>
        <v>2.512026188044839E-4</v>
      </c>
      <c r="X1330" t="s">
        <v>3860</v>
      </c>
      <c r="Y1330">
        <f>_xlfn.XLOOKUP($F1330,設計座標!$E$13:$E$2301,設計座標!$L$13:$L$2301," ",0,1)</f>
        <v>1889.4492</v>
      </c>
      <c r="Z1330">
        <f>SQRT(($M$1329-$M$1327)^2+($N$1329-$N$1327)^2)</f>
        <v>392.22421237521115</v>
      </c>
    </row>
    <row r="1331" spans="1:28">
      <c r="A1331" t="s">
        <v>797</v>
      </c>
      <c r="B1331">
        <v>2</v>
      </c>
      <c r="C1331" t="s">
        <v>1152</v>
      </c>
      <c r="D1331" t="s">
        <v>1152</v>
      </c>
      <c r="E1331" t="s">
        <v>804</v>
      </c>
      <c r="F1331" t="s">
        <v>2096</v>
      </c>
      <c r="G1331" t="s">
        <v>2096</v>
      </c>
      <c r="I1331">
        <f>_xlfn.XLOOKUP($F1331,設計座標!$E$13:$E$2301,設計座標!$G$13:$G$2301,"n/a",0,1)</f>
        <v>355.7643874613691</v>
      </c>
      <c r="J1331">
        <f>_xlfn.XLOOKUP($F1331,設計座標!$E$13:$E$2301,設計座標!$H$13:$H$2301,"n/a",0,1)</f>
        <v>-15000</v>
      </c>
      <c r="K1331">
        <f>_xlfn.XLOOKUP($F1331,設計座標!$E$13:$E$2301,設計座標!$I$13:$I$2301,"n/a",0,1)</f>
        <v>-91302.329995460052</v>
      </c>
      <c r="L1331">
        <f>_xlfn.XLOOKUP($F1331,設計座標!$E$13:$E$2301,設計座標!$J$13:$J$2301,"n/a",0,1)</f>
        <v>-270</v>
      </c>
      <c r="M1331" s="2">
        <f t="shared" si="1025"/>
        <v>-14986.988296597328</v>
      </c>
      <c r="N1331" s="2">
        <f t="shared" si="1026"/>
        <v>-91302.329995460052</v>
      </c>
      <c r="O1331" s="23">
        <f t="shared" si="1027"/>
        <v>-271.51257324693944</v>
      </c>
      <c r="P1331" s="1">
        <f t="shared" si="1044"/>
        <v>-269.87793288821769</v>
      </c>
      <c r="Q1331" s="1">
        <f t="shared" si="1053"/>
        <v>13.011703402671863</v>
      </c>
      <c r="R1331">
        <f t="shared" si="1058"/>
        <v>0</v>
      </c>
      <c r="S1331" s="23">
        <f t="shared" si="1052"/>
        <v>-1.5125732469394135</v>
      </c>
      <c r="T1331">
        <f>$S1331+測地線補正!$Q$26*(lattice!$N1331/1000)^3+測地線補正!$P$26*(lattice!$N1331/1000)^2+測地線補正!$O$26*(lattice!$N1331/1000)+測地線補正!$N$26</f>
        <v>0.12206711178230356</v>
      </c>
      <c r="U1331">
        <v>0</v>
      </c>
      <c r="V1331">
        <v>0</v>
      </c>
      <c r="W1331">
        <v>0</v>
      </c>
      <c r="X1331">
        <f>SQRT(($M$1331-$M$1330)^2+($N$1331-$N$1330)^2)</f>
        <v>130.00050410168964</v>
      </c>
      <c r="Y1331">
        <f>_xlfn.XLOOKUP($F1331,設計座標!$E$13:$E$2301,設計座標!$L$13:$L$2301," ",0,1)</f>
        <v>0</v>
      </c>
      <c r="Z1331">
        <f>SQRT(($M$1331-$M$1329)^2+($N$1331-$N$1329)^2)</f>
        <v>1074.7251339090546</v>
      </c>
    </row>
    <row r="1332" spans="1:28">
      <c r="A1332" t="s">
        <v>797</v>
      </c>
      <c r="B1332">
        <v>2</v>
      </c>
      <c r="C1332" t="s">
        <v>805</v>
      </c>
      <c r="D1332" t="s">
        <v>806</v>
      </c>
      <c r="F1332" t="s">
        <v>360</v>
      </c>
      <c r="G1332" t="s">
        <v>360</v>
      </c>
      <c r="I1332">
        <f>_xlfn.XLOOKUP($F1332,設計座標!$E$13:$E$2301,設計座標!$G$13:$G$2301,"n/a",0,1)</f>
        <v>355.93183502478905</v>
      </c>
      <c r="J1332">
        <f>_xlfn.XLOOKUP($F1332,設計座標!$E$13:$E$2301,設計座標!$H$13:$H$2301,"n/a",0,1)</f>
        <v>-15000</v>
      </c>
      <c r="K1332">
        <f>_xlfn.XLOOKUP($F1332,設計座標!$E$13:$E$2301,設計座標!$I$13:$I$2301,"n/a",0,1)</f>
        <v>-91469.77755888</v>
      </c>
      <c r="L1332">
        <f>_xlfn.XLOOKUP($F1332,設計座標!$E$13:$E$2301,設計座標!$J$13:$J$2301,"n/a",0,1)</f>
        <v>-20</v>
      </c>
      <c r="M1332" s="2">
        <f>_xlfn.XLOOKUP($F1332,survey_data!$A$2:$A$833,survey_data!$B$2:$B$833,"n/a",0,1)</f>
        <v>-14986.94623333</v>
      </c>
      <c r="N1332" s="2">
        <f>_xlfn.XLOOKUP($F1332,survey_data!$A$2:$A$833,survey_data!$C$2:$C$833,"n/a",0,1)</f>
        <v>-91469.77755888</v>
      </c>
      <c r="O1332" s="23">
        <f>_xlfn.XLOOKUP($F1332,survey_data!$A$2:$A$833,survey_data!$D$2:$D$833,"n/a",0,1)</f>
        <v>-21.491525589999998</v>
      </c>
      <c r="P1332" s="1">
        <f t="shared" si="1044"/>
        <v>-19.853328100246376</v>
      </c>
      <c r="Q1332" s="1">
        <f t="shared" ref="Q1332:Q1388" si="1059">$M1332-$J1332</f>
        <v>13.053766670000186</v>
      </c>
      <c r="R1332">
        <f t="shared" si="1058"/>
        <v>0</v>
      </c>
      <c r="S1332" s="23">
        <f t="shared" ref="S1332:S1388" si="1060">$O1332-$L1332</f>
        <v>-1.4915255899999984</v>
      </c>
      <c r="T1332">
        <f>$S1332+測地線補正!$Q$26*(lattice!$N1332/1000)^3+測地線補正!$P$26*(lattice!$N1332/1000)^2+測地線補正!$O$26*(lattice!$N1332/1000)+測地線補正!$N$26</f>
        <v>0.14667189975362338</v>
      </c>
      <c r="U1332">
        <f>-ATAN(($P$1333-$P$1332)/ABS($N$1333-$N$1332))</f>
        <v>6.2979420891286502E-4</v>
      </c>
      <c r="V1332">
        <v>0</v>
      </c>
      <c r="W1332">
        <f>ATAN(($M$1333-$M$1332)/ABS($N$1333-$N$1332))</f>
        <v>-8.1689479448729765E-4</v>
      </c>
      <c r="X1332">
        <f>$Z$1333-($Y$1333+$Y$1331)/2</f>
        <v>147.44756420047878</v>
      </c>
      <c r="Y1332">
        <f>_xlfn.XLOOKUP($F1332,設計座標!$E$13:$E$2301,設計座標!$L$13:$L$2301," ",0,1)</f>
        <v>100</v>
      </c>
      <c r="Z1332">
        <f>SQRT(($M$1333-$M$1331)^2+($N$1333-$N$1331)^2)</f>
        <v>197.44756420047878</v>
      </c>
      <c r="AA1332">
        <f>_xlfn.XLOOKUP($G1332,magnet_list!$A$2:$A$592,magnet_list!$AJ$2:$AJ$592,"n/a",0,1)</f>
        <v>0.115</v>
      </c>
      <c r="AB1332">
        <f>_xlfn.XLOOKUP($G1332,magnet_list!$A$2:$A$592,magnet_list!$L$2:$L$592,"n/a",0,1)</f>
        <v>23</v>
      </c>
    </row>
    <row r="1333" spans="1:28">
      <c r="A1333" t="s">
        <v>797</v>
      </c>
      <c r="B1333">
        <v>2</v>
      </c>
      <c r="C1333" t="s">
        <v>805</v>
      </c>
      <c r="D1333" t="s">
        <v>1152</v>
      </c>
      <c r="E1333" t="s">
        <v>804</v>
      </c>
      <c r="F1333" t="s">
        <v>724</v>
      </c>
      <c r="G1333" t="s">
        <v>360</v>
      </c>
      <c r="I1333">
        <f>_xlfn.XLOOKUP($F1333,設計座標!$E$13:$E$2301,設計座標!$G$13:$G$2301,"n/a",0,1)</f>
        <v>355.96183502478902</v>
      </c>
      <c r="J1333">
        <f>_xlfn.XLOOKUP($F1333,設計座標!$E$13:$E$2301,設計座標!$H$13:$H$2301,"n/a",0,1)</f>
        <v>-15000</v>
      </c>
      <c r="K1333">
        <f>_xlfn.XLOOKUP($F1333,設計座標!$E$13:$E$2301,設計座標!$I$13:$I$2301,"n/a",0,1)</f>
        <v>-91499.77755888</v>
      </c>
      <c r="L1333">
        <f>_xlfn.XLOOKUP($F1333,設計座標!$E$13:$E$2301,設計座標!$J$13:$J$2301,"n/a",0,1)</f>
        <v>-20</v>
      </c>
      <c r="M1333" s="2">
        <f t="shared" si="1025"/>
        <v>-14986.970740179286</v>
      </c>
      <c r="N1333" s="2">
        <f t="shared" si="1026"/>
        <v>-91499.77755888</v>
      </c>
      <c r="O1333" s="23">
        <f t="shared" si="1027"/>
        <v>-21.51105599681048</v>
      </c>
      <c r="P1333" s="1">
        <f t="shared" si="1044"/>
        <v>-19.872221929011783</v>
      </c>
      <c r="Q1333" s="1">
        <f>(Q$1334-Q$1332)/($N$1334-$N$1332)*($N1333-$N$1332)+Q$1332</f>
        <v>13.029259820715112</v>
      </c>
      <c r="R1333">
        <f t="shared" si="1058"/>
        <v>0</v>
      </c>
      <c r="S1333" s="23">
        <f>(S$1334-S$1332)/($N$1334-$N$1332)*($N1333-$N$1332)+S$1332</f>
        <v>-1.5110559968104804</v>
      </c>
      <c r="T1333">
        <f>$S1333+測地線補正!$Q$26*(lattice!$N1333/1000)^3+測地線補正!$P$26*(lattice!$N1333/1000)^2+測地線補正!$O$26*(lattice!$N1333/1000)+測地線補正!$N$26</f>
        <v>0.12777807098821614</v>
      </c>
      <c r="U1333">
        <f>-ATAN(($P$1333-$P$1332)/ABS($N$1333-$N$1332))</f>
        <v>6.2979420891286502E-4</v>
      </c>
      <c r="V1333">
        <v>0</v>
      </c>
      <c r="W1333">
        <f>ATAN(($M$1333-$M$1332)/ABS($N$1333-$N$1332))</f>
        <v>-8.1689479448729765E-4</v>
      </c>
      <c r="X1333">
        <f>$Z$1333-($Y$1333+$Y$1331)/2</f>
        <v>147.44756420047878</v>
      </c>
      <c r="Y1333">
        <f>_xlfn.XLOOKUP($F1333,設計座標!$E$13:$E$2301,設計座標!$L$13:$L$2301," ",0,1)</f>
        <v>100</v>
      </c>
      <c r="Z1333">
        <f>SQRT(($M$1333-$M$1331)^2+($N$1333-$N$1331)^2)</f>
        <v>197.44756420047878</v>
      </c>
      <c r="AA1333">
        <f>_xlfn.XLOOKUP($G1333,magnet_list!$A$2:$A$592,magnet_list!$AJ$2:$AJ$592,"n/a",0,1)</f>
        <v>0.115</v>
      </c>
      <c r="AB1333">
        <f>_xlfn.XLOOKUP($G1333,magnet_list!$A$2:$A$592,magnet_list!$L$2:$L$592,"n/a",0,1)</f>
        <v>23</v>
      </c>
    </row>
    <row r="1334" spans="1:28">
      <c r="A1334" t="s">
        <v>797</v>
      </c>
      <c r="B1334">
        <v>2</v>
      </c>
      <c r="C1334" t="s">
        <v>805</v>
      </c>
      <c r="D1334" t="s">
        <v>806</v>
      </c>
      <c r="F1334" t="s">
        <v>361</v>
      </c>
      <c r="G1334" t="s">
        <v>2674</v>
      </c>
      <c r="I1334">
        <f>_xlfn.XLOOKUP($F1334,設計座標!$E$13:$E$2301,設計座標!$G$13:$G$2301,"n/a",0,1)</f>
        <v>356.169180418819</v>
      </c>
      <c r="J1334">
        <f>_xlfn.XLOOKUP($F1334,設計座標!$E$13:$E$2301,設計座標!$H$13:$H$2301,"n/a",0,1)</f>
        <v>-15000</v>
      </c>
      <c r="K1334">
        <f>_xlfn.XLOOKUP($F1334,設計座標!$E$13:$E$2301,設計座標!$I$13:$I$2301,"n/a",0,1)</f>
        <v>-91707.122952909995</v>
      </c>
      <c r="L1334">
        <f>_xlfn.XLOOKUP($F1334,設計座標!$E$13:$E$2301,設計座標!$J$13:$J$2301,"n/a",0,1)</f>
        <v>-70</v>
      </c>
      <c r="M1334" s="2">
        <f>_xlfn.XLOOKUP($F1334,survey_data!$A$2:$A$833,survey_data!$B$2:$B$833,"n/a",0,1)</f>
        <v>-14987.14011959</v>
      </c>
      <c r="N1334" s="2">
        <f>_xlfn.XLOOKUP($F1334,survey_data!$A$2:$A$833,survey_data!$C$2:$C$833,"n/a",0,1)</f>
        <v>-91707.122952909995</v>
      </c>
      <c r="O1334" s="23">
        <f>_xlfn.XLOOKUP($F1334,survey_data!$A$2:$A$833,survey_data!$D$2:$D$833,"n/a",0,1)</f>
        <v>-71.646040659999997</v>
      </c>
      <c r="P1334" s="1">
        <f t="shared" si="1044"/>
        <v>-70.00281285015231</v>
      </c>
      <c r="Q1334" s="1">
        <f t="shared" si="1059"/>
        <v>12.859880410000187</v>
      </c>
      <c r="R1334">
        <f t="shared" si="1058"/>
        <v>0</v>
      </c>
      <c r="S1334" s="23">
        <f t="shared" si="1060"/>
        <v>-1.646040659999997</v>
      </c>
      <c r="T1334">
        <f>$S1334+測地線補正!$Q$26*(lattice!$N1334/1000)^3+測地線補正!$P$26*(lattice!$N1334/1000)^2+測地線補正!$O$26*(lattice!$N1334/1000)+測地線補正!$N$26</f>
        <v>-2.8128501523092542E-3</v>
      </c>
      <c r="U1334">
        <f>-ATAN(($P$1336-$P$1334)/ABS($N$1336-$N$1334))</f>
        <v>-3.1146678725756089E-4</v>
      </c>
      <c r="V1334">
        <v>0</v>
      </c>
      <c r="W1334">
        <f>ATAN(($M$1336-$M$1334)/ABS($N$1336-$N$1334))</f>
        <v>5.1825336080572513E-4</v>
      </c>
      <c r="X1334">
        <f>$Z$1335-($Y$1335+$Y$1333)/2</f>
        <v>147.34393869824279</v>
      </c>
      <c r="Y1334">
        <f>_xlfn.XLOOKUP($F1334,設計座標!$E$13:$E$2301,設計座標!$L$13:$L$2301," ",0,1)</f>
        <v>100</v>
      </c>
      <c r="Z1334">
        <f>SQRT(($M$1335-$M$1333)^2+($N$1335-$N$1333)^2)</f>
        <v>247.34393869824279</v>
      </c>
      <c r="AA1334">
        <f>_xlfn.XLOOKUP($G1334,magnet_list!$A$2:$A$592,magnet_list!$AJ$2:$AJ$592,"n/a",0,1)</f>
        <v>0.1415535</v>
      </c>
      <c r="AB1334">
        <f>_xlfn.XLOOKUP($G1334,magnet_list!$A$2:$A$592,magnet_list!$L$2:$L$592,"n/a",0,1)</f>
        <v>44</v>
      </c>
    </row>
    <row r="1335" spans="1:28">
      <c r="A1335" t="s">
        <v>797</v>
      </c>
      <c r="B1335">
        <v>2</v>
      </c>
      <c r="C1335" t="s">
        <v>805</v>
      </c>
      <c r="D1335" t="s">
        <v>1152</v>
      </c>
      <c r="E1335" t="s">
        <v>804</v>
      </c>
      <c r="F1335" t="s">
        <v>726</v>
      </c>
      <c r="G1335" t="s">
        <v>2674</v>
      </c>
      <c r="I1335">
        <f>_xlfn.XLOOKUP($F1335,設計座標!$E$13:$E$2301,設計座標!$G$13:$G$2301,"n/a",0,1)</f>
        <v>356.20917891881902</v>
      </c>
      <c r="J1335">
        <f>_xlfn.XLOOKUP($F1335,設計座標!$E$13:$E$2301,設計座標!$H$13:$H$2301,"n/a",0,1)</f>
        <v>-15000</v>
      </c>
      <c r="K1335">
        <f>_xlfn.XLOOKUP($F1335,設計座標!$E$13:$E$2301,設計座標!$I$13:$I$2301,"n/a",0,1)</f>
        <v>-91747.121452909996</v>
      </c>
      <c r="L1335">
        <f>_xlfn.XLOOKUP($F1335,設計座標!$E$13:$E$2301,設計座標!$J$13:$J$2301,"n/a",0,1)</f>
        <v>-70</v>
      </c>
      <c r="M1335" s="2">
        <f t="shared" si="1025"/>
        <v>-14987.119390231092</v>
      </c>
      <c r="N1335" s="2">
        <f t="shared" si="1026"/>
        <v>-91747.121452909996</v>
      </c>
      <c r="O1335" s="23">
        <f t="shared" si="1027"/>
        <v>-71.63442864642883</v>
      </c>
      <c r="P1335" s="1">
        <f t="shared" si="1044"/>
        <v>-69.990354451297861</v>
      </c>
      <c r="Q1335" s="1">
        <f>(Q$1336-Q$1334)/($N$1336-$N$1334)*($N1335-$N$1334)+Q$1334</f>
        <v>12.880609768908251</v>
      </c>
      <c r="R1335">
        <f t="shared" si="1058"/>
        <v>0</v>
      </c>
      <c r="S1335" s="23">
        <f>(S$1336-S$1334)/($N$1336-$N$1334)*($N1335-$N$1334)+S$1334</f>
        <v>-1.6344286464288247</v>
      </c>
      <c r="T1335">
        <f>$S1335+測地線補正!$Q$26*(lattice!$N1335/1000)^3+測地線補正!$P$26*(lattice!$N1335/1000)^2+測地線補正!$O$26*(lattice!$N1335/1000)+測地線補正!$N$26</f>
        <v>9.6455487021376296E-3</v>
      </c>
      <c r="U1335">
        <f t="shared" ref="U1335:U1336" si="1061">-ATAN(($P$1336-$P$1334)/ABS($N$1336-$N$1334))</f>
        <v>-3.1146678725756089E-4</v>
      </c>
      <c r="V1335">
        <v>0</v>
      </c>
      <c r="W1335">
        <f t="shared" ref="W1335:W1336" si="1062">ATAN(($M$1336-$M$1334)/ABS($N$1336-$N$1334))</f>
        <v>5.1825336080572513E-4</v>
      </c>
      <c r="X1335">
        <f>$Z$1335-($Y$1335+$Y$1333)/2</f>
        <v>147.34393869824279</v>
      </c>
      <c r="Y1335">
        <f>_xlfn.XLOOKUP($F1335,設計座標!$E$13:$E$2301,設計座標!$L$13:$L$2301," ",0,1)</f>
        <v>100</v>
      </c>
      <c r="Z1335">
        <f>SQRT(($M$1335-$M$1333)^2+($N$1335-$N$1333)^2)</f>
        <v>247.34393869824279</v>
      </c>
      <c r="AA1335">
        <f>_xlfn.XLOOKUP($G1335,magnet_list!$A$2:$A$592,magnet_list!$AJ$2:$AJ$592,"n/a",0,1)</f>
        <v>0.1415535</v>
      </c>
      <c r="AB1335">
        <f>_xlfn.XLOOKUP($G1335,magnet_list!$A$2:$A$592,magnet_list!$L$2:$L$592,"n/a",0,1)</f>
        <v>44</v>
      </c>
    </row>
    <row r="1336" spans="1:28">
      <c r="A1336" t="s">
        <v>797</v>
      </c>
      <c r="B1336">
        <v>2</v>
      </c>
      <c r="C1336" t="s">
        <v>805</v>
      </c>
      <c r="D1336" t="s">
        <v>806</v>
      </c>
      <c r="F1336" t="s">
        <v>362</v>
      </c>
      <c r="G1336" t="s">
        <v>2674</v>
      </c>
      <c r="I1336">
        <f>_xlfn.XLOOKUP($F1336,設計座標!$E$13:$E$2301,設計座標!$G$13:$G$2301,"n/a",0,1)</f>
        <v>356.24918228551905</v>
      </c>
      <c r="J1336">
        <f>_xlfn.XLOOKUP($F1336,設計座標!$E$13:$E$2301,設計座標!$H$13:$H$2301,"n/a",0,1)</f>
        <v>-15000</v>
      </c>
      <c r="K1336">
        <f>_xlfn.XLOOKUP($F1336,設計座標!$E$13:$E$2301,設計座標!$I$13:$I$2301,"n/a",0,1)</f>
        <v>-91787.124819610006</v>
      </c>
      <c r="L1336">
        <f>_xlfn.XLOOKUP($F1336,設計座標!$E$13:$E$2301,設計座標!$J$13:$J$2301,"n/a",0,1)</f>
        <v>-70</v>
      </c>
      <c r="M1336" s="2">
        <f>_xlfn.XLOOKUP($F1336,survey_data!$A$2:$A$833,survey_data!$B$2:$B$833,"n/a",0,1)</f>
        <v>-14987.09865835</v>
      </c>
      <c r="N1336" s="2">
        <f>_xlfn.XLOOKUP($F1336,survey_data!$A$2:$A$833,survey_data!$C$2:$C$833,"n/a",0,1)</f>
        <v>-91787.124819610006</v>
      </c>
      <c r="O1336" s="23">
        <f>_xlfn.XLOOKUP($F1336,survey_data!$A$2:$A$833,survey_data!$D$2:$D$833,"n/a",0,1)</f>
        <v>-71.622815220000007</v>
      </c>
      <c r="P1336" s="1">
        <f t="shared" si="1044"/>
        <v>-69.977894924950874</v>
      </c>
      <c r="Q1336" s="1">
        <f t="shared" si="1059"/>
        <v>12.901341650000177</v>
      </c>
      <c r="R1336">
        <f t="shared" si="1058"/>
        <v>0</v>
      </c>
      <c r="S1336" s="23">
        <f t="shared" si="1060"/>
        <v>-1.6228152200000068</v>
      </c>
      <c r="T1336">
        <f>$S1336+測地線補正!$Q$26*(lattice!$N1336/1000)^3+測地線補正!$P$26*(lattice!$N1336/1000)^2+測地線補正!$O$26*(lattice!$N1336/1000)+測地線補正!$N$26</f>
        <v>2.2105075049123846E-2</v>
      </c>
      <c r="U1336">
        <f t="shared" si="1061"/>
        <v>-3.1146678725756089E-4</v>
      </c>
      <c r="V1336">
        <v>0</v>
      </c>
      <c r="W1336">
        <f t="shared" si="1062"/>
        <v>5.1825336080572513E-4</v>
      </c>
      <c r="X1336">
        <f>$Z$1335-($Y$1335+$Y$1333)/2</f>
        <v>147.34393869824279</v>
      </c>
      <c r="Y1336">
        <f>_xlfn.XLOOKUP($F1336,設計座標!$E$13:$E$2301,設計座標!$L$13:$L$2301," ",0,1)</f>
        <v>100</v>
      </c>
      <c r="Z1336">
        <f>SQRT(($M$1335-$M$1333)^2+($N$1335-$N$1333)^2)</f>
        <v>247.34393869824279</v>
      </c>
      <c r="AA1336">
        <f>_xlfn.XLOOKUP($G1336,magnet_list!$A$2:$A$592,magnet_list!$AJ$2:$AJ$592,"n/a",0,1)</f>
        <v>0.1415535</v>
      </c>
      <c r="AB1336">
        <f>_xlfn.XLOOKUP($G1336,magnet_list!$A$2:$A$592,magnet_list!$L$2:$L$592,"n/a",0,1)</f>
        <v>44</v>
      </c>
    </row>
    <row r="1337" spans="1:28">
      <c r="A1337" t="s">
        <v>797</v>
      </c>
      <c r="B1337">
        <v>2</v>
      </c>
      <c r="C1337" t="s">
        <v>805</v>
      </c>
      <c r="D1337" t="s">
        <v>1152</v>
      </c>
      <c r="E1337" t="s">
        <v>804</v>
      </c>
      <c r="F1337" t="s">
        <v>725</v>
      </c>
      <c r="G1337" t="s">
        <v>363</v>
      </c>
      <c r="I1337">
        <f>_xlfn.XLOOKUP($F1337,設計座標!$E$13:$E$2301,設計座標!$G$13:$G$2301,"n/a",0,1)</f>
        <v>356.45044695248902</v>
      </c>
      <c r="J1337">
        <f>_xlfn.XLOOKUP($F1337,設計座標!$E$13:$E$2301,設計座標!$H$13:$H$2301,"n/a",0,1)</f>
        <v>-15000</v>
      </c>
      <c r="K1337">
        <f>_xlfn.XLOOKUP($F1337,設計座標!$E$13:$E$2301,設計座標!$I$13:$I$2301,"n/a",0,1)</f>
        <v>-91988.389486579996</v>
      </c>
      <c r="L1337">
        <f>_xlfn.XLOOKUP($F1337,設計座標!$E$13:$E$2301,設計座標!$J$13:$J$2301,"n/a",0,1)</f>
        <v>-20</v>
      </c>
      <c r="M1337" s="2">
        <f t="shared" si="1025"/>
        <v>-14987.058408648292</v>
      </c>
      <c r="N1337" s="2">
        <f t="shared" si="1026"/>
        <v>-91988.389486579996</v>
      </c>
      <c r="O1337" s="23">
        <f t="shared" si="1027"/>
        <v>-21.415708518784523</v>
      </c>
      <c r="P1337" s="1">
        <f t="shared" si="1044"/>
        <v>-19.766537222089248</v>
      </c>
      <c r="Q1337" s="1">
        <f>(Q$1338-Q$1336)/($N$1338-$N$1336)*($N1337-$N$1336)+Q$1336</f>
        <v>12.941591351707565</v>
      </c>
      <c r="R1337">
        <f t="shared" si="1058"/>
        <v>0</v>
      </c>
      <c r="S1337" s="23">
        <f>(S$1338-S$1336)/($N$1338-$N$1336)*($N1337-$N$1336)+S$1336</f>
        <v>-1.4157085187845229</v>
      </c>
      <c r="T1337">
        <f>$S1337+測地線補正!$Q$26*(lattice!$N1337/1000)^3+測地線補正!$P$26*(lattice!$N1337/1000)^2+測地線補正!$O$26*(lattice!$N1337/1000)+測地線補正!$N$26</f>
        <v>0.23346277791075276</v>
      </c>
      <c r="U1337">
        <f>-ATAN(($P$1338-$P$1337)/ABS($N$1338-$N$1337))</f>
        <v>-1.0501196448404297E-3</v>
      </c>
      <c r="V1337">
        <v>0</v>
      </c>
      <c r="W1337">
        <f>ATAN(($M$1338-$M$1337)/ABS($N$1338-$N$1337))</f>
        <v>1.9998394042766013E-4</v>
      </c>
      <c r="X1337">
        <f>$Z$1337-($Y$1337+$Y$1335)/2</f>
        <v>141.26804137668438</v>
      </c>
      <c r="Y1337">
        <f>_xlfn.XLOOKUP($F1337,設計座標!$E$13:$E$2301,設計座標!$L$13:$L$2301," ",0,1)</f>
        <v>100</v>
      </c>
      <c r="Z1337">
        <f>SQRT(($M$1337-$M$1335)^2+($N$1337-$N$1335)^2)</f>
        <v>241.26804137668438</v>
      </c>
      <c r="AA1337">
        <f>_xlfn.XLOOKUP($G1337,magnet_list!$A$2:$A$592,magnet_list!$AJ$2:$AJ$592,"n/a",0,1)</f>
        <v>0.115</v>
      </c>
      <c r="AB1337">
        <f>_xlfn.XLOOKUP($G1337,magnet_list!$A$2:$A$592,magnet_list!$L$2:$L$592,"n/a",0,1)</f>
        <v>23</v>
      </c>
    </row>
    <row r="1338" spans="1:28">
      <c r="A1338" t="s">
        <v>797</v>
      </c>
      <c r="B1338">
        <v>2</v>
      </c>
      <c r="C1338" t="s">
        <v>805</v>
      </c>
      <c r="D1338" t="s">
        <v>806</v>
      </c>
      <c r="F1338" t="s">
        <v>363</v>
      </c>
      <c r="G1338" t="s">
        <v>363</v>
      </c>
      <c r="I1338">
        <f>_xlfn.XLOOKUP($F1338,設計座標!$E$13:$E$2301,設計座標!$G$13:$G$2301,"n/a",0,1)</f>
        <v>356.48044695248899</v>
      </c>
      <c r="J1338">
        <f>_xlfn.XLOOKUP($F1338,設計座標!$E$13:$E$2301,設計座標!$H$13:$H$2301,"n/a",0,1)</f>
        <v>-15000</v>
      </c>
      <c r="K1338">
        <f>_xlfn.XLOOKUP($F1338,設計座標!$E$13:$E$2301,設計座標!$I$13:$I$2301,"n/a",0,1)</f>
        <v>-92018.389486579996</v>
      </c>
      <c r="L1338">
        <f>_xlfn.XLOOKUP($F1338,設計座標!$E$13:$E$2301,設計座標!$J$13:$J$2301,"n/a",0,1)</f>
        <v>-20</v>
      </c>
      <c r="M1338" s="2">
        <f>_xlfn.XLOOKUP($F1338,survey_data!$A$2:$A$833,survey_data!$B$2:$B$833,"n/a",0,1)</f>
        <v>-14987.052409129999</v>
      </c>
      <c r="N1338" s="2">
        <f>_xlfn.XLOOKUP($F1338,survey_data!$A$2:$A$833,survey_data!$C$2:$C$833,"n/a",0,1)</f>
        <v>-92018.389486579996</v>
      </c>
      <c r="O1338" s="23">
        <f>_xlfn.XLOOKUP($F1338,survey_data!$A$2:$A$833,survey_data!$D$2:$D$833,"n/a",0,1)</f>
        <v>-21.38483772</v>
      </c>
      <c r="P1338" s="1">
        <f t="shared" si="1044"/>
        <v>-19.735033621163822</v>
      </c>
      <c r="Q1338" s="1">
        <f t="shared" si="1059"/>
        <v>12.947590870000568</v>
      </c>
      <c r="R1338">
        <f t="shared" si="1058"/>
        <v>0</v>
      </c>
      <c r="S1338" s="23">
        <f t="shared" si="1060"/>
        <v>-1.3848377200000002</v>
      </c>
      <c r="T1338">
        <f>$S1338+測地線補正!$Q$26*(lattice!$N1338/1000)^3+測地線補正!$P$26*(lattice!$N1338/1000)^2+測地線補正!$O$26*(lattice!$N1338/1000)+測地線補正!$N$26</f>
        <v>0.26496637883617846</v>
      </c>
      <c r="U1338">
        <f t="shared" ref="U1338" si="1063">-ATAN(($P$1338-$P$1337)/ABS($N$1338-$N$1337))</f>
        <v>-1.0501196448404297E-3</v>
      </c>
      <c r="V1338">
        <v>0</v>
      </c>
      <c r="W1338">
        <f>ATAN(($M$1338-$M$1337)/ABS($N$1338-$N$1337))</f>
        <v>1.9998394042766013E-4</v>
      </c>
      <c r="X1338">
        <f>$Z$1337-($Y$1337+$Y$1335)/2</f>
        <v>141.26804137668438</v>
      </c>
      <c r="Y1338">
        <f>_xlfn.XLOOKUP($F1338,設計座標!$E$13:$E$2301,設計座標!$L$13:$L$2301," ",0,1)</f>
        <v>100</v>
      </c>
      <c r="Z1338">
        <f>SQRT(($M$1337-$M$1335)^2+($N$1337-$N$1335)^2)</f>
        <v>241.26804137668438</v>
      </c>
      <c r="AA1338">
        <f>_xlfn.XLOOKUP($G1338,magnet_list!$A$2:$A$592,magnet_list!$AJ$2:$AJ$592,"n/a",0,1)</f>
        <v>0.115</v>
      </c>
      <c r="AB1338">
        <f>_xlfn.XLOOKUP($G1338,magnet_list!$A$2:$A$592,magnet_list!$L$2:$L$592,"n/a",0,1)</f>
        <v>23</v>
      </c>
    </row>
    <row r="1339" spans="1:28">
      <c r="A1339" t="s">
        <v>797</v>
      </c>
      <c r="B1339">
        <v>2</v>
      </c>
      <c r="C1339" t="s">
        <v>1152</v>
      </c>
      <c r="D1339" t="s">
        <v>1152</v>
      </c>
      <c r="E1339" t="s">
        <v>804</v>
      </c>
      <c r="F1339" t="s">
        <v>2148</v>
      </c>
      <c r="G1339" t="s">
        <v>2148</v>
      </c>
      <c r="I1339">
        <f>_xlfn.XLOOKUP($F1339,設計座標!$E$13:$E$2301,設計座標!$G$13:$G$2301,"n/a",0,1)</f>
        <v>356.63280726136912</v>
      </c>
      <c r="J1339">
        <f>_xlfn.XLOOKUP($F1339,設計座標!$E$13:$E$2301,設計座標!$H$13:$H$2301,"n/a",0,1)</f>
        <v>-15000</v>
      </c>
      <c r="K1339">
        <f>_xlfn.XLOOKUP($F1339,設計座標!$E$13:$E$2301,設計座標!$I$13:$I$2301,"n/a",0,1)</f>
        <v>-92170.749795460055</v>
      </c>
      <c r="L1339">
        <f>_xlfn.XLOOKUP($F1339,設計座標!$E$13:$E$2301,設計座標!$J$13:$J$2301,"n/a",0,1)</f>
        <v>-270</v>
      </c>
      <c r="M1339" s="2">
        <f t="shared" si="1025"/>
        <v>-14987.036784021331</v>
      </c>
      <c r="N1339" s="2">
        <f t="shared" si="1026"/>
        <v>-92170.749795460055</v>
      </c>
      <c r="O1339" s="23">
        <f t="shared" si="1027"/>
        <v>-271.39558732450837</v>
      </c>
      <c r="P1339" s="1">
        <f t="shared" si="1044"/>
        <v>-269.74257279600198</v>
      </c>
      <c r="Q1339" s="1">
        <f>(Q$1346-Q$1338)/($N$1346-$N$1338)*($N1339-$N$1338)+Q$1338</f>
        <v>12.963215978668327</v>
      </c>
      <c r="R1339">
        <f t="shared" si="1058"/>
        <v>0</v>
      </c>
      <c r="S1339" s="23">
        <f t="shared" ref="S1339:S1345" si="1064">(S$1346-S$1338)/($N$1346-$N$1338)*($N1339-$N$1338)+S$1338</f>
        <v>-1.3955873245083956</v>
      </c>
      <c r="T1339">
        <f>$S1339+測地線補正!$Q$26*(lattice!$N1339/1000)^3+測地線補正!$P$26*(lattice!$N1339/1000)^2+測地線補正!$O$26*(lattice!$N1339/1000)+測地線補正!$N$26</f>
        <v>0.25742720399799768</v>
      </c>
      <c r="U1339">
        <v>0</v>
      </c>
      <c r="V1339">
        <v>0</v>
      </c>
      <c r="W1339">
        <v>0</v>
      </c>
      <c r="X1339">
        <f>$Z$1339-($Y$1339+$Y$1337)/2</f>
        <v>132.36031016220355</v>
      </c>
      <c r="Y1339">
        <f>_xlfn.XLOOKUP($F1339,設計座標!$E$13:$E$2301,設計座標!$L$13:$L$2301," ",0,1)</f>
        <v>0</v>
      </c>
      <c r="Z1339">
        <f>SQRT(($M$1339-$M$1337)^2+($N$1339-$N$1337)^2)</f>
        <v>182.36031016220355</v>
      </c>
    </row>
    <row r="1340" spans="1:28">
      <c r="A1340" t="s">
        <v>797</v>
      </c>
      <c r="B1340">
        <v>2</v>
      </c>
      <c r="C1340" t="s">
        <v>804</v>
      </c>
      <c r="D1340" t="s">
        <v>1152</v>
      </c>
      <c r="E1340" t="s">
        <v>804</v>
      </c>
      <c r="F1340" t="s">
        <v>1624</v>
      </c>
      <c r="G1340" t="s">
        <v>2675</v>
      </c>
      <c r="I1340">
        <f>_xlfn.XLOOKUP($F1340,設計座標!$E$13:$E$2301,設計座標!$G$13:$G$2301,"n/a",0,1)</f>
        <v>356.76280686136909</v>
      </c>
      <c r="J1340">
        <f>_xlfn.XLOOKUP($F1340,設計座標!$E$13:$E$2301,設計座標!$H$13:$H$2301,"n/a",0,1)</f>
        <v>-15000</v>
      </c>
      <c r="K1340">
        <f>_xlfn.XLOOKUP($F1340,設計座標!$E$13:$E$2301,設計座標!$I$13:$I$2301,"n/a",0,1)</f>
        <v>-92300.74939546005</v>
      </c>
      <c r="L1340">
        <f>_xlfn.XLOOKUP($F1340,設計座標!$E$13:$E$2301,設計座標!$J$13:$J$2301,"n/a",0,1)</f>
        <v>-270</v>
      </c>
      <c r="M1340" s="2">
        <f t="shared" si="1025"/>
        <v>-14987.023452085399</v>
      </c>
      <c r="N1340" s="2">
        <f t="shared" si="1026"/>
        <v>-92300.74939546005</v>
      </c>
      <c r="O1340" s="23">
        <f t="shared" si="1027"/>
        <v>-271.40475929519107</v>
      </c>
      <c r="P1340" s="1">
        <f t="shared" si="1044"/>
        <v>-269.74900995416652</v>
      </c>
      <c r="Q1340" s="1">
        <f t="shared" ref="Q1340:Q1345" si="1065">(Q$1346-Q$1338)/($N$1346-$N$1338)*($N1340-$N$1338)+Q$1338</f>
        <v>12.976547914601616</v>
      </c>
      <c r="R1340">
        <f t="shared" si="1058"/>
        <v>0</v>
      </c>
      <c r="S1340" s="23">
        <f t="shared" si="1064"/>
        <v>-1.4047592951910599</v>
      </c>
      <c r="T1340">
        <f>$S1340+測地線補正!$Q$26*(lattice!$N1340/1000)^3+測地線補正!$P$26*(lattice!$N1340/1000)^2+測地線補正!$O$26*(lattice!$N1340/1000)+測地線補正!$N$26</f>
        <v>0.25099004583348328</v>
      </c>
      <c r="U1340">
        <f>-ATAN(($P$1344-$P$1340)/ABS($N$1344-$N$1340))</f>
        <v>4.9760866939254642E-5</v>
      </c>
      <c r="V1340">
        <v>0</v>
      </c>
      <c r="W1340">
        <f>ATAN(($M$1344-$M$1340)/ABS($N$1344-$N$1340))</f>
        <v>1.0255366852318976E-4</v>
      </c>
      <c r="X1340">
        <f>SQRT(($M$1340-$M$1339)^2+($N$1340-$N$1339)^2)</f>
        <v>129.99960068361503</v>
      </c>
      <c r="Y1340">
        <f>_xlfn.XLOOKUP($F1340,設計座標!$E$13:$E$2301,設計座標!$L$13:$L$2301," ",0,1)</f>
        <v>1889.4492</v>
      </c>
      <c r="Z1340">
        <f>SQRT(($M$1343-$M$1341)^2+($N$1343-$N$1341)^2)</f>
        <v>307.22420161557454</v>
      </c>
    </row>
    <row r="1341" spans="1:28">
      <c r="A1341" t="s">
        <v>797</v>
      </c>
      <c r="B1341">
        <v>2</v>
      </c>
      <c r="C1341" t="s">
        <v>3855</v>
      </c>
      <c r="D1341" t="s">
        <v>1152</v>
      </c>
      <c r="E1341" t="s">
        <v>804</v>
      </c>
      <c r="F1341" t="s">
        <v>2099</v>
      </c>
      <c r="G1341" t="s">
        <v>2099</v>
      </c>
      <c r="I1341">
        <f>_xlfn.XLOOKUP($F1341,設計座標!$E$13:$E$2301,設計座標!$G$13:$G$2301,"n/a",0,1)</f>
        <v>357.40030726136911</v>
      </c>
      <c r="J1341">
        <f>_xlfn.XLOOKUP($F1341,設計座標!$E$13:$E$2301,設計座標!$H$13:$H$2301,"n/a",0,1)</f>
        <v>-15000</v>
      </c>
      <c r="K1341">
        <f>_xlfn.XLOOKUP($F1341,設計座標!$E$13:$E$2301,設計座標!$I$13:$I$2301,"n/a",0,1)</f>
        <v>-92938.249795460055</v>
      </c>
      <c r="L1341">
        <f>_xlfn.XLOOKUP($F1341,設計座標!$E$13:$E$2301,設計座標!$J$13:$J$2301,"n/a",0,1)</f>
        <v>-270</v>
      </c>
      <c r="M1341" s="2">
        <f t="shared" ref="M1341:M1404" si="1066">$J1341+$Q1341</f>
        <v>-14986.958074080465</v>
      </c>
      <c r="N1341" s="2">
        <f t="shared" ref="N1341:N1404" si="1067">$K1341</f>
        <v>-92938.249795460055</v>
      </c>
      <c r="O1341" s="23">
        <f t="shared" ref="O1341:O1404" si="1068">$L1341+$S1341</f>
        <v>-271.44973739496203</v>
      </c>
      <c r="P1341" s="1">
        <f t="shared" si="1044"/>
        <v>-269.78063613245291</v>
      </c>
      <c r="Q1341" s="1">
        <f t="shared" si="1065"/>
        <v>13.041925919535839</v>
      </c>
      <c r="R1341">
        <f t="shared" si="1058"/>
        <v>0</v>
      </c>
      <c r="S1341" s="23">
        <f t="shared" si="1064"/>
        <v>-1.4497373949620358</v>
      </c>
      <c r="T1341">
        <f>$S1341+測地線補正!$Q$26*(lattice!$N1341/1000)^3+測地線補正!$P$26*(lattice!$N1341/1000)^2+測地線補正!$O$26*(lattice!$N1341/1000)+測地線補正!$N$26</f>
        <v>0.21936386754711257</v>
      </c>
      <c r="U1341">
        <f t="shared" ref="U1341:U1342" si="1069">-ATAN(($P$1344-$P$1340)/ABS($N$1344-$N$1340))</f>
        <v>4.9760866939254642E-5</v>
      </c>
      <c r="V1341">
        <v>0</v>
      </c>
      <c r="W1341">
        <f t="shared" ref="W1341:W1342" si="1070">ATAN(($M$1344-$M$1340)/ABS($N$1344-$N$1340))</f>
        <v>1.0255366852318976E-4</v>
      </c>
      <c r="X1341" t="s">
        <v>3860</v>
      </c>
      <c r="Y1341">
        <f>_xlfn.XLOOKUP($F1341,設計座標!$E$13:$E$2301,設計座標!$L$13:$L$2301," ",0,1)</f>
        <v>800</v>
      </c>
      <c r="Z1341">
        <f>SQRT(($M$1341-$M$1339)^2+($N$1341-$N$1339)^2)</f>
        <v>767.50000403599654</v>
      </c>
      <c r="AA1341">
        <f>_xlfn.XLOOKUP($G1341,magnet_list!$A$2:$A$592,magnet_list!$AJ$2:$AJ$592,"n/a",0,1)</f>
        <v>0.74619000000000002</v>
      </c>
      <c r="AB1341">
        <f>_xlfn.XLOOKUP($G1341,magnet_list!$A$2:$A$592,magnet_list!$L$2:$L$592,"n/a",0,1)</f>
        <v>120</v>
      </c>
    </row>
    <row r="1342" spans="1:28">
      <c r="A1342" t="s">
        <v>797</v>
      </c>
      <c r="B1342">
        <v>2</v>
      </c>
      <c r="C1342" t="s">
        <v>3855</v>
      </c>
      <c r="D1342" t="s">
        <v>1152</v>
      </c>
      <c r="E1342" t="s">
        <v>804</v>
      </c>
      <c r="F1342" t="s">
        <v>2100</v>
      </c>
      <c r="G1342" t="s">
        <v>2100</v>
      </c>
      <c r="I1342">
        <f>_xlfn.XLOOKUP($F1342,設計座標!$E$13:$E$2301,設計座標!$G$13:$G$2301,"n/a",0,1)</f>
        <v>357.40030726136911</v>
      </c>
      <c r="J1342">
        <f>_xlfn.XLOOKUP($F1342,設計座標!$E$13:$E$2301,設計座標!$H$13:$H$2301,"n/a",0,1)</f>
        <v>-15000</v>
      </c>
      <c r="K1342">
        <f>_xlfn.XLOOKUP($F1342,設計座標!$E$13:$E$2301,設計座標!$I$13:$I$2301,"n/a",0,1)</f>
        <v>-92938.249795460055</v>
      </c>
      <c r="L1342">
        <f>_xlfn.XLOOKUP($F1342,設計座標!$E$13:$E$2301,設計座標!$J$13:$J$2301,"n/a",0,1)</f>
        <v>-270</v>
      </c>
      <c r="M1342" s="2">
        <f t="shared" si="1066"/>
        <v>-14986.958074080465</v>
      </c>
      <c r="N1342" s="2">
        <f t="shared" si="1067"/>
        <v>-92938.249795460055</v>
      </c>
      <c r="O1342" s="23">
        <f t="shared" si="1068"/>
        <v>-271.44973739496203</v>
      </c>
      <c r="P1342" s="1">
        <f t="shared" si="1044"/>
        <v>-269.78063613245291</v>
      </c>
      <c r="Q1342" s="1">
        <f t="shared" si="1065"/>
        <v>13.041925919535839</v>
      </c>
      <c r="R1342">
        <f t="shared" si="1058"/>
        <v>0</v>
      </c>
      <c r="S1342" s="23">
        <f t="shared" si="1064"/>
        <v>-1.4497373949620358</v>
      </c>
      <c r="T1342">
        <f>$S1342+測地線補正!$Q$26*(lattice!$N1342/1000)^3+測地線補正!$P$26*(lattice!$N1342/1000)^2+測地線補正!$O$26*(lattice!$N1342/1000)+測地線補正!$N$26</f>
        <v>0.21936386754711257</v>
      </c>
      <c r="U1342">
        <f t="shared" si="1069"/>
        <v>4.9760866939254642E-5</v>
      </c>
      <c r="V1342">
        <v>0</v>
      </c>
      <c r="W1342">
        <f t="shared" si="1070"/>
        <v>1.0255366852318976E-4</v>
      </c>
      <c r="X1342" t="s">
        <v>3860</v>
      </c>
      <c r="Y1342">
        <f>_xlfn.XLOOKUP($F1342,設計座標!$E$13:$E$2301,設計座標!$L$13:$L$2301," ",0,1)</f>
        <v>800</v>
      </c>
      <c r="Z1342">
        <f>SQRT(($M$1341-$M$1339)^2+($N$1341-$N$1339)^2)</f>
        <v>767.50000403599654</v>
      </c>
      <c r="AA1342">
        <f>_xlfn.XLOOKUP($G1342,magnet_list!$A$2:$A$592,magnet_list!$AJ$2:$AJ$592,"n/a",0,1)</f>
        <v>0.74619000000000002</v>
      </c>
      <c r="AB1342">
        <f>_xlfn.XLOOKUP($G1342,magnet_list!$A$2:$A$592,magnet_list!$L$2:$L$592,"n/a",0,1)</f>
        <v>120</v>
      </c>
    </row>
    <row r="1343" spans="1:28">
      <c r="A1343" t="s">
        <v>797</v>
      </c>
      <c r="B1343">
        <v>2</v>
      </c>
      <c r="C1343" t="s">
        <v>804</v>
      </c>
      <c r="D1343" t="s">
        <v>1152</v>
      </c>
      <c r="E1343" t="s">
        <v>804</v>
      </c>
      <c r="F1343" t="s">
        <v>1251</v>
      </c>
      <c r="G1343" t="s">
        <v>2675</v>
      </c>
      <c r="I1343">
        <f>_xlfn.XLOOKUP($F1343,設計座標!$E$13:$E$2301,設計座標!$G$13:$G$2301,"n/a",0,1)</f>
        <v>357.70753146136911</v>
      </c>
      <c r="J1343">
        <f>_xlfn.XLOOKUP($F1343,設計座標!$E$13:$E$2301,設計座標!$H$13:$H$2301,"n/a",0,1)</f>
        <v>-15000</v>
      </c>
      <c r="K1343">
        <f>_xlfn.XLOOKUP($F1343,設計座標!$E$13:$E$2301,設計座標!$I$13:$I$2301,"n/a",0,1)</f>
        <v>-93245.473995460052</v>
      </c>
      <c r="L1343">
        <f>_xlfn.XLOOKUP($F1343,設計座標!$E$13:$E$2301,設計座標!$J$13:$J$2301,"n/a",0,1)</f>
        <v>-270</v>
      </c>
      <c r="M1343" s="2">
        <f t="shared" si="1066"/>
        <v>-14986.926567111585</v>
      </c>
      <c r="N1343" s="2">
        <f t="shared" si="1067"/>
        <v>-93245.473995460052</v>
      </c>
      <c r="O1343" s="23">
        <f t="shared" si="1068"/>
        <v>-271.47141324131388</v>
      </c>
      <c r="P1343" s="1">
        <f t="shared" si="1044"/>
        <v>-269.79591251245762</v>
      </c>
      <c r="Q1343" s="1">
        <f t="shared" si="1065"/>
        <v>13.073432888415406</v>
      </c>
      <c r="R1343">
        <f t="shared" si="1058"/>
        <v>0</v>
      </c>
      <c r="S1343" s="23">
        <f t="shared" si="1064"/>
        <v>-1.4714132413139094</v>
      </c>
      <c r="T1343">
        <f>$S1343+測地線補正!$Q$26*(lattice!$N1343/1000)^3+測地線補正!$P$26*(lattice!$N1343/1000)^2+測地線補正!$O$26*(lattice!$N1343/1000)+測地線補正!$N$26</f>
        <v>0.20408748754239681</v>
      </c>
      <c r="U1343">
        <f t="shared" ref="U1343:U1344" si="1071">-ATAN(($P$1344-$P$1340)/ABS($N$1344-$N$1340))</f>
        <v>4.9760866939254642E-5</v>
      </c>
      <c r="V1343">
        <v>0</v>
      </c>
      <c r="W1343">
        <f t="shared" ref="W1343:W1344" si="1072">ATAN(($M$1344-$M$1340)/ABS($N$1344-$N$1340))</f>
        <v>1.0255366852318976E-4</v>
      </c>
      <c r="X1343" t="s">
        <v>3860</v>
      </c>
      <c r="Y1343">
        <f>_xlfn.XLOOKUP($F1343,設計座標!$E$13:$E$2301,設計座標!$L$13:$L$2301," ",0,1)</f>
        <v>1889.4492</v>
      </c>
      <c r="Z1343">
        <f>SQRT(($M$1343-$M$1341)^2+($N$1343-$N$1341)^2)</f>
        <v>307.22420161557454</v>
      </c>
    </row>
    <row r="1344" spans="1:28">
      <c r="A1344" t="s">
        <v>797</v>
      </c>
      <c r="B1344">
        <v>2</v>
      </c>
      <c r="C1344" t="s">
        <v>804</v>
      </c>
      <c r="D1344" t="s">
        <v>1152</v>
      </c>
      <c r="E1344" t="s">
        <v>804</v>
      </c>
      <c r="F1344" t="s">
        <v>1625</v>
      </c>
      <c r="G1344" t="s">
        <v>2675</v>
      </c>
      <c r="I1344">
        <f>_xlfn.XLOOKUP($F1344,設計座標!$E$13:$E$2301,設計座標!$G$13:$G$2301,"n/a",0,1)</f>
        <v>358.65225606136914</v>
      </c>
      <c r="J1344">
        <f>_xlfn.XLOOKUP($F1344,設計座標!$E$13:$E$2301,設計座標!$H$13:$H$2301,"n/a",0,1)</f>
        <v>-15000</v>
      </c>
      <c r="K1344">
        <f>_xlfn.XLOOKUP($F1344,設計座標!$E$13:$E$2301,設計座標!$I$13:$I$2301,"n/a",0,1)</f>
        <v>-94190.198595460053</v>
      </c>
      <c r="L1344">
        <f>_xlfn.XLOOKUP($F1344,設計座標!$E$13:$E$2301,設計座標!$J$13:$J$2301,"n/a",0,1)</f>
        <v>-270</v>
      </c>
      <c r="M1344" s="2">
        <f t="shared" si="1066"/>
        <v>-14986.829682137772</v>
      </c>
      <c r="N1344" s="2">
        <f t="shared" si="1067"/>
        <v>-94190.198595460053</v>
      </c>
      <c r="O1344" s="23">
        <f t="shared" si="1068"/>
        <v>-271.53806718743675</v>
      </c>
      <c r="P1344" s="1">
        <f t="shared" si="1044"/>
        <v>-269.84303058447381</v>
      </c>
      <c r="Q1344" s="1">
        <f t="shared" si="1065"/>
        <v>13.170317862229195</v>
      </c>
      <c r="R1344">
        <f t="shared" si="1058"/>
        <v>0</v>
      </c>
      <c r="S1344" s="23">
        <f t="shared" si="1064"/>
        <v>-1.5380671874367589</v>
      </c>
      <c r="T1344">
        <f>$S1344+測地線補正!$Q$26*(lattice!$N1344/1000)^3+測地線補正!$P$26*(lattice!$N1344/1000)^2+測地線補正!$O$26*(lattice!$N1344/1000)+測地線補正!$N$26</f>
        <v>0.15696941552618315</v>
      </c>
      <c r="U1344">
        <f t="shared" si="1071"/>
        <v>4.9760866939254642E-5</v>
      </c>
      <c r="V1344">
        <v>0</v>
      </c>
      <c r="W1344">
        <f t="shared" si="1072"/>
        <v>1.0255366852318976E-4</v>
      </c>
      <c r="X1344" t="s">
        <v>3860</v>
      </c>
      <c r="Y1344">
        <f>_xlfn.XLOOKUP($F1344,設計座標!$E$13:$E$2301,設計座標!$L$13:$L$2301," ",0,1)</f>
        <v>1889.4492</v>
      </c>
      <c r="Z1344">
        <f>SQRT(($M$1343-$M$1341)^2+($N$1343-$N$1341)^2)</f>
        <v>307.22420161557454</v>
      </c>
    </row>
    <row r="1345" spans="1:28">
      <c r="A1345" t="s">
        <v>797</v>
      </c>
      <c r="B1345">
        <v>2</v>
      </c>
      <c r="C1345" t="s">
        <v>1152</v>
      </c>
      <c r="D1345" t="s">
        <v>1152</v>
      </c>
      <c r="E1345" t="s">
        <v>804</v>
      </c>
      <c r="F1345" t="s">
        <v>2149</v>
      </c>
      <c r="G1345" t="s">
        <v>2149</v>
      </c>
      <c r="I1345">
        <f>_xlfn.XLOOKUP($F1345,設計座標!$E$13:$E$2301,設計座標!$G$13:$G$2301,"n/a",0,1)</f>
        <v>358.78225656136914</v>
      </c>
      <c r="J1345">
        <f>_xlfn.XLOOKUP($F1345,設計座標!$E$13:$E$2301,設計座標!$H$13:$H$2301,"n/a",0,1)</f>
        <v>-15000</v>
      </c>
      <c r="K1345">
        <f>_xlfn.XLOOKUP($F1345,設計座標!$E$13:$E$2301,設計座標!$I$13:$I$2301,"n/a",0,1)</f>
        <v>-94320.199095460048</v>
      </c>
      <c r="L1345">
        <f>_xlfn.XLOOKUP($F1345,設計座標!$E$13:$E$2301,設計座標!$J$13:$J$2301,"n/a",0,1)</f>
        <v>-270</v>
      </c>
      <c r="M1345" s="2">
        <f t="shared" si="1066"/>
        <v>-14986.816350109539</v>
      </c>
      <c r="N1345" s="2">
        <f t="shared" si="1067"/>
        <v>-94320.199095460048</v>
      </c>
      <c r="O1345" s="23">
        <f t="shared" si="1068"/>
        <v>-271.54723922161787</v>
      </c>
      <c r="P1345" s="1">
        <f t="shared" si="1044"/>
        <v>-269.84953118037072</v>
      </c>
      <c r="Q1345" s="1">
        <f t="shared" si="1065"/>
        <v>13.183649890460789</v>
      </c>
      <c r="R1345">
        <f t="shared" si="1058"/>
        <v>0</v>
      </c>
      <c r="S1345" s="23">
        <f t="shared" si="1064"/>
        <v>-1.547239221617877</v>
      </c>
      <c r="T1345">
        <f>$S1345+測地線補正!$Q$26*(lattice!$N1345/1000)^3+測地線補正!$P$26*(lattice!$N1345/1000)^2+測地線補正!$O$26*(lattice!$N1345/1000)+測地線補正!$N$26</f>
        <v>0.15046881962925984</v>
      </c>
      <c r="U1345">
        <v>0</v>
      </c>
      <c r="V1345">
        <v>0</v>
      </c>
      <c r="W1345">
        <v>0</v>
      </c>
      <c r="X1345">
        <f>SQRT(($M$1345-$M$1344)^2+($N$1345-$N$1344)^2)</f>
        <v>130.00050068361884</v>
      </c>
      <c r="Y1345">
        <f>_xlfn.XLOOKUP($F1345,設計座標!$E$13:$E$2301,設計座標!$L$13:$L$2301," ",0,1)</f>
        <v>0</v>
      </c>
      <c r="Z1345">
        <f>SQRT(($M$1345-$M$1343)^2+($N$1345-$N$1343)^2)</f>
        <v>1074.7251056515749</v>
      </c>
    </row>
    <row r="1346" spans="1:28">
      <c r="A1346" t="s">
        <v>797</v>
      </c>
      <c r="B1346">
        <v>2</v>
      </c>
      <c r="C1346" t="s">
        <v>805</v>
      </c>
      <c r="D1346" t="s">
        <v>806</v>
      </c>
      <c r="F1346" t="s">
        <v>364</v>
      </c>
      <c r="G1346" t="s">
        <v>364</v>
      </c>
      <c r="I1346">
        <f>_xlfn.XLOOKUP($F1346,設計座標!$E$13:$E$2301,設計座標!$G$13:$G$2301,"n/a",0,1)</f>
        <v>358.95024810887907</v>
      </c>
      <c r="J1346">
        <f>_xlfn.XLOOKUP($F1346,設計座標!$E$13:$E$2301,設計座標!$H$13:$H$2301,"n/a",0,1)</f>
        <v>-15000</v>
      </c>
      <c r="K1346">
        <f>_xlfn.XLOOKUP($F1346,設計座標!$E$13:$E$2301,設計座標!$I$13:$I$2301,"n/a",0,1)</f>
        <v>-94488.190642970003</v>
      </c>
      <c r="L1346">
        <f>_xlfn.XLOOKUP($F1346,設計座標!$E$13:$E$2301,設計座標!$J$13:$J$2301,"n/a",0,1)</f>
        <v>-20</v>
      </c>
      <c r="M1346" s="2">
        <f>_xlfn.XLOOKUP($F1346,survey_data!$A$2:$A$833,survey_data!$B$2:$B$833,"n/a",0,1)</f>
        <v>-14986.799121960001</v>
      </c>
      <c r="N1346" s="2">
        <f>_xlfn.XLOOKUP($F1346,survey_data!$A$2:$A$833,survey_data!$C$2:$C$833,"n/a",0,1)</f>
        <v>-94488.190642970003</v>
      </c>
      <c r="O1346" s="23">
        <f>_xlfn.XLOOKUP($F1346,survey_data!$A$2:$A$833,survey_data!$D$2:$D$833,"n/a",0,1)</f>
        <v>-21.559091670000001</v>
      </c>
      <c r="P1346" s="1">
        <f t="shared" si="1044"/>
        <v>-19.857937517353378</v>
      </c>
      <c r="Q1346" s="1">
        <f t="shared" si="1059"/>
        <v>13.200878039999225</v>
      </c>
      <c r="R1346">
        <f t="shared" si="1058"/>
        <v>0</v>
      </c>
      <c r="S1346" s="23">
        <f t="shared" si="1060"/>
        <v>-1.5590916700000008</v>
      </c>
      <c r="T1346">
        <f>$S1346+測地線補正!$Q$26*(lattice!$N1346/1000)^3+測地線補正!$P$26*(lattice!$N1346/1000)^2+測地線補正!$O$26*(lattice!$N1346/1000)+測地線補正!$N$26</f>
        <v>0.14206248264662347</v>
      </c>
      <c r="U1346">
        <f>-ATAN(($P$1347-$P$1346)/ABS($N$1347-$N$1346))</f>
        <v>-9.9882545010880221E-5</v>
      </c>
      <c r="V1346">
        <v>0</v>
      </c>
      <c r="W1346">
        <f>ATAN(($M$1347-$M$1346)/ABS($N$1347-$N$1346))</f>
        <v>7.9248127698754563E-5</v>
      </c>
      <c r="X1346">
        <f>$Z$1347-($Y$1347+$Y$1345)/2</f>
        <v>147.99154848065135</v>
      </c>
      <c r="Y1346">
        <f>_xlfn.XLOOKUP($F1346,設計座標!$E$13:$E$2301,設計座標!$L$13:$L$2301," ",0,1)</f>
        <v>100</v>
      </c>
      <c r="Z1346">
        <f>SQRT(($M$1347-$M$1345)^2+($N$1347-$N$1345)^2)</f>
        <v>197.99154848065135</v>
      </c>
      <c r="AA1346">
        <f>_xlfn.XLOOKUP($G1346,magnet_list!$A$2:$A$592,magnet_list!$AJ$2:$AJ$592,"n/a",0,1)</f>
        <v>0.115</v>
      </c>
      <c r="AB1346">
        <f>_xlfn.XLOOKUP($G1346,magnet_list!$A$2:$A$592,magnet_list!$L$2:$L$592,"n/a",0,1)</f>
        <v>23</v>
      </c>
    </row>
    <row r="1347" spans="1:28">
      <c r="A1347" t="s">
        <v>797</v>
      </c>
      <c r="B1347">
        <v>2</v>
      </c>
      <c r="C1347" t="s">
        <v>805</v>
      </c>
      <c r="D1347" t="s">
        <v>1152</v>
      </c>
      <c r="E1347" t="s">
        <v>804</v>
      </c>
      <c r="F1347" t="s">
        <v>727</v>
      </c>
      <c r="G1347" t="s">
        <v>364</v>
      </c>
      <c r="I1347">
        <f>_xlfn.XLOOKUP($F1347,設計座標!$E$13:$E$2301,設計座標!$G$13:$G$2301,"n/a",0,1)</f>
        <v>358.98024810887904</v>
      </c>
      <c r="J1347">
        <f>_xlfn.XLOOKUP($F1347,設計座標!$E$13:$E$2301,設計座標!$H$13:$H$2301,"n/a",0,1)</f>
        <v>-15000</v>
      </c>
      <c r="K1347">
        <f>_xlfn.XLOOKUP($F1347,設計座標!$E$13:$E$2301,設計座標!$I$13:$I$2301,"n/a",0,1)</f>
        <v>-94518.190642970003</v>
      </c>
      <c r="L1347">
        <f>_xlfn.XLOOKUP($F1347,設計座標!$E$13:$E$2301,設計座標!$J$13:$J$2301,"n/a",0,1)</f>
        <v>-20</v>
      </c>
      <c r="M1347" s="2">
        <f t="shared" si="1066"/>
        <v>-14986.796744516165</v>
      </c>
      <c r="N1347" s="2">
        <f t="shared" si="1067"/>
        <v>-94518.190642970003</v>
      </c>
      <c r="O1347" s="23">
        <f t="shared" si="1068"/>
        <v>-21.556709887393904</v>
      </c>
      <c r="P1347" s="1">
        <f t="shared" si="1044"/>
        <v>-19.854941040993086</v>
      </c>
      <c r="Q1347" s="1">
        <f>(Q$1349-Q$1346)/($N$1349-$N$1346)*($N1347-$N$1346)+Q$1346</f>
        <v>13.203255483835159</v>
      </c>
      <c r="R1347">
        <f t="shared" si="1058"/>
        <v>0</v>
      </c>
      <c r="S1347" s="23">
        <f t="shared" ref="S1347:S1348" si="1073">(S$1349-S$1346)/($N$1349-$N$1346)*($N1347-$N$1346)+S$1346</f>
        <v>-1.5567098873939023</v>
      </c>
      <c r="T1347">
        <f>$S1347+測地線補正!$Q$26*(lattice!$N1347/1000)^3+測地線補正!$P$26*(lattice!$N1347/1000)^2+測地線補正!$O$26*(lattice!$N1347/1000)+測地線補正!$N$26</f>
        <v>0.14505895900691246</v>
      </c>
      <c r="U1347">
        <f>-ATAN(($P$1347-$P$1346)/ABS($N$1347-$N$1346))</f>
        <v>-9.9882545010880221E-5</v>
      </c>
      <c r="V1347">
        <v>0</v>
      </c>
      <c r="W1347">
        <f>ATAN(($M$1347-$M$1346)/ABS($N$1347-$N$1346))</f>
        <v>7.9248127698754563E-5</v>
      </c>
      <c r="X1347">
        <f>$Z$1347-($Y$1347+$Y$1345)/2</f>
        <v>147.99154848065135</v>
      </c>
      <c r="Y1347">
        <f>_xlfn.XLOOKUP($F1347,設計座標!$E$13:$E$2301,設計座標!$L$13:$L$2301," ",0,1)</f>
        <v>100</v>
      </c>
      <c r="Z1347">
        <f>SQRT(($M$1347-$M$1345)^2+($N$1347-$N$1345)^2)</f>
        <v>197.99154848065135</v>
      </c>
      <c r="AA1347">
        <f>_xlfn.XLOOKUP($G1347,magnet_list!$A$2:$A$592,magnet_list!$AJ$2:$AJ$592,"n/a",0,1)</f>
        <v>0.115</v>
      </c>
      <c r="AB1347">
        <f>_xlfn.XLOOKUP($G1347,magnet_list!$A$2:$A$592,magnet_list!$L$2:$L$592,"n/a",0,1)</f>
        <v>23</v>
      </c>
    </row>
    <row r="1348" spans="1:28">
      <c r="A1348" t="s">
        <v>797</v>
      </c>
      <c r="B1348">
        <v>2</v>
      </c>
      <c r="C1348" t="s">
        <v>805</v>
      </c>
      <c r="D1348" t="s">
        <v>1152</v>
      </c>
      <c r="E1348" t="s">
        <v>804</v>
      </c>
      <c r="F1348" t="s">
        <v>728</v>
      </c>
      <c r="G1348" t="s">
        <v>365</v>
      </c>
      <c r="I1348">
        <f>_xlfn.XLOOKUP($F1348,設計座標!$E$13:$E$2301,設計座標!$G$13:$G$2301,"n/a",0,1)</f>
        <v>359.46904416467902</v>
      </c>
      <c r="J1348">
        <f>_xlfn.XLOOKUP($F1348,設計座標!$E$13:$E$2301,設計座標!$H$13:$H$2301,"n/a",0,1)</f>
        <v>-15000</v>
      </c>
      <c r="K1348">
        <f>_xlfn.XLOOKUP($F1348,設計座標!$E$13:$E$2301,設計座標!$I$13:$I$2301,"n/a",0,1)</f>
        <v>-95006.986698769993</v>
      </c>
      <c r="L1348">
        <f>_xlfn.XLOOKUP($F1348,設計座標!$E$13:$E$2301,設計座標!$J$13:$J$2301,"n/a",0,1)</f>
        <v>-20</v>
      </c>
      <c r="M1348" s="2">
        <f t="shared" si="1066"/>
        <v>-14986.758008343835</v>
      </c>
      <c r="N1348" s="2">
        <f t="shared" si="1067"/>
        <v>-95006.986698769993</v>
      </c>
      <c r="O1348" s="23">
        <f t="shared" si="1068"/>
        <v>-21.517903022606099</v>
      </c>
      <c r="P1348" s="1">
        <f t="shared" si="1044"/>
        <v>-19.806149316364618</v>
      </c>
      <c r="Q1348" s="1">
        <f>(Q$1349-Q$1346)/($N$1349-$N$1346)*($N1348-$N$1346)+Q$1346</f>
        <v>13.241991656164833</v>
      </c>
      <c r="R1348">
        <f t="shared" si="1058"/>
        <v>0</v>
      </c>
      <c r="S1348" s="23">
        <f t="shared" si="1073"/>
        <v>-1.5179030226061003</v>
      </c>
      <c r="T1348">
        <f>$S1348+測地線補正!$Q$26*(lattice!$N1348/1000)^3+測地線補正!$P$26*(lattice!$N1348/1000)^2+測地線補正!$O$26*(lattice!$N1348/1000)+測地線補正!$N$26</f>
        <v>0.19385068363538127</v>
      </c>
      <c r="U1348">
        <f>-ATAN(($P$1349-$P$1348)/ABS($N$1349-$N$1348))</f>
        <v>-9.9757911692990267E-5</v>
      </c>
      <c r="V1348">
        <v>0</v>
      </c>
      <c r="W1348">
        <f>ATAN(($M$1349-$M$1348)/ABS($N$1349-$N$1348))</f>
        <v>7.9248127698754563E-5</v>
      </c>
      <c r="X1348">
        <f>$Z$1348-($Y$1348+$Y$1347)/2</f>
        <v>388.796057334875</v>
      </c>
      <c r="Y1348">
        <f>_xlfn.XLOOKUP($F1348,設計座標!$E$13:$E$2301,設計座標!$L$13:$L$2301," ",0,1)</f>
        <v>100</v>
      </c>
      <c r="Z1348">
        <f>SQRT(($M$1348-$M$1347)^2+($N$1348-$N$1347)^2)</f>
        <v>488.796057334875</v>
      </c>
      <c r="AA1348">
        <f>_xlfn.XLOOKUP($G1348,magnet_list!$A$2:$A$592,magnet_list!$AJ$2:$AJ$592,"n/a",0,1)</f>
        <v>0.115</v>
      </c>
      <c r="AB1348">
        <f>_xlfn.XLOOKUP($G1348,magnet_list!$A$2:$A$592,magnet_list!$L$2:$L$592,"n/a",0,1)</f>
        <v>23</v>
      </c>
    </row>
    <row r="1349" spans="1:28">
      <c r="A1349" t="s">
        <v>797</v>
      </c>
      <c r="B1349">
        <v>2</v>
      </c>
      <c r="C1349" t="s">
        <v>805</v>
      </c>
      <c r="D1349" t="s">
        <v>806</v>
      </c>
      <c r="F1349" t="s">
        <v>365</v>
      </c>
      <c r="G1349" t="s">
        <v>365</v>
      </c>
      <c r="I1349">
        <f>_xlfn.XLOOKUP($F1349,設計座標!$E$13:$E$2301,設計座標!$G$13:$G$2301,"n/a",0,1)</f>
        <v>359.49904416467899</v>
      </c>
      <c r="J1349">
        <f>_xlfn.XLOOKUP($F1349,設計座標!$E$13:$E$2301,設計座標!$H$13:$H$2301,"n/a",0,1)</f>
        <v>-15000</v>
      </c>
      <c r="K1349">
        <f>_xlfn.XLOOKUP($F1349,設計座標!$E$13:$E$2301,設計座標!$I$13:$I$2301,"n/a",0,1)</f>
        <v>-95036.986698769993</v>
      </c>
      <c r="L1349">
        <f>_xlfn.XLOOKUP($F1349,設計座標!$E$13:$E$2301,設計座標!$J$13:$J$2301,"n/a",0,1)</f>
        <v>-20</v>
      </c>
      <c r="M1349" s="2">
        <f>_xlfn.XLOOKUP($F1349,survey_data!$A$2:$A$833,survey_data!$B$2:$B$833,"n/a",0,1)</f>
        <v>-14986.755630899999</v>
      </c>
      <c r="N1349" s="2">
        <f>_xlfn.XLOOKUP($F1349,survey_data!$A$2:$A$833,survey_data!$C$2:$C$833,"n/a",0,1)</f>
        <v>-95036.986698769993</v>
      </c>
      <c r="O1349" s="23">
        <f>_xlfn.XLOOKUP($F1349,survey_data!$A$2:$A$833,survey_data!$D$2:$D$833,"n/a",0,1)</f>
        <v>-21.515521240000002</v>
      </c>
      <c r="P1349" s="1">
        <f t="shared" si="1044"/>
        <v>-19.8031565790039</v>
      </c>
      <c r="Q1349" s="1">
        <f t="shared" si="1059"/>
        <v>13.244369100000768</v>
      </c>
      <c r="R1349">
        <f t="shared" si="1058"/>
        <v>0</v>
      </c>
      <c r="S1349" s="23">
        <f t="shared" si="1060"/>
        <v>-1.5155212400000018</v>
      </c>
      <c r="T1349">
        <f>$S1349+測地線補正!$Q$26*(lattice!$N1349/1000)^3+測地線補正!$P$26*(lattice!$N1349/1000)^2+測地線補正!$O$26*(lattice!$N1349/1000)+測地線補正!$N$26</f>
        <v>0.1968434209961003</v>
      </c>
      <c r="U1349">
        <f>-ATAN(($P$1349-$P$1348)/ABS($N$1349-$N$1348))</f>
        <v>-9.9757911692990267E-5</v>
      </c>
      <c r="V1349">
        <v>0</v>
      </c>
      <c r="W1349">
        <f>ATAN(($M$1349-$M$1348)/ABS($N$1349-$N$1348))</f>
        <v>7.9248127698754563E-5</v>
      </c>
      <c r="X1349">
        <f>$Z$1348-($Y$1348+$Y$1347)/2</f>
        <v>388.796057334875</v>
      </c>
      <c r="Y1349">
        <f>_xlfn.XLOOKUP($F1349,設計座標!$E$13:$E$2301,設計座標!$L$13:$L$2301," ",0,1)</f>
        <v>100</v>
      </c>
      <c r="Z1349">
        <f>SQRT(($M$1348-$M$1347)^2+($N$1348-$N$1347)^2)</f>
        <v>488.796057334875</v>
      </c>
      <c r="AA1349">
        <f>_xlfn.XLOOKUP($G1349,magnet_list!$A$2:$A$592,magnet_list!$AJ$2:$AJ$592,"n/a",0,1)</f>
        <v>0.115</v>
      </c>
      <c r="AB1349">
        <f>_xlfn.XLOOKUP($G1349,magnet_list!$A$2:$A$592,magnet_list!$L$2:$L$592,"n/a",0,1)</f>
        <v>23</v>
      </c>
    </row>
    <row r="1350" spans="1:28">
      <c r="A1350" t="s">
        <v>797</v>
      </c>
      <c r="B1350">
        <v>2</v>
      </c>
      <c r="C1350" t="s">
        <v>1152</v>
      </c>
      <c r="D1350" t="s">
        <v>1152</v>
      </c>
      <c r="E1350" t="s">
        <v>804</v>
      </c>
      <c r="F1350" t="s">
        <v>2097</v>
      </c>
      <c r="G1350" t="s">
        <v>2097</v>
      </c>
      <c r="I1350">
        <f>_xlfn.XLOOKUP($F1350,設計座標!$E$13:$E$2301,設計座標!$G$13:$G$2301,"n/a",0,1)</f>
        <v>359.65940336136913</v>
      </c>
      <c r="J1350">
        <f>_xlfn.XLOOKUP($F1350,設計座標!$E$13:$E$2301,設計座標!$H$13:$H$2301,"n/a",0,1)</f>
        <v>-15000</v>
      </c>
      <c r="K1350">
        <f>_xlfn.XLOOKUP($F1350,設計座標!$E$13:$E$2301,設計座標!$I$13:$I$2301,"n/a",0,1)</f>
        <v>-95197.34589546005</v>
      </c>
      <c r="L1350">
        <f>_xlfn.XLOOKUP($F1350,設計座標!$E$13:$E$2301,設計座標!$J$13:$J$2301,"n/a",0,1)</f>
        <v>-270</v>
      </c>
      <c r="M1350" s="2">
        <f t="shared" si="1066"/>
        <v>-14986.737815098733</v>
      </c>
      <c r="N1350" s="2">
        <f t="shared" si="1067"/>
        <v>-95197.34589546005</v>
      </c>
      <c r="O1350" s="23">
        <f t="shared" si="1068"/>
        <v>-271.502506915776</v>
      </c>
      <c r="P1350" s="1">
        <f t="shared" si="1044"/>
        <v>-269.78688017707378</v>
      </c>
      <c r="Q1350" s="1">
        <f>(Q$1358-Q$1349)/($N$1358-$N$1349)*($N1350-$N$1349)+Q$1349</f>
        <v>13.262184901266981</v>
      </c>
      <c r="R1350">
        <f t="shared" si="1058"/>
        <v>0</v>
      </c>
      <c r="S1350" s="23">
        <f t="shared" ref="S1350:S1357" si="1074">(S$1358-S$1349)/($N$1358-$N$1349)*($N1350-$N$1349)+S$1349</f>
        <v>-1.5025069157759701</v>
      </c>
      <c r="T1350">
        <f>$S1350+測地線補正!$Q$26*(lattice!$N1350/1000)^3+測地線補正!$P$26*(lattice!$N1350/1000)^2+測地線補正!$O$26*(lattice!$N1350/1000)+測地線補正!$N$26</f>
        <v>0.21311982292622189</v>
      </c>
      <c r="U1350">
        <v>0</v>
      </c>
      <c r="V1350">
        <v>0</v>
      </c>
      <c r="W1350">
        <v>0</v>
      </c>
      <c r="X1350">
        <f>$Z$1350-($Y$1350+$Y$1348)/2</f>
        <v>140.3591977611033</v>
      </c>
      <c r="Y1350">
        <f>_xlfn.XLOOKUP($F1350,設計座標!$E$13:$E$2301,設計座標!$L$13:$L$2301," ",0,1)</f>
        <v>0</v>
      </c>
      <c r="Z1350">
        <f>SQRT(($M$1350-$M$1348)^2+($N$1350-$N$1348)^2)</f>
        <v>190.3591977611033</v>
      </c>
    </row>
    <row r="1351" spans="1:28">
      <c r="A1351" t="s">
        <v>797</v>
      </c>
      <c r="B1351">
        <v>2</v>
      </c>
      <c r="C1351" t="s">
        <v>1152</v>
      </c>
      <c r="D1351" t="s">
        <v>1152</v>
      </c>
      <c r="E1351" t="s">
        <v>804</v>
      </c>
      <c r="F1351" t="s">
        <v>2098</v>
      </c>
      <c r="G1351" t="s">
        <v>2098</v>
      </c>
      <c r="I1351">
        <f>_xlfn.XLOOKUP($F1351,設計座標!$E$13:$E$2301,設計座標!$G$13:$G$2301,"n/a",0,1)</f>
        <v>359.72940336136912</v>
      </c>
      <c r="J1351">
        <f>_xlfn.XLOOKUP($F1351,設計座標!$E$13:$E$2301,設計座標!$H$13:$H$2301,"n/a",0,1)</f>
        <v>-15000</v>
      </c>
      <c r="K1351">
        <f>_xlfn.XLOOKUP($F1351,設計座標!$E$13:$E$2301,設計座標!$I$13:$I$2301,"n/a",0,1)</f>
        <v>-95267.34589546005</v>
      </c>
      <c r="L1351">
        <f>_xlfn.XLOOKUP($F1351,設計座標!$E$13:$E$2301,設計座標!$J$13:$J$2301,"n/a",0,1)</f>
        <v>-270</v>
      </c>
      <c r="M1351" s="2">
        <f t="shared" si="1066"/>
        <v>-14986.73003814478</v>
      </c>
      <c r="N1351" s="2">
        <f t="shared" si="1067"/>
        <v>-95267.34589546005</v>
      </c>
      <c r="O1351" s="23">
        <f t="shared" si="1068"/>
        <v>-271.4968259026848</v>
      </c>
      <c r="P1351" s="1">
        <f t="shared" si="1044"/>
        <v>-269.77977713601348</v>
      </c>
      <c r="Q1351" s="1">
        <f t="shared" ref="Q1351:Q1357" si="1075">(Q$1358-Q$1349)/($N$1358-$N$1349)*($N1351-$N$1349)+Q$1349</f>
        <v>13.269961855220208</v>
      </c>
      <c r="R1351">
        <f t="shared" si="1058"/>
        <v>0</v>
      </c>
      <c r="S1351" s="23">
        <f t="shared" si="1074"/>
        <v>-1.4968259026848221</v>
      </c>
      <c r="T1351">
        <f>$S1351+測地線補正!$Q$26*(lattice!$N1351/1000)^3+測地線補正!$P$26*(lattice!$N1351/1000)^2+測地線補正!$O$26*(lattice!$N1351/1000)+測地線補正!$N$26</f>
        <v>0.22022286398653157</v>
      </c>
      <c r="U1351">
        <v>0</v>
      </c>
      <c r="V1351">
        <v>0</v>
      </c>
      <c r="W1351">
        <v>0</v>
      </c>
      <c r="X1351">
        <f>$Z$1351-($Y$1351+$Y$1350)/2</f>
        <v>70.000000432007241</v>
      </c>
      <c r="Y1351">
        <f>_xlfn.XLOOKUP($F1351,設計座標!$E$13:$E$2301,設計座標!$L$13:$L$2301," ",0,1)</f>
        <v>0</v>
      </c>
      <c r="Z1351">
        <f>SQRT(($M$1351-$M$1350)^2+($N$1351-$N$1350)^2)</f>
        <v>70.000000432007241</v>
      </c>
    </row>
    <row r="1352" spans="1:28">
      <c r="A1352" t="s">
        <v>797</v>
      </c>
      <c r="B1352">
        <v>2</v>
      </c>
      <c r="C1352" t="s">
        <v>804</v>
      </c>
      <c r="D1352" t="s">
        <v>1152</v>
      </c>
      <c r="E1352" t="s">
        <v>804</v>
      </c>
      <c r="F1352" t="s">
        <v>1626</v>
      </c>
      <c r="G1352" t="s">
        <v>2676</v>
      </c>
      <c r="I1352">
        <f>_xlfn.XLOOKUP($F1352,設計座標!$E$13:$E$2301,設計座標!$G$13:$G$2301,"n/a",0,1)</f>
        <v>359.85940296136909</v>
      </c>
      <c r="J1352">
        <f>_xlfn.XLOOKUP($F1352,設計座標!$E$13:$E$2301,設計座標!$H$13:$H$2301,"n/a",0,1)</f>
        <v>-15000</v>
      </c>
      <c r="K1352">
        <f>_xlfn.XLOOKUP($F1352,設計座標!$E$13:$E$2301,設計座標!$I$13:$I$2301,"n/a",0,1)</f>
        <v>-95397.345495460046</v>
      </c>
      <c r="L1352">
        <f>_xlfn.XLOOKUP($F1352,設計座標!$E$13:$E$2301,設計座標!$J$13:$J$2301,"n/a",0,1)</f>
        <v>-270</v>
      </c>
      <c r="M1352" s="2">
        <f t="shared" si="1066"/>
        <v>-14986.715595274734</v>
      </c>
      <c r="N1352" s="2">
        <f t="shared" si="1067"/>
        <v>-95397.345495460046</v>
      </c>
      <c r="O1352" s="23">
        <f t="shared" si="1068"/>
        <v>-271.4862754822642</v>
      </c>
      <c r="P1352" s="1">
        <f t="shared" si="1044"/>
        <v>-269.76658893212749</v>
      </c>
      <c r="Q1352" s="1">
        <f t="shared" si="1075"/>
        <v>13.284404725265034</v>
      </c>
      <c r="R1352">
        <f t="shared" si="1058"/>
        <v>0</v>
      </c>
      <c r="S1352" s="23">
        <f t="shared" si="1074"/>
        <v>-1.4862754822641935</v>
      </c>
      <c r="T1352">
        <f>$S1352+測地線補正!$Q$26*(lattice!$N1352/1000)^3+測地線補正!$P$26*(lattice!$N1352/1000)^2+測地線補正!$O$26*(lattice!$N1352/1000)+測地線補正!$N$26</f>
        <v>0.23341106787248944</v>
      </c>
      <c r="U1352">
        <f>-ATAN(($P$1356-$P$1352)/ABS($N$1356-$N$1352))</f>
        <v>-1.0120646603730295E-4</v>
      </c>
      <c r="V1352">
        <v>0</v>
      </c>
      <c r="W1352">
        <f>ATAN(($M$1356-$M$1352)/ABS($N$1356-$N$1352))</f>
        <v>1.1109934173158411E-4</v>
      </c>
      <c r="X1352">
        <f>SQRT(($M$1352-$M$1351)^2+($N$1352-$N$1351)^2)</f>
        <v>129.99960080229224</v>
      </c>
      <c r="Y1352">
        <f>_xlfn.XLOOKUP($F1352,設計座標!$E$13:$E$2301,設計座標!$L$13:$L$2301," ",0,1)</f>
        <v>1889.4492</v>
      </c>
      <c r="Z1352">
        <f>SQRT(($M$1355-$M$1353)^2+($N$1355-$N$1353)^2)</f>
        <v>307.22420189604088</v>
      </c>
    </row>
    <row r="1353" spans="1:28">
      <c r="A1353" t="s">
        <v>797</v>
      </c>
      <c r="B1353">
        <v>2</v>
      </c>
      <c r="C1353" t="s">
        <v>3855</v>
      </c>
      <c r="D1353" t="s">
        <v>1152</v>
      </c>
      <c r="E1353" t="s">
        <v>804</v>
      </c>
      <c r="F1353" t="s">
        <v>2102</v>
      </c>
      <c r="G1353" t="s">
        <v>2102</v>
      </c>
      <c r="I1353">
        <f>_xlfn.XLOOKUP($F1353,設計座標!$E$13:$E$2301,設計座標!$G$13:$G$2301,"n/a",0,1)</f>
        <v>360.49690336136911</v>
      </c>
      <c r="J1353">
        <f>_xlfn.XLOOKUP($F1353,設計座標!$E$13:$E$2301,設計座標!$H$13:$H$2301,"n/a",0,1)</f>
        <v>-15000</v>
      </c>
      <c r="K1353">
        <f>_xlfn.XLOOKUP($F1353,設計座標!$E$13:$E$2301,設計座標!$I$13:$I$2301,"n/a",0,1)</f>
        <v>-96034.84589546005</v>
      </c>
      <c r="L1353">
        <f>_xlfn.XLOOKUP($F1353,設計座標!$E$13:$E$2301,設計座標!$J$13:$J$2301,"n/a",0,1)</f>
        <v>-270</v>
      </c>
      <c r="M1353" s="2">
        <f t="shared" si="1066"/>
        <v>-14986.644769399651</v>
      </c>
      <c r="N1353" s="2">
        <f t="shared" si="1067"/>
        <v>-96034.84589546005</v>
      </c>
      <c r="O1353" s="23">
        <f t="shared" si="1068"/>
        <v>-271.4345376520069</v>
      </c>
      <c r="P1353" s="1">
        <f t="shared" si="1044"/>
        <v>-269.70197438098637</v>
      </c>
      <c r="Q1353" s="1">
        <f t="shared" si="1075"/>
        <v>13.355230600350229</v>
      </c>
      <c r="R1353">
        <f t="shared" si="1058"/>
        <v>0</v>
      </c>
      <c r="S1353" s="23">
        <f t="shared" si="1074"/>
        <v>-1.434537652006876</v>
      </c>
      <c r="T1353">
        <f>$S1353+測地線補正!$Q$26*(lattice!$N1353/1000)^3+測地線補正!$P$26*(lattice!$N1353/1000)^2+測地線補正!$O$26*(lattice!$N1353/1000)+測地線補正!$N$26</f>
        <v>0.29802561901362234</v>
      </c>
      <c r="U1353">
        <f t="shared" ref="U1353:U1354" si="1076">-ATAN(($P$1356-$P$1352)/ABS($N$1356-$N$1352))</f>
        <v>-1.0120646603730295E-4</v>
      </c>
      <c r="V1353">
        <v>0</v>
      </c>
      <c r="W1353">
        <f t="shared" ref="W1353:W1354" si="1077">ATAN(($M$1356-$M$1352)/ABS($N$1356-$N$1352))</f>
        <v>1.1109934173158411E-4</v>
      </c>
      <c r="X1353" t="s">
        <v>3860</v>
      </c>
      <c r="Y1353">
        <f>_xlfn.XLOOKUP($F1353,設計座標!$E$13:$E$2301,設計座標!$L$13:$L$2301," ",0,1)</f>
        <v>800</v>
      </c>
      <c r="Z1353">
        <f>SQRT(($M$1353-$M$1351)^2+($N$1353-$N$1351)^2)</f>
        <v>767.50000473665068</v>
      </c>
      <c r="AA1353">
        <f>_xlfn.XLOOKUP($G1353,magnet_list!$A$2:$A$592,magnet_list!$AJ$2:$AJ$592,"n/a",0,1)</f>
        <v>0.74619000000000002</v>
      </c>
      <c r="AB1353">
        <f>_xlfn.XLOOKUP($G1353,magnet_list!$A$2:$A$592,magnet_list!$L$2:$L$592,"n/a",0,1)</f>
        <v>120</v>
      </c>
    </row>
    <row r="1354" spans="1:28">
      <c r="A1354" t="s">
        <v>797</v>
      </c>
      <c r="B1354">
        <v>2</v>
      </c>
      <c r="C1354" t="s">
        <v>3855</v>
      </c>
      <c r="D1354" t="s">
        <v>1152</v>
      </c>
      <c r="E1354" t="s">
        <v>804</v>
      </c>
      <c r="F1354" t="s">
        <v>2103</v>
      </c>
      <c r="G1354" t="s">
        <v>2103</v>
      </c>
      <c r="I1354">
        <f>_xlfn.XLOOKUP($F1354,設計座標!$E$13:$E$2301,設計座標!$G$13:$G$2301,"n/a",0,1)</f>
        <v>360.49690336136911</v>
      </c>
      <c r="J1354">
        <f>_xlfn.XLOOKUP($F1354,設計座標!$E$13:$E$2301,設計座標!$H$13:$H$2301,"n/a",0,1)</f>
        <v>-15000</v>
      </c>
      <c r="K1354">
        <f>_xlfn.XLOOKUP($F1354,設計座標!$E$13:$E$2301,設計座標!$I$13:$I$2301,"n/a",0,1)</f>
        <v>-96034.84589546005</v>
      </c>
      <c r="L1354">
        <f>_xlfn.XLOOKUP($F1354,設計座標!$E$13:$E$2301,設計座標!$J$13:$J$2301,"n/a",0,1)</f>
        <v>-270</v>
      </c>
      <c r="M1354" s="2">
        <f t="shared" si="1066"/>
        <v>-14986.644769399651</v>
      </c>
      <c r="N1354" s="2">
        <f t="shared" si="1067"/>
        <v>-96034.84589546005</v>
      </c>
      <c r="O1354" s="23">
        <f t="shared" si="1068"/>
        <v>-271.4345376520069</v>
      </c>
      <c r="P1354" s="1">
        <f t="shared" si="1044"/>
        <v>-269.70197438098637</v>
      </c>
      <c r="Q1354" s="1">
        <f t="shared" si="1075"/>
        <v>13.355230600350229</v>
      </c>
      <c r="R1354">
        <f t="shared" si="1058"/>
        <v>0</v>
      </c>
      <c r="S1354" s="23">
        <f t="shared" si="1074"/>
        <v>-1.434537652006876</v>
      </c>
      <c r="T1354">
        <f>$S1354+測地線補正!$Q$26*(lattice!$N1354/1000)^3+測地線補正!$P$26*(lattice!$N1354/1000)^2+測地線補正!$O$26*(lattice!$N1354/1000)+測地線補正!$N$26</f>
        <v>0.29802561901362234</v>
      </c>
      <c r="U1354">
        <f t="shared" si="1076"/>
        <v>-1.0120646603730295E-4</v>
      </c>
      <c r="V1354">
        <v>0</v>
      </c>
      <c r="W1354">
        <f t="shared" si="1077"/>
        <v>1.1109934173158411E-4</v>
      </c>
      <c r="X1354" t="s">
        <v>3860</v>
      </c>
      <c r="Y1354">
        <f>_xlfn.XLOOKUP($F1354,設計座標!$E$13:$E$2301,設計座標!$L$13:$L$2301," ",0,1)</f>
        <v>800</v>
      </c>
      <c r="Z1354">
        <f>SQRT(($M$1353-$M$1351)^2+($N$1353-$N$1351)^2)</f>
        <v>767.50000473665068</v>
      </c>
      <c r="AA1354">
        <f>_xlfn.XLOOKUP($G1354,magnet_list!$A$2:$A$592,magnet_list!$AJ$2:$AJ$592,"n/a",0,1)</f>
        <v>0.74619000000000002</v>
      </c>
      <c r="AB1354">
        <f>_xlfn.XLOOKUP($G1354,magnet_list!$A$2:$A$592,magnet_list!$L$2:$L$592,"n/a",0,1)</f>
        <v>120</v>
      </c>
    </row>
    <row r="1355" spans="1:28">
      <c r="A1355" t="s">
        <v>797</v>
      </c>
      <c r="B1355">
        <v>2</v>
      </c>
      <c r="C1355" t="s">
        <v>804</v>
      </c>
      <c r="D1355" t="s">
        <v>1152</v>
      </c>
      <c r="E1355" t="s">
        <v>804</v>
      </c>
      <c r="F1355" t="s">
        <v>1305</v>
      </c>
      <c r="G1355" t="s">
        <v>2676</v>
      </c>
      <c r="I1355">
        <f>_xlfn.XLOOKUP($F1355,設計座標!$E$13:$E$2301,設計座標!$G$13:$G$2301,"n/a",0,1)</f>
        <v>360.80412756136911</v>
      </c>
      <c r="J1355">
        <f>_xlfn.XLOOKUP($F1355,設計座標!$E$13:$E$2301,設計座標!$H$13:$H$2301,"n/a",0,1)</f>
        <v>-15000</v>
      </c>
      <c r="K1355">
        <f>_xlfn.XLOOKUP($F1355,設計座標!$E$13:$E$2301,設計座標!$I$13:$I$2301,"n/a",0,1)</f>
        <v>-96342.070095460047</v>
      </c>
      <c r="L1355">
        <f>_xlfn.XLOOKUP($F1355,設計座標!$E$13:$E$2301,設計座標!$J$13:$J$2301,"n/a",0,1)</f>
        <v>-270</v>
      </c>
      <c r="M1355" s="2">
        <f t="shared" si="1066"/>
        <v>-14986.610636993126</v>
      </c>
      <c r="N1355" s="2">
        <f t="shared" si="1067"/>
        <v>-96342.070095460047</v>
      </c>
      <c r="O1355" s="23">
        <f t="shared" si="1068"/>
        <v>-271.40960415626233</v>
      </c>
      <c r="P1355" s="1">
        <f t="shared" si="1044"/>
        <v>-269.67087006174108</v>
      </c>
      <c r="Q1355" s="1">
        <f t="shared" si="1075"/>
        <v>13.389363006874754</v>
      </c>
      <c r="R1355">
        <f t="shared" si="1058"/>
        <v>0</v>
      </c>
      <c r="S1355" s="23">
        <f t="shared" si="1074"/>
        <v>-1.4096041562623403</v>
      </c>
      <c r="T1355">
        <f>$S1355+測地線補正!$Q$26*(lattice!$N1355/1000)^3+測地線補正!$P$26*(lattice!$N1355/1000)^2+測地線補正!$O$26*(lattice!$N1355/1000)+測地線補正!$N$26</f>
        <v>0.32912993825890413</v>
      </c>
      <c r="U1355">
        <f t="shared" ref="U1355:U1356" si="1078">-ATAN(($P$1356-$P$1352)/ABS($N$1356-$N$1352))</f>
        <v>-1.0120646603730295E-4</v>
      </c>
      <c r="V1355">
        <v>0</v>
      </c>
      <c r="W1355">
        <f t="shared" ref="W1355:W1356" si="1079">ATAN(($M$1356-$M$1352)/ABS($N$1356-$N$1352))</f>
        <v>1.1109934173158411E-4</v>
      </c>
      <c r="X1355" t="s">
        <v>3860</v>
      </c>
      <c r="Y1355">
        <f>_xlfn.XLOOKUP($F1355,設計座標!$E$13:$E$2301,設計座標!$L$13:$L$2301," ",0,1)</f>
        <v>1889.4492</v>
      </c>
      <c r="Z1355">
        <f>SQRT(($M$1355-$M$1353)^2+($N$1355-$N$1353)^2)</f>
        <v>307.22420189604088</v>
      </c>
    </row>
    <row r="1356" spans="1:28">
      <c r="A1356" t="s">
        <v>797</v>
      </c>
      <c r="B1356">
        <v>2</v>
      </c>
      <c r="C1356" t="s">
        <v>804</v>
      </c>
      <c r="D1356" t="s">
        <v>1152</v>
      </c>
      <c r="E1356" t="s">
        <v>804</v>
      </c>
      <c r="F1356" t="s">
        <v>1627</v>
      </c>
      <c r="G1356" t="s">
        <v>2676</v>
      </c>
      <c r="I1356">
        <f>_xlfn.XLOOKUP($F1356,設計座標!$E$13:$E$2301,設計座標!$G$13:$G$2301,"n/a",0,1)</f>
        <v>361.74885216136914</v>
      </c>
      <c r="J1356">
        <f>_xlfn.XLOOKUP($F1356,設計座標!$E$13:$E$2301,設計座標!$H$13:$H$2301,"n/a",0,1)</f>
        <v>-15000</v>
      </c>
      <c r="K1356">
        <f>_xlfn.XLOOKUP($F1356,設計座標!$E$13:$E$2301,設計座標!$I$13:$I$2301,"n/a",0,1)</f>
        <v>-97286.794695460048</v>
      </c>
      <c r="L1356">
        <f>_xlfn.XLOOKUP($F1356,設計座標!$E$13:$E$2301,設計座標!$J$13:$J$2301,"n/a",0,1)</f>
        <v>-270</v>
      </c>
      <c r="M1356" s="2">
        <f t="shared" si="1066"/>
        <v>-14986.505678711515</v>
      </c>
      <c r="N1356" s="2">
        <f t="shared" si="1067"/>
        <v>-97286.794695460048</v>
      </c>
      <c r="O1356" s="23">
        <f t="shared" si="1068"/>
        <v>-271.33293283026046</v>
      </c>
      <c r="P1356" s="1">
        <f t="shared" si="1044"/>
        <v>-269.57536445518559</v>
      </c>
      <c r="Q1356" s="1">
        <f t="shared" si="1075"/>
        <v>13.494321288484475</v>
      </c>
      <c r="R1356">
        <f t="shared" si="1058"/>
        <v>0</v>
      </c>
      <c r="S1356" s="23">
        <f t="shared" si="1074"/>
        <v>-1.3329328302604873</v>
      </c>
      <c r="T1356">
        <f>$S1356+測地線補正!$Q$26*(lattice!$N1356/1000)^3+測地線補正!$P$26*(lattice!$N1356/1000)^2+測地線補正!$O$26*(lattice!$N1356/1000)+測地線補正!$N$26</f>
        <v>0.42463554481439325</v>
      </c>
      <c r="U1356">
        <f t="shared" si="1078"/>
        <v>-1.0120646603730295E-4</v>
      </c>
      <c r="V1356">
        <v>0</v>
      </c>
      <c r="W1356">
        <f t="shared" si="1079"/>
        <v>1.1109934173158411E-4</v>
      </c>
      <c r="X1356" t="s">
        <v>3860</v>
      </c>
      <c r="Y1356">
        <f>_xlfn.XLOOKUP($F1356,設計座標!$E$13:$E$2301,設計座標!$L$13:$L$2301," ",0,1)</f>
        <v>1889.4492</v>
      </c>
      <c r="Z1356">
        <f>SQRT(($M$1355-$M$1353)^2+($N$1355-$N$1353)^2)</f>
        <v>307.22420189604088</v>
      </c>
    </row>
    <row r="1357" spans="1:28">
      <c r="A1357" t="s">
        <v>797</v>
      </c>
      <c r="B1357">
        <v>2</v>
      </c>
      <c r="C1357" t="s">
        <v>1152</v>
      </c>
      <c r="D1357" t="s">
        <v>1152</v>
      </c>
      <c r="E1357" t="s">
        <v>804</v>
      </c>
      <c r="F1357" t="s">
        <v>2101</v>
      </c>
      <c r="G1357" t="s">
        <v>2101</v>
      </c>
      <c r="I1357">
        <f>_xlfn.XLOOKUP($F1357,設計座標!$E$13:$E$2301,設計座標!$G$13:$G$2301,"n/a",0,1)</f>
        <v>361.87885266136914</v>
      </c>
      <c r="J1357">
        <f>_xlfn.XLOOKUP($F1357,設計座標!$E$13:$E$2301,設計座標!$H$13:$H$2301,"n/a",0,1)</f>
        <v>-15000</v>
      </c>
      <c r="K1357">
        <f>_xlfn.XLOOKUP($F1357,設計座標!$E$13:$E$2301,設計座標!$I$13:$I$2301,"n/a",0,1)</f>
        <v>-97416.795195460043</v>
      </c>
      <c r="L1357">
        <f>_xlfn.XLOOKUP($F1357,設計座標!$E$13:$E$2301,設計座標!$J$13:$J$2301,"n/a",0,1)</f>
        <v>-270</v>
      </c>
      <c r="M1357" s="2">
        <f t="shared" si="1066"/>
        <v>-14986.491235741481</v>
      </c>
      <c r="N1357" s="2">
        <f t="shared" si="1067"/>
        <v>-97416.795195460043</v>
      </c>
      <c r="O1357" s="23">
        <f t="shared" si="1068"/>
        <v>-271.32238233679828</v>
      </c>
      <c r="P1357" s="1">
        <f t="shared" si="1044"/>
        <v>-269.56223889135941</v>
      </c>
      <c r="Q1357" s="1">
        <f t="shared" si="1075"/>
        <v>13.50876425851871</v>
      </c>
      <c r="R1357">
        <f t="shared" si="1058"/>
        <v>0</v>
      </c>
      <c r="S1357" s="23">
        <f t="shared" si="1074"/>
        <v>-1.3223823367982619</v>
      </c>
      <c r="T1357">
        <f>$S1357+測地線補正!$Q$26*(lattice!$N1357/1000)^3+測地線補正!$P$26*(lattice!$N1357/1000)^2+測地線補正!$O$26*(lattice!$N1357/1000)+測地線補正!$N$26</f>
        <v>0.43776110864059548</v>
      </c>
      <c r="U1357">
        <v>0</v>
      </c>
      <c r="V1357">
        <v>0</v>
      </c>
      <c r="W1357">
        <v>0</v>
      </c>
      <c r="X1357">
        <f>SQRT(($M$1357-$M$1356)^2+($N$1357-$N$1356)^2)</f>
        <v>130.00050080229687</v>
      </c>
      <c r="Y1357">
        <f>_xlfn.XLOOKUP($F1357,設計座標!$E$13:$E$2301,設計座標!$L$13:$L$2301," ",0,1)</f>
        <v>0</v>
      </c>
      <c r="Z1357">
        <f>SQRT(($M$1357-$M$1355)^2+($N$1357-$N$1355)^2)</f>
        <v>1074.7251066326962</v>
      </c>
    </row>
    <row r="1358" spans="1:28">
      <c r="A1358" t="s">
        <v>797</v>
      </c>
      <c r="B1358">
        <v>2</v>
      </c>
      <c r="C1358" t="s">
        <v>805</v>
      </c>
      <c r="D1358" t="s">
        <v>806</v>
      </c>
      <c r="F1358" t="s">
        <v>366</v>
      </c>
      <c r="G1358" t="s">
        <v>366</v>
      </c>
      <c r="I1358">
        <f>_xlfn.XLOOKUP($F1358,設計座標!$E$13:$E$2301,設計座標!$G$13:$G$2301,"n/a",0,1)</f>
        <v>362.0490461216491</v>
      </c>
      <c r="J1358">
        <f>_xlfn.XLOOKUP($F1358,設計座標!$E$13:$E$2301,設計座標!$H$13:$H$2301,"n/a",0,1)</f>
        <v>-15000</v>
      </c>
      <c r="K1358">
        <f>_xlfn.XLOOKUP($F1358,設計座標!$E$13:$E$2301,設計座標!$I$13:$I$2301,"n/a",0,1)</f>
        <v>-97586.988655740002</v>
      </c>
      <c r="L1358">
        <f>_xlfn.XLOOKUP($F1358,設計座標!$E$13:$E$2301,設計座標!$J$13:$J$2301,"n/a",0,1)</f>
        <v>-20</v>
      </c>
      <c r="M1358" s="2">
        <f>_xlfn.XLOOKUP($F1358,survey_data!$A$2:$A$833,survey_data!$B$2:$B$833,"n/a",0,1)</f>
        <v>-14986.472327359999</v>
      </c>
      <c r="N1358" s="2">
        <f>_xlfn.XLOOKUP($F1358,survey_data!$A$2:$A$833,survey_data!$C$2:$C$833,"n/a",0,1)</f>
        <v>-97586.988655740002</v>
      </c>
      <c r="O1358" s="23">
        <f>_xlfn.XLOOKUP($F1358,survey_data!$A$2:$A$833,survey_data!$D$2:$D$833,"n/a",0,1)</f>
        <v>-21.308569890000001</v>
      </c>
      <c r="P1358" s="1">
        <f t="shared" si="1044"/>
        <v>-19.545061307184678</v>
      </c>
      <c r="Q1358" s="1">
        <f t="shared" si="1059"/>
        <v>13.527672640000674</v>
      </c>
      <c r="R1358">
        <f t="shared" si="1058"/>
        <v>0</v>
      </c>
      <c r="S1358" s="23">
        <f t="shared" si="1060"/>
        <v>-1.3085698900000011</v>
      </c>
      <c r="T1358">
        <f>$S1358+測地線補正!$Q$26*(lattice!$N1358/1000)^3+測地線補正!$P$26*(lattice!$N1358/1000)^2+測地線補正!$O$26*(lattice!$N1358/1000)+測地線補正!$N$26</f>
        <v>0.4549386928153234</v>
      </c>
      <c r="U1358">
        <f>-ATAN(($P$1359-$P$1358)/ABS($N$1359-$N$1358))</f>
        <v>5.2311722593982216E-5</v>
      </c>
      <c r="V1358">
        <v>0</v>
      </c>
      <c r="W1358">
        <f>ATAN(($M$1359-$M$1358)/ABS($N$1359-$N$1358))</f>
        <v>7.0469346190666512E-5</v>
      </c>
      <c r="X1358">
        <f>$Z$1359-($Y$1359+$Y$1357)/2</f>
        <v>150.19346138375133</v>
      </c>
      <c r="Y1358">
        <f>_xlfn.XLOOKUP($F1358,設計座標!$E$13:$E$2301,設計座標!$L$13:$L$2301," ",0,1)</f>
        <v>100</v>
      </c>
      <c r="Z1358">
        <f>SQRT(($M$1359-$M$1357)^2+($N$1359-$N$1357)^2)</f>
        <v>200.19346138375133</v>
      </c>
      <c r="AA1358">
        <f>_xlfn.XLOOKUP($G1358,magnet_list!$A$2:$A$592,magnet_list!$AJ$2:$AJ$592,"n/a",0,1)</f>
        <v>0.115</v>
      </c>
      <c r="AB1358">
        <f>_xlfn.XLOOKUP($G1358,magnet_list!$A$2:$A$592,magnet_list!$L$2:$L$592,"n/a",0,1)</f>
        <v>23</v>
      </c>
    </row>
    <row r="1359" spans="1:28">
      <c r="A1359" t="s">
        <v>797</v>
      </c>
      <c r="B1359">
        <v>2</v>
      </c>
      <c r="C1359" t="s">
        <v>805</v>
      </c>
      <c r="D1359" t="s">
        <v>1152</v>
      </c>
      <c r="E1359" t="s">
        <v>804</v>
      </c>
      <c r="F1359" t="s">
        <v>729</v>
      </c>
      <c r="G1359" t="s">
        <v>366</v>
      </c>
      <c r="I1359">
        <f>_xlfn.XLOOKUP($F1359,設計座標!$E$13:$E$2301,設計座標!$G$13:$G$2301,"n/a",0,1)</f>
        <v>362.07904612164907</v>
      </c>
      <c r="J1359">
        <f>_xlfn.XLOOKUP($F1359,設計座標!$E$13:$E$2301,設計座標!$H$13:$H$2301,"n/a",0,1)</f>
        <v>-15000</v>
      </c>
      <c r="K1359">
        <f>_xlfn.XLOOKUP($F1359,設計座標!$E$13:$E$2301,設計座標!$I$13:$I$2301,"n/a",0,1)</f>
        <v>-97616.988655740002</v>
      </c>
      <c r="L1359">
        <f>_xlfn.XLOOKUP($F1359,設計座標!$E$13:$E$2301,設計座標!$J$13:$J$2301,"n/a",0,1)</f>
        <v>-20</v>
      </c>
      <c r="M1359" s="2">
        <f t="shared" si="1066"/>
        <v>-14986.47021327961</v>
      </c>
      <c r="N1359" s="2">
        <f t="shared" si="1067"/>
        <v>-97616.988655740002</v>
      </c>
      <c r="O1359" s="23">
        <f t="shared" si="1068"/>
        <v>-21.310731699806155</v>
      </c>
      <c r="P1359" s="1">
        <f t="shared" si="1044"/>
        <v>-19.546630658863929</v>
      </c>
      <c r="Q1359" s="1">
        <f>(Q$1361-Q$1358)/($N$1361-$N$1358)*($N1359-$N$1358)+Q$1358</f>
        <v>13.529786720389144</v>
      </c>
      <c r="R1359">
        <f t="shared" si="1058"/>
        <v>0</v>
      </c>
      <c r="S1359" s="23">
        <f t="shared" ref="S1359:S1360" si="1080">(S$1361-S$1358)/($N$1361-$N$1358)*($N1359-$N$1358)+S$1358</f>
        <v>-1.3107316998061536</v>
      </c>
      <c r="T1359">
        <f>$S1359+測地線補正!$Q$26*(lattice!$N1359/1000)^3+測地線補正!$P$26*(lattice!$N1359/1000)^2+測地線補正!$O$26*(lattice!$N1359/1000)+測地線補正!$N$26</f>
        <v>0.45336934113607241</v>
      </c>
      <c r="U1359">
        <f>-ATAN(($P$1359-$P$1358)/ABS($N$1359-$N$1358))</f>
        <v>5.2311722593982216E-5</v>
      </c>
      <c r="V1359">
        <v>0</v>
      </c>
      <c r="W1359">
        <f>ATAN(($M$1359-$M$1358)/ABS($N$1359-$N$1358))</f>
        <v>7.0469346190666512E-5</v>
      </c>
      <c r="X1359">
        <f>$Z$1359-($Y$1359+$Y$1357)/2</f>
        <v>150.19346138375133</v>
      </c>
      <c r="Y1359">
        <f>_xlfn.XLOOKUP($F1359,設計座標!$E$13:$E$2301,設計座標!$L$13:$L$2301," ",0,1)</f>
        <v>100</v>
      </c>
      <c r="Z1359">
        <f>SQRT(($M$1359-$M$1357)^2+($N$1359-$N$1357)^2)</f>
        <v>200.19346138375133</v>
      </c>
      <c r="AA1359">
        <f>_xlfn.XLOOKUP($G1359,magnet_list!$A$2:$A$592,magnet_list!$AJ$2:$AJ$592,"n/a",0,1)</f>
        <v>0.115</v>
      </c>
      <c r="AB1359">
        <f>_xlfn.XLOOKUP($G1359,magnet_list!$A$2:$A$592,magnet_list!$L$2:$L$592,"n/a",0,1)</f>
        <v>23</v>
      </c>
    </row>
    <row r="1360" spans="1:28">
      <c r="A1360" t="s">
        <v>797</v>
      </c>
      <c r="B1360">
        <v>2</v>
      </c>
      <c r="C1360" t="s">
        <v>805</v>
      </c>
      <c r="D1360" t="s">
        <v>1152</v>
      </c>
      <c r="E1360" t="s">
        <v>804</v>
      </c>
      <c r="F1360" t="s">
        <v>730</v>
      </c>
      <c r="G1360" t="s">
        <v>367</v>
      </c>
      <c r="I1360">
        <f>_xlfn.XLOOKUP($F1360,設計座標!$E$13:$E$2301,設計座標!$G$13:$G$2301,"n/a",0,1)</f>
        <v>362.56827343878905</v>
      </c>
      <c r="J1360">
        <f>_xlfn.XLOOKUP($F1360,設計座標!$E$13:$E$2301,設計座標!$H$13:$H$2301,"n/a",0,1)</f>
        <v>-15000</v>
      </c>
      <c r="K1360">
        <f>_xlfn.XLOOKUP($F1360,設計座標!$E$13:$E$2301,設計座標!$I$13:$I$2301,"n/a",0,1)</f>
        <v>-98106.215972880003</v>
      </c>
      <c r="L1360">
        <f>_xlfn.XLOOKUP($F1360,設計座標!$E$13:$E$2301,設計座標!$J$13:$J$2301,"n/a",0,1)</f>
        <v>-20</v>
      </c>
      <c r="M1360" s="2">
        <f t="shared" si="1066"/>
        <v>-14986.435737750389</v>
      </c>
      <c r="N1360" s="2">
        <f t="shared" si="1067"/>
        <v>-98106.215972880003</v>
      </c>
      <c r="O1360" s="23">
        <f t="shared" si="1068"/>
        <v>-21.345985580193847</v>
      </c>
      <c r="P1360" s="1">
        <f t="shared" si="1044"/>
        <v>-19.572253183979981</v>
      </c>
      <c r="Q1360" s="1">
        <f>(Q$1361-Q$1358)/($N$1361-$N$1358)*($N1360-$N$1358)+Q$1358</f>
        <v>13.564262249611442</v>
      </c>
      <c r="R1360">
        <f t="shared" si="1058"/>
        <v>0</v>
      </c>
      <c r="S1360" s="23">
        <f t="shared" si="1080"/>
        <v>-1.3459855801938487</v>
      </c>
      <c r="T1360">
        <f>$S1360+測地線補正!$Q$26*(lattice!$N1360/1000)^3+測地線補正!$P$26*(lattice!$N1360/1000)^2+測地線補正!$O$26*(lattice!$N1360/1000)+測地線補正!$N$26</f>
        <v>0.42774681602001929</v>
      </c>
      <c r="U1360">
        <f>-ATAN(($P$1361-$P$1360)/ABS($N$1361-$N$1360))</f>
        <v>5.2435149586951064E-5</v>
      </c>
      <c r="V1360">
        <v>0</v>
      </c>
      <c r="W1360">
        <f>ATAN(($M$1361-$M$1360)/ABS($N$1361-$N$1360))</f>
        <v>7.0469346190666512E-5</v>
      </c>
      <c r="X1360">
        <f>$Z$1360-($Y$1360+$Y$1359)/2</f>
        <v>389.22731835473508</v>
      </c>
      <c r="Y1360">
        <f>_xlfn.XLOOKUP($F1360,設計座標!$E$13:$E$2301,設計座標!$L$13:$L$2301," ",0,1)</f>
        <v>100</v>
      </c>
      <c r="Z1360">
        <f>SQRT(($M$1360-$M$1359)^2+($N$1360-$N$1359)^2)</f>
        <v>489.22731835473508</v>
      </c>
      <c r="AA1360">
        <f>_xlfn.XLOOKUP($G1360,magnet_list!$A$2:$A$592,magnet_list!$AJ$2:$AJ$592,"n/a",0,1)</f>
        <v>0.115</v>
      </c>
      <c r="AB1360">
        <f>_xlfn.XLOOKUP($G1360,magnet_list!$A$2:$A$592,magnet_list!$L$2:$L$592,"n/a",0,1)</f>
        <v>23</v>
      </c>
    </row>
    <row r="1361" spans="1:28">
      <c r="A1361" t="s">
        <v>797</v>
      </c>
      <c r="B1361">
        <v>2</v>
      </c>
      <c r="C1361" t="s">
        <v>805</v>
      </c>
      <c r="D1361" t="s">
        <v>806</v>
      </c>
      <c r="F1361" t="s">
        <v>367</v>
      </c>
      <c r="G1361" t="s">
        <v>367</v>
      </c>
      <c r="I1361">
        <f>_xlfn.XLOOKUP($F1361,設計座標!$E$13:$E$2301,設計座標!$G$13:$G$2301,"n/a",0,1)</f>
        <v>362.59827343878902</v>
      </c>
      <c r="J1361">
        <f>_xlfn.XLOOKUP($F1361,設計座標!$E$13:$E$2301,設計座標!$H$13:$H$2301,"n/a",0,1)</f>
        <v>-15000</v>
      </c>
      <c r="K1361">
        <f>_xlfn.XLOOKUP($F1361,設計座標!$E$13:$E$2301,設計座標!$I$13:$I$2301,"n/a",0,1)</f>
        <v>-98136.215972880003</v>
      </c>
      <c r="L1361">
        <f>_xlfn.XLOOKUP($F1361,設計座標!$E$13:$E$2301,設計座標!$J$13:$J$2301,"n/a",0,1)</f>
        <v>-20</v>
      </c>
      <c r="M1361" s="2">
        <f>_xlfn.XLOOKUP($F1361,survey_data!$A$2:$A$833,survey_data!$B$2:$B$833,"n/a",0,1)</f>
        <v>-14986.43362367</v>
      </c>
      <c r="N1361" s="2">
        <f>_xlfn.XLOOKUP($F1361,survey_data!$A$2:$A$833,survey_data!$C$2:$C$833,"n/a",0,1)</f>
        <v>-98136.215972880003</v>
      </c>
      <c r="O1361" s="23">
        <f>_xlfn.XLOOKUP($F1361,survey_data!$A$2:$A$833,survey_data!$D$2:$D$833,"n/a",0,1)</f>
        <v>-21.348147390000001</v>
      </c>
      <c r="P1361" s="1">
        <f t="shared" si="1044"/>
        <v>-19.573826238469032</v>
      </c>
      <c r="Q1361" s="1">
        <f t="shared" si="1059"/>
        <v>13.566376329999912</v>
      </c>
      <c r="R1361">
        <f t="shared" si="1058"/>
        <v>0</v>
      </c>
      <c r="S1361" s="23">
        <f t="shared" si="1060"/>
        <v>-1.3481473900000012</v>
      </c>
      <c r="T1361">
        <f>$S1361+測地線補正!$Q$26*(lattice!$N1361/1000)^3+測地線補正!$P$26*(lattice!$N1361/1000)^2+測地線補正!$O$26*(lattice!$N1361/1000)+測地線補正!$N$26</f>
        <v>0.4261737615309682</v>
      </c>
      <c r="U1361">
        <f>-ATAN(($P$1361-$P$1360)/ABS($N$1361-$N$1360))</f>
        <v>5.2435149586951064E-5</v>
      </c>
      <c r="V1361">
        <v>0</v>
      </c>
      <c r="W1361">
        <f>ATAN(($M$1361-$M$1360)/ABS($N$1361-$N$1360))</f>
        <v>7.0469346190666512E-5</v>
      </c>
      <c r="X1361">
        <f>$Z$1360-($Y$1360+$Y$1359)/2</f>
        <v>389.22731835473508</v>
      </c>
      <c r="Y1361">
        <f>_xlfn.XLOOKUP($F1361,設計座標!$E$13:$E$2301,設計座標!$L$13:$L$2301," ",0,1)</f>
        <v>100</v>
      </c>
      <c r="Z1361">
        <f>SQRT(($M$1360-$M$1359)^2+($N$1360-$N$1359)^2)</f>
        <v>489.22731835473508</v>
      </c>
      <c r="AA1361">
        <f>_xlfn.XLOOKUP($G1361,magnet_list!$A$2:$A$592,magnet_list!$AJ$2:$AJ$592,"n/a",0,1)</f>
        <v>0.115</v>
      </c>
      <c r="AB1361">
        <f>_xlfn.XLOOKUP($G1361,magnet_list!$A$2:$A$592,magnet_list!$L$2:$L$592,"n/a",0,1)</f>
        <v>23</v>
      </c>
    </row>
    <row r="1362" spans="1:28">
      <c r="A1362" t="s">
        <v>797</v>
      </c>
      <c r="B1362">
        <v>2</v>
      </c>
      <c r="C1362" t="s">
        <v>1152</v>
      </c>
      <c r="D1362" t="s">
        <v>1152</v>
      </c>
      <c r="E1362" t="s">
        <v>804</v>
      </c>
      <c r="F1362" t="s">
        <v>2107</v>
      </c>
      <c r="G1362" t="s">
        <v>2107</v>
      </c>
      <c r="I1362">
        <f>_xlfn.XLOOKUP($F1362,設計座標!$E$13:$E$2301,設計座標!$G$13:$G$2301,"n/a",0,1)</f>
        <v>362.74727246136916</v>
      </c>
      <c r="J1362">
        <f>_xlfn.XLOOKUP($F1362,設計座標!$E$13:$E$2301,設計座標!$H$13:$H$2301,"n/a",0,1)</f>
        <v>-15000</v>
      </c>
      <c r="K1362">
        <f>_xlfn.XLOOKUP($F1362,設計座標!$E$13:$E$2301,設計座標!$I$13:$I$2301,"n/a",0,1)</f>
        <v>-98285.214995460046</v>
      </c>
      <c r="L1362">
        <f>_xlfn.XLOOKUP($F1362,設計座標!$E$13:$E$2301,設計座標!$J$13:$J$2301,"n/a",0,1)</f>
        <v>-270</v>
      </c>
      <c r="M1362" s="2">
        <f t="shared" si="1066"/>
        <v>-14986.405403480259</v>
      </c>
      <c r="N1362" s="2">
        <f t="shared" si="1067"/>
        <v>-98285.214995460046</v>
      </c>
      <c r="O1362" s="23">
        <f t="shared" si="1068"/>
        <v>-271.34464108413937</v>
      </c>
      <c r="P1362" s="1">
        <f t="shared" si="1044"/>
        <v>-269.56739896695166</v>
      </c>
      <c r="Q1362" s="1">
        <f>(Q$1371-Q$1361)/($N$1371-$N$1361)*($N1362-$N$1361)+Q$1361</f>
        <v>13.594596519741424</v>
      </c>
      <c r="R1362">
        <f t="shared" si="1058"/>
        <v>0</v>
      </c>
      <c r="S1362" s="23">
        <f t="shared" ref="S1362:S1370" si="1081">(S$1371-S$1361)/($N$1371-$N$1361)*($N1362-$N$1361)+S$1361</f>
        <v>-1.3446410841393961</v>
      </c>
      <c r="T1362">
        <f>$S1362+測地線補正!$Q$26*(lattice!$N1362/1000)^3+測地線補正!$P$26*(lattice!$N1362/1000)^2+測地線補正!$O$26*(lattice!$N1362/1000)+測地線補正!$N$26</f>
        <v>0.43260103304834563</v>
      </c>
      <c r="U1362">
        <v>0</v>
      </c>
      <c r="V1362">
        <v>0</v>
      </c>
      <c r="W1362">
        <v>0</v>
      </c>
      <c r="X1362">
        <f>$Z$1362-($Y$1362+$Y$1360)/2</f>
        <v>128.99902515035851</v>
      </c>
      <c r="Y1362">
        <f>_xlfn.XLOOKUP($F1362,設計座標!$E$13:$E$2301,設計座標!$L$13:$L$2301," ",0,1)</f>
        <v>0</v>
      </c>
      <c r="Z1362">
        <f>SQRT(($M$1362-$M$1360)^2+($N$1362-$N$1360)^2)</f>
        <v>178.99902515035851</v>
      </c>
    </row>
    <row r="1363" spans="1:28">
      <c r="A1363" t="s">
        <v>797</v>
      </c>
      <c r="B1363">
        <v>2</v>
      </c>
      <c r="C1363" t="s">
        <v>804</v>
      </c>
      <c r="D1363" t="s">
        <v>1152</v>
      </c>
      <c r="E1363" t="s">
        <v>804</v>
      </c>
      <c r="F1363" t="s">
        <v>1628</v>
      </c>
      <c r="G1363" t="s">
        <v>2677</v>
      </c>
      <c r="I1363">
        <f>_xlfn.XLOOKUP($F1363,設計座標!$E$13:$E$2301,設計座標!$G$13:$G$2301,"n/a",0,1)</f>
        <v>362.87676676136914</v>
      </c>
      <c r="J1363">
        <f>_xlfn.XLOOKUP($F1363,設計座標!$E$13:$E$2301,設計座標!$H$13:$H$2301,"n/a",0,1)</f>
        <v>-15000</v>
      </c>
      <c r="K1363">
        <f>_xlfn.XLOOKUP($F1363,設計座標!$E$13:$E$2301,設計座標!$I$13:$I$2301,"n/a",0,1)</f>
        <v>-98414.709295460038</v>
      </c>
      <c r="L1363">
        <f>_xlfn.XLOOKUP($F1363,設計座標!$E$13:$E$2301,設計座標!$J$13:$J$2301,"n/a",0,1)</f>
        <v>-270</v>
      </c>
      <c r="M1363" s="2">
        <f t="shared" si="1066"/>
        <v>-14986.380877455502</v>
      </c>
      <c r="N1363" s="2">
        <f t="shared" si="1067"/>
        <v>-98414.709295460038</v>
      </c>
      <c r="O1363" s="23">
        <f t="shared" si="1068"/>
        <v>-271.34159377137757</v>
      </c>
      <c r="P1363" s="1">
        <f t="shared" si="1044"/>
        <v>-269.56181733788213</v>
      </c>
      <c r="Q1363" s="1">
        <f t="shared" ref="Q1363:Q1370" si="1082">(Q$1371-Q$1361)/($N$1371-$N$1361)*($N1363-$N$1361)+Q$1361</f>
        <v>13.619122544497602</v>
      </c>
      <c r="R1363">
        <f t="shared" si="1058"/>
        <v>0</v>
      </c>
      <c r="S1363" s="23">
        <f t="shared" si="1081"/>
        <v>-1.3415937713775894</v>
      </c>
      <c r="T1363">
        <f>$S1363+測地線補正!$Q$26*(lattice!$N1363/1000)^3+測地線補正!$P$26*(lattice!$N1363/1000)^2+測地線補正!$O$26*(lattice!$N1363/1000)+測地線補正!$N$26</f>
        <v>0.4381826621178504</v>
      </c>
      <c r="U1363">
        <f>-ATAN(($P$1367-$P$1363)/ABS($N$1367-$N$1363))</f>
        <v>-4.2974896178178114E-5</v>
      </c>
      <c r="V1363">
        <v>0</v>
      </c>
      <c r="W1363">
        <f>ATAN(($M$1367-$M$1363)/ABS($N$1367-$N$1363))</f>
        <v>1.8939848675055793E-4</v>
      </c>
      <c r="X1363">
        <f>SQRT(($M$1363-$M$1362)^2+($N$1363-$N$1362)^2)</f>
        <v>129.4943023225872</v>
      </c>
      <c r="Y1363">
        <f>_xlfn.XLOOKUP($F1363,設計座標!$E$13:$E$2301,設計座標!$L$13:$L$2301," ",0,1)</f>
        <v>953.73540000000003</v>
      </c>
      <c r="Z1363">
        <f>SQRT(($M$1364-$M$1362)^2+($N$1364-$N$1362)^2)</f>
        <v>606.36201087563802</v>
      </c>
    </row>
    <row r="1364" spans="1:28">
      <c r="A1364" t="s">
        <v>797</v>
      </c>
      <c r="B1364">
        <v>2</v>
      </c>
      <c r="C1364" t="s">
        <v>804</v>
      </c>
      <c r="D1364" t="s">
        <v>1152</v>
      </c>
      <c r="E1364" t="s">
        <v>804</v>
      </c>
      <c r="F1364" t="s">
        <v>1359</v>
      </c>
      <c r="G1364" t="s">
        <v>2677</v>
      </c>
      <c r="I1364">
        <f>_xlfn.XLOOKUP($F1364,設計座標!$E$13:$E$2301,設計座標!$G$13:$G$2301,"n/a",0,1)</f>
        <v>363.35363446136915</v>
      </c>
      <c r="J1364">
        <f>_xlfn.XLOOKUP($F1364,設計座標!$E$13:$E$2301,設計座標!$H$13:$H$2301,"n/a",0,1)</f>
        <v>-15000</v>
      </c>
      <c r="K1364">
        <f>_xlfn.XLOOKUP($F1364,設計座標!$E$13:$E$2301,設計座標!$I$13:$I$2301,"n/a",0,1)</f>
        <v>-98891.57699546004</v>
      </c>
      <c r="L1364">
        <f>_xlfn.XLOOKUP($F1364,設計座標!$E$13:$E$2301,設計座標!$J$13:$J$2301,"n/a",0,1)</f>
        <v>-270</v>
      </c>
      <c r="M1364" s="2">
        <f t="shared" si="1066"/>
        <v>-14986.290559433663</v>
      </c>
      <c r="N1364" s="2">
        <f t="shared" si="1067"/>
        <v>-98891.57699546004</v>
      </c>
      <c r="O1364" s="23">
        <f t="shared" si="1068"/>
        <v>-271.33037192587625</v>
      </c>
      <c r="P1364" s="1">
        <f t="shared" si="1044"/>
        <v>-269.54129706502624</v>
      </c>
      <c r="Q1364" s="1">
        <f t="shared" si="1082"/>
        <v>13.709440566338111</v>
      </c>
      <c r="R1364">
        <f t="shared" si="1058"/>
        <v>0</v>
      </c>
      <c r="S1364" s="23">
        <f t="shared" si="1081"/>
        <v>-1.3303719258762539</v>
      </c>
      <c r="T1364">
        <f>$S1364+測地線補正!$Q$26*(lattice!$N1364/1000)^3+測地線補正!$P$26*(lattice!$N1364/1000)^2+測地線補正!$O$26*(lattice!$N1364/1000)+測地線補正!$N$26</f>
        <v>0.45870293497375214</v>
      </c>
      <c r="U1364">
        <f t="shared" ref="U1364:U1366" si="1083">-ATAN(($P$1367-$P$1363)/ABS($N$1367-$N$1363))</f>
        <v>-4.2974896178178114E-5</v>
      </c>
      <c r="V1364">
        <v>0</v>
      </c>
      <c r="W1364">
        <f t="shared" ref="W1364:W1366" si="1084">ATAN(($M$1367-$M$1363)/ABS($N$1367-$N$1363))</f>
        <v>1.8939848675055793E-4</v>
      </c>
      <c r="X1364" t="s">
        <v>3860</v>
      </c>
      <c r="Y1364">
        <f>_xlfn.XLOOKUP($F1364,設計座標!$E$13:$E$2301,設計座標!$L$13:$L$2301," ",0,1)</f>
        <v>953.73540000000003</v>
      </c>
      <c r="Z1364">
        <f>SQRT(($M$1364-$M$1362)^2+($N$1364-$N$1362)^2)</f>
        <v>606.36201087563802</v>
      </c>
    </row>
    <row r="1365" spans="1:28">
      <c r="A1365" t="s">
        <v>797</v>
      </c>
      <c r="B1365">
        <v>2</v>
      </c>
      <c r="C1365" t="s">
        <v>3855</v>
      </c>
      <c r="D1365" t="s">
        <v>1152</v>
      </c>
      <c r="E1365" t="s">
        <v>804</v>
      </c>
      <c r="F1365" t="s">
        <v>2108</v>
      </c>
      <c r="G1365" t="s">
        <v>2108</v>
      </c>
      <c r="I1365">
        <f>_xlfn.XLOOKUP($F1365,設計座標!$E$13:$E$2301,設計座標!$G$13:$G$2301,"n/a",0,1)</f>
        <v>363.36813446136915</v>
      </c>
      <c r="J1365">
        <f>_xlfn.XLOOKUP($F1365,設計座標!$E$13:$E$2301,設計座標!$H$13:$H$2301,"n/a",0,1)</f>
        <v>-15000</v>
      </c>
      <c r="K1365">
        <f>_xlfn.XLOOKUP($F1365,設計座標!$E$13:$E$2301,設計座標!$I$13:$I$2301,"n/a",0,1)</f>
        <v>-98906.07699546004</v>
      </c>
      <c r="L1365">
        <f>_xlfn.XLOOKUP($F1365,設計座標!$E$13:$E$2301,設計座標!$J$13:$J$2301,"n/a",0,1)</f>
        <v>-270</v>
      </c>
      <c r="M1365" s="2">
        <f t="shared" si="1066"/>
        <v>-14986.287813155572</v>
      </c>
      <c r="N1365" s="2">
        <f t="shared" si="1067"/>
        <v>-98906.07699546004</v>
      </c>
      <c r="O1365" s="23">
        <f t="shared" si="1068"/>
        <v>-271.3300307059535</v>
      </c>
      <c r="P1365" s="1">
        <f t="shared" si="1044"/>
        <v>-269.54067395437966</v>
      </c>
      <c r="Q1365" s="1">
        <f t="shared" si="1082"/>
        <v>13.712186844428842</v>
      </c>
      <c r="R1365">
        <f t="shared" si="1058"/>
        <v>0</v>
      </c>
      <c r="S1365" s="23">
        <f t="shared" si="1081"/>
        <v>-1.3300307059534759</v>
      </c>
      <c r="T1365">
        <f>$S1365+測地線補正!$Q$26*(lattice!$N1365/1000)^3+測地線補正!$P$26*(lattice!$N1365/1000)^2+測地線補正!$O$26*(lattice!$N1365/1000)+測地線補正!$N$26</f>
        <v>0.45932604562033519</v>
      </c>
      <c r="U1365">
        <f t="shared" si="1083"/>
        <v>-4.2974896178178114E-5</v>
      </c>
      <c r="V1365">
        <v>0</v>
      </c>
      <c r="W1365">
        <f t="shared" si="1084"/>
        <v>1.8939848675055793E-4</v>
      </c>
      <c r="X1365" t="s">
        <v>3860</v>
      </c>
      <c r="Y1365">
        <f>_xlfn.XLOOKUP($F1365,設計座標!$E$13:$E$2301,設計座標!$L$13:$L$2301," ",0,1)</f>
        <v>800</v>
      </c>
      <c r="Z1365">
        <f>SQRT(($M$1365-$M$1364)^2+($N$1365-$N$1364)^2)</f>
        <v>14.500000260070458</v>
      </c>
      <c r="AA1365">
        <f>_xlfn.XLOOKUP($G1365,magnet_list!$A$2:$A$592,magnet_list!$AJ$2:$AJ$592,"n/a",0,1)</f>
        <v>0.74619000000000002</v>
      </c>
      <c r="AB1365">
        <f>_xlfn.XLOOKUP($G1365,magnet_list!$A$2:$A$592,magnet_list!$L$2:$L$592,"n/a",0,1)</f>
        <v>120</v>
      </c>
    </row>
    <row r="1366" spans="1:28">
      <c r="A1366" t="s">
        <v>797</v>
      </c>
      <c r="B1366">
        <v>2</v>
      </c>
      <c r="C1366" t="s">
        <v>3855</v>
      </c>
      <c r="D1366" t="s">
        <v>1152</v>
      </c>
      <c r="E1366" t="s">
        <v>804</v>
      </c>
      <c r="F1366" t="s">
        <v>2109</v>
      </c>
      <c r="G1366" t="s">
        <v>2109</v>
      </c>
      <c r="I1366">
        <f>_xlfn.XLOOKUP($F1366,設計座標!$E$13:$E$2301,設計座標!$G$13:$G$2301,"n/a",0,1)</f>
        <v>363.36813446136915</v>
      </c>
      <c r="J1366">
        <f>_xlfn.XLOOKUP($F1366,設計座標!$E$13:$E$2301,設計座標!$H$13:$H$2301,"n/a",0,1)</f>
        <v>-15000</v>
      </c>
      <c r="K1366">
        <f>_xlfn.XLOOKUP($F1366,設計座標!$E$13:$E$2301,設計座標!$I$13:$I$2301,"n/a",0,1)</f>
        <v>-98906.07699546004</v>
      </c>
      <c r="L1366">
        <f>_xlfn.XLOOKUP($F1366,設計座標!$E$13:$E$2301,設計座標!$J$13:$J$2301,"n/a",0,1)</f>
        <v>-270</v>
      </c>
      <c r="M1366" s="2">
        <f t="shared" si="1066"/>
        <v>-14986.287813155572</v>
      </c>
      <c r="N1366" s="2">
        <f t="shared" si="1067"/>
        <v>-98906.07699546004</v>
      </c>
      <c r="O1366" s="23">
        <f t="shared" si="1068"/>
        <v>-271.3300307059535</v>
      </c>
      <c r="P1366" s="1">
        <f t="shared" si="1044"/>
        <v>-269.54067395437966</v>
      </c>
      <c r="Q1366" s="1">
        <f t="shared" si="1082"/>
        <v>13.712186844428842</v>
      </c>
      <c r="R1366">
        <f t="shared" si="1058"/>
        <v>0</v>
      </c>
      <c r="S1366" s="23">
        <f t="shared" si="1081"/>
        <v>-1.3300307059534759</v>
      </c>
      <c r="T1366">
        <f>$S1366+測地線補正!$Q$26*(lattice!$N1366/1000)^3+測地線補正!$P$26*(lattice!$N1366/1000)^2+測地線補正!$O$26*(lattice!$N1366/1000)+測地線補正!$N$26</f>
        <v>0.45932604562033519</v>
      </c>
      <c r="U1366">
        <f t="shared" si="1083"/>
        <v>-4.2974896178178114E-5</v>
      </c>
      <c r="V1366">
        <v>0</v>
      </c>
      <c r="W1366">
        <f t="shared" si="1084"/>
        <v>1.8939848675055793E-4</v>
      </c>
      <c r="X1366" t="s">
        <v>3860</v>
      </c>
      <c r="Y1366">
        <f>_xlfn.XLOOKUP($F1366,設計座標!$E$13:$E$2301,設計座標!$L$13:$L$2301," ",0,1)</f>
        <v>800</v>
      </c>
      <c r="Z1366">
        <f>SQRT(($M$1365-$M$1364)^2+($N$1365-$N$1364)^2)</f>
        <v>14.500000260070458</v>
      </c>
      <c r="AA1366">
        <f>_xlfn.XLOOKUP($G1366,magnet_list!$A$2:$A$592,magnet_list!$AJ$2:$AJ$592,"n/a",0,1)</f>
        <v>0.74619000000000002</v>
      </c>
      <c r="AB1366">
        <f>_xlfn.XLOOKUP($G1366,magnet_list!$A$2:$A$592,magnet_list!$L$2:$L$592,"n/a",0,1)</f>
        <v>120</v>
      </c>
    </row>
    <row r="1367" spans="1:28">
      <c r="A1367" t="s">
        <v>797</v>
      </c>
      <c r="B1367">
        <v>2</v>
      </c>
      <c r="C1367" t="s">
        <v>804</v>
      </c>
      <c r="D1367" t="s">
        <v>1152</v>
      </c>
      <c r="E1367" t="s">
        <v>804</v>
      </c>
      <c r="F1367" t="s">
        <v>1629</v>
      </c>
      <c r="G1367" t="s">
        <v>2677</v>
      </c>
      <c r="I1367">
        <f>_xlfn.XLOOKUP($F1367,設計座標!$E$13:$E$2301,設計座標!$G$13:$G$2301,"n/a",0,1)</f>
        <v>363.83050216136917</v>
      </c>
      <c r="J1367">
        <f>_xlfn.XLOOKUP($F1367,設計座標!$E$13:$E$2301,設計座標!$H$13:$H$2301,"n/a",0,1)</f>
        <v>-15000</v>
      </c>
      <c r="K1367">
        <f>_xlfn.XLOOKUP($F1367,設計座標!$E$13:$E$2301,設計座標!$I$13:$I$2301,"n/a",0,1)</f>
        <v>-99368.444695460043</v>
      </c>
      <c r="L1367">
        <f>_xlfn.XLOOKUP($F1367,設計座標!$E$13:$E$2301,設計座標!$J$13:$J$2301,"n/a",0,1)</f>
        <v>-270</v>
      </c>
      <c r="M1367" s="2">
        <f t="shared" si="1066"/>
        <v>-14986.200241411821</v>
      </c>
      <c r="N1367" s="2">
        <f t="shared" si="1067"/>
        <v>-99368.444695460043</v>
      </c>
      <c r="O1367" s="23">
        <f t="shared" si="1068"/>
        <v>-271.31915008037492</v>
      </c>
      <c r="P1367" s="1">
        <f t="shared" si="1044"/>
        <v>-269.52083065806045</v>
      </c>
      <c r="Q1367" s="1">
        <f t="shared" si="1082"/>
        <v>13.799758588178621</v>
      </c>
      <c r="R1367">
        <f t="shared" si="1058"/>
        <v>0</v>
      </c>
      <c r="S1367" s="23">
        <f t="shared" si="1081"/>
        <v>-1.3191500803749185</v>
      </c>
      <c r="T1367">
        <f>$S1367+測地線補正!$Q$26*(lattice!$N1367/1000)^3+測地線補正!$P$26*(lattice!$N1367/1000)^2+測地線補正!$O$26*(lattice!$N1367/1000)+測地線補正!$N$26</f>
        <v>0.47916934193957172</v>
      </c>
      <c r="U1367">
        <f>-ATAN(($P$1367-$P$1363)/ABS($N$1367-$N$1363))</f>
        <v>-4.2974896178178114E-5</v>
      </c>
      <c r="V1367">
        <v>0</v>
      </c>
      <c r="W1367">
        <f>ATAN(($M$1367-$M$1363)/ABS($N$1367-$N$1363))</f>
        <v>1.8939848675055793E-4</v>
      </c>
      <c r="X1367" t="s">
        <v>3860</v>
      </c>
      <c r="Y1367">
        <f>_xlfn.XLOOKUP($F1367,設計座標!$E$13:$E$2301,設計座標!$L$13:$L$2301," ",0,1)</f>
        <v>953.73540000000003</v>
      </c>
      <c r="Z1367">
        <f>SQRT(($M$1364-$M$1362)^2+($N$1364-$N$1362)^2)</f>
        <v>606.36201087563802</v>
      </c>
    </row>
    <row r="1368" spans="1:28">
      <c r="A1368" t="s">
        <v>797</v>
      </c>
      <c r="B1368">
        <v>2</v>
      </c>
      <c r="C1368" t="s">
        <v>805</v>
      </c>
      <c r="D1368" t="s">
        <v>1152</v>
      </c>
      <c r="E1368" t="s">
        <v>804</v>
      </c>
      <c r="F1368" t="s">
        <v>2104</v>
      </c>
      <c r="G1368" t="s">
        <v>2104</v>
      </c>
      <c r="I1368">
        <f>_xlfn.XLOOKUP($F1368,設計座標!$E$13:$E$2301,設計座標!$G$13:$G$2301,"n/a",0,1)</f>
        <v>364.15741693878914</v>
      </c>
      <c r="J1368">
        <f>_xlfn.XLOOKUP($F1368,設計座標!$E$13:$E$2301,設計座標!$H$13:$H$2301,"n/a",0,1)</f>
        <v>-15000</v>
      </c>
      <c r="K1368">
        <f>_xlfn.XLOOKUP($F1368,設計座標!$E$13:$E$2301,設計座標!$I$13:$I$2301,"n/a",0,1)</f>
        <v>-99695.359472880009</v>
      </c>
      <c r="L1368">
        <f>_xlfn.XLOOKUP($F1368,設計座標!$E$13:$E$2301,設計座標!$J$13:$J$2301,"n/a",0,1)</f>
        <v>-270</v>
      </c>
      <c r="M1368" s="2">
        <f t="shared" si="1066"/>
        <v>-14986.138324246942</v>
      </c>
      <c r="N1368" s="2">
        <f t="shared" si="1067"/>
        <v>-99695.359472880009</v>
      </c>
      <c r="O1368" s="23">
        <f t="shared" si="1068"/>
        <v>-271.31145698829863</v>
      </c>
      <c r="P1368" s="1">
        <f t="shared" si="1044"/>
        <v>-269.50683106909213</v>
      </c>
      <c r="Q1368" s="1">
        <f t="shared" si="1082"/>
        <v>13.861675753058947</v>
      </c>
      <c r="R1368">
        <f t="shared" si="1058"/>
        <v>0</v>
      </c>
      <c r="S1368" s="23">
        <f t="shared" si="1081"/>
        <v>-1.3114569882986251</v>
      </c>
      <c r="T1368">
        <f>$S1368+測地線補正!$Q$26*(lattice!$N1368/1000)^3+測地線補正!$P$26*(lattice!$N1368/1000)^2+測地線補正!$O$26*(lattice!$N1368/1000)+測地線補正!$N$26</f>
        <v>0.4931689309078926</v>
      </c>
      <c r="U1368">
        <v>0</v>
      </c>
      <c r="V1368">
        <v>0</v>
      </c>
      <c r="W1368">
        <v>0</v>
      </c>
      <c r="X1368">
        <f>SQRT(($M$1368-$M$1367)^2+($N$1368-$N$1367)^2)-$Y$1368/2</f>
        <v>251.91478328347512</v>
      </c>
      <c r="Y1368">
        <f>_xlfn.XLOOKUP($F1368,設計座標!$E$13:$E$2301,設計座標!$L$13:$L$2301," ",0,1)</f>
        <v>150</v>
      </c>
      <c r="Z1368">
        <f>SQRT(($M$1368-$M$1365)^2+($N$1368-$N$1365)^2)</f>
        <v>789.28249157645553</v>
      </c>
      <c r="AA1368">
        <f>_xlfn.XLOOKUP($G1368,magnet_list!$A$2:$A$592,magnet_list!$AJ$2:$AJ$592,"n/a",0,1)</f>
        <v>0.18626200000000001</v>
      </c>
      <c r="AB1368">
        <f>_xlfn.XLOOKUP($G1368,magnet_list!$A$2:$A$592,magnet_list!$L$2:$L$592,"n/a",0,1)</f>
        <v>35</v>
      </c>
    </row>
    <row r="1369" spans="1:28">
      <c r="A1369" t="s">
        <v>797</v>
      </c>
      <c r="B1369">
        <v>2</v>
      </c>
      <c r="C1369" t="s">
        <v>805</v>
      </c>
      <c r="D1369" t="s">
        <v>1152</v>
      </c>
      <c r="E1369" t="s">
        <v>804</v>
      </c>
      <c r="F1369" t="s">
        <v>2105</v>
      </c>
      <c r="G1369" t="s">
        <v>2105</v>
      </c>
      <c r="I1369">
        <f>_xlfn.XLOOKUP($F1369,設計座標!$E$13:$E$2301,設計座標!$G$13:$G$2301,"n/a",0,1)</f>
        <v>364.61741693878912</v>
      </c>
      <c r="J1369">
        <f>_xlfn.XLOOKUP($F1369,設計座標!$E$13:$E$2301,設計座標!$H$13:$H$2301,"n/a",0,1)</f>
        <v>-15000</v>
      </c>
      <c r="K1369">
        <f>_xlfn.XLOOKUP($F1369,設計座標!$E$13:$E$2301,設計座標!$I$13:$I$2301,"n/a",0,1)</f>
        <v>-100155.35947288001</v>
      </c>
      <c r="L1369">
        <f>_xlfn.XLOOKUP($F1369,設計座標!$E$13:$E$2301,設計座標!$J$13:$J$2301,"n/a",0,1)</f>
        <v>-270</v>
      </c>
      <c r="M1369" s="2">
        <f t="shared" si="1066"/>
        <v>-14986.051200941994</v>
      </c>
      <c r="N1369" s="2">
        <f t="shared" si="1067"/>
        <v>-100155.35947288001</v>
      </c>
      <c r="O1369" s="23">
        <f t="shared" si="1068"/>
        <v>-271.3006320804036</v>
      </c>
      <c r="P1369" s="1">
        <f t="shared" si="1044"/>
        <v>-269.48717507083802</v>
      </c>
      <c r="Q1369" s="1">
        <f t="shared" si="1082"/>
        <v>13.948799058006282</v>
      </c>
      <c r="R1369">
        <f t="shared" si="1058"/>
        <v>0</v>
      </c>
      <c r="S1369" s="23">
        <f t="shared" si="1081"/>
        <v>-1.3006320804035962</v>
      </c>
      <c r="T1369">
        <f>$S1369+測地線補正!$Q$26*(lattice!$N1369/1000)^3+測地線補正!$P$26*(lattice!$N1369/1000)^2+測地線補正!$O$26*(lattice!$N1369/1000)+測地線補正!$N$26</f>
        <v>0.51282492916195621</v>
      </c>
      <c r="U1369">
        <v>0</v>
      </c>
      <c r="V1369">
        <v>0</v>
      </c>
      <c r="W1369">
        <v>0</v>
      </c>
      <c r="X1369">
        <f>$Z$1369-($Y$1369+$Y$1368)/2</f>
        <v>310.00000825051109</v>
      </c>
      <c r="Y1369">
        <f>_xlfn.XLOOKUP($F1369,設計座標!$E$13:$E$2301,設計座標!$L$13:$L$2301," ",0,1)</f>
        <v>150</v>
      </c>
      <c r="Z1369">
        <f>SQRT(($M$1369-$M$1368)^2+($N$1369-$N$1368)^2)</f>
        <v>460.00000825051109</v>
      </c>
      <c r="AA1369">
        <f>_xlfn.XLOOKUP($G1369,magnet_list!$A$2:$A$592,magnet_list!$AJ$2:$AJ$592,"n/a",0,1)</f>
        <v>0.18626200000000001</v>
      </c>
      <c r="AB1369">
        <f>_xlfn.XLOOKUP($G1369,magnet_list!$A$2:$A$592,magnet_list!$L$2:$L$592,"n/a",0,1)</f>
        <v>35</v>
      </c>
    </row>
    <row r="1370" spans="1:28">
      <c r="A1370" t="s">
        <v>797</v>
      </c>
      <c r="B1370">
        <v>2</v>
      </c>
      <c r="C1370" t="s">
        <v>1152</v>
      </c>
      <c r="D1370" t="s">
        <v>1152</v>
      </c>
      <c r="E1370" t="s">
        <v>804</v>
      </c>
      <c r="F1370" t="s">
        <v>2106</v>
      </c>
      <c r="G1370" t="s">
        <v>2106</v>
      </c>
      <c r="I1370">
        <f>_xlfn.XLOOKUP($F1370,設計座標!$E$13:$E$2301,設計座標!$G$13:$G$2301,"n/a",0,1)</f>
        <v>364.89899566136916</v>
      </c>
      <c r="J1370">
        <f>_xlfn.XLOOKUP($F1370,設計座標!$E$13:$E$2301,設計座標!$H$13:$H$2301,"n/a",0,1)</f>
        <v>-15000</v>
      </c>
      <c r="K1370">
        <f>_xlfn.XLOOKUP($F1370,設計座標!$E$13:$E$2301,設計座標!$I$13:$I$2301,"n/a",0,1)</f>
        <v>-100436.93819546004</v>
      </c>
      <c r="L1370">
        <f>_xlfn.XLOOKUP($F1370,設計座標!$E$13:$E$2301,設計座標!$J$13:$J$2301,"n/a",0,1)</f>
        <v>-270</v>
      </c>
      <c r="M1370" s="2">
        <f t="shared" si="1066"/>
        <v>-14985.997870357398</v>
      </c>
      <c r="N1370" s="2">
        <f t="shared" si="1067"/>
        <v>-100436.93819546004</v>
      </c>
      <c r="O1370" s="23">
        <f t="shared" si="1068"/>
        <v>-271.2940058548881</v>
      </c>
      <c r="P1370" s="1">
        <f t="shared" si="1044"/>
        <v>-269.47516771950137</v>
      </c>
      <c r="Q1370" s="1">
        <f t="shared" si="1082"/>
        <v>14.002129642601981</v>
      </c>
      <c r="R1370">
        <f t="shared" si="1058"/>
        <v>0</v>
      </c>
      <c r="S1370" s="23">
        <f t="shared" si="1081"/>
        <v>-1.294005854888099</v>
      </c>
      <c r="T1370">
        <f>$S1370+測地線補正!$Q$26*(lattice!$N1370/1000)^3+測地線補正!$P$26*(lattice!$N1370/1000)^2+測地線補正!$O$26*(lattice!$N1370/1000)+測地線補正!$N$26</f>
        <v>0.52483228049864894</v>
      </c>
      <c r="U1370">
        <v>0</v>
      </c>
      <c r="V1370">
        <v>0</v>
      </c>
      <c r="W1370">
        <v>0</v>
      </c>
      <c r="X1370">
        <f>$Z$1370-($Y$1370+$Y$1369)/2</f>
        <v>206.57872763039649</v>
      </c>
      <c r="Y1370">
        <f>_xlfn.XLOOKUP($F1370,設計座標!$E$13:$E$2301,設計座標!$L$13:$L$2301," ",0,1)</f>
        <v>0</v>
      </c>
      <c r="Z1370">
        <f>SQRT(($M$1370-$M$1369)^2+($N$1370-$N$1369)^2)</f>
        <v>281.57872763039649</v>
      </c>
    </row>
    <row r="1371" spans="1:28">
      <c r="A1371" t="s">
        <v>797</v>
      </c>
      <c r="B1371">
        <v>2</v>
      </c>
      <c r="C1371" t="s">
        <v>805</v>
      </c>
      <c r="D1371" t="s">
        <v>806</v>
      </c>
      <c r="F1371" t="s">
        <v>368</v>
      </c>
      <c r="G1371" t="s">
        <v>368</v>
      </c>
      <c r="I1371">
        <f>_xlfn.XLOOKUP($F1371,設計座標!$E$13:$E$2301,設計座標!$G$13:$G$2301,"n/a",0,1)</f>
        <v>365.05611025901914</v>
      </c>
      <c r="J1371">
        <f>_xlfn.XLOOKUP($F1371,設計座標!$E$13:$E$2301,設計座標!$H$13:$H$2301,"n/a",0,1)</f>
        <v>-15000</v>
      </c>
      <c r="K1371">
        <f>_xlfn.XLOOKUP($F1371,設計座標!$E$13:$E$2301,設計座標!$I$13:$I$2301,"n/a",0,1)</f>
        <v>-100594.05279310999</v>
      </c>
      <c r="L1371">
        <f>_xlfn.XLOOKUP($F1371,設計座標!$E$13:$E$2301,設計座標!$J$13:$J$2301,"n/a",0,1)</f>
        <v>-20</v>
      </c>
      <c r="M1371" s="2">
        <f>_xlfn.XLOOKUP($F1371,survey_data!$A$2:$A$833,survey_data!$B$2:$B$833,"n/a",0,1)</f>
        <v>-14985.968113090001</v>
      </c>
      <c r="N1371" s="2">
        <f>_xlfn.XLOOKUP($F1371,survey_data!$A$2:$A$833,survey_data!$C$2:$C$833,"n/a",0,1)</f>
        <v>-100594.05279310999</v>
      </c>
      <c r="O1371" s="23">
        <f>_xlfn.XLOOKUP($F1371,survey_data!$A$2:$A$833,survey_data!$D$2:$D$833,"n/a",0,1)</f>
        <v>-21.290308570000001</v>
      </c>
      <c r="P1371" s="1">
        <f t="shared" ref="P1371:P1434" si="1085">$L1371+$T1371</f>
        <v>-19.468476008471509</v>
      </c>
      <c r="Q1371" s="1">
        <f t="shared" si="1059"/>
        <v>14.03188690999923</v>
      </c>
      <c r="R1371">
        <f t="shared" si="1058"/>
        <v>0</v>
      </c>
      <c r="S1371" s="23">
        <f t="shared" si="1060"/>
        <v>-1.2903085700000005</v>
      </c>
      <c r="T1371">
        <f>$S1371+測地線補正!$Q$26*(lattice!$N1371/1000)^3+測地線補正!$P$26*(lattice!$N1371/1000)^2+測地線補正!$O$26*(lattice!$N1371/1000)+測地線補正!$N$26</f>
        <v>0.53152399152849017</v>
      </c>
      <c r="U1371">
        <f>-ATAN(($P$1372-$P$1371)/ABS($N$1372-$N$1371))</f>
        <v>7.7554631652045113E-4</v>
      </c>
      <c r="V1371">
        <v>0</v>
      </c>
      <c r="W1371">
        <f>ATAN(($M$1372-$M$1371)/ABS($N$1372-$N$1371))</f>
        <v>1.3180695789507112E-4</v>
      </c>
      <c r="X1371">
        <f>$Z$1372-($Y$1372+$Y$1370)/2</f>
        <v>137.11460068676553</v>
      </c>
      <c r="Y1371">
        <f>_xlfn.XLOOKUP($F1371,設計座標!$E$13:$E$2301,設計座標!$L$13:$L$2301," ",0,1)</f>
        <v>100</v>
      </c>
      <c r="Z1371">
        <f>SQRT(($M$1372-$M$1370)^2+($N$1372-$N$1370)^2)</f>
        <v>187.11460068676553</v>
      </c>
      <c r="AA1371">
        <f>_xlfn.XLOOKUP($G1371,magnet_list!$A$2:$A$592,magnet_list!$AJ$2:$AJ$592,"n/a",0,1)</f>
        <v>0.115</v>
      </c>
      <c r="AB1371">
        <f>_xlfn.XLOOKUP($G1371,magnet_list!$A$2:$A$592,magnet_list!$L$2:$L$592,"n/a",0,1)</f>
        <v>23</v>
      </c>
    </row>
    <row r="1372" spans="1:28">
      <c r="A1372" t="s">
        <v>797</v>
      </c>
      <c r="B1372">
        <v>2</v>
      </c>
      <c r="C1372" t="s">
        <v>805</v>
      </c>
      <c r="D1372" t="s">
        <v>1152</v>
      </c>
      <c r="E1372" t="s">
        <v>804</v>
      </c>
      <c r="F1372" t="s">
        <v>731</v>
      </c>
      <c r="G1372" t="s">
        <v>368</v>
      </c>
      <c r="I1372">
        <f>_xlfn.XLOOKUP($F1372,設計座標!$E$13:$E$2301,設計座標!$G$13:$G$2301,"n/a",0,1)</f>
        <v>365.08611025901911</v>
      </c>
      <c r="J1372">
        <f>_xlfn.XLOOKUP($F1372,設計座標!$E$13:$E$2301,設計座標!$H$13:$H$2301,"n/a",0,1)</f>
        <v>-15000</v>
      </c>
      <c r="K1372">
        <f>_xlfn.XLOOKUP($F1372,設計座標!$E$13:$E$2301,設計座標!$I$13:$I$2301,"n/a",0,1)</f>
        <v>-100624.05279310999</v>
      </c>
      <c r="L1372">
        <f>_xlfn.XLOOKUP($F1372,設計座標!$E$13:$E$2301,設計座標!$J$13:$J$2301,"n/a",0,1)</f>
        <v>-20</v>
      </c>
      <c r="M1372" s="2">
        <f t="shared" si="1066"/>
        <v>-14985.964158881241</v>
      </c>
      <c r="N1372" s="2">
        <f t="shared" si="1067"/>
        <v>-100624.05279310999</v>
      </c>
      <c r="O1372" s="23">
        <f t="shared" si="1068"/>
        <v>-21.314146069108741</v>
      </c>
      <c r="P1372" s="1">
        <f t="shared" si="1085"/>
        <v>-19.491742402631818</v>
      </c>
      <c r="Q1372" s="1">
        <f>(Q$1374-Q$1371)/($N$1374-$N$1371)*($N1372-$N$1371)+Q$1371</f>
        <v>14.035841118758681</v>
      </c>
      <c r="R1372">
        <f t="shared" si="1058"/>
        <v>0</v>
      </c>
      <c r="S1372" s="23">
        <f t="shared" ref="S1372:S1373" si="1086">(S$1374-S$1371)/($N$1374-$N$1371)*($N1372-$N$1371)+S$1371</f>
        <v>-1.3141460691087421</v>
      </c>
      <c r="T1372">
        <f>$S1372+測地線補正!$Q$26*(lattice!$N1372/1000)^3+測地線補正!$P$26*(lattice!$N1372/1000)^2+測地線補正!$O$26*(lattice!$N1372/1000)+測地線補正!$N$26</f>
        <v>0.50825759736818088</v>
      </c>
      <c r="U1372">
        <f>-ATAN(($P$1372-$P$1371)/ABS($N$1372-$N$1371))</f>
        <v>7.7554631652045113E-4</v>
      </c>
      <c r="V1372">
        <v>0</v>
      </c>
      <c r="W1372">
        <f>ATAN(($M$1372-$M$1371)/ABS($N$1372-$N$1371))</f>
        <v>1.3180695789507112E-4</v>
      </c>
      <c r="X1372">
        <f>$Z$1372-($Y$1372+$Y$1370)/2</f>
        <v>137.11460068676553</v>
      </c>
      <c r="Y1372">
        <f>_xlfn.XLOOKUP($F1372,設計座標!$E$13:$E$2301,設計座標!$L$13:$L$2301," ",0,1)</f>
        <v>100</v>
      </c>
      <c r="Z1372">
        <f>SQRT(($M$1372-$M$1370)^2+($N$1372-$N$1370)^2)</f>
        <v>187.11460068676553</v>
      </c>
      <c r="AA1372">
        <f>_xlfn.XLOOKUP($G1372,magnet_list!$A$2:$A$592,magnet_list!$AJ$2:$AJ$592,"n/a",0,1)</f>
        <v>0.115</v>
      </c>
      <c r="AB1372">
        <f>_xlfn.XLOOKUP($G1372,magnet_list!$A$2:$A$592,magnet_list!$L$2:$L$592,"n/a",0,1)</f>
        <v>23</v>
      </c>
    </row>
    <row r="1373" spans="1:28">
      <c r="A1373" t="s">
        <v>797</v>
      </c>
      <c r="B1373">
        <v>2</v>
      </c>
      <c r="C1373" t="s">
        <v>805</v>
      </c>
      <c r="D1373" t="s">
        <v>1152</v>
      </c>
      <c r="E1373" t="s">
        <v>804</v>
      </c>
      <c r="F1373" t="s">
        <v>732</v>
      </c>
      <c r="G1373" t="s">
        <v>369</v>
      </c>
      <c r="I1373">
        <f>_xlfn.XLOOKUP($F1373,設計座標!$E$13:$E$2301,設計座標!$G$13:$G$2301,"n/a",0,1)</f>
        <v>365.57554005197909</v>
      </c>
      <c r="J1373">
        <f>_xlfn.XLOOKUP($F1373,設計座標!$E$13:$E$2301,設計座標!$H$13:$H$2301,"n/a",0,1)</f>
        <v>-15000</v>
      </c>
      <c r="K1373">
        <f>_xlfn.XLOOKUP($F1373,設計座標!$E$13:$E$2301,設計座標!$I$13:$I$2301,"n/a",0,1)</f>
        <v>-101113.48258606999</v>
      </c>
      <c r="L1373">
        <f>_xlfn.XLOOKUP($F1373,設計座標!$E$13:$E$2301,設計座標!$J$13:$J$2301,"n/a",0,1)</f>
        <v>-20</v>
      </c>
      <c r="M1373" s="2">
        <f t="shared" si="1066"/>
        <v>-14985.89964862876</v>
      </c>
      <c r="N1373" s="2">
        <f t="shared" si="1067"/>
        <v>-101113.48258606999</v>
      </c>
      <c r="O1373" s="23">
        <f t="shared" si="1068"/>
        <v>-21.703038810891261</v>
      </c>
      <c r="P1373" s="1">
        <f t="shared" si="1085"/>
        <v>-19.871347866356768</v>
      </c>
      <c r="Q1373" s="1">
        <f>(Q$1374-Q$1371)/($N$1374-$N$1371)*($N1373-$N$1371)+Q$1371</f>
        <v>14.100351371240622</v>
      </c>
      <c r="R1373">
        <f t="shared" si="1058"/>
        <v>0</v>
      </c>
      <c r="S1373" s="23">
        <f t="shared" si="1086"/>
        <v>-1.70303881089126</v>
      </c>
      <c r="T1373">
        <f>$S1373+測地線補正!$Q$26*(lattice!$N1373/1000)^3+測地線補正!$P$26*(lattice!$N1373/1000)^2+測地線補正!$O$26*(lattice!$N1373/1000)+測地線補正!$N$26</f>
        <v>0.12865213364323203</v>
      </c>
      <c r="U1373">
        <f>-ATAN(($P$1374-$P$1373)/ABS($N$1374-$N$1373))</f>
        <v>7.756685199692612E-4</v>
      </c>
      <c r="V1373">
        <v>0</v>
      </c>
      <c r="W1373">
        <f>ATAN(($M$1374-$M$1373)/ABS($N$1374-$N$1373))</f>
        <v>1.3180695789507112E-4</v>
      </c>
      <c r="X1373">
        <f>$Z$1373-($Y$1373+$Y$1372)/2</f>
        <v>389.4297972114498</v>
      </c>
      <c r="Y1373">
        <f>_xlfn.XLOOKUP($F1373,設計座標!$E$13:$E$2301,設計座標!$L$13:$L$2301," ",0,1)</f>
        <v>100</v>
      </c>
      <c r="Z1373">
        <f>SQRT(($M$1373-$M$1372)^2+($N$1373-$N$1372)^2)</f>
        <v>489.4297972114498</v>
      </c>
      <c r="AA1373">
        <f>_xlfn.XLOOKUP($G1373,magnet_list!$A$2:$A$592,magnet_list!$AJ$2:$AJ$592,"n/a",0,1)</f>
        <v>0.115</v>
      </c>
      <c r="AB1373">
        <f>_xlfn.XLOOKUP($G1373,magnet_list!$A$2:$A$592,magnet_list!$L$2:$L$592,"n/a",0,1)</f>
        <v>23</v>
      </c>
    </row>
    <row r="1374" spans="1:28">
      <c r="A1374" t="s">
        <v>797</v>
      </c>
      <c r="B1374">
        <v>2</v>
      </c>
      <c r="C1374" t="s">
        <v>805</v>
      </c>
      <c r="D1374" t="s">
        <v>806</v>
      </c>
      <c r="F1374" t="s">
        <v>369</v>
      </c>
      <c r="G1374" t="s">
        <v>369</v>
      </c>
      <c r="I1374">
        <f>_xlfn.XLOOKUP($F1374,設計座標!$E$13:$E$2301,設計座標!$G$13:$G$2301,"n/a",0,1)</f>
        <v>365.60554005197906</v>
      </c>
      <c r="J1374">
        <f>_xlfn.XLOOKUP($F1374,設計座標!$E$13:$E$2301,設計座標!$H$13:$H$2301,"n/a",0,1)</f>
        <v>-15000</v>
      </c>
      <c r="K1374">
        <f>_xlfn.XLOOKUP($F1374,設計座標!$E$13:$E$2301,設計座標!$I$13:$I$2301,"n/a",0,1)</f>
        <v>-101143.48258606999</v>
      </c>
      <c r="L1374">
        <f>_xlfn.XLOOKUP($F1374,設計座標!$E$13:$E$2301,設計座標!$J$13:$J$2301,"n/a",0,1)</f>
        <v>-20</v>
      </c>
      <c r="M1374" s="2">
        <f>_xlfn.XLOOKUP($F1374,survey_data!$A$2:$A$833,survey_data!$B$2:$B$833,"n/a",0,1)</f>
        <v>-14985.89569442</v>
      </c>
      <c r="N1374" s="2">
        <f>_xlfn.XLOOKUP($F1374,survey_data!$A$2:$A$833,survey_data!$C$2:$C$833,"n/a",0,1)</f>
        <v>-101143.48258606999</v>
      </c>
      <c r="O1374" s="23">
        <f>_xlfn.XLOOKUP($F1374,survey_data!$A$2:$A$833,survey_data!$D$2:$D$833,"n/a",0,1)</f>
        <v>-21.726876310000002</v>
      </c>
      <c r="P1374" s="1">
        <f t="shared" si="1085"/>
        <v>-19.894617926622747</v>
      </c>
      <c r="Q1374" s="1">
        <f t="shared" si="1059"/>
        <v>14.104305580000073</v>
      </c>
      <c r="R1374">
        <f t="shared" si="1058"/>
        <v>0</v>
      </c>
      <c r="S1374" s="23">
        <f t="shared" si="1060"/>
        <v>-1.7268763100000015</v>
      </c>
      <c r="T1374">
        <f>$S1374+測地線補正!$Q$26*(lattice!$N1374/1000)^3+測地線補正!$P$26*(lattice!$N1374/1000)^2+測地線補正!$O$26*(lattice!$N1374/1000)+測地線補正!$N$26</f>
        <v>0.1053820733772548</v>
      </c>
      <c r="U1374">
        <f>-ATAN(($P$1374-$P$1373)/ABS($N$1374-$N$1373))</f>
        <v>7.756685199692612E-4</v>
      </c>
      <c r="V1374">
        <v>0</v>
      </c>
      <c r="W1374">
        <f>ATAN(($M$1374-$M$1373)/ABS($N$1374-$N$1373))</f>
        <v>1.3180695789507112E-4</v>
      </c>
      <c r="X1374">
        <f>$Z$1373-($Y$1373+$Y$1372)/2</f>
        <v>389.4297972114498</v>
      </c>
      <c r="Y1374">
        <f>_xlfn.XLOOKUP($F1374,設計座標!$E$13:$E$2301,設計座標!$L$13:$L$2301," ",0,1)</f>
        <v>100</v>
      </c>
      <c r="Z1374">
        <f>SQRT(($M$1373-$M$1372)^2+($N$1373-$N$1372)^2)</f>
        <v>489.4297972114498</v>
      </c>
      <c r="AA1374">
        <f>_xlfn.XLOOKUP($G1374,magnet_list!$A$2:$A$592,magnet_list!$AJ$2:$AJ$592,"n/a",0,1)</f>
        <v>0.115</v>
      </c>
      <c r="AB1374">
        <f>_xlfn.XLOOKUP($G1374,magnet_list!$A$2:$A$592,magnet_list!$L$2:$L$592,"n/a",0,1)</f>
        <v>23</v>
      </c>
    </row>
    <row r="1375" spans="1:28">
      <c r="A1375" t="s">
        <v>797</v>
      </c>
      <c r="B1375">
        <v>2</v>
      </c>
      <c r="C1375" t="s">
        <v>1152</v>
      </c>
      <c r="D1375" t="s">
        <v>1152</v>
      </c>
      <c r="E1375" t="s">
        <v>804</v>
      </c>
      <c r="F1375" t="s">
        <v>2110</v>
      </c>
      <c r="G1375" t="s">
        <v>2110</v>
      </c>
      <c r="I1375">
        <f>_xlfn.XLOOKUP($F1375,設計座標!$E$13:$E$2301,設計座標!$G$13:$G$2301,"n/a",0,1)</f>
        <v>365.86493846136915</v>
      </c>
      <c r="J1375">
        <f>_xlfn.XLOOKUP($F1375,設計座標!$E$13:$E$2301,設計座標!$H$13:$H$2301,"n/a",0,1)</f>
        <v>-15000</v>
      </c>
      <c r="K1375">
        <f>_xlfn.XLOOKUP($F1375,設計座標!$E$13:$E$2301,設計座標!$I$13:$I$2301,"n/a",0,1)</f>
        <v>-101402.88099546004</v>
      </c>
      <c r="L1375">
        <f>_xlfn.XLOOKUP($F1375,設計座標!$E$13:$E$2301,設計座標!$J$13:$J$2301,"n/a",0,1)</f>
        <v>-270</v>
      </c>
      <c r="M1375" s="2">
        <f t="shared" si="1066"/>
        <v>-14985.868480855068</v>
      </c>
      <c r="N1375" s="2">
        <f t="shared" si="1067"/>
        <v>-101402.88099546004</v>
      </c>
      <c r="O1375" s="23">
        <f t="shared" si="1068"/>
        <v>-271.72428402355325</v>
      </c>
      <c r="P1375" s="1">
        <f t="shared" si="1085"/>
        <v>-269.88712803560611</v>
      </c>
      <c r="Q1375" s="1">
        <f>(Q$1382-Q$1374)/($N$1382-$N$1374)*($N1375-$N$1374)+Q$1374</f>
        <v>14.131519144932971</v>
      </c>
      <c r="R1375">
        <f t="shared" si="1058"/>
        <v>0</v>
      </c>
      <c r="S1375" s="23">
        <f t="shared" ref="S1375:S1381" si="1087">(S$1382-S$1374)/($N$1382-$N$1374)*($N1375-$N$1374)+S$1374</f>
        <v>-1.7242840235532702</v>
      </c>
      <c r="T1375">
        <f>$S1375+測地線補正!$Q$26*(lattice!$N1375/1000)^3+測地線補正!$P$26*(lattice!$N1375/1000)^2+測地線補正!$O$26*(lattice!$N1375/1000)+測地線補正!$N$26</f>
        <v>0.11287196439389402</v>
      </c>
      <c r="U1375">
        <v>0</v>
      </c>
      <c r="V1375">
        <v>0</v>
      </c>
      <c r="W1375">
        <v>0</v>
      </c>
      <c r="X1375">
        <f>$Z$1375-($Y$1375+$Y$1373)/2</f>
        <v>239.39841106841197</v>
      </c>
      <c r="Y1375">
        <f>_xlfn.XLOOKUP($F1375,設計座標!$E$13:$E$2301,設計座標!$L$13:$L$2301," ",0,1)</f>
        <v>0</v>
      </c>
      <c r="Z1375">
        <f>SQRT(($M$1375-$M$1373)^2+($N$1375-$N$1373)^2)</f>
        <v>289.39841106841197</v>
      </c>
    </row>
    <row r="1376" spans="1:28">
      <c r="A1376" t="s">
        <v>797</v>
      </c>
      <c r="B1376">
        <v>2</v>
      </c>
      <c r="C1376" t="s">
        <v>804</v>
      </c>
      <c r="D1376" t="s">
        <v>1152</v>
      </c>
      <c r="E1376" t="s">
        <v>804</v>
      </c>
      <c r="F1376" t="s">
        <v>1630</v>
      </c>
      <c r="G1376" t="s">
        <v>2678</v>
      </c>
      <c r="I1376">
        <f>_xlfn.XLOOKUP($F1376,設計座標!$E$13:$E$2301,設計座標!$G$13:$G$2301,"n/a",0,1)</f>
        <v>365.99493806136911</v>
      </c>
      <c r="J1376">
        <f>_xlfn.XLOOKUP($F1376,設計座標!$E$13:$E$2301,設計座標!$H$13:$H$2301,"n/a",0,1)</f>
        <v>-15000</v>
      </c>
      <c r="K1376">
        <f>_xlfn.XLOOKUP($F1376,設計座標!$E$13:$E$2301,設計座標!$I$13:$I$2301,"n/a",0,1)</f>
        <v>-101532.88059546004</v>
      </c>
      <c r="L1376">
        <f>_xlfn.XLOOKUP($F1376,設計座標!$E$13:$E$2301,設計座標!$J$13:$J$2301,"n/a",0,1)</f>
        <v>-270</v>
      </c>
      <c r="M1376" s="2">
        <f t="shared" si="1066"/>
        <v>-14985.854842558039</v>
      </c>
      <c r="N1376" s="2">
        <f t="shared" si="1067"/>
        <v>-101532.88059546004</v>
      </c>
      <c r="O1376" s="23">
        <f t="shared" si="1068"/>
        <v>-271.7229848783428</v>
      </c>
      <c r="P1376" s="1">
        <f t="shared" si="1085"/>
        <v>-269.88338036107979</v>
      </c>
      <c r="Q1376" s="1">
        <f t="shared" ref="Q1376:Q1381" si="1088">(Q$1382-Q$1374)/($N$1382-$N$1374)*($N1376-$N$1374)+Q$1374</f>
        <v>14.145157441960965</v>
      </c>
      <c r="R1376">
        <f t="shared" si="1058"/>
        <v>0</v>
      </c>
      <c r="S1376" s="23">
        <f t="shared" si="1087"/>
        <v>-1.7229848783428083</v>
      </c>
      <c r="T1376">
        <f>$S1376+測地線補正!$Q$26*(lattice!$N1376/1000)^3+測地線補正!$P$26*(lattice!$N1376/1000)^2+測地線補正!$O$26*(lattice!$N1376/1000)+測地線補正!$N$26</f>
        <v>0.11661963892020677</v>
      </c>
      <c r="U1376">
        <f>-ATAN(($P$1380-$P$1376)/ABS($N$1380-$N$1376))</f>
        <v>-2.8591829705223151E-5</v>
      </c>
      <c r="V1376">
        <v>0</v>
      </c>
      <c r="W1376">
        <f>ATAN(($M$1380-$M$1376)/ABS($N$1380-$N$1376))</f>
        <v>1.0491029955485616E-4</v>
      </c>
      <c r="X1376">
        <f>SQRT(($M$1376-$M$1375)^2+($N$1376-$N$1375)^2)</f>
        <v>129.99960071539445</v>
      </c>
      <c r="Y1376">
        <f>_xlfn.XLOOKUP($F1376,設計座標!$E$13:$E$2301,設計座標!$L$13:$L$2301," ",0,1)</f>
        <v>1889.4492</v>
      </c>
      <c r="Z1376">
        <f>SQRT(($M$1379-$M$1377)^2+($N$1379-$N$1377)^2)</f>
        <v>307.22420169067794</v>
      </c>
    </row>
    <row r="1377" spans="1:28">
      <c r="A1377" t="s">
        <v>797</v>
      </c>
      <c r="B1377">
        <v>2</v>
      </c>
      <c r="C1377" t="s">
        <v>3855</v>
      </c>
      <c r="D1377" t="s">
        <v>1152</v>
      </c>
      <c r="E1377" t="s">
        <v>804</v>
      </c>
      <c r="F1377" t="s">
        <v>2111</v>
      </c>
      <c r="G1377" t="s">
        <v>2111</v>
      </c>
      <c r="I1377">
        <f>_xlfn.XLOOKUP($F1377,設計座標!$E$13:$E$2301,設計座標!$G$13:$G$2301,"n/a",0,1)</f>
        <v>366.63243846136913</v>
      </c>
      <c r="J1377">
        <f>_xlfn.XLOOKUP($F1377,設計座標!$E$13:$E$2301,設計座標!$H$13:$H$2301,"n/a",0,1)</f>
        <v>-15000</v>
      </c>
      <c r="K1377">
        <f>_xlfn.XLOOKUP($F1377,設計座標!$E$13:$E$2301,設計座標!$I$13:$I$2301,"n/a",0,1)</f>
        <v>-102170.38099546004</v>
      </c>
      <c r="L1377">
        <f>_xlfn.XLOOKUP($F1377,設計座標!$E$13:$E$2301,設計座標!$J$13:$J$2301,"n/a",0,1)</f>
        <v>-270</v>
      </c>
      <c r="M1377" s="2">
        <f t="shared" si="1066"/>
        <v>-14985.787962199864</v>
      </c>
      <c r="N1377" s="2">
        <f t="shared" si="1067"/>
        <v>-102170.38099546004</v>
      </c>
      <c r="O1377" s="23">
        <f t="shared" si="1068"/>
        <v>-271.71661404649927</v>
      </c>
      <c r="P1377" s="1">
        <f t="shared" si="1085"/>
        <v>-269.86505966308761</v>
      </c>
      <c r="Q1377" s="1">
        <f t="shared" si="1088"/>
        <v>14.212037800136413</v>
      </c>
      <c r="R1377">
        <f t="shared" si="1058"/>
        <v>0</v>
      </c>
      <c r="S1377" s="23">
        <f t="shared" si="1087"/>
        <v>-1.7166140464992681</v>
      </c>
      <c r="T1377">
        <f>$S1377+測地線補正!$Q$26*(lattice!$N1377/1000)^3+測地線補正!$P$26*(lattice!$N1377/1000)^2+測地線補正!$O$26*(lattice!$N1377/1000)+測地線補正!$N$26</f>
        <v>0.13494033691237628</v>
      </c>
      <c r="U1377">
        <f t="shared" ref="U1377:U1378" si="1089">-ATAN(($P$1380-$P$1376)/ABS($N$1380-$N$1376))</f>
        <v>-2.8591829705223151E-5</v>
      </c>
      <c r="V1377">
        <v>0</v>
      </c>
      <c r="W1377">
        <f t="shared" ref="W1377:W1378" si="1090">ATAN(($M$1380-$M$1376)/ABS($N$1380-$N$1376))</f>
        <v>1.0491029955485616E-4</v>
      </c>
      <c r="X1377" t="s">
        <v>3860</v>
      </c>
      <c r="Y1377">
        <f>_xlfn.XLOOKUP($F1377,設計座標!$E$13:$E$2301,設計座標!$L$13:$L$2301," ",0,1)</f>
        <v>800</v>
      </c>
      <c r="Z1377">
        <f>SQRT(($M$1377-$M$1375)^2+($N$1377-$N$1375)^2)</f>
        <v>767.50000422361813</v>
      </c>
      <c r="AA1377">
        <f>_xlfn.XLOOKUP($G1377,magnet_list!$A$2:$A$592,magnet_list!$AJ$2:$AJ$592,"n/a",0,1)</f>
        <v>0.74619000000000002</v>
      </c>
      <c r="AB1377">
        <f>_xlfn.XLOOKUP($G1377,magnet_list!$A$2:$A$592,magnet_list!$L$2:$L$592,"n/a",0,1)</f>
        <v>120</v>
      </c>
    </row>
    <row r="1378" spans="1:28">
      <c r="A1378" t="s">
        <v>797</v>
      </c>
      <c r="B1378">
        <v>2</v>
      </c>
      <c r="C1378" t="s">
        <v>3855</v>
      </c>
      <c r="D1378" t="s">
        <v>1152</v>
      </c>
      <c r="E1378" t="s">
        <v>804</v>
      </c>
      <c r="F1378" t="s">
        <v>2112</v>
      </c>
      <c r="G1378" t="s">
        <v>2112</v>
      </c>
      <c r="I1378">
        <f>_xlfn.XLOOKUP($F1378,設計座標!$E$13:$E$2301,設計座標!$G$13:$G$2301,"n/a",0,1)</f>
        <v>366.63243846136913</v>
      </c>
      <c r="J1378">
        <f>_xlfn.XLOOKUP($F1378,設計座標!$E$13:$E$2301,設計座標!$H$13:$H$2301,"n/a",0,1)</f>
        <v>-15000</v>
      </c>
      <c r="K1378">
        <f>_xlfn.XLOOKUP($F1378,設計座標!$E$13:$E$2301,設計座標!$I$13:$I$2301,"n/a",0,1)</f>
        <v>-102170.38099546004</v>
      </c>
      <c r="L1378">
        <f>_xlfn.XLOOKUP($F1378,設計座標!$E$13:$E$2301,設計座標!$J$13:$J$2301,"n/a",0,1)</f>
        <v>-270</v>
      </c>
      <c r="M1378" s="2">
        <f t="shared" si="1066"/>
        <v>-14985.787962199864</v>
      </c>
      <c r="N1378" s="2">
        <f t="shared" si="1067"/>
        <v>-102170.38099546004</v>
      </c>
      <c r="O1378" s="23">
        <f t="shared" si="1068"/>
        <v>-271.71661404649927</v>
      </c>
      <c r="P1378" s="1">
        <f t="shared" si="1085"/>
        <v>-269.86505966308761</v>
      </c>
      <c r="Q1378" s="1">
        <f t="shared" si="1088"/>
        <v>14.212037800136413</v>
      </c>
      <c r="R1378">
        <f t="shared" si="1058"/>
        <v>0</v>
      </c>
      <c r="S1378" s="23">
        <f t="shared" si="1087"/>
        <v>-1.7166140464992681</v>
      </c>
      <c r="T1378">
        <f>$S1378+測地線補正!$Q$26*(lattice!$N1378/1000)^3+測地線補正!$P$26*(lattice!$N1378/1000)^2+測地線補正!$O$26*(lattice!$N1378/1000)+測地線補正!$N$26</f>
        <v>0.13494033691237628</v>
      </c>
      <c r="U1378">
        <f t="shared" si="1089"/>
        <v>-2.8591829705223151E-5</v>
      </c>
      <c r="V1378">
        <v>0</v>
      </c>
      <c r="W1378">
        <f t="shared" si="1090"/>
        <v>1.0491029955485616E-4</v>
      </c>
      <c r="X1378" t="s">
        <v>3860</v>
      </c>
      <c r="Y1378">
        <f>_xlfn.XLOOKUP($F1378,設計座標!$E$13:$E$2301,設計座標!$L$13:$L$2301," ",0,1)</f>
        <v>800</v>
      </c>
      <c r="Z1378">
        <f>SQRT(($M$1377-$M$1375)^2+($N$1377-$N$1375)^2)</f>
        <v>767.50000422361813</v>
      </c>
      <c r="AA1378">
        <f>_xlfn.XLOOKUP($G1378,magnet_list!$A$2:$A$592,magnet_list!$AJ$2:$AJ$592,"n/a",0,1)</f>
        <v>0.74619000000000002</v>
      </c>
      <c r="AB1378">
        <f>_xlfn.XLOOKUP($G1378,magnet_list!$A$2:$A$592,magnet_list!$L$2:$L$592,"n/a",0,1)</f>
        <v>120</v>
      </c>
    </row>
    <row r="1379" spans="1:28">
      <c r="A1379" t="s">
        <v>797</v>
      </c>
      <c r="B1379">
        <v>2</v>
      </c>
      <c r="C1379" t="s">
        <v>804</v>
      </c>
      <c r="D1379" t="s">
        <v>1152</v>
      </c>
      <c r="E1379" t="s">
        <v>804</v>
      </c>
      <c r="F1379" t="s">
        <v>1196</v>
      </c>
      <c r="G1379" t="s">
        <v>2678</v>
      </c>
      <c r="I1379">
        <f>_xlfn.XLOOKUP($F1379,設計座標!$E$13:$E$2301,設計座標!$G$13:$G$2301,"n/a",0,1)</f>
        <v>366.93966266136914</v>
      </c>
      <c r="J1379">
        <f>_xlfn.XLOOKUP($F1379,設計座標!$E$13:$E$2301,設計座標!$H$13:$H$2301,"n/a",0,1)</f>
        <v>-15000</v>
      </c>
      <c r="K1379">
        <f>_xlfn.XLOOKUP($F1379,設計座標!$E$13:$E$2301,設計座標!$I$13:$I$2301,"n/a",0,1)</f>
        <v>-102477.60519546004</v>
      </c>
      <c r="L1379">
        <f>_xlfn.XLOOKUP($F1379,設計座標!$E$13:$E$2301,設計座標!$J$13:$J$2301,"n/a",0,1)</f>
        <v>-270</v>
      </c>
      <c r="M1379" s="2">
        <f t="shared" si="1066"/>
        <v>-14985.755731216894</v>
      </c>
      <c r="N1379" s="2">
        <f t="shared" si="1067"/>
        <v>-102477.60519546004</v>
      </c>
      <c r="O1379" s="23">
        <f t="shared" si="1068"/>
        <v>-271.71354381514493</v>
      </c>
      <c r="P1379" s="1">
        <f t="shared" si="1085"/>
        <v>-269.85626455322364</v>
      </c>
      <c r="Q1379" s="1">
        <f t="shared" si="1088"/>
        <v>14.244268783107037</v>
      </c>
      <c r="R1379">
        <f t="shared" si="1058"/>
        <v>0</v>
      </c>
      <c r="S1379" s="23">
        <f t="shared" si="1087"/>
        <v>-1.7135438151449565</v>
      </c>
      <c r="T1379">
        <f>$S1379+測地線補正!$Q$26*(lattice!$N1379/1000)^3+測地線補正!$P$26*(lattice!$N1379/1000)^2+測地線補正!$O$26*(lattice!$N1379/1000)+測地線補正!$N$26</f>
        <v>0.14373544677633876</v>
      </c>
      <c r="U1379">
        <f t="shared" ref="U1379:U1380" si="1091">-ATAN(($P$1380-$P$1376)/ABS($N$1380-$N$1376))</f>
        <v>-2.8591829705223151E-5</v>
      </c>
      <c r="V1379">
        <v>0</v>
      </c>
      <c r="W1379">
        <f t="shared" ref="W1379:W1380" si="1092">ATAN(($M$1380-$M$1376)/ABS($N$1380-$N$1376))</f>
        <v>1.0491029955485616E-4</v>
      </c>
      <c r="X1379" t="s">
        <v>3860</v>
      </c>
      <c r="Y1379">
        <f>_xlfn.XLOOKUP($F1379,設計座標!$E$13:$E$2301,設計座標!$L$13:$L$2301," ",0,1)</f>
        <v>1889.4492</v>
      </c>
      <c r="Z1379">
        <f>SQRT(($M$1379-$M$1377)^2+($N$1379-$N$1377)^2)</f>
        <v>307.22420169067794</v>
      </c>
    </row>
    <row r="1380" spans="1:28">
      <c r="A1380" t="s">
        <v>797</v>
      </c>
      <c r="B1380">
        <v>2</v>
      </c>
      <c r="C1380" t="s">
        <v>804</v>
      </c>
      <c r="D1380" t="s">
        <v>1152</v>
      </c>
      <c r="E1380" t="s">
        <v>804</v>
      </c>
      <c r="F1380" t="s">
        <v>1631</v>
      </c>
      <c r="G1380" t="s">
        <v>2678</v>
      </c>
      <c r="I1380">
        <f>_xlfn.XLOOKUP($F1380,設計座標!$E$13:$E$2301,設計座標!$G$13:$G$2301,"n/a",0,1)</f>
        <v>367.88438726136917</v>
      </c>
      <c r="J1380">
        <f>_xlfn.XLOOKUP($F1380,設計座標!$E$13:$E$2301,設計座標!$H$13:$H$2301,"n/a",0,1)</f>
        <v>-15000</v>
      </c>
      <c r="K1380">
        <f>_xlfn.XLOOKUP($F1380,設計座標!$E$13:$E$2301,設計座標!$I$13:$I$2301,"n/a",0,1)</f>
        <v>-103422.32979546004</v>
      </c>
      <c r="L1380">
        <f>_xlfn.XLOOKUP($F1380,設計座標!$E$13:$E$2301,設計座標!$J$13:$J$2301,"n/a",0,1)</f>
        <v>-270</v>
      </c>
      <c r="M1380" s="2">
        <f t="shared" si="1066"/>
        <v>-14985.656619875746</v>
      </c>
      <c r="N1380" s="2">
        <f t="shared" si="1067"/>
        <v>-103422.32979546004</v>
      </c>
      <c r="O1380" s="23">
        <f t="shared" si="1068"/>
        <v>-271.70410275194712</v>
      </c>
      <c r="P1380" s="1">
        <f t="shared" si="1085"/>
        <v>-269.829357551302</v>
      </c>
      <c r="Q1380" s="1">
        <f t="shared" si="1088"/>
        <v>14.343380124253107</v>
      </c>
      <c r="R1380">
        <f t="shared" si="1058"/>
        <v>0</v>
      </c>
      <c r="S1380" s="23">
        <f t="shared" si="1087"/>
        <v>-1.7041027519471046</v>
      </c>
      <c r="T1380">
        <f>$S1380+測地線補正!$Q$26*(lattice!$N1380/1000)^3+測地線補正!$P$26*(lattice!$N1380/1000)^2+測地線補正!$O$26*(lattice!$N1380/1000)+測地線補正!$N$26</f>
        <v>0.1706424486980207</v>
      </c>
      <c r="U1380">
        <f t="shared" si="1091"/>
        <v>-2.8591829705223151E-5</v>
      </c>
      <c r="V1380">
        <v>0</v>
      </c>
      <c r="W1380">
        <f t="shared" si="1092"/>
        <v>1.0491029955485616E-4</v>
      </c>
      <c r="X1380" t="s">
        <v>3860</v>
      </c>
      <c r="Y1380">
        <f>_xlfn.XLOOKUP($F1380,設計座標!$E$13:$E$2301,設計座標!$L$13:$L$2301," ",0,1)</f>
        <v>1889.4492</v>
      </c>
      <c r="Z1380">
        <f>SQRT(($M$1379-$M$1377)^2+($N$1379-$N$1377)^2)</f>
        <v>307.22420169067794</v>
      </c>
    </row>
    <row r="1381" spans="1:28">
      <c r="A1381" t="s">
        <v>797</v>
      </c>
      <c r="B1381">
        <v>2</v>
      </c>
      <c r="C1381" t="s">
        <v>1152</v>
      </c>
      <c r="D1381" t="s">
        <v>1152</v>
      </c>
      <c r="E1381" t="s">
        <v>804</v>
      </c>
      <c r="F1381" t="s">
        <v>2113</v>
      </c>
      <c r="G1381" t="s">
        <v>2113</v>
      </c>
      <c r="I1381">
        <f>_xlfn.XLOOKUP($F1381,設計座標!$E$13:$E$2301,設計座標!$G$13:$G$2301,"n/a",0,1)</f>
        <v>368.01438776136916</v>
      </c>
      <c r="J1381">
        <f>_xlfn.XLOOKUP($F1381,設計座標!$E$13:$E$2301,設計座標!$H$13:$H$2301,"n/a",0,1)</f>
        <v>-15000</v>
      </c>
      <c r="K1381">
        <f>_xlfn.XLOOKUP($F1381,設計座標!$E$13:$E$2301,設計座標!$I$13:$I$2301,"n/a",0,1)</f>
        <v>-103552.33029546004</v>
      </c>
      <c r="L1381">
        <f>_xlfn.XLOOKUP($F1381,設計座標!$E$13:$E$2301,設計座標!$J$13:$J$2301,"n/a",0,1)</f>
        <v>-270</v>
      </c>
      <c r="M1381" s="2">
        <f t="shared" si="1066"/>
        <v>-14985.6429814843</v>
      </c>
      <c r="N1381" s="2">
        <f t="shared" si="1067"/>
        <v>-103552.33029546004</v>
      </c>
      <c r="O1381" s="23">
        <f t="shared" si="1068"/>
        <v>-271.70280359774256</v>
      </c>
      <c r="P1381" s="1">
        <f t="shared" si="1085"/>
        <v>-269.82567127090692</v>
      </c>
      <c r="Q1381" s="1">
        <f t="shared" si="1088"/>
        <v>14.357018515700371</v>
      </c>
      <c r="R1381">
        <f t="shared" si="1058"/>
        <v>0</v>
      </c>
      <c r="S1381" s="23">
        <f t="shared" si="1087"/>
        <v>-1.7028035977425329</v>
      </c>
      <c r="T1381">
        <f>$S1381+測地線補正!$Q$26*(lattice!$N1381/1000)^3+測地線補正!$P$26*(lattice!$N1381/1000)^2+測地線補正!$O$26*(lattice!$N1381/1000)+測地線補正!$N$26</f>
        <v>0.17432872909308261</v>
      </c>
      <c r="U1381">
        <v>0</v>
      </c>
      <c r="V1381">
        <v>0</v>
      </c>
      <c r="W1381">
        <v>0</v>
      </c>
      <c r="X1381">
        <f>SQRT(($M$1381-$M$1380)^2+($N$1381-$N$1380)^2)</f>
        <v>130.00050071539849</v>
      </c>
      <c r="Y1381">
        <f>_xlfn.XLOOKUP($F1381,設計座標!$E$13:$E$2301,設計座標!$L$13:$L$2301," ",0,1)</f>
        <v>0</v>
      </c>
      <c r="Z1381">
        <f>SQRT(($M$1381-$M$1379)^2+($N$1381-$N$1379)^2)</f>
        <v>1074.7251059143</v>
      </c>
    </row>
    <row r="1382" spans="1:28">
      <c r="A1382" t="s">
        <v>797</v>
      </c>
      <c r="B1382">
        <v>2</v>
      </c>
      <c r="C1382" t="s">
        <v>805</v>
      </c>
      <c r="D1382" t="s">
        <v>806</v>
      </c>
      <c r="F1382" t="s">
        <v>370</v>
      </c>
      <c r="G1382" t="s">
        <v>370</v>
      </c>
      <c r="I1382">
        <f>_xlfn.XLOOKUP($F1382,設計座標!$E$13:$E$2301,設計座標!$G$13:$G$2301,"n/a",0,1)</f>
        <v>368.1779545828291</v>
      </c>
      <c r="J1382">
        <f>_xlfn.XLOOKUP($F1382,設計座標!$E$13:$E$2301,設計座標!$H$13:$H$2301,"n/a",0,1)</f>
        <v>-15000</v>
      </c>
      <c r="K1382">
        <f>_xlfn.XLOOKUP($F1382,設計座標!$E$13:$E$2301,設計座標!$I$13:$I$2301,"n/a",0,1)</f>
        <v>-103715.89711691999</v>
      </c>
      <c r="L1382">
        <f>_xlfn.XLOOKUP($F1382,設計座標!$E$13:$E$2301,設計座標!$J$13:$J$2301,"n/a",0,1)</f>
        <v>-20</v>
      </c>
      <c r="M1382" s="2">
        <f>_xlfn.XLOOKUP($F1382,survey_data!$A$2:$A$833,survey_data!$B$2:$B$833,"n/a",0,1)</f>
        <v>-14985.62582164</v>
      </c>
      <c r="N1382" s="2">
        <f>_xlfn.XLOOKUP($F1382,survey_data!$A$2:$A$833,survey_data!$C$2:$C$833,"n/a",0,1)</f>
        <v>-103715.89711691999</v>
      </c>
      <c r="O1382" s="23">
        <f>_xlfn.XLOOKUP($F1382,survey_data!$A$2:$A$833,survey_data!$D$2:$D$833,"n/a",0,1)</f>
        <v>-21.701169</v>
      </c>
      <c r="P1382" s="1">
        <f t="shared" si="1085"/>
        <v>-19.821038783246475</v>
      </c>
      <c r="Q1382" s="1">
        <f t="shared" si="1059"/>
        <v>14.37417835999986</v>
      </c>
      <c r="R1382">
        <f t="shared" si="1058"/>
        <v>0</v>
      </c>
      <c r="S1382" s="23">
        <f t="shared" si="1060"/>
        <v>-1.7011690000000002</v>
      </c>
      <c r="T1382">
        <f>$S1382+測地線補正!$Q$26*(lattice!$N1382/1000)^3+測地線補正!$P$26*(lattice!$N1382/1000)^2+測地線補正!$O$26*(lattice!$N1382/1000)+測地線補正!$N$26</f>
        <v>0.17896121675352439</v>
      </c>
      <c r="U1382">
        <f>-ATAN(($P$1383-$P$1382)/ABS($N$1383-$N$1382))</f>
        <v>2.6020191688290121E-3</v>
      </c>
      <c r="V1382">
        <v>0</v>
      </c>
      <c r="W1382">
        <f>ATAN(($M$1383-$M$1382)/ABS($N$1383-$N$1382))</f>
        <v>2.1909080188590256E-4</v>
      </c>
      <c r="X1382">
        <f>$Z$1383-($Y$1383+$Y$1381)/2</f>
        <v>143.56682291484194</v>
      </c>
      <c r="Y1382">
        <f>_xlfn.XLOOKUP($F1382,設計座標!$E$13:$E$2301,設計座標!$L$13:$L$2301," ",0,1)</f>
        <v>100</v>
      </c>
      <c r="Z1382">
        <f>SQRT(($M$1383-$M$1381)^2+($N$1383-$N$1381)^2)</f>
        <v>193.56682291484194</v>
      </c>
      <c r="AA1382">
        <f>_xlfn.XLOOKUP($G1382,magnet_list!$A$2:$A$592,magnet_list!$AJ$2:$AJ$592,"n/a",0,1)</f>
        <v>0.115</v>
      </c>
      <c r="AB1382">
        <f>_xlfn.XLOOKUP($G1382,magnet_list!$A$2:$A$592,magnet_list!$L$2:$L$592,"n/a",0,1)</f>
        <v>23</v>
      </c>
    </row>
    <row r="1383" spans="1:28">
      <c r="A1383" t="s">
        <v>797</v>
      </c>
      <c r="B1383">
        <v>2</v>
      </c>
      <c r="C1383" t="s">
        <v>805</v>
      </c>
      <c r="D1383" t="s">
        <v>1152</v>
      </c>
      <c r="E1383" t="s">
        <v>804</v>
      </c>
      <c r="F1383" t="s">
        <v>733</v>
      </c>
      <c r="G1383" t="s">
        <v>370</v>
      </c>
      <c r="I1383">
        <f>_xlfn.XLOOKUP($F1383,設計座標!$E$13:$E$2301,設計座標!$G$13:$G$2301,"n/a",0,1)</f>
        <v>368.20795458282907</v>
      </c>
      <c r="J1383">
        <f>_xlfn.XLOOKUP($F1383,設計座標!$E$13:$E$2301,設計座標!$H$13:$H$2301,"n/a",0,1)</f>
        <v>-15000</v>
      </c>
      <c r="K1383">
        <f>_xlfn.XLOOKUP($F1383,設計座標!$E$13:$E$2301,設計座標!$I$13:$I$2301,"n/a",0,1)</f>
        <v>-103745.89711691999</v>
      </c>
      <c r="L1383">
        <f>_xlfn.XLOOKUP($F1383,設計座標!$E$13:$E$2301,設計座標!$J$13:$J$2301,"n/a",0,1)</f>
        <v>-20</v>
      </c>
      <c r="M1383" s="2">
        <f t="shared" si="1066"/>
        <v>-14985.619248915838</v>
      </c>
      <c r="N1383" s="2">
        <f t="shared" si="1067"/>
        <v>-103745.89711691999</v>
      </c>
      <c r="O1383" s="23">
        <f t="shared" si="1068"/>
        <v>-21.779778921593369</v>
      </c>
      <c r="P1383" s="1">
        <f t="shared" si="1085"/>
        <v>-19.899099534481628</v>
      </c>
      <c r="Q1383" s="1">
        <f>(Q$1384-Q$1382)/($N$1384-$N$1382)*($N1383-$N$1382)+Q$1382</f>
        <v>14.380751084162245</v>
      </c>
      <c r="R1383">
        <f t="shared" si="1058"/>
        <v>0</v>
      </c>
      <c r="S1383" s="23">
        <f>(S$1384-S$1382)/($N$1384-$N$1382)*($N1383-$N$1382)+S$1382</f>
        <v>-1.7797789215933704</v>
      </c>
      <c r="T1383">
        <f>$S1383+測地線補正!$Q$26*(lattice!$N1383/1000)^3+測地線補正!$P$26*(lattice!$N1383/1000)^2+測地線補正!$O$26*(lattice!$N1383/1000)+測地線補正!$N$26</f>
        <v>0.10090046551837228</v>
      </c>
      <c r="U1383">
        <f>-ATAN(($P$1383-$P$1382)/ABS($N$1383-$N$1382))</f>
        <v>2.6020191688290121E-3</v>
      </c>
      <c r="V1383">
        <v>0</v>
      </c>
      <c r="W1383">
        <f>ATAN(($M$1383-$M$1382)/ABS($N$1383-$N$1382))</f>
        <v>2.1909080188590256E-4</v>
      </c>
      <c r="X1383">
        <f>$Z$1383-($Y$1383+$Y$1381)/2</f>
        <v>143.56682291484194</v>
      </c>
      <c r="Y1383">
        <f>_xlfn.XLOOKUP($F1383,設計座標!$E$13:$E$2301,設計座標!$L$13:$L$2301," ",0,1)</f>
        <v>100</v>
      </c>
      <c r="Z1383">
        <f>SQRT(($M$1383-$M$1381)^2+($N$1383-$N$1381)^2)</f>
        <v>193.56682291484194</v>
      </c>
      <c r="AA1383">
        <f>_xlfn.XLOOKUP($G1383,magnet_list!$A$2:$A$592,magnet_list!$AJ$2:$AJ$592,"n/a",0,1)</f>
        <v>0.115</v>
      </c>
      <c r="AB1383">
        <f>_xlfn.XLOOKUP($G1383,magnet_list!$A$2:$A$592,magnet_list!$L$2:$L$592,"n/a",0,1)</f>
        <v>23</v>
      </c>
    </row>
    <row r="1384" spans="1:28">
      <c r="A1384" t="s">
        <v>797</v>
      </c>
      <c r="B1384">
        <v>2</v>
      </c>
      <c r="C1384" t="s">
        <v>805</v>
      </c>
      <c r="D1384" t="s">
        <v>806</v>
      </c>
      <c r="F1384" t="s">
        <v>371</v>
      </c>
      <c r="G1384" t="s">
        <v>2679</v>
      </c>
      <c r="I1384">
        <f>_xlfn.XLOOKUP($F1384,設計座標!$E$13:$E$2301,設計座標!$G$13:$G$2301,"n/a",0,1)</f>
        <v>368.41034101229906</v>
      </c>
      <c r="J1384">
        <f>_xlfn.XLOOKUP($F1384,設計座標!$E$13:$E$2301,設計座標!$H$13:$H$2301,"n/a",0,1)</f>
        <v>-15000</v>
      </c>
      <c r="K1384">
        <f>_xlfn.XLOOKUP($F1384,設計座標!$E$13:$E$2301,設計座標!$I$13:$I$2301,"n/a",0,1)</f>
        <v>-103948.28354639</v>
      </c>
      <c r="L1384">
        <f>_xlfn.XLOOKUP($F1384,設計座標!$E$13:$E$2301,設計座標!$J$13:$J$2301,"n/a",0,1)</f>
        <v>-70</v>
      </c>
      <c r="M1384" s="2">
        <f>_xlfn.XLOOKUP($F1384,survey_data!$A$2:$A$833,survey_data!$B$2:$B$833,"n/a",0,1)</f>
        <v>-14985.574907910001</v>
      </c>
      <c r="N1384" s="2">
        <f>_xlfn.XLOOKUP($F1384,survey_data!$A$2:$A$833,survey_data!$C$2:$C$833,"n/a",0,1)</f>
        <v>-103948.28354639</v>
      </c>
      <c r="O1384" s="23">
        <f>_xlfn.XLOOKUP($F1384,survey_data!$A$2:$A$833,survey_data!$D$2:$D$833,"n/a",0,1)</f>
        <v>-72.310098300000007</v>
      </c>
      <c r="P1384" s="1">
        <f t="shared" si="1085"/>
        <v>-70.425719568245967</v>
      </c>
      <c r="Q1384" s="1">
        <f t="shared" si="1059"/>
        <v>14.425092089999453</v>
      </c>
      <c r="R1384">
        <f t="shared" si="1058"/>
        <v>0</v>
      </c>
      <c r="S1384" s="23">
        <f t="shared" si="1060"/>
        <v>-2.310098300000007</v>
      </c>
      <c r="T1384">
        <f>$S1384+測地線補正!$Q$26*(lattice!$N1384/1000)^3+測地線補正!$P$26*(lattice!$N1384/1000)^2+測地線補正!$O$26*(lattice!$N1384/1000)+測地線補正!$N$26</f>
        <v>-0.42571956824597312</v>
      </c>
      <c r="U1384">
        <f>-ATAN(($P$1386-$P$1384)/ABS($N$1386-$N$1384))</f>
        <v>1.6983452189804437E-4</v>
      </c>
      <c r="V1384">
        <v>0</v>
      </c>
      <c r="W1384">
        <f>ATAN(($M$1386-$M$1384)/ABS($N$1386-$N$1384))</f>
        <v>6.2595840362136086E-5</v>
      </c>
      <c r="X1384">
        <f>$Z$1385-($Y$1385+Y1382)/2</f>
        <v>142.39693399666012</v>
      </c>
      <c r="Y1384">
        <f>_xlfn.XLOOKUP($F1384,設計座標!$E$13:$E$2301,設計座標!$L$13:$L$2301," ",0,1)</f>
        <v>100</v>
      </c>
      <c r="Z1384">
        <f>SQRT(($M$1385-$M$1383)^2+($N$1385-$N$1383)^2)</f>
        <v>242.39693399666012</v>
      </c>
      <c r="AA1384">
        <f>_xlfn.XLOOKUP($G1384,magnet_list!$A$2:$A$592,magnet_list!$AJ$2:$AJ$592,"n/a",0,1)</f>
        <v>0.1415535</v>
      </c>
      <c r="AB1384">
        <f>_xlfn.XLOOKUP($G1384,magnet_list!$A$2:$A$592,magnet_list!$L$2:$L$592,"n/a",0,1)</f>
        <v>44</v>
      </c>
    </row>
    <row r="1385" spans="1:28">
      <c r="A1385" t="s">
        <v>797</v>
      </c>
      <c r="B1385">
        <v>2</v>
      </c>
      <c r="C1385" t="s">
        <v>805</v>
      </c>
      <c r="D1385" t="s">
        <v>1152</v>
      </c>
      <c r="E1385" t="s">
        <v>804</v>
      </c>
      <c r="F1385" t="s">
        <v>735</v>
      </c>
      <c r="G1385" t="s">
        <v>2679</v>
      </c>
      <c r="I1385">
        <f>_xlfn.XLOOKUP($F1385,設計座標!$E$13:$E$2301,設計座標!$G$13:$G$2301,"n/a",0,1)</f>
        <v>368.45035151229905</v>
      </c>
      <c r="J1385">
        <f>_xlfn.XLOOKUP($F1385,設計座標!$E$13:$E$2301,設計座標!$H$13:$H$2301,"n/a",0,1)</f>
        <v>-15000</v>
      </c>
      <c r="K1385">
        <f>_xlfn.XLOOKUP($F1385,設計座標!$E$13:$E$2301,設計座標!$I$13:$I$2301,"n/a",0,1)</f>
        <v>-103988.29404638999</v>
      </c>
      <c r="L1385">
        <f>_xlfn.XLOOKUP($F1385,設計座標!$E$13:$E$2301,設計座標!$J$13:$J$2301,"n/a",0,1)</f>
        <v>-70</v>
      </c>
      <c r="M1385" s="2">
        <f t="shared" si="1066"/>
        <v>-14985.572403419126</v>
      </c>
      <c r="N1385" s="2">
        <f t="shared" si="1067"/>
        <v>-103988.29404638999</v>
      </c>
      <c r="O1385" s="23">
        <f t="shared" si="1068"/>
        <v>-72.317623485685374</v>
      </c>
      <c r="P1385" s="1">
        <f t="shared" si="1085"/>
        <v>-70.432514546110184</v>
      </c>
      <c r="Q1385" s="1">
        <f>(Q$1386-Q$1384)/($N$1386-$N$1384)*($N1385-$N$1384)+Q$1384</f>
        <v>14.427596580873532</v>
      </c>
      <c r="R1385">
        <f t="shared" si="1058"/>
        <v>0</v>
      </c>
      <c r="S1385" s="23">
        <f>(S$1386-S$1384)/($N$1386-$N$1384)*($N1385-$N$1384)+S$1384</f>
        <v>-2.3176234856853801</v>
      </c>
      <c r="T1385">
        <f>$S1385+測地線補正!$Q$26*(lattice!$N1385/1000)^3+測地線補正!$P$26*(lattice!$N1385/1000)^2+測地線補正!$O$26*(lattice!$N1385/1000)+測地線補正!$N$26</f>
        <v>-0.43251454611017892</v>
      </c>
      <c r="U1385">
        <f t="shared" ref="U1385:U1386" si="1093">-ATAN(($P$1386-$P$1384)/ABS($N$1386-$N$1384))</f>
        <v>1.6983452189804437E-4</v>
      </c>
      <c r="V1385">
        <v>0</v>
      </c>
      <c r="W1385">
        <f t="shared" ref="W1385:W1386" si="1094">ATAN(($M$1386-$M$1384)/ABS($N$1386-$N$1384))</f>
        <v>6.2595840362136086E-5</v>
      </c>
      <c r="X1385">
        <f>$Z$1385-($Y$1385+Y1383)/2</f>
        <v>142.39693399666012</v>
      </c>
      <c r="Y1385">
        <f>_xlfn.XLOOKUP($F1385,設計座標!$E$13:$E$2301,設計座標!$L$13:$L$2301," ",0,1)</f>
        <v>100</v>
      </c>
      <c r="Z1385">
        <f>SQRT(($M$1385-$M$1383)^2+($N$1385-$N$1383)^2)</f>
        <v>242.39693399666012</v>
      </c>
      <c r="AA1385">
        <f>_xlfn.XLOOKUP($G1385,magnet_list!$A$2:$A$592,magnet_list!$AJ$2:$AJ$592,"n/a",0,1)</f>
        <v>0.1415535</v>
      </c>
      <c r="AB1385">
        <f>_xlfn.XLOOKUP($G1385,magnet_list!$A$2:$A$592,magnet_list!$L$2:$L$592,"n/a",0,1)</f>
        <v>44</v>
      </c>
    </row>
    <row r="1386" spans="1:28">
      <c r="A1386" t="s">
        <v>797</v>
      </c>
      <c r="B1386">
        <v>2</v>
      </c>
      <c r="C1386" t="s">
        <v>805</v>
      </c>
      <c r="D1386" t="s">
        <v>806</v>
      </c>
      <c r="F1386" t="s">
        <v>372</v>
      </c>
      <c r="G1386" t="s">
        <v>2679</v>
      </c>
      <c r="I1386">
        <f>_xlfn.XLOOKUP($F1386,設計座標!$E$13:$E$2301,設計座標!$G$13:$G$2301,"n/a",0,1)</f>
        <v>368.49037524403906</v>
      </c>
      <c r="J1386">
        <f>_xlfn.XLOOKUP($F1386,設計座標!$E$13:$E$2301,設計座標!$H$13:$H$2301,"n/a",0,1)</f>
        <v>-15000</v>
      </c>
      <c r="K1386">
        <f>_xlfn.XLOOKUP($F1386,設計座標!$E$13:$E$2301,設計座標!$I$13:$I$2301,"n/a",0,1)</f>
        <v>-104028.31777813</v>
      </c>
      <c r="L1386">
        <f>_xlfn.XLOOKUP($F1386,設計座標!$E$13:$E$2301,設計座標!$J$13:$J$2301,"n/a",0,1)</f>
        <v>-70</v>
      </c>
      <c r="M1386" s="2">
        <f>_xlfn.XLOOKUP($F1386,survey_data!$A$2:$A$833,survey_data!$B$2:$B$833,"n/a",0,1)</f>
        <v>-14985.569898100001</v>
      </c>
      <c r="N1386" s="2">
        <f>_xlfn.XLOOKUP($F1386,survey_data!$A$2:$A$833,survey_data!$C$2:$C$833,"n/a",0,1)</f>
        <v>-104028.31777813</v>
      </c>
      <c r="O1386" s="23">
        <f>_xlfn.XLOOKUP($F1386,survey_data!$A$2:$A$833,survey_data!$D$2:$D$833,"n/a",0,1)</f>
        <v>-72.325151160000004</v>
      </c>
      <c r="P1386" s="1">
        <f t="shared" si="1085"/>
        <v>-70.439312143859695</v>
      </c>
      <c r="Q1386" s="1">
        <f t="shared" si="1059"/>
        <v>14.430101899999499</v>
      </c>
      <c r="R1386">
        <f t="shared" si="1058"/>
        <v>0</v>
      </c>
      <c r="S1386" s="23">
        <f t="shared" si="1060"/>
        <v>-2.3251511600000043</v>
      </c>
      <c r="T1386">
        <f>$S1386+測地線補正!$Q$26*(lattice!$N1386/1000)^3+測地線補正!$P$26*(lattice!$N1386/1000)^2+測地線補正!$O$26*(lattice!$N1386/1000)+測地線補正!$N$26</f>
        <v>-0.43931214385969874</v>
      </c>
      <c r="U1386">
        <f t="shared" si="1093"/>
        <v>1.6983452189804437E-4</v>
      </c>
      <c r="V1386">
        <v>0</v>
      </c>
      <c r="W1386">
        <f t="shared" si="1094"/>
        <v>6.2595840362136086E-5</v>
      </c>
      <c r="X1386">
        <f>$Z$1385-($Y$1385+Y1384)/2</f>
        <v>142.39693399666012</v>
      </c>
      <c r="Y1386">
        <f>_xlfn.XLOOKUP($F1386,設計座標!$E$13:$E$2301,設計座標!$L$13:$L$2301," ",0,1)</f>
        <v>100</v>
      </c>
      <c r="Z1386">
        <f>SQRT(($M$1385-$M$1383)^2+($N$1385-$N$1383)^2)</f>
        <v>242.39693399666012</v>
      </c>
      <c r="AA1386">
        <f>_xlfn.XLOOKUP($G1386,magnet_list!$A$2:$A$592,magnet_list!$AJ$2:$AJ$592,"n/a",0,1)</f>
        <v>0.1415535</v>
      </c>
      <c r="AB1386">
        <f>_xlfn.XLOOKUP($G1386,magnet_list!$A$2:$A$592,magnet_list!$L$2:$L$592,"n/a",0,1)</f>
        <v>44</v>
      </c>
    </row>
    <row r="1387" spans="1:28">
      <c r="A1387" t="s">
        <v>797</v>
      </c>
      <c r="B1387">
        <v>2</v>
      </c>
      <c r="C1387" t="s">
        <v>805</v>
      </c>
      <c r="D1387" t="s">
        <v>1152</v>
      </c>
      <c r="E1387" t="s">
        <v>804</v>
      </c>
      <c r="F1387" t="s">
        <v>734</v>
      </c>
      <c r="G1387" t="s">
        <v>373</v>
      </c>
      <c r="I1387">
        <f>_xlfn.XLOOKUP($F1387,設計座標!$E$13:$E$2301,設計座標!$G$13:$G$2301,"n/a",0,1)</f>
        <v>368.69548313014906</v>
      </c>
      <c r="J1387">
        <f>_xlfn.XLOOKUP($F1387,設計座標!$E$13:$E$2301,設計座標!$H$13:$H$2301,"n/a",0,1)</f>
        <v>-15000</v>
      </c>
      <c r="K1387">
        <f>_xlfn.XLOOKUP($F1387,設計座標!$E$13:$E$2301,設計座標!$I$13:$I$2301,"n/a",0,1)</f>
        <v>-104233.42566424</v>
      </c>
      <c r="L1387">
        <f>_xlfn.XLOOKUP($F1387,設計座標!$E$13:$E$2301,設計座標!$J$13:$J$2301,"n/a",0,1)</f>
        <v>-20</v>
      </c>
      <c r="M1387" s="2">
        <f t="shared" si="1066"/>
        <v>-14985.523645179717</v>
      </c>
      <c r="N1387" s="2">
        <f t="shared" si="1067"/>
        <v>-104233.42566424</v>
      </c>
      <c r="O1387" s="23">
        <f t="shared" si="1068"/>
        <v>-21.794504650202558</v>
      </c>
      <c r="P1387" s="1">
        <f t="shared" si="1085"/>
        <v>-19.904930090865079</v>
      </c>
      <c r="Q1387" s="1">
        <f>(Q$1388-Q$1386)/($N$1388-$N$1386)*($N1387-$N$1386)+Q$1386</f>
        <v>14.476354820283323</v>
      </c>
      <c r="R1387">
        <f t="shared" si="1058"/>
        <v>0</v>
      </c>
      <c r="S1387" s="23">
        <f>(S$1388-S$1386)/($N$1388-$N$1386)*($N1387-$N$1386)+S$1386</f>
        <v>-1.7945046502025579</v>
      </c>
      <c r="T1387">
        <f>$S1387+測地線補正!$Q$26*(lattice!$N1387/1000)^3+測地線補正!$P$26*(lattice!$N1387/1000)^2+測地線補正!$O$26*(lattice!$N1387/1000)+測地線補正!$N$26</f>
        <v>9.5069909134921415E-2</v>
      </c>
      <c r="U1387">
        <f>-ATAN(($P$1388-$P$1387)/ABS($N$1388-$N$1387))</f>
        <v>-2.6053373491584731E-3</v>
      </c>
      <c r="V1387">
        <v>0</v>
      </c>
      <c r="W1387">
        <f>ATAN(($M$1388-$M$1387)/ABS($N$1388-$N$1387))</f>
        <v>2.2550532005919584E-4</v>
      </c>
      <c r="X1387">
        <f>$Z$1387-($Y$1387+$Y$1385)/2</f>
        <v>145.13162269917493</v>
      </c>
      <c r="Y1387">
        <f>_xlfn.XLOOKUP($F1387,設計座標!$E$13:$E$2301,設計座標!$L$13:$L$2301," ",0,1)</f>
        <v>100</v>
      </c>
      <c r="Z1387">
        <f>SQRT(($M$1387-$M$1385)^2+($N$1387-$N$1385)^2)</f>
        <v>245.13162269917493</v>
      </c>
      <c r="AA1387">
        <f>_xlfn.XLOOKUP($G1387,magnet_list!$A$2:$A$592,magnet_list!$AJ$2:$AJ$592,"n/a",0,1)</f>
        <v>0.115</v>
      </c>
      <c r="AB1387">
        <f>_xlfn.XLOOKUP($G1387,magnet_list!$A$2:$A$592,magnet_list!$L$2:$L$592,"n/a",0,1)</f>
        <v>23</v>
      </c>
    </row>
    <row r="1388" spans="1:28">
      <c r="A1388" t="s">
        <v>797</v>
      </c>
      <c r="B1388">
        <v>2</v>
      </c>
      <c r="C1388" t="s">
        <v>805</v>
      </c>
      <c r="D1388" t="s">
        <v>806</v>
      </c>
      <c r="F1388" t="s">
        <v>373</v>
      </c>
      <c r="G1388" t="s">
        <v>373</v>
      </c>
      <c r="I1388">
        <f>_xlfn.XLOOKUP($F1388,設計座標!$E$13:$E$2301,設計座標!$G$13:$G$2301,"n/a",0,1)</f>
        <v>368.72548313014903</v>
      </c>
      <c r="J1388">
        <f>_xlfn.XLOOKUP($F1388,設計座標!$E$13:$E$2301,設計座標!$H$13:$H$2301,"n/a",0,1)</f>
        <v>-15000</v>
      </c>
      <c r="K1388">
        <f>_xlfn.XLOOKUP($F1388,設計座標!$E$13:$E$2301,設計座標!$I$13:$I$2301,"n/a",0,1)</f>
        <v>-104263.42566424</v>
      </c>
      <c r="L1388">
        <f>_xlfn.XLOOKUP($F1388,設計座標!$E$13:$E$2301,設計座標!$J$13:$J$2301,"n/a",0,1)</f>
        <v>-20</v>
      </c>
      <c r="M1388" s="2">
        <f>_xlfn.XLOOKUP($F1388,survey_data!$A$2:$A$833,survey_data!$B$2:$B$833,"n/a",0,1)</f>
        <v>-14985.516880020001</v>
      </c>
      <c r="N1388" s="2">
        <f>_xlfn.XLOOKUP($F1388,survey_data!$A$2:$A$833,survey_data!$C$2:$C$833,"n/a",0,1)</f>
        <v>-104263.42566424</v>
      </c>
      <c r="O1388" s="23">
        <f>_xlfn.XLOOKUP($F1388,survey_data!$A$2:$A$833,survey_data!$D$2:$D$833,"n/a",0,1)</f>
        <v>-21.716889909999999</v>
      </c>
      <c r="P1388" s="1">
        <f t="shared" si="1085"/>
        <v>-19.826769793545207</v>
      </c>
      <c r="Q1388" s="1">
        <f t="shared" si="1059"/>
        <v>14.483119979999174</v>
      </c>
      <c r="R1388">
        <f t="shared" si="1058"/>
        <v>0</v>
      </c>
      <c r="S1388" s="23">
        <f t="shared" si="1060"/>
        <v>-1.716889909999999</v>
      </c>
      <c r="T1388">
        <f>$S1388+測地線補正!$Q$26*(lattice!$N1388/1000)^3+測地線補正!$P$26*(lattice!$N1388/1000)^2+測地線補正!$O$26*(lattice!$N1388/1000)+測地線補正!$N$26</f>
        <v>0.17323020645479192</v>
      </c>
      <c r="U1388">
        <f>-ATAN(($P$1388-$P$1387)/ABS($N$1388-$N$1387))</f>
        <v>-2.6053373491584731E-3</v>
      </c>
      <c r="V1388">
        <v>0</v>
      </c>
      <c r="W1388">
        <f>ATAN(($M$1388-$M$1387)/ABS($N$1388-$N$1387))</f>
        <v>2.2550532005919584E-4</v>
      </c>
      <c r="X1388">
        <f>$Z$1387-($Y$1387+$Y$1385)/2</f>
        <v>145.13162269917493</v>
      </c>
      <c r="Y1388">
        <f>_xlfn.XLOOKUP($F1388,設計座標!$E$13:$E$2301,設計座標!$L$13:$L$2301," ",0,1)</f>
        <v>100</v>
      </c>
      <c r="Z1388">
        <f>SQRT(($M$1387-$M$1385)^2+($N$1387-$N$1385)^2)</f>
        <v>245.13162269917493</v>
      </c>
      <c r="AA1388">
        <f>_xlfn.XLOOKUP($G1388,magnet_list!$A$2:$A$592,magnet_list!$AJ$2:$AJ$592,"n/a",0,1)</f>
        <v>0.115</v>
      </c>
      <c r="AB1388">
        <f>_xlfn.XLOOKUP($G1388,magnet_list!$A$2:$A$592,magnet_list!$L$2:$L$592,"n/a",0,1)</f>
        <v>23</v>
      </c>
    </row>
    <row r="1389" spans="1:28">
      <c r="A1389" t="s">
        <v>797</v>
      </c>
      <c r="B1389">
        <v>2</v>
      </c>
      <c r="C1389" t="s">
        <v>1152</v>
      </c>
      <c r="D1389" t="s">
        <v>1152</v>
      </c>
      <c r="E1389" t="s">
        <v>804</v>
      </c>
      <c r="F1389" t="s">
        <v>2114</v>
      </c>
      <c r="G1389" t="s">
        <v>2114</v>
      </c>
      <c r="I1389">
        <f>_xlfn.XLOOKUP($F1389,設計座標!$E$13:$E$2301,設計座標!$G$13:$G$2301,"n/a",0,1)</f>
        <v>368.88280756136919</v>
      </c>
      <c r="J1389">
        <f>_xlfn.XLOOKUP($F1389,設計座標!$E$13:$E$2301,設計座標!$H$13:$H$2301,"n/a",0,1)</f>
        <v>-15000</v>
      </c>
      <c r="K1389">
        <f>_xlfn.XLOOKUP($F1389,設計座標!$E$13:$E$2301,設計座標!$I$13:$I$2301,"n/a",0,1)</f>
        <v>-104420.75009546004</v>
      </c>
      <c r="L1389">
        <f>_xlfn.XLOOKUP($F1389,設計座標!$E$13:$E$2301,設計座標!$J$13:$J$2301,"n/a",0,1)</f>
        <v>-270</v>
      </c>
      <c r="M1389" s="2">
        <f t="shared" si="1066"/>
        <v>-14985.46895069703</v>
      </c>
      <c r="N1389" s="2">
        <f t="shared" si="1067"/>
        <v>-104420.75009546004</v>
      </c>
      <c r="O1389" s="23">
        <f t="shared" si="1068"/>
        <v>-271.72165873728744</v>
      </c>
      <c r="P1389" s="1">
        <f t="shared" si="1085"/>
        <v>-269.82868106420568</v>
      </c>
      <c r="Q1389" s="1">
        <f>(Q$1396-Q$1388)/($N$1396-$N$1388)*($N1389-$N$1388)+Q$1388</f>
        <v>14.531049302970379</v>
      </c>
      <c r="R1389">
        <f t="shared" si="1058"/>
        <v>0</v>
      </c>
      <c r="S1389" s="23">
        <f t="shared" ref="S1389:S1395" si="1095">(S$1396-S$1388)/($N$1396-$N$1388)*($N1389-$N$1388)+S$1388</f>
        <v>-1.7216587372874301</v>
      </c>
      <c r="T1389">
        <f>$S1389+測地線補正!$Q$26*(lattice!$N1389/1000)^3+測地線補正!$P$26*(lattice!$N1389/1000)^2+測地線補正!$O$26*(lattice!$N1389/1000)+測地線補正!$N$26</f>
        <v>0.171318935794331</v>
      </c>
      <c r="U1389">
        <v>0</v>
      </c>
      <c r="V1389">
        <v>0</v>
      </c>
      <c r="W1389">
        <v>0</v>
      </c>
      <c r="X1389">
        <f>$Z$1389-($Y$1389+$Y$1387)/2</f>
        <v>137.3244392048141</v>
      </c>
      <c r="Y1389">
        <f>_xlfn.XLOOKUP($F1389,設計座標!$E$13:$E$2301,設計座標!$L$13:$L$2301," ",0,1)</f>
        <v>0</v>
      </c>
      <c r="Z1389">
        <f>SQRT(($M$1389-$M$1387)^2+($N$1389-$N$1387)^2)</f>
        <v>187.3244392048141</v>
      </c>
    </row>
    <row r="1390" spans="1:28">
      <c r="A1390" t="s">
        <v>797</v>
      </c>
      <c r="B1390">
        <v>2</v>
      </c>
      <c r="C1390" t="s">
        <v>804</v>
      </c>
      <c r="D1390" t="s">
        <v>1152</v>
      </c>
      <c r="E1390" t="s">
        <v>804</v>
      </c>
      <c r="F1390" t="s">
        <v>1632</v>
      </c>
      <c r="G1390" t="s">
        <v>2680</v>
      </c>
      <c r="I1390">
        <f>_xlfn.XLOOKUP($F1390,設計座標!$E$13:$E$2301,設計座標!$G$13:$G$2301,"n/a",0,1)</f>
        <v>369.01280716136915</v>
      </c>
      <c r="J1390">
        <f>_xlfn.XLOOKUP($F1390,設計座標!$E$13:$E$2301,設計座標!$H$13:$H$2301,"n/a",0,1)</f>
        <v>-15000</v>
      </c>
      <c r="K1390">
        <f>_xlfn.XLOOKUP($F1390,設計座標!$E$13:$E$2301,設計座標!$I$13:$I$2301,"n/a",0,1)</f>
        <v>-104550.74969546004</v>
      </c>
      <c r="L1390">
        <f>_xlfn.XLOOKUP($F1390,設計座標!$E$13:$E$2301,設計座標!$J$13:$J$2301,"n/a",0,1)</f>
        <v>-270</v>
      </c>
      <c r="M1390" s="2">
        <f t="shared" si="1066"/>
        <v>-14985.429345959443</v>
      </c>
      <c r="N1390" s="2">
        <f t="shared" si="1067"/>
        <v>-104550.74969546004</v>
      </c>
      <c r="O1390" s="23">
        <f t="shared" si="1068"/>
        <v>-271.72559929270545</v>
      </c>
      <c r="P1390" s="1">
        <f t="shared" si="1085"/>
        <v>-269.83026471652278</v>
      </c>
      <c r="Q1390" s="1">
        <f t="shared" ref="Q1390:Q1395" si="1096">(Q$1396-Q$1388)/($N$1396-$N$1388)*($N1390-$N$1388)+Q$1388</f>
        <v>14.57065404055759</v>
      </c>
      <c r="R1390">
        <f t="shared" si="1058"/>
        <v>0</v>
      </c>
      <c r="S1390" s="23">
        <f t="shared" si="1095"/>
        <v>-1.725599292705476</v>
      </c>
      <c r="T1390">
        <f>$S1390+測地線補正!$Q$26*(lattice!$N1390/1000)^3+測地線補正!$P$26*(lattice!$N1390/1000)^2+測地線補正!$O$26*(lattice!$N1390/1000)+測地線補正!$N$26</f>
        <v>0.16973528347723321</v>
      </c>
      <c r="U1390">
        <f>-ATAN(($P$1394-$P$1390)/ABS($N$1394-$N$1390))</f>
        <v>1.2416022282094163E-5</v>
      </c>
      <c r="V1390">
        <v>0</v>
      </c>
      <c r="W1390">
        <f>ATAN(($M$1394-$M$1390)/ABS($N$1394-$N$1390))</f>
        <v>3.0465275556245731E-4</v>
      </c>
      <c r="X1390">
        <f>SQRT(($M$1390-$M$1389)^2+($N$1390-$N$1389)^2)</f>
        <v>129.99960603284183</v>
      </c>
      <c r="Y1390">
        <f>_xlfn.XLOOKUP($F1390,設計座標!$E$13:$E$2301,設計座標!$L$13:$L$2301," ",0,1)</f>
        <v>1889.4492</v>
      </c>
      <c r="Z1390">
        <f>SQRT(($M$1393-$M$1391)^2+($N$1393-$N$1391)^2)</f>
        <v>307.2242142572436</v>
      </c>
    </row>
    <row r="1391" spans="1:28">
      <c r="A1391" t="s">
        <v>797</v>
      </c>
      <c r="B1391">
        <v>2</v>
      </c>
      <c r="C1391" t="s">
        <v>3855</v>
      </c>
      <c r="D1391" t="s">
        <v>1152</v>
      </c>
      <c r="E1391" t="s">
        <v>804</v>
      </c>
      <c r="F1391" t="s">
        <v>2115</v>
      </c>
      <c r="G1391" t="s">
        <v>2115</v>
      </c>
      <c r="I1391">
        <f>_xlfn.XLOOKUP($F1391,設計座標!$E$13:$E$2301,設計座標!$G$13:$G$2301,"n/a",0,1)</f>
        <v>369.65030756136917</v>
      </c>
      <c r="J1391">
        <f>_xlfn.XLOOKUP($F1391,設計座標!$E$13:$E$2301,設計座標!$H$13:$H$2301,"n/a",0,1)</f>
        <v>-15000</v>
      </c>
      <c r="K1391">
        <f>_xlfn.XLOOKUP($F1391,設計座標!$E$13:$E$2301,設計座標!$I$13:$I$2301,"n/a",0,1)</f>
        <v>-105188.25009546004</v>
      </c>
      <c r="L1391">
        <f>_xlfn.XLOOKUP($F1391,設計座標!$E$13:$E$2301,設計座標!$J$13:$J$2301,"n/a",0,1)</f>
        <v>-270</v>
      </c>
      <c r="M1391" s="2">
        <f t="shared" si="1066"/>
        <v>-14985.235129699902</v>
      </c>
      <c r="N1391" s="2">
        <f t="shared" si="1067"/>
        <v>-105188.25009546004</v>
      </c>
      <c r="O1391" s="23">
        <f t="shared" si="1068"/>
        <v>-271.74492324181938</v>
      </c>
      <c r="P1391" s="1">
        <f t="shared" si="1085"/>
        <v>-269.83808752098378</v>
      </c>
      <c r="Q1391" s="1">
        <f t="shared" si="1096"/>
        <v>14.764870300097961</v>
      </c>
      <c r="R1391">
        <f t="shared" si="1058"/>
        <v>0</v>
      </c>
      <c r="S1391" s="23">
        <f t="shared" si="1095"/>
        <v>-1.7449232418193694</v>
      </c>
      <c r="T1391">
        <f>$S1391+測地線補正!$Q$26*(lattice!$N1391/1000)^3+測地線補正!$P$26*(lattice!$N1391/1000)^2+測地線補正!$O$26*(lattice!$N1391/1000)+測地線補正!$N$26</f>
        <v>0.16191247901622163</v>
      </c>
      <c r="U1391">
        <f t="shared" ref="U1391:U1392" si="1097">-ATAN(($P$1394-$P$1390)/ABS($N$1394-$N$1390))</f>
        <v>1.2416022282094163E-5</v>
      </c>
      <c r="V1391">
        <v>0</v>
      </c>
      <c r="W1391">
        <f t="shared" ref="W1391:W1392" si="1098">ATAN(($M$1394-$M$1390)/ABS($N$1394-$N$1390))</f>
        <v>3.0465275556245731E-4</v>
      </c>
      <c r="X1391" t="s">
        <v>3860</v>
      </c>
      <c r="Y1391">
        <f>_xlfn.XLOOKUP($F1391,設計座標!$E$13:$E$2301,設計座標!$L$13:$L$2301," ",0,1)</f>
        <v>800</v>
      </c>
      <c r="Z1391">
        <f>SQRT(($M$1391-$M$1389)^2+($N$1391-$N$1389)^2)</f>
        <v>767.50003561710582</v>
      </c>
      <c r="AA1391">
        <f>_xlfn.XLOOKUP($G1391,magnet_list!$A$2:$A$592,magnet_list!$AJ$2:$AJ$592,"n/a",0,1)</f>
        <v>0.74619000000000002</v>
      </c>
      <c r="AB1391">
        <f>_xlfn.XLOOKUP($G1391,magnet_list!$A$2:$A$592,magnet_list!$L$2:$L$592,"n/a",0,1)</f>
        <v>120</v>
      </c>
    </row>
    <row r="1392" spans="1:28">
      <c r="A1392" t="s">
        <v>797</v>
      </c>
      <c r="B1392">
        <v>2</v>
      </c>
      <c r="C1392" t="s">
        <v>3855</v>
      </c>
      <c r="D1392" t="s">
        <v>1152</v>
      </c>
      <c r="E1392" t="s">
        <v>804</v>
      </c>
      <c r="F1392" t="s">
        <v>2116</v>
      </c>
      <c r="G1392" t="s">
        <v>2116</v>
      </c>
      <c r="I1392">
        <f>_xlfn.XLOOKUP($F1392,設計座標!$E$13:$E$2301,設計座標!$G$13:$G$2301,"n/a",0,1)</f>
        <v>369.65030756136917</v>
      </c>
      <c r="J1392">
        <f>_xlfn.XLOOKUP($F1392,設計座標!$E$13:$E$2301,設計座標!$H$13:$H$2301,"n/a",0,1)</f>
        <v>-15000</v>
      </c>
      <c r="K1392">
        <f>_xlfn.XLOOKUP($F1392,設計座標!$E$13:$E$2301,設計座標!$I$13:$I$2301,"n/a",0,1)</f>
        <v>-105188.25009546004</v>
      </c>
      <c r="L1392">
        <f>_xlfn.XLOOKUP($F1392,設計座標!$E$13:$E$2301,設計座標!$J$13:$J$2301,"n/a",0,1)</f>
        <v>-270</v>
      </c>
      <c r="M1392" s="2">
        <f t="shared" si="1066"/>
        <v>-14985.235129699902</v>
      </c>
      <c r="N1392" s="2">
        <f t="shared" si="1067"/>
        <v>-105188.25009546004</v>
      </c>
      <c r="O1392" s="23">
        <f t="shared" si="1068"/>
        <v>-271.74492324181938</v>
      </c>
      <c r="P1392" s="1">
        <f t="shared" si="1085"/>
        <v>-269.83808752098378</v>
      </c>
      <c r="Q1392" s="1">
        <f t="shared" si="1096"/>
        <v>14.764870300097961</v>
      </c>
      <c r="R1392">
        <f t="shared" si="1058"/>
        <v>0</v>
      </c>
      <c r="S1392" s="23">
        <f t="shared" si="1095"/>
        <v>-1.7449232418193694</v>
      </c>
      <c r="T1392">
        <f>$S1392+測地線補正!$Q$26*(lattice!$N1392/1000)^3+測地線補正!$P$26*(lattice!$N1392/1000)^2+測地線補正!$O$26*(lattice!$N1392/1000)+測地線補正!$N$26</f>
        <v>0.16191247901622163</v>
      </c>
      <c r="U1392">
        <f t="shared" si="1097"/>
        <v>1.2416022282094163E-5</v>
      </c>
      <c r="V1392">
        <v>0</v>
      </c>
      <c r="W1392">
        <f t="shared" si="1098"/>
        <v>3.0465275556245731E-4</v>
      </c>
      <c r="X1392" t="s">
        <v>3860</v>
      </c>
      <c r="Y1392">
        <f>_xlfn.XLOOKUP($F1392,設計座標!$E$13:$E$2301,設計座標!$L$13:$L$2301," ",0,1)</f>
        <v>800</v>
      </c>
      <c r="Z1392">
        <f>SQRT(($M$1391-$M$1389)^2+($N$1391-$N$1389)^2)</f>
        <v>767.50003561710582</v>
      </c>
      <c r="AA1392">
        <f>_xlfn.XLOOKUP($G1392,magnet_list!$A$2:$A$592,magnet_list!$AJ$2:$AJ$592,"n/a",0,1)</f>
        <v>0.74619000000000002</v>
      </c>
      <c r="AB1392">
        <f>_xlfn.XLOOKUP($G1392,magnet_list!$A$2:$A$592,magnet_list!$L$2:$L$592,"n/a",0,1)</f>
        <v>120</v>
      </c>
    </row>
    <row r="1393" spans="1:28">
      <c r="A1393" t="s">
        <v>797</v>
      </c>
      <c r="B1393">
        <v>2</v>
      </c>
      <c r="C1393" t="s">
        <v>804</v>
      </c>
      <c r="D1393" t="s">
        <v>1152</v>
      </c>
      <c r="E1393" t="s">
        <v>804</v>
      </c>
      <c r="F1393" t="s">
        <v>1252</v>
      </c>
      <c r="G1393" t="s">
        <v>2680</v>
      </c>
      <c r="I1393">
        <f>_xlfn.XLOOKUP($F1393,設計座標!$E$13:$E$2301,設計座標!$G$13:$G$2301,"n/a",0,1)</f>
        <v>369.95753176136918</v>
      </c>
      <c r="J1393">
        <f>_xlfn.XLOOKUP($F1393,設計座標!$E$13:$E$2301,設計座標!$H$13:$H$2301,"n/a",0,1)</f>
        <v>-15000</v>
      </c>
      <c r="K1393">
        <f>_xlfn.XLOOKUP($F1393,設計座標!$E$13:$E$2301,設計座標!$I$13:$I$2301,"n/a",0,1)</f>
        <v>-105495.47429546004</v>
      </c>
      <c r="L1393">
        <f>_xlfn.XLOOKUP($F1393,設計座標!$E$13:$E$2301,設計座標!$J$13:$J$2301,"n/a",0,1)</f>
        <v>-270</v>
      </c>
      <c r="M1393" s="2">
        <f t="shared" si="1066"/>
        <v>-14985.141532997901</v>
      </c>
      <c r="N1393" s="2">
        <f t="shared" si="1067"/>
        <v>-105495.47429546004</v>
      </c>
      <c r="O1393" s="23">
        <f t="shared" si="1068"/>
        <v>-271.75423583959554</v>
      </c>
      <c r="P1393" s="1">
        <f t="shared" si="1085"/>
        <v>-269.84189113158692</v>
      </c>
      <c r="Q1393" s="1">
        <f t="shared" si="1096"/>
        <v>14.858467002098903</v>
      </c>
      <c r="R1393">
        <f t="shared" si="1058"/>
        <v>0</v>
      </c>
      <c r="S1393" s="23">
        <f t="shared" si="1095"/>
        <v>-1.7542358395955535</v>
      </c>
      <c r="T1393">
        <f>$S1393+測地線補正!$Q$26*(lattice!$N1393/1000)^3+測地線補正!$P$26*(lattice!$N1393/1000)^2+測地線補正!$O$26*(lattice!$N1393/1000)+測地線補正!$N$26</f>
        <v>0.15810886841305538</v>
      </c>
      <c r="U1393">
        <f t="shared" ref="U1393:U1394" si="1099">-ATAN(($P$1394-$P$1390)/ABS($N$1394-$N$1390))</f>
        <v>1.2416022282094163E-5</v>
      </c>
      <c r="V1393">
        <v>0</v>
      </c>
      <c r="W1393">
        <f t="shared" ref="W1393:W1394" si="1100">ATAN(($M$1394-$M$1390)/ABS($N$1394-$N$1390))</f>
        <v>3.0465275556245731E-4</v>
      </c>
      <c r="X1393" t="s">
        <v>3860</v>
      </c>
      <c r="Y1393">
        <f>_xlfn.XLOOKUP($F1393,設計座標!$E$13:$E$2301,設計座標!$L$13:$L$2301," ",0,1)</f>
        <v>1889.4492</v>
      </c>
      <c r="Z1393">
        <f>SQRT(($M$1393-$M$1391)^2+($N$1393-$N$1391)^2)</f>
        <v>307.2242142572436</v>
      </c>
    </row>
    <row r="1394" spans="1:28">
      <c r="A1394" t="s">
        <v>797</v>
      </c>
      <c r="B1394">
        <v>2</v>
      </c>
      <c r="C1394" t="s">
        <v>804</v>
      </c>
      <c r="D1394" t="s">
        <v>1152</v>
      </c>
      <c r="E1394" t="s">
        <v>804</v>
      </c>
      <c r="F1394" t="s">
        <v>1633</v>
      </c>
      <c r="G1394" t="s">
        <v>2680</v>
      </c>
      <c r="I1394">
        <f>_xlfn.XLOOKUP($F1394,設計座標!$E$13:$E$2301,設計座標!$G$13:$G$2301,"n/a",0,1)</f>
        <v>370.90225636136921</v>
      </c>
      <c r="J1394">
        <f>_xlfn.XLOOKUP($F1394,設計座標!$E$13:$E$2301,設計座標!$H$13:$H$2301,"n/a",0,1)</f>
        <v>-15000</v>
      </c>
      <c r="K1394">
        <f>_xlfn.XLOOKUP($F1394,設計座標!$E$13:$E$2301,設計座標!$I$13:$I$2301,"n/a",0,1)</f>
        <v>-106440.19889546004</v>
      </c>
      <c r="L1394">
        <f>_xlfn.XLOOKUP($F1394,設計座標!$E$13:$E$2301,設計座標!$J$13:$J$2301,"n/a",0,1)</f>
        <v>-270</v>
      </c>
      <c r="M1394" s="2">
        <f t="shared" si="1066"/>
        <v>-14984.853720036359</v>
      </c>
      <c r="N1394" s="2">
        <f t="shared" si="1067"/>
        <v>-106440.19889546004</v>
      </c>
      <c r="O1394" s="23">
        <f t="shared" si="1068"/>
        <v>-271.78287238648562</v>
      </c>
      <c r="P1394" s="1">
        <f t="shared" si="1085"/>
        <v>-269.85372415989207</v>
      </c>
      <c r="Q1394" s="1">
        <f t="shared" si="1096"/>
        <v>15.146279963640215</v>
      </c>
      <c r="R1394">
        <f t="shared" ref="R1394:R1457" si="1101">$N1394-$K1394</f>
        <v>0</v>
      </c>
      <c r="S1394" s="23">
        <f t="shared" si="1095"/>
        <v>-1.7828723864856311</v>
      </c>
      <c r="T1394">
        <f>$S1394+測地線補正!$Q$26*(lattice!$N1394/1000)^3+測地線補正!$P$26*(lattice!$N1394/1000)^2+測地線補正!$O$26*(lattice!$N1394/1000)+測地線補正!$N$26</f>
        <v>0.14627584010794137</v>
      </c>
      <c r="U1394">
        <f t="shared" si="1099"/>
        <v>1.2416022282094163E-5</v>
      </c>
      <c r="V1394">
        <v>0</v>
      </c>
      <c r="W1394">
        <f t="shared" si="1100"/>
        <v>3.0465275556245731E-4</v>
      </c>
      <c r="X1394" t="s">
        <v>3860</v>
      </c>
      <c r="Y1394">
        <f>_xlfn.XLOOKUP($F1394,設計座標!$E$13:$E$2301,設計座標!$L$13:$L$2301," ",0,1)</f>
        <v>1889.4492</v>
      </c>
      <c r="Z1394">
        <f>SQRT(($M$1393-$M$1391)^2+($N$1393-$N$1391)^2)</f>
        <v>307.2242142572436</v>
      </c>
    </row>
    <row r="1395" spans="1:28">
      <c r="A1395" t="s">
        <v>797</v>
      </c>
      <c r="B1395">
        <v>2</v>
      </c>
      <c r="C1395" t="s">
        <v>1152</v>
      </c>
      <c r="D1395" t="s">
        <v>1152</v>
      </c>
      <c r="E1395" t="s">
        <v>804</v>
      </c>
      <c r="F1395" t="s">
        <v>2117</v>
      </c>
      <c r="G1395" t="s">
        <v>2117</v>
      </c>
      <c r="I1395">
        <f>_xlfn.XLOOKUP($F1395,設計座標!$E$13:$E$2301,設計座標!$G$13:$G$2301,"n/a",0,1)</f>
        <v>371.03225686136921</v>
      </c>
      <c r="J1395">
        <f>_xlfn.XLOOKUP($F1395,設計座標!$E$13:$E$2301,設計座標!$H$13:$H$2301,"n/a",0,1)</f>
        <v>-15000</v>
      </c>
      <c r="K1395">
        <f>_xlfn.XLOOKUP($F1395,設計座標!$E$13:$E$2301,設計座標!$I$13:$I$2301,"n/a",0,1)</f>
        <v>-106570.19939546003</v>
      </c>
      <c r="L1395">
        <f>_xlfn.XLOOKUP($F1395,設計座標!$E$13:$E$2301,設計座標!$J$13:$J$2301,"n/a",0,1)</f>
        <v>-270</v>
      </c>
      <c r="M1395" s="2">
        <f t="shared" si="1066"/>
        <v>-14984.814115024585</v>
      </c>
      <c r="N1395" s="2">
        <f t="shared" si="1067"/>
        <v>-106570.19939546003</v>
      </c>
      <c r="O1395" s="23">
        <f t="shared" si="1068"/>
        <v>-271.78681296918455</v>
      </c>
      <c r="P1395" s="1">
        <f t="shared" si="1085"/>
        <v>-269.8553685982709</v>
      </c>
      <c r="Q1395" s="1">
        <f t="shared" si="1096"/>
        <v>15.185884975414915</v>
      </c>
      <c r="R1395">
        <f t="shared" si="1101"/>
        <v>0</v>
      </c>
      <c r="S1395" s="23">
        <f t="shared" si="1095"/>
        <v>-1.7868129691845289</v>
      </c>
      <c r="T1395">
        <f>$S1395+測地線補正!$Q$26*(lattice!$N1395/1000)^3+測地線補正!$P$26*(lattice!$N1395/1000)^2+測地線補正!$O$26*(lattice!$N1395/1000)+測地線補正!$N$26</f>
        <v>0.14463140172910927</v>
      </c>
      <c r="U1395">
        <v>0</v>
      </c>
      <c r="V1395">
        <v>0</v>
      </c>
      <c r="W1395">
        <v>0</v>
      </c>
      <c r="X1395">
        <f>SQRT(($M$1395-$M$1394)^2+($N$1395-$N$1394)^2)</f>
        <v>130.00050603288267</v>
      </c>
      <c r="Y1395">
        <f>_xlfn.XLOOKUP($F1395,設計座標!$E$13:$E$2301,設計座標!$L$13:$L$2301," ",0,1)</f>
        <v>0</v>
      </c>
      <c r="Z1395">
        <f>SQRT(($M$1395-$M$1393)^2+($N$1395-$N$1393)^2)</f>
        <v>1074.7251498743901</v>
      </c>
    </row>
    <row r="1396" spans="1:28">
      <c r="A1396" t="s">
        <v>797</v>
      </c>
      <c r="B1396">
        <v>2</v>
      </c>
      <c r="C1396" t="s">
        <v>805</v>
      </c>
      <c r="D1396" t="s">
        <v>806</v>
      </c>
      <c r="F1396" t="s">
        <v>374</v>
      </c>
      <c r="G1396" t="s">
        <v>374</v>
      </c>
      <c r="I1396">
        <f>_xlfn.XLOOKUP($F1396,設計座標!$E$13:$E$2301,設計座標!$G$13:$G$2301,"n/a",0,1)</f>
        <v>371.19227439669919</v>
      </c>
      <c r="J1396">
        <f>_xlfn.XLOOKUP($F1396,設計座標!$E$13:$E$2301,設計座標!$H$13:$H$2301,"n/a",0,1)</f>
        <v>-15000</v>
      </c>
      <c r="K1396">
        <f>_xlfn.XLOOKUP($F1396,設計座標!$E$13:$E$2301,設計座標!$I$13:$I$2301,"n/a",0,1)</f>
        <v>-106730.21693079</v>
      </c>
      <c r="L1396">
        <f>_xlfn.XLOOKUP($F1396,設計座標!$E$13:$E$2301,設計座標!$J$13:$J$2301,"n/a",0,1)</f>
        <v>-20</v>
      </c>
      <c r="M1396" s="2">
        <f>_xlfn.XLOOKUP($F1396,survey_data!$A$2:$A$833,survey_data!$B$2:$B$833,"n/a",0,1)</f>
        <v>-14984.76536524</v>
      </c>
      <c r="N1396" s="2">
        <f>_xlfn.XLOOKUP($F1396,survey_data!$A$2:$A$833,survey_data!$C$2:$C$833,"n/a",0,1)</f>
        <v>-106730.21693079</v>
      </c>
      <c r="O1396" s="23">
        <f>_xlfn.XLOOKUP($F1396,survey_data!$A$2:$A$833,survey_data!$D$2:$D$833,"n/a",0,1)</f>
        <v>-21.79166343</v>
      </c>
      <c r="P1396" s="1">
        <f t="shared" si="1085"/>
        <v>-19.857398087649393</v>
      </c>
      <c r="Q1396" s="1">
        <f t="shared" ref="Q1396:Q1455" si="1102">$M1396-$J1396</f>
        <v>15.234634759999608</v>
      </c>
      <c r="R1396">
        <f t="shared" si="1101"/>
        <v>0</v>
      </c>
      <c r="S1396" s="23">
        <f t="shared" ref="S1396:S1455" si="1103">$O1396-$L1396</f>
        <v>-1.7916634299999998</v>
      </c>
      <c r="T1396">
        <f>$S1396+測地線補正!$Q$26*(lattice!$N1396/1000)^3+測地線補正!$P$26*(lattice!$N1396/1000)^2+測地線補正!$O$26*(lattice!$N1396/1000)+測地線補正!$N$26</f>
        <v>0.14260191235060815</v>
      </c>
      <c r="U1396">
        <f>-ATAN(($P$1397-$P$1396)/ABS($N$1397-$N$1396))</f>
        <v>8.6648244605772406E-5</v>
      </c>
      <c r="V1396">
        <v>0</v>
      </c>
      <c r="W1396">
        <f>ATAN(($M$1397-$M$1396)/ABS($N$1397-$N$1396))</f>
        <v>-6.4684079856547707E-4</v>
      </c>
      <c r="X1396">
        <f>$Z$1397-($Y$1397+$Y$1395)/2</f>
        <v>140.0175375958226</v>
      </c>
      <c r="Y1396">
        <f>_xlfn.XLOOKUP($F1396,設計座標!$E$13:$E$2301,設計座標!$L$13:$L$2301," ",0,1)</f>
        <v>100</v>
      </c>
      <c r="Z1396">
        <f>SQRT(($M$1397-$M$1395)^2+($N$1397-$N$1395)^2)</f>
        <v>190.0175375958226</v>
      </c>
      <c r="AA1396">
        <f>_xlfn.XLOOKUP($G1396,magnet_list!$A$2:$A$592,magnet_list!$AJ$2:$AJ$592,"n/a",0,1)</f>
        <v>0.115</v>
      </c>
      <c r="AB1396">
        <f>_xlfn.XLOOKUP($G1396,magnet_list!$A$2:$A$592,magnet_list!$L$2:$L$592,"n/a",0,1)</f>
        <v>23</v>
      </c>
    </row>
    <row r="1397" spans="1:28">
      <c r="A1397" t="s">
        <v>797</v>
      </c>
      <c r="B1397">
        <v>2</v>
      </c>
      <c r="C1397" t="s">
        <v>805</v>
      </c>
      <c r="D1397" t="s">
        <v>1152</v>
      </c>
      <c r="E1397" t="s">
        <v>804</v>
      </c>
      <c r="F1397" t="s">
        <v>736</v>
      </c>
      <c r="G1397" t="s">
        <v>374</v>
      </c>
      <c r="I1397">
        <f>_xlfn.XLOOKUP($F1397,設計座標!$E$13:$E$2301,設計座標!$G$13:$G$2301,"n/a",0,1)</f>
        <v>371.22227439669916</v>
      </c>
      <c r="J1397">
        <f>_xlfn.XLOOKUP($F1397,設計座標!$E$13:$E$2301,設計座標!$H$13:$H$2301,"n/a",0,1)</f>
        <v>-15000</v>
      </c>
      <c r="K1397">
        <f>_xlfn.XLOOKUP($F1397,設計座標!$E$13:$E$2301,設計座標!$I$13:$I$2301,"n/a",0,1)</f>
        <v>-106760.21693079</v>
      </c>
      <c r="L1397">
        <f>_xlfn.XLOOKUP($F1397,設計座標!$E$13:$E$2301,設計座標!$J$13:$J$2301,"n/a",0,1)</f>
        <v>-20</v>
      </c>
      <c r="M1397" s="2">
        <f t="shared" si="1066"/>
        <v>-14984.784770466664</v>
      </c>
      <c r="N1397" s="2">
        <f t="shared" si="1067"/>
        <v>-106760.21693079</v>
      </c>
      <c r="O1397" s="23">
        <f t="shared" si="1068"/>
        <v>-21.794791094460294</v>
      </c>
      <c r="P1397" s="1">
        <f t="shared" si="1085"/>
        <v>-19.859997534994072</v>
      </c>
      <c r="Q1397" s="1">
        <f>(Q$1399-Q$1396)/($N$1399-$N$1396)*($N1397-$N$1396)+Q$1396</f>
        <v>15.215229533336625</v>
      </c>
      <c r="R1397">
        <f t="shared" si="1101"/>
        <v>0</v>
      </c>
      <c r="S1397" s="23">
        <f t="shared" ref="S1397:S1398" si="1104">(S$1399-S$1396)/($N$1399-$N$1396)*($N1397-$N$1396)+S$1396</f>
        <v>-1.7947910944602932</v>
      </c>
      <c r="T1397">
        <f>$S1397+測地線補正!$Q$26*(lattice!$N1397/1000)^3+測地線補正!$P$26*(lattice!$N1397/1000)^2+測地線補正!$O$26*(lattice!$N1397/1000)+測地線補正!$N$26</f>
        <v>0.14000246500592772</v>
      </c>
      <c r="U1397">
        <f>-ATAN(($P$1397-$P$1396)/ABS($N$1397-$N$1396))</f>
        <v>8.6648244605772406E-5</v>
      </c>
      <c r="V1397">
        <v>0</v>
      </c>
      <c r="W1397">
        <f t="shared" ref="W1397" si="1105">ATAN(($M$1397-$M$1396)/ABS($N$1397-$N$1396))</f>
        <v>-6.4684079856547707E-4</v>
      </c>
      <c r="X1397">
        <f>$Z$1397-($Y$1397+$Y$1395)/2</f>
        <v>140.0175375958226</v>
      </c>
      <c r="Y1397">
        <f>_xlfn.XLOOKUP($F1397,設計座標!$E$13:$E$2301,設計座標!$L$13:$L$2301," ",0,1)</f>
        <v>100</v>
      </c>
      <c r="Z1397">
        <f>SQRT(($M$1397-$M$1395)^2+($N$1397-$N$1395)^2)</f>
        <v>190.0175375958226</v>
      </c>
      <c r="AA1397">
        <f>_xlfn.XLOOKUP($G1397,magnet_list!$A$2:$A$592,magnet_list!$AJ$2:$AJ$592,"n/a",0,1)</f>
        <v>0.115</v>
      </c>
      <c r="AB1397">
        <f>_xlfn.XLOOKUP($G1397,magnet_list!$A$2:$A$592,magnet_list!$L$2:$L$592,"n/a",0,1)</f>
        <v>23</v>
      </c>
    </row>
    <row r="1398" spans="1:28">
      <c r="A1398" t="s">
        <v>797</v>
      </c>
      <c r="B1398">
        <v>2</v>
      </c>
      <c r="C1398" t="s">
        <v>805</v>
      </c>
      <c r="D1398" t="s">
        <v>1152</v>
      </c>
      <c r="E1398" t="s">
        <v>804</v>
      </c>
      <c r="F1398" t="s">
        <v>737</v>
      </c>
      <c r="G1398" t="s">
        <v>375</v>
      </c>
      <c r="I1398">
        <f>_xlfn.XLOOKUP($F1398,設計座標!$E$13:$E$2301,設計座標!$G$13:$G$2301,"n/a",0,1)</f>
        <v>371.7106347217192</v>
      </c>
      <c r="J1398">
        <f>_xlfn.XLOOKUP($F1398,設計座標!$E$13:$E$2301,設計座標!$H$13:$H$2301,"n/a",0,1)</f>
        <v>-15000</v>
      </c>
      <c r="K1398">
        <f>_xlfn.XLOOKUP($F1398,設計座標!$E$13:$E$2301,設計座標!$I$13:$I$2301,"n/a",0,1)</f>
        <v>-107248.57725581</v>
      </c>
      <c r="L1398">
        <f>_xlfn.XLOOKUP($F1398,設計座標!$E$13:$E$2301,設計座標!$J$13:$J$2301,"n/a",0,1)</f>
        <v>-20</v>
      </c>
      <c r="M1398" s="2">
        <f t="shared" si="1066"/>
        <v>-14985.100661893337</v>
      </c>
      <c r="N1398" s="2">
        <f t="shared" si="1067"/>
        <v>-107248.57725581</v>
      </c>
      <c r="O1398" s="23">
        <f t="shared" si="1068"/>
        <v>-21.845705335539705</v>
      </c>
      <c r="P1398" s="1">
        <f t="shared" si="1085"/>
        <v>-19.9023422554334</v>
      </c>
      <c r="Q1398" s="1">
        <f>(Q$1399-Q$1396)/($N$1399-$N$1396)*($N1398-$N$1396)+Q$1396</f>
        <v>14.899338106662597</v>
      </c>
      <c r="R1398">
        <f t="shared" si="1101"/>
        <v>0</v>
      </c>
      <c r="S1398" s="23">
        <f t="shared" si="1104"/>
        <v>-1.8457053355397057</v>
      </c>
      <c r="T1398">
        <f>$S1398+測地線補正!$Q$26*(lattice!$N1398/1000)^3+測地線補正!$P$26*(lattice!$N1398/1000)^2+測地線補正!$O$26*(lattice!$N1398/1000)+測地線補正!$N$26</f>
        <v>9.7657744566601368E-2</v>
      </c>
      <c r="U1398">
        <f>-ATAN(($P$1399-$P$1398)/ABS($N$1399-$N$1398))</f>
        <v>8.6767607364551276E-5</v>
      </c>
      <c r="V1398">
        <v>0</v>
      </c>
      <c r="W1398">
        <f>ATAN(($M$1399-$M$1398)/ABS($N$1399-$N$1398))</f>
        <v>-6.4684079856547707E-4</v>
      </c>
      <c r="X1398">
        <f>$Z$1398-($Y$1398+$Y$1397)/2</f>
        <v>388.36042718573071</v>
      </c>
      <c r="Y1398">
        <f>_xlfn.XLOOKUP($F1398,設計座標!$E$13:$E$2301,設計座標!$L$13:$L$2301," ",0,1)</f>
        <v>100</v>
      </c>
      <c r="Z1398">
        <f>SQRT(($M$1398-$M$1397)^2+($N$1398-$N$1397)^2)</f>
        <v>488.36042718573071</v>
      </c>
      <c r="AA1398">
        <f>_xlfn.XLOOKUP($G1398,magnet_list!$A$2:$A$592,magnet_list!$AJ$2:$AJ$592,"n/a",0,1)</f>
        <v>0.115</v>
      </c>
      <c r="AB1398">
        <f>_xlfn.XLOOKUP($G1398,magnet_list!$A$2:$A$592,magnet_list!$L$2:$L$592,"n/a",0,1)</f>
        <v>23</v>
      </c>
    </row>
    <row r="1399" spans="1:28">
      <c r="A1399" t="s">
        <v>797</v>
      </c>
      <c r="B1399">
        <v>2</v>
      </c>
      <c r="C1399" t="s">
        <v>805</v>
      </c>
      <c r="D1399" t="s">
        <v>806</v>
      </c>
      <c r="F1399" t="s">
        <v>375</v>
      </c>
      <c r="G1399" t="s">
        <v>375</v>
      </c>
      <c r="I1399">
        <f>_xlfn.XLOOKUP($F1399,設計座標!$E$13:$E$2301,設計座標!$G$13:$G$2301,"n/a",0,1)</f>
        <v>371.74063472171918</v>
      </c>
      <c r="J1399">
        <f>_xlfn.XLOOKUP($F1399,設計座標!$E$13:$E$2301,設計座標!$H$13:$H$2301,"n/a",0,1)</f>
        <v>-15000</v>
      </c>
      <c r="K1399">
        <f>_xlfn.XLOOKUP($F1399,設計座標!$E$13:$E$2301,設計座標!$I$13:$I$2301,"n/a",0,1)</f>
        <v>-107278.57725581</v>
      </c>
      <c r="L1399">
        <f>_xlfn.XLOOKUP($F1399,設計座標!$E$13:$E$2301,設計座標!$J$13:$J$2301,"n/a",0,1)</f>
        <v>-20</v>
      </c>
      <c r="M1399" s="2">
        <f>_xlfn.XLOOKUP($F1399,survey_data!$A$2:$A$833,survey_data!$B$2:$B$833,"n/a",0,1)</f>
        <v>-14985.12006712</v>
      </c>
      <c r="N1399" s="2">
        <f>_xlfn.XLOOKUP($F1399,survey_data!$A$2:$A$833,survey_data!$C$2:$C$833,"n/a",0,1)</f>
        <v>-107278.57725581</v>
      </c>
      <c r="O1399" s="23">
        <f>_xlfn.XLOOKUP($F1399,survey_data!$A$2:$A$833,survey_data!$D$2:$D$833,"n/a",0,1)</f>
        <v>-21.848832999999999</v>
      </c>
      <c r="P1399" s="1">
        <f t="shared" si="1085"/>
        <v>-19.904945283660869</v>
      </c>
      <c r="Q1399" s="1">
        <f t="shared" si="1102"/>
        <v>14.879932879999615</v>
      </c>
      <c r="R1399">
        <f t="shared" si="1101"/>
        <v>0</v>
      </c>
      <c r="S1399" s="23">
        <f t="shared" si="1103"/>
        <v>-1.8488329999999991</v>
      </c>
      <c r="T1399">
        <f>$S1399+測地線補正!$Q$26*(lattice!$N1399/1000)^3+測地線補正!$P$26*(lattice!$N1399/1000)^2+測地線補正!$O$26*(lattice!$N1399/1000)+測地線補正!$N$26</f>
        <v>9.5054716339130207E-2</v>
      </c>
      <c r="U1399">
        <f>-ATAN(($P$1399-$P$1398)/ABS($N$1399-$N$1398))</f>
        <v>8.6767607364551276E-5</v>
      </c>
      <c r="V1399">
        <v>0</v>
      </c>
      <c r="W1399">
        <f>ATAN(($M$1399-$M$1398)/ABS($N$1399-$N$1398))</f>
        <v>-6.4684079856547707E-4</v>
      </c>
      <c r="X1399">
        <f>$Z$1398-($Y$1398+$Y$1397)/2</f>
        <v>388.36042718573071</v>
      </c>
      <c r="Y1399">
        <f>_xlfn.XLOOKUP($F1399,設計座標!$E$13:$E$2301,設計座標!$L$13:$L$2301," ",0,1)</f>
        <v>100</v>
      </c>
      <c r="Z1399">
        <f>SQRT(($M$1398-$M$1397)^2+($N$1398-$N$1397)^2)</f>
        <v>488.36042718573071</v>
      </c>
      <c r="AA1399">
        <f>_xlfn.XLOOKUP($G1399,magnet_list!$A$2:$A$592,magnet_list!$AJ$2:$AJ$592,"n/a",0,1)</f>
        <v>0.115</v>
      </c>
      <c r="AB1399">
        <f>_xlfn.XLOOKUP($G1399,magnet_list!$A$2:$A$592,magnet_list!$L$2:$L$592,"n/a",0,1)</f>
        <v>23</v>
      </c>
    </row>
    <row r="1400" spans="1:28">
      <c r="A1400" t="s">
        <v>797</v>
      </c>
      <c r="B1400">
        <v>2</v>
      </c>
      <c r="C1400" t="s">
        <v>1152</v>
      </c>
      <c r="D1400" t="s">
        <v>1152</v>
      </c>
      <c r="E1400" t="s">
        <v>804</v>
      </c>
      <c r="F1400" t="s">
        <v>2118</v>
      </c>
      <c r="G1400" t="s">
        <v>2118</v>
      </c>
      <c r="I1400">
        <f>_xlfn.XLOOKUP($F1400,設計座標!$E$13:$E$2301,設計座標!$G$13:$G$2301,"n/a",0,1)</f>
        <v>371.97940366136919</v>
      </c>
      <c r="J1400">
        <f>_xlfn.XLOOKUP($F1400,設計座標!$E$13:$E$2301,設計座標!$H$13:$H$2301,"n/a",0,1)</f>
        <v>-15000</v>
      </c>
      <c r="K1400">
        <f>_xlfn.XLOOKUP($F1400,設計座標!$E$13:$E$2301,設計座標!$I$13:$I$2301,"n/a",0,1)</f>
        <v>-107517.34619546004</v>
      </c>
      <c r="L1400">
        <f>_xlfn.XLOOKUP($F1400,設計座標!$E$13:$E$2301,設計座標!$J$13:$J$2301,"n/a",0,1)</f>
        <v>-270</v>
      </c>
      <c r="M1400" s="2">
        <f t="shared" si="1066"/>
        <v>-14985.085394955133</v>
      </c>
      <c r="N1400" s="2">
        <f t="shared" si="1067"/>
        <v>-107517.34619546004</v>
      </c>
      <c r="O1400" s="23">
        <f t="shared" si="1068"/>
        <v>-271.84571298226268</v>
      </c>
      <c r="P1400" s="1">
        <f t="shared" si="1085"/>
        <v>-269.89765708434163</v>
      </c>
      <c r="Q1400" s="1">
        <f>(Q$1407-Q$1399)/($N$1407-$N$1399)*($N1400-$N$1399)+Q$1399</f>
        <v>14.914605044867608</v>
      </c>
      <c r="R1400">
        <f t="shared" si="1101"/>
        <v>0</v>
      </c>
      <c r="S1400" s="23">
        <f t="shared" ref="S1400:S1406" si="1106">(S$1407-S$1399)/($N$1407-$N$1399)*($N1400-$N$1399)+S$1399</f>
        <v>-1.8457129822626723</v>
      </c>
      <c r="T1400">
        <f>$S1400+測地線補正!$Q$26*(lattice!$N1400/1000)^3+測地線補正!$P$26*(lattice!$N1400/1000)^2+測地線補正!$O$26*(lattice!$N1400/1000)+測地線補正!$N$26</f>
        <v>0.1023429156583584</v>
      </c>
      <c r="U1400">
        <v>0</v>
      </c>
      <c r="V1400">
        <v>0</v>
      </c>
      <c r="W1400">
        <v>0</v>
      </c>
      <c r="X1400">
        <f>$Z$1400-($Y$1400+$Y$1398)/2</f>
        <v>218.76894008364098</v>
      </c>
      <c r="Y1400">
        <f>_xlfn.XLOOKUP($F1400,設計座標!$E$13:$E$2301,設計座標!$L$13:$L$2301," ",0,1)</f>
        <v>0</v>
      </c>
      <c r="Z1400">
        <f>SQRT(($M$1400-$M$1398)^2+($N$1400-$N$1398)^2)</f>
        <v>268.76894008364098</v>
      </c>
    </row>
    <row r="1401" spans="1:28">
      <c r="A1401" t="s">
        <v>797</v>
      </c>
      <c r="B1401">
        <v>2</v>
      </c>
      <c r="C1401" t="s">
        <v>804</v>
      </c>
      <c r="D1401" t="s">
        <v>1152</v>
      </c>
      <c r="E1401" t="s">
        <v>804</v>
      </c>
      <c r="F1401" t="s">
        <v>1634</v>
      </c>
      <c r="G1401" t="s">
        <v>2681</v>
      </c>
      <c r="I1401">
        <f>_xlfn.XLOOKUP($F1401,設計座標!$E$13:$E$2301,設計座標!$G$13:$G$2301,"n/a",0,1)</f>
        <v>372.10940326136915</v>
      </c>
      <c r="J1401">
        <f>_xlfn.XLOOKUP($F1401,設計座標!$E$13:$E$2301,設計座標!$H$13:$H$2301,"n/a",0,1)</f>
        <v>-15000</v>
      </c>
      <c r="K1401">
        <f>_xlfn.XLOOKUP($F1401,設計座標!$E$13:$E$2301,設計座標!$I$13:$I$2301,"n/a",0,1)</f>
        <v>-107647.34579546003</v>
      </c>
      <c r="L1401">
        <f>_xlfn.XLOOKUP($F1401,設計座標!$E$13:$E$2301,設計座標!$J$13:$J$2301,"n/a",0,1)</f>
        <v>-270</v>
      </c>
      <c r="M1401" s="2">
        <f t="shared" si="1066"/>
        <v>-14985.06651742621</v>
      </c>
      <c r="N1401" s="2">
        <f t="shared" si="1067"/>
        <v>-107647.34579546003</v>
      </c>
      <c r="O1401" s="23">
        <f t="shared" si="1068"/>
        <v>-271.84401426442088</v>
      </c>
      <c r="P1401" s="1">
        <f t="shared" si="1085"/>
        <v>-269.89369447796747</v>
      </c>
      <c r="Q1401" s="1">
        <f t="shared" ref="Q1401:Q1406" si="1107">(Q$1407-Q$1399)/($N$1407-$N$1399)*($N1401-$N$1399)+Q$1399</f>
        <v>14.933482573789835</v>
      </c>
      <c r="R1401">
        <f t="shared" si="1101"/>
        <v>0</v>
      </c>
      <c r="S1401" s="23">
        <f t="shared" si="1106"/>
        <v>-1.8440142644208968</v>
      </c>
      <c r="T1401">
        <f>$S1401+測地線補正!$Q$26*(lattice!$N1401/1000)^3+測地線補正!$P$26*(lattice!$N1401/1000)^2+測地線補正!$O$26*(lattice!$N1401/1000)+測地線補正!$N$26</f>
        <v>0.10630552203255461</v>
      </c>
      <c r="U1401">
        <f>-ATAN(($P$1405-$P$1401)/ABS($N$1405-$N$1401))</f>
        <v>-3.0250182766392088E-5</v>
      </c>
      <c r="V1401">
        <v>0</v>
      </c>
      <c r="W1401">
        <f>ATAN(($M$1405-$M$1401)/ABS($N$1405-$N$1401))</f>
        <v>1.4521220672618996E-4</v>
      </c>
      <c r="X1401">
        <f>SQRT(($M$1401-$M$1400)^2+($N$1401-$N$1400)^2)</f>
        <v>129.99960137061936</v>
      </c>
      <c r="Y1401">
        <f>_xlfn.XLOOKUP($F1401,設計座標!$E$13:$E$2301,設計座標!$L$13:$L$2301," ",0,1)</f>
        <v>1889.4492</v>
      </c>
      <c r="Z1401">
        <f>SQRT(($M$1404-$M$1402)^2+($N$1404-$N$1402)^2)</f>
        <v>307.22420323915156</v>
      </c>
    </row>
    <row r="1402" spans="1:28">
      <c r="A1402" t="s">
        <v>797</v>
      </c>
      <c r="B1402">
        <v>2</v>
      </c>
      <c r="C1402" t="s">
        <v>3855</v>
      </c>
      <c r="D1402" t="s">
        <v>1152</v>
      </c>
      <c r="E1402" t="s">
        <v>804</v>
      </c>
      <c r="F1402" t="s">
        <v>2119</v>
      </c>
      <c r="G1402" t="s">
        <v>2119</v>
      </c>
      <c r="I1402">
        <f>_xlfn.XLOOKUP($F1402,設計座標!$E$13:$E$2301,設計座標!$G$13:$G$2301,"n/a",0,1)</f>
        <v>372.74690366136917</v>
      </c>
      <c r="J1402">
        <f>_xlfn.XLOOKUP($F1402,設計座標!$E$13:$E$2301,設計座標!$H$13:$H$2301,"n/a",0,1)</f>
        <v>-15000</v>
      </c>
      <c r="K1402">
        <f>_xlfn.XLOOKUP($F1402,設計座標!$E$13:$E$2301,設計座標!$I$13:$I$2301,"n/a",0,1)</f>
        <v>-108284.84619546004</v>
      </c>
      <c r="L1402">
        <f>_xlfn.XLOOKUP($F1402,設計座標!$E$13:$E$2301,設計座標!$J$13:$J$2301,"n/a",0,1)</f>
        <v>-270</v>
      </c>
      <c r="M1402" s="2">
        <f t="shared" si="1066"/>
        <v>-14984.973944585687</v>
      </c>
      <c r="N1402" s="2">
        <f t="shared" si="1067"/>
        <v>-108284.84619546004</v>
      </c>
      <c r="O1402" s="23">
        <f t="shared" si="1068"/>
        <v>-271.83568398260758</v>
      </c>
      <c r="P1402" s="1">
        <f t="shared" si="1085"/>
        <v>-269.87431856561574</v>
      </c>
      <c r="Q1402" s="1">
        <f t="shared" si="1107"/>
        <v>15.026055414313435</v>
      </c>
      <c r="R1402">
        <f t="shared" si="1101"/>
        <v>0</v>
      </c>
      <c r="S1402" s="23">
        <f t="shared" si="1106"/>
        <v>-1.8356839826075746</v>
      </c>
      <c r="T1402">
        <f>$S1402+測地線補正!$Q$26*(lattice!$N1402/1000)^3+測地線補正!$P$26*(lattice!$N1402/1000)^2+測地線補正!$O$26*(lattice!$N1402/1000)+測地線補正!$N$26</f>
        <v>0.12568143438426005</v>
      </c>
      <c r="U1402">
        <f t="shared" ref="U1402:U1403" si="1108">-ATAN(($P$1405-$P$1401)/ABS($N$1405-$N$1401))</f>
        <v>-3.0250182766392088E-5</v>
      </c>
      <c r="V1402">
        <v>0</v>
      </c>
      <c r="W1402">
        <f t="shared" ref="W1402:W1403" si="1109">ATAN(($M$1405-$M$1401)/ABS($N$1405-$N$1401))</f>
        <v>1.4521220672618996E-4</v>
      </c>
      <c r="X1402" t="s">
        <v>3860</v>
      </c>
      <c r="Y1402">
        <f>_xlfn.XLOOKUP($F1402,設計座標!$E$13:$E$2301,設計座標!$L$13:$L$2301," ",0,1)</f>
        <v>800</v>
      </c>
      <c r="Z1402">
        <f>SQRT(($M$1402-$M$1400)^2+($N$1402-$N$1400)^2)</f>
        <v>767.50000809197707</v>
      </c>
      <c r="AA1402">
        <f>_xlfn.XLOOKUP($G1402,magnet_list!$A$2:$A$592,magnet_list!$AJ$2:$AJ$592,"n/a",0,1)</f>
        <v>0.74619000000000002</v>
      </c>
      <c r="AB1402">
        <f>_xlfn.XLOOKUP($G1402,magnet_list!$A$2:$A$592,magnet_list!$L$2:$L$592,"n/a",0,1)</f>
        <v>120</v>
      </c>
    </row>
    <row r="1403" spans="1:28">
      <c r="A1403" t="s">
        <v>797</v>
      </c>
      <c r="B1403">
        <v>2</v>
      </c>
      <c r="C1403" t="s">
        <v>3855</v>
      </c>
      <c r="D1403" t="s">
        <v>1152</v>
      </c>
      <c r="E1403" t="s">
        <v>804</v>
      </c>
      <c r="F1403" t="s">
        <v>2120</v>
      </c>
      <c r="G1403" t="s">
        <v>2120</v>
      </c>
      <c r="I1403">
        <f>_xlfn.XLOOKUP($F1403,設計座標!$E$13:$E$2301,設計座標!$G$13:$G$2301,"n/a",0,1)</f>
        <v>372.74690366136917</v>
      </c>
      <c r="J1403">
        <f>_xlfn.XLOOKUP($F1403,設計座標!$E$13:$E$2301,設計座標!$H$13:$H$2301,"n/a",0,1)</f>
        <v>-15000</v>
      </c>
      <c r="K1403">
        <f>_xlfn.XLOOKUP($F1403,設計座標!$E$13:$E$2301,設計座標!$I$13:$I$2301,"n/a",0,1)</f>
        <v>-108284.84619546004</v>
      </c>
      <c r="L1403">
        <f>_xlfn.XLOOKUP($F1403,設計座標!$E$13:$E$2301,設計座標!$J$13:$J$2301,"n/a",0,1)</f>
        <v>-270</v>
      </c>
      <c r="M1403" s="2">
        <f t="shared" si="1066"/>
        <v>-14984.973944585687</v>
      </c>
      <c r="N1403" s="2">
        <f t="shared" si="1067"/>
        <v>-108284.84619546004</v>
      </c>
      <c r="O1403" s="23">
        <f t="shared" si="1068"/>
        <v>-271.83568398260758</v>
      </c>
      <c r="P1403" s="1">
        <f t="shared" si="1085"/>
        <v>-269.87431856561574</v>
      </c>
      <c r="Q1403" s="1">
        <f t="shared" si="1107"/>
        <v>15.026055414313435</v>
      </c>
      <c r="R1403">
        <f t="shared" si="1101"/>
        <v>0</v>
      </c>
      <c r="S1403" s="23">
        <f t="shared" si="1106"/>
        <v>-1.8356839826075746</v>
      </c>
      <c r="T1403">
        <f>$S1403+測地線補正!$Q$26*(lattice!$N1403/1000)^3+測地線補正!$P$26*(lattice!$N1403/1000)^2+測地線補正!$O$26*(lattice!$N1403/1000)+測地線補正!$N$26</f>
        <v>0.12568143438426005</v>
      </c>
      <c r="U1403">
        <f t="shared" si="1108"/>
        <v>-3.0250182766392088E-5</v>
      </c>
      <c r="V1403">
        <v>0</v>
      </c>
      <c r="W1403">
        <f t="shared" si="1109"/>
        <v>1.4521220672618996E-4</v>
      </c>
      <c r="X1403" t="s">
        <v>3860</v>
      </c>
      <c r="Y1403">
        <f>_xlfn.XLOOKUP($F1403,設計座標!$E$13:$E$2301,設計座標!$L$13:$L$2301," ",0,1)</f>
        <v>800</v>
      </c>
      <c r="Z1403">
        <f>SQRT(($M$1402-$M$1400)^2+($N$1402-$N$1400)^2)</f>
        <v>767.50000809197707</v>
      </c>
      <c r="AA1403">
        <f>_xlfn.XLOOKUP($G1403,magnet_list!$A$2:$A$592,magnet_list!$AJ$2:$AJ$592,"n/a",0,1)</f>
        <v>0.74619000000000002</v>
      </c>
      <c r="AB1403">
        <f>_xlfn.XLOOKUP($G1403,magnet_list!$A$2:$A$592,magnet_list!$L$2:$L$592,"n/a",0,1)</f>
        <v>120</v>
      </c>
    </row>
    <row r="1404" spans="1:28">
      <c r="A1404" t="s">
        <v>797</v>
      </c>
      <c r="B1404">
        <v>2</v>
      </c>
      <c r="C1404" t="s">
        <v>804</v>
      </c>
      <c r="D1404" t="s">
        <v>1152</v>
      </c>
      <c r="E1404" t="s">
        <v>804</v>
      </c>
      <c r="F1404" t="s">
        <v>1306</v>
      </c>
      <c r="G1404" t="s">
        <v>2681</v>
      </c>
      <c r="I1404">
        <f>_xlfn.XLOOKUP($F1404,設計座標!$E$13:$E$2301,設計座標!$G$13:$G$2301,"n/a",0,1)</f>
        <v>373.05412786136918</v>
      </c>
      <c r="J1404">
        <f>_xlfn.XLOOKUP($F1404,設計座標!$E$13:$E$2301,設計座標!$H$13:$H$2301,"n/a",0,1)</f>
        <v>-15000</v>
      </c>
      <c r="K1404">
        <f>_xlfn.XLOOKUP($F1404,設計座標!$E$13:$E$2301,設計座標!$I$13:$I$2301,"n/a",0,1)</f>
        <v>-108592.07039546003</v>
      </c>
      <c r="L1404">
        <f>_xlfn.XLOOKUP($F1404,設計座標!$E$13:$E$2301,設計座標!$J$13:$J$2301,"n/a",0,1)</f>
        <v>-270</v>
      </c>
      <c r="M1404" s="2">
        <f t="shared" si="1066"/>
        <v>-14984.929331881331</v>
      </c>
      <c r="N1404" s="2">
        <f t="shared" si="1067"/>
        <v>-108592.07039546003</v>
      </c>
      <c r="O1404" s="23">
        <f t="shared" si="1068"/>
        <v>-271.8316694531016</v>
      </c>
      <c r="P1404" s="1">
        <f t="shared" si="1085"/>
        <v>-269.86501420447144</v>
      </c>
      <c r="Q1404" s="1">
        <f t="shared" si="1107"/>
        <v>15.07066811866874</v>
      </c>
      <c r="R1404">
        <f t="shared" si="1101"/>
        <v>0</v>
      </c>
      <c r="S1404" s="23">
        <f t="shared" si="1106"/>
        <v>-1.8316694531015971</v>
      </c>
      <c r="T1404">
        <f>$S1404+測地線補正!$Q$26*(lattice!$N1404/1000)^3+測地線補正!$P$26*(lattice!$N1404/1000)^2+測地線補正!$O$26*(lattice!$N1404/1000)+測地線補正!$N$26</f>
        <v>0.13498579552854006</v>
      </c>
      <c r="U1404">
        <f t="shared" ref="U1404:U1405" si="1110">-ATAN(($P$1405-$P$1401)/ABS($N$1405-$N$1401))</f>
        <v>-3.0250182766392088E-5</v>
      </c>
      <c r="V1404">
        <v>0</v>
      </c>
      <c r="W1404">
        <f t="shared" ref="W1404:W1405" si="1111">ATAN(($M$1405-$M$1401)/ABS($N$1405-$N$1401))</f>
        <v>1.4521220672618996E-4</v>
      </c>
      <c r="X1404" t="s">
        <v>3860</v>
      </c>
      <c r="Y1404">
        <f>_xlfn.XLOOKUP($F1404,設計座標!$E$13:$E$2301,設計座標!$L$13:$L$2301," ",0,1)</f>
        <v>1889.4492</v>
      </c>
      <c r="Z1404">
        <f>SQRT(($M$1404-$M$1402)^2+($N$1404-$N$1402)^2)</f>
        <v>307.22420323915156</v>
      </c>
    </row>
    <row r="1405" spans="1:28">
      <c r="A1405" t="s">
        <v>797</v>
      </c>
      <c r="B1405">
        <v>2</v>
      </c>
      <c r="C1405" t="s">
        <v>804</v>
      </c>
      <c r="D1405" t="s">
        <v>1152</v>
      </c>
      <c r="E1405" t="s">
        <v>804</v>
      </c>
      <c r="F1405" t="s">
        <v>1635</v>
      </c>
      <c r="G1405" t="s">
        <v>2681</v>
      </c>
      <c r="I1405">
        <f>_xlfn.XLOOKUP($F1405,設計座標!$E$13:$E$2301,設計座標!$G$13:$G$2301,"n/a",0,1)</f>
        <v>373.99885246136921</v>
      </c>
      <c r="J1405">
        <f>_xlfn.XLOOKUP($F1405,設計座標!$E$13:$E$2301,設計座標!$H$13:$H$2301,"n/a",0,1)</f>
        <v>-15000</v>
      </c>
      <c r="K1405">
        <f>_xlfn.XLOOKUP($F1405,設計座標!$E$13:$E$2301,設計座標!$I$13:$I$2301,"n/a",0,1)</f>
        <v>-109536.79499546003</v>
      </c>
      <c r="L1405">
        <f>_xlfn.XLOOKUP($F1405,設計座標!$E$13:$E$2301,設計座標!$J$13:$J$2301,"n/a",0,1)</f>
        <v>-270</v>
      </c>
      <c r="M1405" s="2">
        <f t="shared" ref="M1405:M1474" si="1112">$J1405+$Q1405</f>
        <v>-14984.792146336453</v>
      </c>
      <c r="N1405" s="2">
        <f t="shared" ref="N1405:N1474" si="1113">$K1405</f>
        <v>-109536.79499546003</v>
      </c>
      <c r="O1405" s="23">
        <f t="shared" ref="O1405:O1474" si="1114">$L1405+$S1405</f>
        <v>-271.81932464178232</v>
      </c>
      <c r="P1405" s="1">
        <f t="shared" si="1085"/>
        <v>-269.83653829432222</v>
      </c>
      <c r="Q1405" s="1">
        <f t="shared" si="1107"/>
        <v>15.207853663547647</v>
      </c>
      <c r="R1405">
        <f t="shared" si="1101"/>
        <v>0</v>
      </c>
      <c r="S1405" s="23">
        <f t="shared" si="1106"/>
        <v>-1.8193246417822977</v>
      </c>
      <c r="T1405">
        <f>$S1405+測地線補正!$Q$26*(lattice!$N1405/1000)^3+測地線補正!$P$26*(lattice!$N1405/1000)^2+測地線補正!$O$26*(lattice!$N1405/1000)+測地線補正!$N$26</f>
        <v>0.16346170567778961</v>
      </c>
      <c r="U1405">
        <f t="shared" si="1110"/>
        <v>-3.0250182766392088E-5</v>
      </c>
      <c r="V1405">
        <v>0</v>
      </c>
      <c r="W1405">
        <f t="shared" si="1111"/>
        <v>1.4521220672618996E-4</v>
      </c>
      <c r="X1405" t="s">
        <v>3860</v>
      </c>
      <c r="Y1405">
        <f>_xlfn.XLOOKUP($F1405,設計座標!$E$13:$E$2301,設計座標!$L$13:$L$2301," ",0,1)</f>
        <v>1889.4492</v>
      </c>
      <c r="Z1405">
        <f>SQRT(($M$1404-$M$1402)^2+($N$1404-$N$1402)^2)</f>
        <v>307.22420323915156</v>
      </c>
    </row>
    <row r="1406" spans="1:28">
      <c r="A1406" t="s">
        <v>797</v>
      </c>
      <c r="B1406">
        <v>2</v>
      </c>
      <c r="C1406" t="s">
        <v>1152</v>
      </c>
      <c r="D1406" t="s">
        <v>1152</v>
      </c>
      <c r="E1406" t="s">
        <v>804</v>
      </c>
      <c r="F1406" t="s">
        <v>2121</v>
      </c>
      <c r="G1406" t="s">
        <v>2121</v>
      </c>
      <c r="I1406">
        <f>_xlfn.XLOOKUP($F1406,設計座標!$E$13:$E$2301,設計座標!$G$13:$G$2301,"n/a",0,1)</f>
        <v>374.1288529613692</v>
      </c>
      <c r="J1406">
        <f>_xlfn.XLOOKUP($F1406,設計座標!$E$13:$E$2301,設計座標!$H$13:$H$2301,"n/a",0,1)</f>
        <v>-15000</v>
      </c>
      <c r="K1406">
        <f>_xlfn.XLOOKUP($F1406,設計座標!$E$13:$E$2301,設計座標!$I$13:$I$2301,"n/a",0,1)</f>
        <v>-109666.79549546003</v>
      </c>
      <c r="L1406">
        <f>_xlfn.XLOOKUP($F1406,設計座標!$E$13:$E$2301,設計座標!$J$13:$J$2301,"n/a",0,1)</f>
        <v>-270</v>
      </c>
      <c r="M1406" s="2">
        <f t="shared" si="1112"/>
        <v>-14984.77326867684</v>
      </c>
      <c r="N1406" s="2">
        <f t="shared" si="1113"/>
        <v>-109666.79549546003</v>
      </c>
      <c r="O1406" s="23">
        <f t="shared" si="1114"/>
        <v>-271.81762591218012</v>
      </c>
      <c r="P1406" s="1">
        <f t="shared" si="1085"/>
        <v>-269.83263577380814</v>
      </c>
      <c r="Q1406" s="1">
        <f t="shared" si="1107"/>
        <v>15.226731323160861</v>
      </c>
      <c r="R1406">
        <f t="shared" si="1101"/>
        <v>0</v>
      </c>
      <c r="S1406" s="23">
        <f t="shared" si="1106"/>
        <v>-1.8176259121801315</v>
      </c>
      <c r="T1406">
        <f>$S1406+測地線補正!$Q$26*(lattice!$N1406/1000)^3+測地線補正!$P$26*(lattice!$N1406/1000)^2+測地線補正!$O$26*(lattice!$N1406/1000)+測地線補正!$N$26</f>
        <v>0.16736422619188951</v>
      </c>
      <c r="U1406">
        <v>0</v>
      </c>
      <c r="V1406">
        <v>0</v>
      </c>
      <c r="W1406">
        <v>0</v>
      </c>
      <c r="X1406">
        <f>SQRT(($M$1406-$M$1405)^2+($N$1406-$N$1405)^2)</f>
        <v>130.00050137062794</v>
      </c>
      <c r="Y1406">
        <f>_xlfn.XLOOKUP($F1406,設計座標!$E$13:$E$2301,設計座標!$L$13:$L$2301," ",0,1)</f>
        <v>0</v>
      </c>
      <c r="Z1406">
        <f>SQRT(($M$1406-$M$1404)^2+($N$1406-$N$1404)^2)</f>
        <v>1074.7251113311372</v>
      </c>
    </row>
    <row r="1407" spans="1:28">
      <c r="A1407" t="s">
        <v>797</v>
      </c>
      <c r="B1407">
        <v>2</v>
      </c>
      <c r="C1407" t="s">
        <v>805</v>
      </c>
      <c r="D1407" t="s">
        <v>806</v>
      </c>
      <c r="F1407" t="s">
        <v>376</v>
      </c>
      <c r="G1407" t="s">
        <v>376</v>
      </c>
      <c r="I1407">
        <f>_xlfn.XLOOKUP($F1407,設計座標!$E$13:$E$2301,設計座標!$G$13:$G$2301,"n/a",0,1)</f>
        <v>374.2849635059992</v>
      </c>
      <c r="J1407">
        <f>_xlfn.XLOOKUP($F1407,設計座標!$E$13:$E$2301,設計座標!$H$13:$H$2301,"n/a",0,1)</f>
        <v>-15000</v>
      </c>
      <c r="K1407">
        <f>_xlfn.XLOOKUP($F1407,設計座標!$E$13:$E$2301,設計座標!$I$13:$I$2301,"n/a",0,1)</f>
        <v>-109822.90604009001</v>
      </c>
      <c r="L1407">
        <f>_xlfn.XLOOKUP($F1407,設計座標!$E$13:$E$2301,設計座標!$J$13:$J$2301,"n/a",0,1)</f>
        <v>-20</v>
      </c>
      <c r="M1407" s="2">
        <f>_xlfn.XLOOKUP($F1407,survey_data!$A$2:$A$833,survey_data!$B$2:$B$833,"n/a",0,1)</f>
        <v>-14984.750599520001</v>
      </c>
      <c r="N1407" s="2">
        <f>_xlfn.XLOOKUP($F1407,survey_data!$A$2:$A$833,survey_data!$C$2:$C$833,"n/a",0,1)</f>
        <v>-109822.90604009001</v>
      </c>
      <c r="O1407" s="23">
        <f>_xlfn.XLOOKUP($F1407,survey_data!$A$2:$A$833,survey_data!$D$2:$D$833,"n/a",0,1)</f>
        <v>-21.815586</v>
      </c>
      <c r="P1407" s="1">
        <f t="shared" si="1085"/>
        <v>-19.827954542667577</v>
      </c>
      <c r="Q1407" s="1">
        <f t="shared" si="1102"/>
        <v>15.249400479999167</v>
      </c>
      <c r="R1407">
        <f t="shared" si="1101"/>
        <v>0</v>
      </c>
      <c r="S1407" s="23">
        <f t="shared" si="1103"/>
        <v>-1.8155859999999997</v>
      </c>
      <c r="T1407">
        <f>$S1407+測地線補正!$Q$26*(lattice!$N1407/1000)^3+測地線補正!$P$26*(lattice!$N1407/1000)^2+測地線補正!$O$26*(lattice!$N1407/1000)+測地線補正!$N$26</f>
        <v>0.17204545733242482</v>
      </c>
      <c r="U1407">
        <f>-ATAN(($P$1408-$P$1407)/ABS($N$1408-$N$1407))</f>
        <v>-8.1955239355193174E-5</v>
      </c>
      <c r="V1407">
        <v>0</v>
      </c>
      <c r="W1407">
        <f>ATAN(($M$1408-$M$1407)/ABS($N$1408-$N$1407))</f>
        <v>1.5129607405837424E-4</v>
      </c>
      <c r="X1407">
        <f>$Z$1408-($Y$1408+$Y$1406)/2</f>
        <v>136.11054661878808</v>
      </c>
      <c r="Y1407">
        <f>_xlfn.XLOOKUP($F1407,設計座標!$E$13:$E$2301,設計座標!$L$13:$L$2301," ",0,1)</f>
        <v>100</v>
      </c>
      <c r="Z1407">
        <f>SQRT(($M$1408-$M$1406)^2+($N$1408-$N$1406)^2)</f>
        <v>186.11054661878808</v>
      </c>
      <c r="AA1407">
        <f>_xlfn.XLOOKUP($G1407,magnet_list!$A$2:$A$592,magnet_list!$AJ$2:$AJ$592,"n/a",0,1)</f>
        <v>0.115</v>
      </c>
      <c r="AB1407">
        <f>_xlfn.XLOOKUP($G1407,magnet_list!$A$2:$A$592,magnet_list!$L$2:$L$592,"n/a",0,1)</f>
        <v>23</v>
      </c>
    </row>
    <row r="1408" spans="1:28">
      <c r="A1408" t="s">
        <v>797</v>
      </c>
      <c r="B1408">
        <v>2</v>
      </c>
      <c r="C1408" t="s">
        <v>805</v>
      </c>
      <c r="D1408" t="s">
        <v>1152</v>
      </c>
      <c r="E1408" t="s">
        <v>804</v>
      </c>
      <c r="F1408" t="s">
        <v>738</v>
      </c>
      <c r="G1408" t="s">
        <v>376</v>
      </c>
      <c r="I1408">
        <f>_xlfn.XLOOKUP($F1408,設計座標!$E$13:$E$2301,設計座標!$G$13:$G$2301,"n/a",0,1)</f>
        <v>374.31496350599917</v>
      </c>
      <c r="J1408">
        <f>_xlfn.XLOOKUP($F1408,設計座標!$E$13:$E$2301,設計座標!$H$13:$H$2301,"n/a",0,1)</f>
        <v>-15000</v>
      </c>
      <c r="K1408">
        <f>_xlfn.XLOOKUP($F1408,設計座標!$E$13:$E$2301,設計座標!$I$13:$I$2301,"n/a",0,1)</f>
        <v>-109852.90604009001</v>
      </c>
      <c r="L1408">
        <f>_xlfn.XLOOKUP($F1408,設計座標!$E$13:$E$2301,設計座標!$J$13:$J$2301,"n/a",0,1)</f>
        <v>-20</v>
      </c>
      <c r="M1408" s="2">
        <f t="shared" si="1112"/>
        <v>-14984.746060637744</v>
      </c>
      <c r="N1408" s="2">
        <f t="shared" si="1113"/>
        <v>-109852.90604009001</v>
      </c>
      <c r="O1408" s="23">
        <f t="shared" si="1114"/>
        <v>-21.813634292557438</v>
      </c>
      <c r="P1408" s="1">
        <f t="shared" si="1085"/>
        <v>-19.825495885481416</v>
      </c>
      <c r="Q1408" s="1">
        <f>(Q$1410-Q$1407)/($N$1410-$N$1407)*($N1408-$N$1407)+Q$1407</f>
        <v>15.253939362255764</v>
      </c>
      <c r="R1408">
        <f t="shared" si="1101"/>
        <v>0</v>
      </c>
      <c r="S1408" s="23">
        <f t="shared" ref="S1408:S1409" si="1115">(S$1410-S$1407)/($N$1410-$N$1407)*($N1408-$N$1407)+S$1407</f>
        <v>-1.8136342925574396</v>
      </c>
      <c r="T1408">
        <f>$S1408+測地線補正!$Q$26*(lattice!$N1408/1000)^3+測地線補正!$P$26*(lattice!$N1408/1000)^2+測地線補正!$O$26*(lattice!$N1408/1000)+測地線補正!$N$26</f>
        <v>0.17450411451858527</v>
      </c>
      <c r="U1408">
        <f>-ATAN(($P$1408-$P$1407)/ABS($N$1408-$N$1407))</f>
        <v>-8.1955239355193174E-5</v>
      </c>
      <c r="V1408">
        <v>0</v>
      </c>
      <c r="W1408">
        <f t="shared" ref="W1408" si="1116">ATAN(($M$1408-$M$1407)/ABS($N$1408-$N$1407))</f>
        <v>1.5129607405837424E-4</v>
      </c>
      <c r="X1408">
        <f>$Z$1408-($Y$1408+$Y$1406)/2</f>
        <v>136.11054661878808</v>
      </c>
      <c r="Y1408">
        <f>_xlfn.XLOOKUP($F1408,設計座標!$E$13:$E$2301,設計座標!$L$13:$L$2301," ",0,1)</f>
        <v>100</v>
      </c>
      <c r="Z1408">
        <f>SQRT(($M$1408-$M$1406)^2+($N$1408-$N$1406)^2)</f>
        <v>186.11054661878808</v>
      </c>
      <c r="AA1408">
        <f>_xlfn.XLOOKUP($G1408,magnet_list!$A$2:$A$592,magnet_list!$AJ$2:$AJ$592,"n/a",0,1)</f>
        <v>0.115</v>
      </c>
      <c r="AB1408">
        <f>_xlfn.XLOOKUP($G1408,magnet_list!$A$2:$A$592,magnet_list!$L$2:$L$592,"n/a",0,1)</f>
        <v>23</v>
      </c>
    </row>
    <row r="1409" spans="1:28">
      <c r="A1409" t="s">
        <v>797</v>
      </c>
      <c r="B1409">
        <v>2</v>
      </c>
      <c r="C1409" t="s">
        <v>805</v>
      </c>
      <c r="D1409" t="s">
        <v>1152</v>
      </c>
      <c r="E1409" t="s">
        <v>804</v>
      </c>
      <c r="F1409" t="s">
        <v>739</v>
      </c>
      <c r="G1409" t="s">
        <v>377</v>
      </c>
      <c r="I1409">
        <f>_xlfn.XLOOKUP($F1409,設計座標!$E$13:$E$2301,設計座標!$G$13:$G$2301,"n/a",0,1)</f>
        <v>374.80426975785917</v>
      </c>
      <c r="J1409">
        <f>_xlfn.XLOOKUP($F1409,設計座標!$E$13:$E$2301,設計座標!$H$13:$H$2301,"n/a",0,1)</f>
        <v>-15000</v>
      </c>
      <c r="K1409">
        <f>_xlfn.XLOOKUP($F1409,設計座標!$E$13:$E$2301,設計座標!$I$13:$I$2301,"n/a",0,1)</f>
        <v>-110342.21229195</v>
      </c>
      <c r="L1409">
        <f>_xlfn.XLOOKUP($F1409,設計座標!$E$13:$E$2301,設計座標!$J$13:$J$2301,"n/a",0,1)</f>
        <v>-20</v>
      </c>
      <c r="M1409" s="2">
        <f t="shared" si="1112"/>
        <v>-14984.672030522257</v>
      </c>
      <c r="N1409" s="2">
        <f t="shared" si="1113"/>
        <v>-110342.21229195</v>
      </c>
      <c r="O1409" s="23">
        <f t="shared" si="1114"/>
        <v>-21.781801537442561</v>
      </c>
      <c r="P1409" s="1">
        <f t="shared" si="1085"/>
        <v>-19.785423619711722</v>
      </c>
      <c r="Q1409" s="1">
        <f>(Q$1410-Q$1407)/($N$1410-$N$1407)*($N1409-$N$1407)+Q$1407</f>
        <v>15.327969477742741</v>
      </c>
      <c r="R1409">
        <f t="shared" si="1101"/>
        <v>0</v>
      </c>
      <c r="S1409" s="23">
        <f t="shared" si="1115"/>
        <v>-1.78180153744256</v>
      </c>
      <c r="T1409">
        <f>$S1409+測地線補正!$Q$26*(lattice!$N1409/1000)^3+測地線補正!$P$26*(lattice!$N1409/1000)^2+測地線補正!$O$26*(lattice!$N1409/1000)+測地線補正!$N$26</f>
        <v>0.21457638028827719</v>
      </c>
      <c r="U1409">
        <f>-ATAN(($P$1410-$P$1409)/ABS($N$1410-$N$1409))</f>
        <v>-8.1836966433271565E-5</v>
      </c>
      <c r="V1409">
        <v>0</v>
      </c>
      <c r="W1409">
        <f>ATAN(($M$1410-$M$1409)/ABS($N$1410-$N$1409))</f>
        <v>1.5129607405837424E-4</v>
      </c>
      <c r="X1409">
        <f>$Z$1409-($Y$1409+$Y$1408)/2</f>
        <v>389.30625746022383</v>
      </c>
      <c r="Y1409">
        <f>_xlfn.XLOOKUP($F1409,設計座標!$E$13:$E$2301,設計座標!$L$13:$L$2301," ",0,1)</f>
        <v>100</v>
      </c>
      <c r="Z1409">
        <f>SQRT(($M$1409-$M$1408)^2+($N$1409-$N$1408)^2)</f>
        <v>489.30625746022383</v>
      </c>
      <c r="AA1409">
        <f>_xlfn.XLOOKUP($G1409,magnet_list!$A$2:$A$592,magnet_list!$AJ$2:$AJ$592,"n/a",0,1)</f>
        <v>0.115</v>
      </c>
      <c r="AB1409">
        <f>_xlfn.XLOOKUP($G1409,magnet_list!$A$2:$A$592,magnet_list!$L$2:$L$592,"n/a",0,1)</f>
        <v>23</v>
      </c>
    </row>
    <row r="1410" spans="1:28">
      <c r="A1410" t="s">
        <v>797</v>
      </c>
      <c r="B1410">
        <v>2</v>
      </c>
      <c r="C1410" t="s">
        <v>805</v>
      </c>
      <c r="D1410" t="s">
        <v>806</v>
      </c>
      <c r="F1410" t="s">
        <v>377</v>
      </c>
      <c r="G1410" t="s">
        <v>377</v>
      </c>
      <c r="I1410">
        <f>_xlfn.XLOOKUP($F1410,設計座標!$E$13:$E$2301,設計座標!$G$13:$G$2301,"n/a",0,1)</f>
        <v>374.83426975785915</v>
      </c>
      <c r="J1410">
        <f>_xlfn.XLOOKUP($F1410,設計座標!$E$13:$E$2301,設計座標!$H$13:$H$2301,"n/a",0,1)</f>
        <v>-15000</v>
      </c>
      <c r="K1410">
        <f>_xlfn.XLOOKUP($F1410,設計座標!$E$13:$E$2301,設計座標!$I$13:$I$2301,"n/a",0,1)</f>
        <v>-110372.21229195</v>
      </c>
      <c r="L1410">
        <f>_xlfn.XLOOKUP($F1410,設計座標!$E$13:$E$2301,設計座標!$J$13:$J$2301,"n/a",0,1)</f>
        <v>-20</v>
      </c>
      <c r="M1410" s="2">
        <f>_xlfn.XLOOKUP($F1410,survey_data!$A$2:$A$833,survey_data!$B$2:$B$833,"n/a",0,1)</f>
        <v>-14984.667491640001</v>
      </c>
      <c r="N1410" s="2">
        <f>_xlfn.XLOOKUP($F1410,survey_data!$A$2:$A$833,survey_data!$C$2:$C$833,"n/a",0,1)</f>
        <v>-110372.21229195</v>
      </c>
      <c r="O1410" s="23">
        <f>_xlfn.XLOOKUP($F1410,survey_data!$A$2:$A$833,survey_data!$D$2:$D$833,"n/a",0,1)</f>
        <v>-21.77984983</v>
      </c>
      <c r="P1410" s="1">
        <f t="shared" si="1085"/>
        <v>-19.782968510713243</v>
      </c>
      <c r="Q1410" s="1">
        <f t="shared" si="1102"/>
        <v>15.332508359999338</v>
      </c>
      <c r="R1410">
        <f t="shared" si="1101"/>
        <v>0</v>
      </c>
      <c r="S1410" s="23">
        <f t="shared" si="1103"/>
        <v>-1.7798498299999999</v>
      </c>
      <c r="T1410">
        <f>$S1410+測地線補正!$Q$26*(lattice!$N1410/1000)^3+測地線補正!$P$26*(lattice!$N1410/1000)^2+測地線補正!$O$26*(lattice!$N1410/1000)+測地線補正!$N$26</f>
        <v>0.2170314892867562</v>
      </c>
      <c r="U1410">
        <f>-ATAN(($P$1410-$P$1409)/ABS($N$1410-$N$1409))</f>
        <v>-8.1836966433271565E-5</v>
      </c>
      <c r="V1410">
        <v>0</v>
      </c>
      <c r="W1410">
        <f>ATAN(($M$1410-$M$1409)/ABS($N$1410-$N$1409))</f>
        <v>1.5129607405837424E-4</v>
      </c>
      <c r="X1410">
        <f>$Z$1409-($Y$1409+$Y$1408)/2</f>
        <v>389.30625746022383</v>
      </c>
      <c r="Y1410">
        <f>_xlfn.XLOOKUP($F1410,設計座標!$E$13:$E$2301,設計座標!$L$13:$L$2301," ",0,1)</f>
        <v>100</v>
      </c>
      <c r="Z1410">
        <f>SQRT(($M$1409-$M$1408)^2+($N$1409-$N$1408)^2)</f>
        <v>489.30625746022383</v>
      </c>
      <c r="AA1410">
        <f>_xlfn.XLOOKUP($G1410,magnet_list!$A$2:$A$592,magnet_list!$AJ$2:$AJ$592,"n/a",0,1)</f>
        <v>0.115</v>
      </c>
      <c r="AB1410">
        <f>_xlfn.XLOOKUP($G1410,magnet_list!$A$2:$A$592,magnet_list!$L$2:$L$592,"n/a",0,1)</f>
        <v>23</v>
      </c>
    </row>
    <row r="1411" spans="1:28">
      <c r="A1411" t="s">
        <v>797</v>
      </c>
      <c r="B1411">
        <v>2</v>
      </c>
      <c r="C1411" t="s">
        <v>1152</v>
      </c>
      <c r="D1411" t="s">
        <v>1152</v>
      </c>
      <c r="E1411" t="s">
        <v>804</v>
      </c>
      <c r="F1411" t="s">
        <v>2122</v>
      </c>
      <c r="G1411" t="s">
        <v>2122</v>
      </c>
      <c r="I1411">
        <f>_xlfn.XLOOKUP($F1411,設計座標!$E$13:$E$2301,設計座標!$G$13:$G$2301,"n/a",0,1)</f>
        <v>374.99727176136918</v>
      </c>
      <c r="J1411">
        <f>_xlfn.XLOOKUP($F1411,設計座標!$E$13:$E$2301,設計座標!$H$13:$H$2301,"n/a",0,1)</f>
        <v>-15000</v>
      </c>
      <c r="K1411">
        <f>_xlfn.XLOOKUP($F1411,設計座標!$E$13:$E$2301,設計座標!$I$13:$I$2301,"n/a",0,1)</f>
        <v>-110535.21429546003</v>
      </c>
      <c r="L1411">
        <f>_xlfn.XLOOKUP($F1411,設計座標!$E$13:$E$2301,設計座標!$J$13:$J$2301,"n/a",0,1)</f>
        <v>-270</v>
      </c>
      <c r="M1411" s="2">
        <f t="shared" si="1112"/>
        <v>-14984.61983275827</v>
      </c>
      <c r="N1411" s="2">
        <f t="shared" si="1113"/>
        <v>-110535.21429546003</v>
      </c>
      <c r="O1411" s="23">
        <f t="shared" si="1114"/>
        <v>-271.80066333047228</v>
      </c>
      <c r="P1411" s="1">
        <f t="shared" si="1085"/>
        <v>-269.80105040753074</v>
      </c>
      <c r="Q1411" s="1">
        <f>(Q$1419-Q$1410)/($N$1419-$N$1410)*($N1411-$N$1410)+Q$1410</f>
        <v>15.380167241729946</v>
      </c>
      <c r="R1411">
        <f t="shared" si="1101"/>
        <v>0</v>
      </c>
      <c r="S1411" s="23">
        <f t="shared" ref="S1411:S1418" si="1117">(S$1419-S$1410)/($N$1419-$N$1410)*($N1411-$N$1410)+S$1410</f>
        <v>-1.8006633304722519</v>
      </c>
      <c r="T1411">
        <f>$S1411+測地線補正!$Q$26*(lattice!$N1411/1000)^3+測地線補正!$P$26*(lattice!$N1411/1000)^2+測地線補正!$O$26*(lattice!$N1411/1000)+測地線補正!$N$26</f>
        <v>0.19894959246924659</v>
      </c>
      <c r="U1411">
        <v>0</v>
      </c>
      <c r="V1411">
        <v>0</v>
      </c>
      <c r="W1411">
        <v>0</v>
      </c>
      <c r="X1411">
        <f>$Z$1411-($Y$1411+$Y$1409)/2</f>
        <v>143.00201056852433</v>
      </c>
      <c r="Y1411">
        <f>_xlfn.XLOOKUP($F1411,設計座標!$E$13:$E$2301,設計座標!$L$13:$L$2301," ",0,1)</f>
        <v>0</v>
      </c>
      <c r="Z1411">
        <f>SQRT(($M$1411-$M$1409)^2+($N$1411-$N$1409)^2)</f>
        <v>193.00201056852433</v>
      </c>
    </row>
    <row r="1412" spans="1:28">
      <c r="A1412" t="s">
        <v>797</v>
      </c>
      <c r="B1412">
        <v>2</v>
      </c>
      <c r="C1412" t="s">
        <v>804</v>
      </c>
      <c r="D1412" t="s">
        <v>1152</v>
      </c>
      <c r="E1412" t="s">
        <v>804</v>
      </c>
      <c r="F1412" t="s">
        <v>1636</v>
      </c>
      <c r="G1412" t="s">
        <v>2682</v>
      </c>
      <c r="I1412">
        <f>_xlfn.XLOOKUP($F1412,設計座標!$E$13:$E$2301,設計座標!$G$13:$G$2301,"n/a",0,1)</f>
        <v>375.12727136136914</v>
      </c>
      <c r="J1412">
        <f>_xlfn.XLOOKUP($F1412,設計座標!$E$13:$E$2301,設計座標!$H$13:$H$2301,"n/a",0,1)</f>
        <v>-15000</v>
      </c>
      <c r="K1412">
        <f>_xlfn.XLOOKUP($F1412,設計座標!$E$13:$E$2301,設計座標!$I$13:$I$2301,"n/a",0,1)</f>
        <v>-110665.21389546002</v>
      </c>
      <c r="L1412">
        <f>_xlfn.XLOOKUP($F1412,設計座標!$E$13:$E$2301,設計座標!$J$13:$J$2301,"n/a",0,1)</f>
        <v>-270</v>
      </c>
      <c r="M1412" s="2">
        <f t="shared" si="1112"/>
        <v>-14984.581823191344</v>
      </c>
      <c r="N1412" s="2">
        <f t="shared" si="1113"/>
        <v>-110665.21389546002</v>
      </c>
      <c r="O1412" s="23">
        <f t="shared" si="1114"/>
        <v>-271.81726279966728</v>
      </c>
      <c r="P1412" s="1">
        <f t="shared" si="1085"/>
        <v>-269.81547566153279</v>
      </c>
      <c r="Q1412" s="1">
        <f t="shared" ref="Q1412:Q1418" si="1118">(Q$1419-Q$1410)/($N$1419-$N$1410)*($N1412-$N$1410)+Q$1410</f>
        <v>15.418176808655577</v>
      </c>
      <c r="R1412">
        <f t="shared" si="1101"/>
        <v>0</v>
      </c>
      <c r="S1412" s="23">
        <f t="shared" si="1117"/>
        <v>-1.8172627996672792</v>
      </c>
      <c r="T1412">
        <f>$S1412+測地線補正!$Q$26*(lattice!$N1412/1000)^3+測地線補正!$P$26*(lattice!$N1412/1000)^2+測地線補正!$O$26*(lattice!$N1412/1000)+測地線補正!$N$26</f>
        <v>0.18452433846720484</v>
      </c>
      <c r="U1412">
        <f>-ATAN(($P$1416-$P$1412)/ABS($N$1416-$N$1412))</f>
        <v>1.1119285112349536E-4</v>
      </c>
      <c r="V1412">
        <v>0</v>
      </c>
      <c r="W1412">
        <f>ATAN(($M$1416-$M$1412)/ABS($N$1416-$N$1412))</f>
        <v>2.9238217534870723E-4</v>
      </c>
      <c r="X1412">
        <f>SQRT(($M$1412-$M$1411)^2+($N$1412-$N$1411)^2)</f>
        <v>129.99960555665552</v>
      </c>
      <c r="Y1412">
        <f>_xlfn.XLOOKUP($F1412,設計座標!$E$13:$E$2301,設計座標!$L$13:$L$2301," ",0,1)</f>
        <v>1889.4492</v>
      </c>
      <c r="Z1412">
        <f>SQRT(($M$1415-$M$1413)^2+($N$1415-$N$1413)^2)</f>
        <v>307.2242131318867</v>
      </c>
    </row>
    <row r="1413" spans="1:28">
      <c r="A1413" t="s">
        <v>797</v>
      </c>
      <c r="B1413">
        <v>2</v>
      </c>
      <c r="C1413" t="s">
        <v>3855</v>
      </c>
      <c r="D1413" t="s">
        <v>1152</v>
      </c>
      <c r="E1413" t="s">
        <v>804</v>
      </c>
      <c r="F1413" t="s">
        <v>2123</v>
      </c>
      <c r="G1413" t="s">
        <v>2123</v>
      </c>
      <c r="I1413">
        <f>_xlfn.XLOOKUP($F1413,設計座標!$E$13:$E$2301,設計座標!$G$13:$G$2301,"n/a",0,1)</f>
        <v>375.76477176136916</v>
      </c>
      <c r="J1413">
        <f>_xlfn.XLOOKUP($F1413,設計座標!$E$13:$E$2301,設計座標!$H$13:$H$2301,"n/a",0,1)</f>
        <v>-15000</v>
      </c>
      <c r="K1413">
        <f>_xlfn.XLOOKUP($F1413,設計座標!$E$13:$E$2301,設計座標!$I$13:$I$2301,"n/a",0,1)</f>
        <v>-111302.71429546003</v>
      </c>
      <c r="L1413">
        <f>_xlfn.XLOOKUP($F1413,設計座標!$E$13:$E$2301,設計座標!$J$13:$J$2301,"n/a",0,1)</f>
        <v>-270</v>
      </c>
      <c r="M1413" s="2">
        <f t="shared" si="1112"/>
        <v>-14984.395429432296</v>
      </c>
      <c r="N1413" s="2">
        <f t="shared" si="1113"/>
        <v>-111302.71429546003</v>
      </c>
      <c r="O1413" s="23">
        <f t="shared" si="1114"/>
        <v>-271.89866434437681</v>
      </c>
      <c r="P1413" s="1">
        <f t="shared" si="1085"/>
        <v>-269.88627072056352</v>
      </c>
      <c r="Q1413" s="1">
        <f t="shared" si="1118"/>
        <v>15.604570567704963</v>
      </c>
      <c r="R1413">
        <f t="shared" si="1101"/>
        <v>0</v>
      </c>
      <c r="S1413" s="23">
        <f t="shared" si="1117"/>
        <v>-1.8986643443767863</v>
      </c>
      <c r="T1413">
        <f>$S1413+測地線補正!$Q$26*(lattice!$N1413/1000)^3+測地線補正!$P$26*(lattice!$N1413/1000)^2+測地線補正!$O$26*(lattice!$N1413/1000)+測地線補正!$N$26</f>
        <v>0.11372927943646238</v>
      </c>
      <c r="U1413">
        <f t="shared" ref="U1413:U1414" si="1119">-ATAN(($P$1416-$P$1412)/ABS($N$1416-$N$1412))</f>
        <v>1.1119285112349536E-4</v>
      </c>
      <c r="V1413">
        <v>0</v>
      </c>
      <c r="W1413">
        <f t="shared" ref="W1413:W1414" si="1120">ATAN(($M$1416-$M$1412)/ABS($N$1416-$N$1412))</f>
        <v>2.9238217534870723E-4</v>
      </c>
      <c r="X1413" t="s">
        <v>3860</v>
      </c>
      <c r="Y1413">
        <f>_xlfn.XLOOKUP($F1413,設計座標!$E$13:$E$2301,設計座標!$L$13:$L$2301," ",0,1)</f>
        <v>800</v>
      </c>
      <c r="Z1413">
        <f>SQRT(($M$1413-$M$1411)^2+($N$1413-$N$1411)^2)</f>
        <v>767.50003280576652</v>
      </c>
      <c r="AA1413">
        <f>_xlfn.XLOOKUP($G1413,magnet_list!$A$2:$A$592,magnet_list!$AJ$2:$AJ$592,"n/a",0,1)</f>
        <v>0.74619000000000002</v>
      </c>
      <c r="AB1413">
        <f>_xlfn.XLOOKUP($G1413,magnet_list!$A$2:$A$592,magnet_list!$L$2:$L$592,"n/a",0,1)</f>
        <v>120</v>
      </c>
    </row>
    <row r="1414" spans="1:28">
      <c r="A1414" t="s">
        <v>797</v>
      </c>
      <c r="B1414">
        <v>2</v>
      </c>
      <c r="C1414" t="s">
        <v>3855</v>
      </c>
      <c r="D1414" t="s">
        <v>1152</v>
      </c>
      <c r="E1414" t="s">
        <v>804</v>
      </c>
      <c r="F1414" t="s">
        <v>2124</v>
      </c>
      <c r="G1414" t="s">
        <v>2124</v>
      </c>
      <c r="I1414">
        <f>_xlfn.XLOOKUP($F1414,設計座標!$E$13:$E$2301,設計座標!$G$13:$G$2301,"n/a",0,1)</f>
        <v>375.76477176136916</v>
      </c>
      <c r="J1414">
        <f>_xlfn.XLOOKUP($F1414,設計座標!$E$13:$E$2301,設計座標!$H$13:$H$2301,"n/a",0,1)</f>
        <v>-15000</v>
      </c>
      <c r="K1414">
        <f>_xlfn.XLOOKUP($F1414,設計座標!$E$13:$E$2301,設計座標!$I$13:$I$2301,"n/a",0,1)</f>
        <v>-111302.71429546003</v>
      </c>
      <c r="L1414">
        <f>_xlfn.XLOOKUP($F1414,設計座標!$E$13:$E$2301,設計座標!$J$13:$J$2301,"n/a",0,1)</f>
        <v>-270</v>
      </c>
      <c r="M1414" s="2">
        <f t="shared" si="1112"/>
        <v>-14984.395429432296</v>
      </c>
      <c r="N1414" s="2">
        <f t="shared" si="1113"/>
        <v>-111302.71429546003</v>
      </c>
      <c r="O1414" s="23">
        <f t="shared" si="1114"/>
        <v>-271.89866434437681</v>
      </c>
      <c r="P1414" s="1">
        <f t="shared" si="1085"/>
        <v>-269.88627072056352</v>
      </c>
      <c r="Q1414" s="1">
        <f t="shared" si="1118"/>
        <v>15.604570567704963</v>
      </c>
      <c r="R1414">
        <f t="shared" si="1101"/>
        <v>0</v>
      </c>
      <c r="S1414" s="23">
        <f t="shared" si="1117"/>
        <v>-1.8986643443767863</v>
      </c>
      <c r="T1414">
        <f>$S1414+測地線補正!$Q$26*(lattice!$N1414/1000)^3+測地線補正!$P$26*(lattice!$N1414/1000)^2+測地線補正!$O$26*(lattice!$N1414/1000)+測地線補正!$N$26</f>
        <v>0.11372927943646238</v>
      </c>
      <c r="U1414">
        <f t="shared" si="1119"/>
        <v>1.1119285112349536E-4</v>
      </c>
      <c r="V1414">
        <v>0</v>
      </c>
      <c r="W1414">
        <f t="shared" si="1120"/>
        <v>2.9238217534870723E-4</v>
      </c>
      <c r="X1414" t="s">
        <v>3860</v>
      </c>
      <c r="Y1414">
        <f>_xlfn.XLOOKUP($F1414,設計座標!$E$13:$E$2301,設計座標!$L$13:$L$2301," ",0,1)</f>
        <v>800</v>
      </c>
      <c r="Z1414">
        <f>SQRT(($M$1413-$M$1411)^2+($N$1413-$N$1411)^2)</f>
        <v>767.50003280576652</v>
      </c>
      <c r="AA1414">
        <f>_xlfn.XLOOKUP($G1414,magnet_list!$A$2:$A$592,magnet_list!$AJ$2:$AJ$592,"n/a",0,1)</f>
        <v>0.74619000000000002</v>
      </c>
      <c r="AB1414">
        <f>_xlfn.XLOOKUP($G1414,magnet_list!$A$2:$A$592,magnet_list!$L$2:$L$592,"n/a",0,1)</f>
        <v>120</v>
      </c>
    </row>
    <row r="1415" spans="1:28">
      <c r="A1415" t="s">
        <v>797</v>
      </c>
      <c r="B1415">
        <v>2</v>
      </c>
      <c r="C1415" t="s">
        <v>804</v>
      </c>
      <c r="D1415" t="s">
        <v>1152</v>
      </c>
      <c r="E1415" t="s">
        <v>804</v>
      </c>
      <c r="F1415" t="s">
        <v>1360</v>
      </c>
      <c r="G1415" t="s">
        <v>2682</v>
      </c>
      <c r="I1415">
        <f>_xlfn.XLOOKUP($F1415,設計座標!$E$13:$E$2301,設計座標!$G$13:$G$2301,"n/a",0,1)</f>
        <v>376.07199596136917</v>
      </c>
      <c r="J1415">
        <f>_xlfn.XLOOKUP($F1415,設計座標!$E$13:$E$2301,設計座標!$H$13:$H$2301,"n/a",0,1)</f>
        <v>-15000</v>
      </c>
      <c r="K1415">
        <f>_xlfn.XLOOKUP($F1415,設計座標!$E$13:$E$2301,設計座標!$I$13:$I$2301,"n/a",0,1)</f>
        <v>-111609.93849546002</v>
      </c>
      <c r="L1415">
        <f>_xlfn.XLOOKUP($F1415,設計座標!$E$13:$E$2301,設計座標!$J$13:$J$2301,"n/a",0,1)</f>
        <v>-270</v>
      </c>
      <c r="M1415" s="2">
        <f t="shared" si="1112"/>
        <v>-14984.305602549819</v>
      </c>
      <c r="N1415" s="2">
        <f t="shared" si="1113"/>
        <v>-111609.93849546002</v>
      </c>
      <c r="O1415" s="23">
        <f t="shared" si="1114"/>
        <v>-271.93789337772665</v>
      </c>
      <c r="P1415" s="1">
        <f t="shared" si="1085"/>
        <v>-269.92042119843927</v>
      </c>
      <c r="Q1415" s="1">
        <f t="shared" si="1118"/>
        <v>15.694397450180551</v>
      </c>
      <c r="R1415">
        <f t="shared" si="1101"/>
        <v>0</v>
      </c>
      <c r="S1415" s="23">
        <f t="shared" si="1117"/>
        <v>-1.9378933777266352</v>
      </c>
      <c r="T1415">
        <f>$S1415+測地線補正!$Q$26*(lattice!$N1415/1000)^3+測地線補正!$P$26*(lattice!$N1415/1000)^2+測地線補正!$O$26*(lattice!$N1415/1000)+測地線補正!$N$26</f>
        <v>7.9578801560755474E-2</v>
      </c>
      <c r="U1415">
        <f t="shared" ref="U1415:U1416" si="1121">-ATAN(($P$1416-$P$1412)/ABS($N$1416-$N$1412))</f>
        <v>1.1119285112349536E-4</v>
      </c>
      <c r="V1415">
        <v>0</v>
      </c>
      <c r="W1415">
        <f t="shared" ref="W1415:W1416" si="1122">ATAN(($M$1416-$M$1412)/ABS($N$1416-$N$1412))</f>
        <v>2.9238217534870723E-4</v>
      </c>
      <c r="X1415" t="s">
        <v>3860</v>
      </c>
      <c r="Y1415">
        <f>_xlfn.XLOOKUP($F1415,設計座標!$E$13:$E$2301,設計座標!$L$13:$L$2301," ",0,1)</f>
        <v>1889.4492</v>
      </c>
      <c r="Z1415">
        <f>SQRT(($M$1415-$M$1413)^2+($N$1415-$N$1413)^2)</f>
        <v>307.2242131318867</v>
      </c>
    </row>
    <row r="1416" spans="1:28">
      <c r="A1416" t="s">
        <v>797</v>
      </c>
      <c r="B1416">
        <v>2</v>
      </c>
      <c r="C1416" t="s">
        <v>804</v>
      </c>
      <c r="D1416" t="s">
        <v>1152</v>
      </c>
      <c r="E1416" t="s">
        <v>804</v>
      </c>
      <c r="F1416" t="s">
        <v>1637</v>
      </c>
      <c r="G1416" t="s">
        <v>2682</v>
      </c>
      <c r="I1416">
        <f>_xlfn.XLOOKUP($F1416,設計座標!$E$13:$E$2301,設計座標!$G$13:$G$2301,"n/a",0,1)</f>
        <v>377.0167205613692</v>
      </c>
      <c r="J1416">
        <f>_xlfn.XLOOKUP($F1416,設計座標!$E$13:$E$2301,設計座標!$H$13:$H$2301,"n/a",0,1)</f>
        <v>-15000</v>
      </c>
      <c r="K1416">
        <f>_xlfn.XLOOKUP($F1416,設計座標!$E$13:$E$2301,設計座標!$I$13:$I$2301,"n/a",0,1)</f>
        <v>-112554.66309546003</v>
      </c>
      <c r="L1416">
        <f>_xlfn.XLOOKUP($F1416,設計座標!$E$13:$E$2301,設計座標!$J$13:$J$2301,"n/a",0,1)</f>
        <v>-270</v>
      </c>
      <c r="M1416" s="2">
        <f t="shared" si="1112"/>
        <v>-14984.029381908294</v>
      </c>
      <c r="N1416" s="2">
        <f t="shared" si="1113"/>
        <v>-112554.66309546003</v>
      </c>
      <c r="O1416" s="23">
        <f t="shared" si="1114"/>
        <v>-272.05852395578597</v>
      </c>
      <c r="P1416" s="1">
        <f t="shared" si="1085"/>
        <v>-270.02556890599965</v>
      </c>
      <c r="Q1416" s="1">
        <f t="shared" si="1118"/>
        <v>15.970618091705525</v>
      </c>
      <c r="R1416">
        <f t="shared" si="1101"/>
        <v>0</v>
      </c>
      <c r="S1416" s="23">
        <f t="shared" si="1117"/>
        <v>-2.0585239557859913</v>
      </c>
      <c r="T1416">
        <f>$S1416+測地線補正!$Q$26*(lattice!$N1416/1000)^3+測地線補正!$P$26*(lattice!$N1416/1000)^2+測地線補正!$O$26*(lattice!$N1416/1000)+測地線補正!$N$26</f>
        <v>-2.5568905999641567E-2</v>
      </c>
      <c r="U1416">
        <f t="shared" si="1121"/>
        <v>1.1119285112349536E-4</v>
      </c>
      <c r="V1416">
        <v>0</v>
      </c>
      <c r="W1416">
        <f t="shared" si="1122"/>
        <v>2.9238217534870723E-4</v>
      </c>
      <c r="X1416" t="s">
        <v>3860</v>
      </c>
      <c r="Y1416">
        <f>_xlfn.XLOOKUP($F1416,設計座標!$E$13:$E$2301,設計座標!$L$13:$L$2301," ",0,1)</f>
        <v>1889.4492</v>
      </c>
      <c r="Z1416">
        <f>SQRT(($M$1415-$M$1413)^2+($N$1415-$N$1413)^2)</f>
        <v>307.2242131318867</v>
      </c>
    </row>
    <row r="1417" spans="1:28">
      <c r="A1417" t="s">
        <v>797</v>
      </c>
      <c r="B1417">
        <v>2</v>
      </c>
      <c r="C1417" t="s">
        <v>2288</v>
      </c>
      <c r="D1417" t="s">
        <v>1152</v>
      </c>
      <c r="E1417" t="s">
        <v>804</v>
      </c>
      <c r="F1417" t="s">
        <v>2342</v>
      </c>
      <c r="G1417" t="s">
        <v>2342</v>
      </c>
      <c r="I1417">
        <f>_xlfn.XLOOKUP($F1417,設計座標!$E$13:$E$2301,設計座標!$G$13:$G$2301,"n/a",0,1)</f>
        <v>377.14672106136919</v>
      </c>
      <c r="J1417">
        <f>_xlfn.XLOOKUP($F1417,設計座標!$E$13:$E$2301,設計座標!$H$13:$H$2301,"n/a",0,1)</f>
        <v>-15000</v>
      </c>
      <c r="K1417">
        <f>_xlfn.XLOOKUP($F1417,設計座標!$E$13:$E$2301,設計座標!$I$13:$I$2301,"n/a",0,1)</f>
        <v>-112684.66359546002</v>
      </c>
      <c r="L1417">
        <f>_xlfn.XLOOKUP($F1417,設計座標!$E$13:$E$2301,設計座標!$J$13:$J$2301,"n/a",0,1)</f>
        <v>-270</v>
      </c>
      <c r="M1417" s="2">
        <f t="shared" si="1112"/>
        <v>-14983.991372078224</v>
      </c>
      <c r="N1417" s="2">
        <f t="shared" si="1113"/>
        <v>-112684.66359546002</v>
      </c>
      <c r="O1417" s="23">
        <f t="shared" si="1114"/>
        <v>-272.0751235399008</v>
      </c>
      <c r="P1417" s="1">
        <f t="shared" si="1085"/>
        <v>-270.04005372818415</v>
      </c>
      <c r="Q1417" s="1">
        <f t="shared" si="1118"/>
        <v>16.008627921775119</v>
      </c>
      <c r="R1417">
        <f t="shared" si="1101"/>
        <v>0</v>
      </c>
      <c r="S1417" s="23">
        <f t="shared" si="1117"/>
        <v>-2.0751235399007739</v>
      </c>
      <c r="T1417">
        <f>$S1417+測地線補正!$Q$26*(lattice!$N1417/1000)^3+測地線補正!$P$26*(lattice!$N1417/1000)^2+測地線補正!$O$26*(lattice!$N1417/1000)+測地線補正!$N$26</f>
        <v>-4.0053728184141102E-2</v>
      </c>
      <c r="U1417">
        <v>0</v>
      </c>
      <c r="V1417">
        <v>0</v>
      </c>
      <c r="W1417">
        <v>0</v>
      </c>
      <c r="X1417">
        <f>SQRT(($M$1417-$M$1416)^2+($N$1417-$N$1416)^2)</f>
        <v>130.00050555669307</v>
      </c>
      <c r="Y1417">
        <f>_xlfn.XLOOKUP($F1417,設計座標!$E$13:$E$2301,設計座標!$L$13:$L$2301," ",0,1)</f>
        <v>0</v>
      </c>
      <c r="Z1417">
        <f>SQRT(($M$1417-$M$1415)^2+($N$1417-$N$1415)^2)</f>
        <v>1074.7251459376907</v>
      </c>
    </row>
    <row r="1418" spans="1:28">
      <c r="A1418" t="s">
        <v>797</v>
      </c>
      <c r="B1418">
        <v>2</v>
      </c>
      <c r="C1418" t="s">
        <v>1152</v>
      </c>
      <c r="D1418" t="s">
        <v>1152</v>
      </c>
      <c r="E1418" t="s">
        <v>804</v>
      </c>
      <c r="F1418" t="s">
        <v>2125</v>
      </c>
      <c r="G1418" t="s">
        <v>2125</v>
      </c>
      <c r="I1418">
        <f>_xlfn.XLOOKUP($F1418,設計座標!$E$13:$E$2301,設計座標!$G$13:$G$2301,"n/a",0,1)</f>
        <v>377.23172106136917</v>
      </c>
      <c r="J1418">
        <f>_xlfn.XLOOKUP($F1418,設計座標!$E$13:$E$2301,設計座標!$H$13:$H$2301,"n/a",0,1)</f>
        <v>-15000</v>
      </c>
      <c r="K1418">
        <f>_xlfn.XLOOKUP($F1418,設計座標!$E$13:$E$2301,設計座標!$I$13:$I$2301,"n/a",0,1)</f>
        <v>-112769.66359546002</v>
      </c>
      <c r="L1418">
        <f>_xlfn.XLOOKUP($F1418,設計座標!$E$13:$E$2301,設計座標!$J$13:$J$2301,"n/a",0,1)</f>
        <v>-270</v>
      </c>
      <c r="M1418" s="2">
        <f t="shared" si="1112"/>
        <v>-14983.966519592612</v>
      </c>
      <c r="N1418" s="2">
        <f t="shared" si="1113"/>
        <v>-112769.66359546002</v>
      </c>
      <c r="O1418" s="23">
        <f t="shared" si="1114"/>
        <v>-272.08597707238533</v>
      </c>
      <c r="P1418" s="1">
        <f t="shared" si="1085"/>
        <v>-270.04952659898612</v>
      </c>
      <c r="Q1418" s="1">
        <f t="shared" si="1118"/>
        <v>16.033480407387987</v>
      </c>
      <c r="R1418">
        <f t="shared" si="1101"/>
        <v>0</v>
      </c>
      <c r="S1418" s="23">
        <f t="shared" si="1117"/>
        <v>-2.0859770723853153</v>
      </c>
      <c r="T1418">
        <f>$S1418+測地線補正!$Q$26*(lattice!$N1418/1000)^3+測地線補正!$P$26*(lattice!$N1418/1000)^2+測地線補正!$O$26*(lattice!$N1418/1000)+測地線補正!$N$26</f>
        <v>-4.9526598986111781E-2</v>
      </c>
      <c r="U1418">
        <v>0</v>
      </c>
      <c r="V1418">
        <v>0</v>
      </c>
      <c r="W1418">
        <v>0</v>
      </c>
      <c r="X1418">
        <f>$Z$1418-($Y$1418+$Y$1417)/2</f>
        <v>85.000003633211932</v>
      </c>
      <c r="Y1418">
        <f>_xlfn.XLOOKUP($F1418,設計座標!$E$13:$E$2301,設計座標!$L$13:$L$2301," ",0,1)</f>
        <v>0</v>
      </c>
      <c r="Z1418">
        <f>SQRT(($M$1418-$M$1417)^2+($N$1418-$N$1417)^2)</f>
        <v>85.000003633211932</v>
      </c>
    </row>
    <row r="1419" spans="1:28">
      <c r="A1419" t="s">
        <v>797</v>
      </c>
      <c r="B1419">
        <v>2</v>
      </c>
      <c r="C1419" t="s">
        <v>805</v>
      </c>
      <c r="D1419" t="s">
        <v>806</v>
      </c>
      <c r="F1419" t="s">
        <v>378</v>
      </c>
      <c r="G1419" t="s">
        <v>378</v>
      </c>
      <c r="I1419">
        <f>_xlfn.XLOOKUP($F1419,設計座標!$E$13:$E$2301,設計座標!$G$13:$G$2301,"n/a",0,1)</f>
        <v>377.38944935394915</v>
      </c>
      <c r="J1419">
        <f>_xlfn.XLOOKUP($F1419,設計座標!$E$13:$E$2301,設計座標!$H$13:$H$2301,"n/a",0,1)</f>
        <v>-15000</v>
      </c>
      <c r="K1419">
        <f>_xlfn.XLOOKUP($F1419,設計座標!$E$13:$E$2301,設計座標!$I$13:$I$2301,"n/a",0,1)</f>
        <v>-112927.39188804</v>
      </c>
      <c r="L1419">
        <f>_xlfn.XLOOKUP($F1419,設計座標!$E$13:$E$2301,設計座標!$J$13:$J$2301,"n/a",0,1)</f>
        <v>-20</v>
      </c>
      <c r="M1419" s="2">
        <f>_xlfn.XLOOKUP($F1419,survey_data!$A$2:$A$833,survey_data!$B$2:$B$833,"n/a",0,1)</f>
        <v>-14983.920402649999</v>
      </c>
      <c r="N1419" s="2">
        <f>_xlfn.XLOOKUP($F1419,survey_data!$A$2:$A$833,survey_data!$C$2:$C$833,"n/a",0,1)</f>
        <v>-112927.39188804</v>
      </c>
      <c r="O1419" s="23">
        <f>_xlfn.XLOOKUP($F1419,survey_data!$A$2:$A$833,survey_data!$D$2:$D$833,"n/a",0,1)</f>
        <v>-22.106117179999998</v>
      </c>
      <c r="P1419" s="1">
        <f t="shared" si="1085"/>
        <v>-20.067109031277329</v>
      </c>
      <c r="Q1419" s="1">
        <f t="shared" si="1102"/>
        <v>16.079597350000768</v>
      </c>
      <c r="R1419">
        <f t="shared" si="1101"/>
        <v>0</v>
      </c>
      <c r="S1419" s="23">
        <f t="shared" si="1103"/>
        <v>-2.1061171799999983</v>
      </c>
      <c r="T1419">
        <f>$S1419+測地線補正!$Q$26*(lattice!$N1419/1000)^3+測地線補正!$P$26*(lattice!$N1419/1000)^2+測地線補正!$O$26*(lattice!$N1419/1000)+測地線補正!$N$26</f>
        <v>-6.71090312773297E-2</v>
      </c>
      <c r="U1419">
        <f>-ATAN(($P$1420-$P$1419)/ABS($N$1420-$N$1419))</f>
        <v>8.9253214809529495E-4</v>
      </c>
      <c r="V1419">
        <v>0</v>
      </c>
      <c r="W1419">
        <f>ATAN(($M$1420-$M$1419)/ABS($N$1420-$N$1419))</f>
        <v>6.4097124845992142E-4</v>
      </c>
      <c r="X1419">
        <f>$Z$1420-($Y$1420+$Y$1418)/2</f>
        <v>137.72830395309452</v>
      </c>
      <c r="Y1419">
        <f>_xlfn.XLOOKUP($F1419,設計座標!$E$13:$E$2301,設計座標!$L$13:$L$2301," ",0,1)</f>
        <v>100</v>
      </c>
      <c r="Z1419">
        <f>SQRT(($M$1420-$M$1418)^2+($N$1420-$N$1418)^2)</f>
        <v>187.72830395309452</v>
      </c>
      <c r="AA1419">
        <f>_xlfn.XLOOKUP($G1419,magnet_list!$A$2:$A$592,magnet_list!$AJ$2:$AJ$592,"n/a",0,1)</f>
        <v>0.115</v>
      </c>
      <c r="AB1419">
        <f>_xlfn.XLOOKUP($G1419,magnet_list!$A$2:$A$592,magnet_list!$L$2:$L$592,"n/a",0,1)</f>
        <v>23</v>
      </c>
    </row>
    <row r="1420" spans="1:28">
      <c r="A1420" t="s">
        <v>797</v>
      </c>
      <c r="B1420">
        <v>2</v>
      </c>
      <c r="C1420" t="s">
        <v>805</v>
      </c>
      <c r="D1420" t="s">
        <v>1152</v>
      </c>
      <c r="E1420" t="s">
        <v>804</v>
      </c>
      <c r="F1420" t="s">
        <v>740</v>
      </c>
      <c r="G1420" t="s">
        <v>378</v>
      </c>
      <c r="I1420">
        <f>_xlfn.XLOOKUP($F1420,設計座標!$E$13:$E$2301,設計座標!$G$13:$G$2301,"n/a",0,1)</f>
        <v>377.41944935394912</v>
      </c>
      <c r="J1420">
        <f>_xlfn.XLOOKUP($F1420,設計座標!$E$13:$E$2301,設計座標!$H$13:$H$2301,"n/a",0,1)</f>
        <v>-15000</v>
      </c>
      <c r="K1420">
        <f>_xlfn.XLOOKUP($F1420,設計座標!$E$13:$E$2301,設計座標!$I$13:$I$2301,"n/a",0,1)</f>
        <v>-112957.39188804</v>
      </c>
      <c r="L1420">
        <f>_xlfn.XLOOKUP($F1420,設計座標!$E$13:$E$2301,設計座標!$J$13:$J$2301,"n/a",0,1)</f>
        <v>-20</v>
      </c>
      <c r="M1420" s="2">
        <f t="shared" si="1112"/>
        <v>-14983.901173509912</v>
      </c>
      <c r="N1420" s="2">
        <f t="shared" si="1113"/>
        <v>-112957.39188804</v>
      </c>
      <c r="O1420" s="23">
        <f t="shared" si="1114"/>
        <v>-22.133378987734108</v>
      </c>
      <c r="P1420" s="1">
        <f t="shared" si="1085"/>
        <v>-20.093885002830223</v>
      </c>
      <c r="Q1420" s="1">
        <f>(Q$1421-Q$1419)/($N$1421-$N$1419)*($N1420-$N$1419)+Q$1419</f>
        <v>16.098826490088349</v>
      </c>
      <c r="R1420">
        <f t="shared" si="1101"/>
        <v>0</v>
      </c>
      <c r="S1420" s="23">
        <f>(S$1421-S$1419)/($N$1421-$N$1419)*($N1420-$N$1419)+S$1419</f>
        <v>-2.1333789877341069</v>
      </c>
      <c r="T1420">
        <f>$S1420+測地線補正!$Q$26*(lattice!$N1420/1000)^3+測地線補正!$P$26*(lattice!$N1420/1000)^2+測地線補正!$O$26*(lattice!$N1420/1000)+測地線補正!$N$26</f>
        <v>-9.388500283022494E-2</v>
      </c>
      <c r="U1420">
        <f>-ATAN(($P$1420-$P$1419)/ABS($N$1420-$N$1419))</f>
        <v>8.9253214809529495E-4</v>
      </c>
      <c r="V1420">
        <v>0</v>
      </c>
      <c r="W1420">
        <f>ATAN(($M$1420-$M$1419)/ABS($N$1420-$N$1419))</f>
        <v>6.4097124845992142E-4</v>
      </c>
      <c r="X1420">
        <f>$Z$1420-($Y$1420+$Y$1418)/2</f>
        <v>137.72830395309452</v>
      </c>
      <c r="Y1420">
        <f>_xlfn.XLOOKUP($F1420,設計座標!$E$13:$E$2301,設計座標!$L$13:$L$2301," ",0,1)</f>
        <v>100</v>
      </c>
      <c r="Z1420">
        <f>SQRT(($M$1420-$M$1418)^2+($N$1420-$N$1418)^2)</f>
        <v>187.72830395309452</v>
      </c>
      <c r="AA1420">
        <f>_xlfn.XLOOKUP($G1420,magnet_list!$A$2:$A$592,magnet_list!$AJ$2:$AJ$592,"n/a",0,1)</f>
        <v>0.115</v>
      </c>
      <c r="AB1420">
        <f>_xlfn.XLOOKUP($G1420,magnet_list!$A$2:$A$592,magnet_list!$L$2:$L$592,"n/a",0,1)</f>
        <v>23</v>
      </c>
    </row>
    <row r="1421" spans="1:28">
      <c r="A1421" t="s">
        <v>797</v>
      </c>
      <c r="B1421">
        <v>2</v>
      </c>
      <c r="C1421" t="s">
        <v>805</v>
      </c>
      <c r="D1421" t="s">
        <v>806</v>
      </c>
      <c r="F1421" t="s">
        <v>379</v>
      </c>
      <c r="G1421" t="s">
        <v>2683</v>
      </c>
      <c r="I1421">
        <f>_xlfn.XLOOKUP($F1421,設計座標!$E$13:$E$2301,設計座標!$G$13:$G$2301,"n/a",0,1)</f>
        <v>377.62425707698912</v>
      </c>
      <c r="J1421">
        <f>_xlfn.XLOOKUP($F1421,設計座標!$E$13:$E$2301,設計座標!$H$13:$H$2301,"n/a",0,1)</f>
        <v>-15000</v>
      </c>
      <c r="K1421">
        <f>_xlfn.XLOOKUP($F1421,設計座標!$E$13:$E$2301,設計座標!$I$13:$I$2301,"n/a",0,1)</f>
        <v>-113162.19961108</v>
      </c>
      <c r="L1421">
        <f>_xlfn.XLOOKUP($F1421,設計座標!$E$13:$E$2301,設計座標!$J$13:$J$2301,"n/a",0,1)</f>
        <v>-70</v>
      </c>
      <c r="M1421" s="2">
        <f>_xlfn.XLOOKUP($F1421,survey_data!$A$2:$A$833,survey_data!$B$2:$B$833,"n/a",0,1)</f>
        <v>-14983.76989763</v>
      </c>
      <c r="N1421" s="2">
        <f>_xlfn.XLOOKUP($F1421,survey_data!$A$2:$A$833,survey_data!$C$2:$C$833,"n/a",0,1)</f>
        <v>-113162.19961108</v>
      </c>
      <c r="O1421" s="23">
        <f>_xlfn.XLOOKUP($F1421,survey_data!$A$2:$A$833,survey_data!$D$2:$D$833,"n/a",0,1)</f>
        <v>-72.319493280000003</v>
      </c>
      <c r="P1421" s="1">
        <f t="shared" si="1085"/>
        <v>-70.276687947581308</v>
      </c>
      <c r="Q1421" s="1">
        <f t="shared" si="1102"/>
        <v>16.230102370000168</v>
      </c>
      <c r="R1421">
        <f t="shared" si="1101"/>
        <v>0</v>
      </c>
      <c r="S1421" s="23">
        <f t="shared" si="1103"/>
        <v>-2.3194932800000032</v>
      </c>
      <c r="T1421">
        <f>$S1421+測地線補正!$Q$26*(lattice!$N1421/1000)^3+測地線補正!$P$26*(lattice!$N1421/1000)^2+測地線補正!$O$26*(lattice!$N1421/1000)+測地線補正!$N$26</f>
        <v>-0.27668794758130333</v>
      </c>
      <c r="U1421">
        <f>-ATAN(($P$1423-$P$1421)/ABS($N$1423-$N$1421))</f>
        <v>-1.8010263991860131E-4</v>
      </c>
      <c r="V1421">
        <v>0</v>
      </c>
      <c r="W1421">
        <f>ATAN(($M$1423-$M$1421)/ABS($N$1423-$N$1421))</f>
        <v>-7.6763002200763112E-4</v>
      </c>
      <c r="X1421">
        <f>$Z$1422-($Y$1422+$Y$1420)/2</f>
        <v>144.8152436949558</v>
      </c>
      <c r="Y1421">
        <f>_xlfn.XLOOKUP($F1421,設計座標!$E$13:$E$2301,設計座標!$L$13:$L$2301," ",0,1)</f>
        <v>100</v>
      </c>
      <c r="Z1421">
        <f>SQRT(($M$1422-$M$1420)^2+($N$1422-$N$1420)^2)</f>
        <v>244.8152436949558</v>
      </c>
      <c r="AA1421">
        <f>_xlfn.XLOOKUP($G1421,magnet_list!$A$2:$A$592,magnet_list!$AJ$2:$AJ$592,"n/a",0,1)</f>
        <v>0.1415535</v>
      </c>
      <c r="AB1421">
        <f>_xlfn.XLOOKUP($G1421,magnet_list!$A$2:$A$592,magnet_list!$L$2:$L$592,"n/a",0,1)</f>
        <v>44</v>
      </c>
    </row>
    <row r="1422" spans="1:28">
      <c r="A1422" t="s">
        <v>797</v>
      </c>
      <c r="B1422">
        <v>2</v>
      </c>
      <c r="C1422" t="s">
        <v>805</v>
      </c>
      <c r="D1422" t="s">
        <v>1152</v>
      </c>
      <c r="E1422" t="s">
        <v>804</v>
      </c>
      <c r="F1422" t="s">
        <v>742</v>
      </c>
      <c r="G1422" t="s">
        <v>2683</v>
      </c>
      <c r="I1422">
        <f>_xlfn.XLOOKUP($F1422,設計座標!$E$13:$E$2301,設計座標!$G$13:$G$2301,"n/a",0,1)</f>
        <v>377.66426457698913</v>
      </c>
      <c r="J1422">
        <f>_xlfn.XLOOKUP($F1422,設計座標!$E$13:$E$2301,設計座標!$H$13:$H$2301,"n/a",0,1)</f>
        <v>-15000</v>
      </c>
      <c r="K1422">
        <f>_xlfn.XLOOKUP($F1422,設計座標!$E$13:$E$2301,設計座標!$I$13:$I$2301,"n/a",0,1)</f>
        <v>-113202.20711107999</v>
      </c>
      <c r="L1422">
        <f>_xlfn.XLOOKUP($F1422,設計座標!$E$13:$E$2301,設計座標!$J$13:$J$2301,"n/a",0,1)</f>
        <v>-70</v>
      </c>
      <c r="M1422" s="2">
        <f t="shared" si="1112"/>
        <v>-14983.800608594138</v>
      </c>
      <c r="N1422" s="2">
        <f t="shared" si="1113"/>
        <v>-113202.20711107999</v>
      </c>
      <c r="O1422" s="23">
        <f t="shared" si="1114"/>
        <v>-72.312933384538425</v>
      </c>
      <c r="P1422" s="1">
        <f t="shared" si="1085"/>
        <v>-70.269482311037919</v>
      </c>
      <c r="Q1422" s="1">
        <f>(Q$1423-Q$1421)/($N$1423-$N$1421)*($N1422-$N$1421)+Q$1421</f>
        <v>16.199391405862499</v>
      </c>
      <c r="R1422">
        <f t="shared" si="1101"/>
        <v>0</v>
      </c>
      <c r="S1422" s="23">
        <f>(S$1423-S$1421)/($N$1423-$N$1421)*($N1422-$N$1421)+S$1421</f>
        <v>-2.3129333845384239</v>
      </c>
      <c r="T1422">
        <f>$S1422+測地線補正!$Q$26*(lattice!$N1422/1000)^3+測地線補正!$P$26*(lattice!$N1422/1000)^2+測地線補正!$O$26*(lattice!$N1422/1000)+測地線補正!$N$26</f>
        <v>-0.26948231103792275</v>
      </c>
      <c r="U1422">
        <f t="shared" ref="U1422:U1423" si="1123">-ATAN(($P$1423-$P$1421)/ABS($N$1423-$N$1421))</f>
        <v>-1.8010263991860131E-4</v>
      </c>
      <c r="V1422">
        <v>0</v>
      </c>
      <c r="W1422">
        <f t="shared" ref="W1422:W1423" si="1124">ATAN(($M$1423-$M$1421)/ABS($N$1423-$N$1421))</f>
        <v>-7.6763002200763112E-4</v>
      </c>
      <c r="X1422">
        <f>$Z$1422-($Y$1422+$Y$1420)/2</f>
        <v>144.8152436949558</v>
      </c>
      <c r="Y1422">
        <f>_xlfn.XLOOKUP($F1422,設計座標!$E$13:$E$2301,設計座標!$L$13:$L$2301," ",0,1)</f>
        <v>100</v>
      </c>
      <c r="Z1422">
        <f>SQRT(($M$1422-$M$1420)^2+($N$1422-$N$1420)^2)</f>
        <v>244.8152436949558</v>
      </c>
      <c r="AA1422">
        <f>_xlfn.XLOOKUP($G1422,magnet_list!$A$2:$A$592,magnet_list!$AJ$2:$AJ$592,"n/a",0,1)</f>
        <v>0.1415535</v>
      </c>
      <c r="AB1422">
        <f>_xlfn.XLOOKUP($G1422,magnet_list!$A$2:$A$592,magnet_list!$L$2:$L$592,"n/a",0,1)</f>
        <v>44</v>
      </c>
    </row>
    <row r="1423" spans="1:28">
      <c r="A1423" t="s">
        <v>797</v>
      </c>
      <c r="B1423">
        <v>2</v>
      </c>
      <c r="C1423" t="s">
        <v>805</v>
      </c>
      <c r="D1423" t="s">
        <v>806</v>
      </c>
      <c r="F1423" t="s">
        <v>380</v>
      </c>
      <c r="G1423" t="s">
        <v>2683</v>
      </c>
      <c r="I1423">
        <f>_xlfn.XLOOKUP($F1423,設計座標!$E$13:$E$2301,設計座標!$G$13:$G$2301,"n/a",0,1)</f>
        <v>377.70423919881915</v>
      </c>
      <c r="J1423">
        <f>_xlfn.XLOOKUP($F1423,設計座標!$E$13:$E$2301,設計座標!$H$13:$H$2301,"n/a",0,1)</f>
        <v>-15000</v>
      </c>
      <c r="K1423">
        <f>_xlfn.XLOOKUP($F1423,設計座標!$E$13:$E$2301,設計座標!$I$13:$I$2301,"n/a",0,1)</f>
        <v>-113242.18173291</v>
      </c>
      <c r="L1423">
        <f>_xlfn.XLOOKUP($F1423,設計座標!$E$13:$E$2301,設計座標!$J$13:$J$2301,"n/a",0,1)</f>
        <v>-70</v>
      </c>
      <c r="M1423" s="2">
        <f>_xlfn.XLOOKUP($F1423,survey_data!$A$2:$A$833,survey_data!$B$2:$B$833,"n/a",0,1)</f>
        <v>-14983.83129432</v>
      </c>
      <c r="N1423" s="2">
        <f>_xlfn.XLOOKUP($F1423,survey_data!$A$2:$A$833,survey_data!$C$2:$C$833,"n/a",0,1)</f>
        <v>-113242.18173291</v>
      </c>
      <c r="O1423" s="23">
        <f>_xlfn.XLOOKUP($F1423,survey_data!$A$2:$A$833,survey_data!$D$2:$D$833,"n/a",0,1)</f>
        <v>-72.306378879999997</v>
      </c>
      <c r="P1423" s="1">
        <f t="shared" si="1085"/>
        <v>-70.262282956137682</v>
      </c>
      <c r="Q1423" s="1">
        <f t="shared" si="1102"/>
        <v>16.16870568000013</v>
      </c>
      <c r="R1423">
        <f t="shared" si="1101"/>
        <v>0</v>
      </c>
      <c r="S1423" s="23">
        <f t="shared" si="1103"/>
        <v>-2.3063788799999969</v>
      </c>
      <c r="T1423">
        <f>$S1423+測地線補正!$Q$26*(lattice!$N1423/1000)^3+測地線補正!$P$26*(lattice!$N1423/1000)^2+測地線補正!$O$26*(lattice!$N1423/1000)+測地線補正!$N$26</f>
        <v>-0.26228295613767671</v>
      </c>
      <c r="U1423">
        <f t="shared" si="1123"/>
        <v>-1.8010263991860131E-4</v>
      </c>
      <c r="V1423">
        <v>0</v>
      </c>
      <c r="W1423">
        <f t="shared" si="1124"/>
        <v>-7.6763002200763112E-4</v>
      </c>
      <c r="X1423">
        <f>$Z$1422-($Y$1422+$Y$1420)/2</f>
        <v>144.8152436949558</v>
      </c>
      <c r="Y1423">
        <f>_xlfn.XLOOKUP($F1423,設計座標!$E$13:$E$2301,設計座標!$L$13:$L$2301," ",0,1)</f>
        <v>100</v>
      </c>
      <c r="Z1423">
        <f>SQRT(($M$1422-$M$1420)^2+($N$1422-$N$1420)^2)</f>
        <v>244.8152436949558</v>
      </c>
      <c r="AA1423">
        <f>_xlfn.XLOOKUP($G1423,magnet_list!$A$2:$A$592,magnet_list!$AJ$2:$AJ$592,"n/a",0,1)</f>
        <v>0.1415535</v>
      </c>
      <c r="AB1423">
        <f>_xlfn.XLOOKUP($G1423,magnet_list!$A$2:$A$592,magnet_list!$L$2:$L$592,"n/a",0,1)</f>
        <v>44</v>
      </c>
    </row>
    <row r="1424" spans="1:28">
      <c r="A1424" t="s">
        <v>797</v>
      </c>
      <c r="B1424">
        <v>2</v>
      </c>
      <c r="C1424" t="s">
        <v>805</v>
      </c>
      <c r="D1424" t="s">
        <v>1152</v>
      </c>
      <c r="E1424" t="s">
        <v>804</v>
      </c>
      <c r="F1424" t="s">
        <v>741</v>
      </c>
      <c r="G1424" t="s">
        <v>381</v>
      </c>
      <c r="I1424">
        <f>_xlfn.XLOOKUP($F1424,設計座標!$E$13:$E$2301,設計座標!$G$13:$G$2301,"n/a",0,1)</f>
        <v>377.90848039231918</v>
      </c>
      <c r="J1424">
        <f>_xlfn.XLOOKUP($F1424,設計座標!$E$13:$E$2301,設計座標!$H$13:$H$2301,"n/a",0,1)</f>
        <v>-15000</v>
      </c>
      <c r="K1424">
        <f>_xlfn.XLOOKUP($F1424,設計座標!$E$13:$E$2301,設計座標!$I$13:$I$2301,"n/a",0,1)</f>
        <v>-113446.42292641</v>
      </c>
      <c r="L1424">
        <f>_xlfn.XLOOKUP($F1424,設計座標!$E$13:$E$2301,設計座標!$J$13:$J$2301,"n/a",0,1)</f>
        <v>-20</v>
      </c>
      <c r="M1424" s="2">
        <f t="shared" si="1112"/>
        <v>-14984.365517337594</v>
      </c>
      <c r="N1424" s="2">
        <f t="shared" si="1113"/>
        <v>-113446.42292641</v>
      </c>
      <c r="O1424" s="23">
        <f t="shared" si="1114"/>
        <v>-22.277342520287355</v>
      </c>
      <c r="P1424" s="1">
        <f t="shared" si="1085"/>
        <v>-20.229957495941996</v>
      </c>
      <c r="Q1424" s="1">
        <f>(Q$1425-Q$1423)/($N$1425-$N$1423)*($N1424-$N$1423)+Q$1423</f>
        <v>15.634482662405578</v>
      </c>
      <c r="R1424">
        <f t="shared" si="1101"/>
        <v>0</v>
      </c>
      <c r="S1424" s="23">
        <f>(S$1425-S$1423)/($N$1425-$N$1423)*($N1424-$N$1423)+S$1423</f>
        <v>-2.2773425202873558</v>
      </c>
      <c r="T1424">
        <f>$S1424+測地線補正!$Q$26*(lattice!$N1424/1000)^3+測地線補正!$P$26*(lattice!$N1424/1000)^2+測地線補正!$O$26*(lattice!$N1424/1000)+測地線補正!$N$26</f>
        <v>-0.22995749594199499</v>
      </c>
      <c r="U1424">
        <f>-ATAN(($P$1425-$P$1424)/ABS($N$1425-$N$1424))</f>
        <v>-1.5824464907807301E-4</v>
      </c>
      <c r="V1424">
        <v>0</v>
      </c>
      <c r="W1424">
        <f>ATAN(($M$1425-$M$1424)/ABS($N$1425-$N$1424))</f>
        <v>-2.6156417818266257E-3</v>
      </c>
      <c r="X1424">
        <f>$Z$1424-($Y$1424+$Y$1422)/2</f>
        <v>144.2164686895434</v>
      </c>
      <c r="Y1424">
        <f>_xlfn.XLOOKUP($F1424,設計座標!$E$13:$E$2301,設計座標!$L$13:$L$2301," ",0,1)</f>
        <v>100</v>
      </c>
      <c r="Z1424">
        <f>SQRT(($M$1424-$M$1422)^2+($N$1424-$N$1422)^2)</f>
        <v>244.2164686895434</v>
      </c>
      <c r="AA1424">
        <f>_xlfn.XLOOKUP($G1424,magnet_list!$A$2:$A$592,magnet_list!$AJ$2:$AJ$592,"n/a",0,1)</f>
        <v>0.115</v>
      </c>
      <c r="AB1424">
        <f>_xlfn.XLOOKUP($G1424,magnet_list!$A$2:$A$592,magnet_list!$L$2:$L$592,"n/a",0,1)</f>
        <v>23</v>
      </c>
    </row>
    <row r="1425" spans="1:28">
      <c r="A1425" t="s">
        <v>797</v>
      </c>
      <c r="B1425">
        <v>2</v>
      </c>
      <c r="C1425" t="s">
        <v>805</v>
      </c>
      <c r="D1425" t="s">
        <v>806</v>
      </c>
      <c r="F1425" t="s">
        <v>381</v>
      </c>
      <c r="G1425" t="s">
        <v>381</v>
      </c>
      <c r="I1425">
        <f>_xlfn.XLOOKUP($F1425,設計座標!$E$13:$E$2301,設計座標!$G$13:$G$2301,"n/a",0,1)</f>
        <v>377.93848039231915</v>
      </c>
      <c r="J1425">
        <f>_xlfn.XLOOKUP($F1425,設計座標!$E$13:$E$2301,設計座標!$H$13:$H$2301,"n/a",0,1)</f>
        <v>-15000</v>
      </c>
      <c r="K1425">
        <f>_xlfn.XLOOKUP($F1425,設計座標!$E$13:$E$2301,設計座標!$I$13:$I$2301,"n/a",0,1)</f>
        <v>-113476.42292641</v>
      </c>
      <c r="L1425">
        <f>_xlfn.XLOOKUP($F1425,設計座標!$E$13:$E$2301,設計座標!$J$13:$J$2301,"n/a",0,1)</f>
        <v>-20</v>
      </c>
      <c r="M1425" s="2">
        <f>_xlfn.XLOOKUP($F1425,survey_data!$A$2:$A$833,survey_data!$B$2:$B$833,"n/a",0,1)</f>
        <v>-14984.44398677</v>
      </c>
      <c r="N1425" s="2">
        <f>_xlfn.XLOOKUP($F1425,survey_data!$A$2:$A$833,survey_data!$C$2:$C$833,"n/a",0,1)</f>
        <v>-113476.42292641</v>
      </c>
      <c r="O1425" s="23">
        <f>_xlfn.XLOOKUP($F1425,survey_data!$A$2:$A$833,survey_data!$D$2:$D$833,"n/a",0,1)</f>
        <v>-22.27307751</v>
      </c>
      <c r="P1425" s="1">
        <f t="shared" si="1085"/>
        <v>-20.225210156430027</v>
      </c>
      <c r="Q1425" s="1">
        <f t="shared" si="1102"/>
        <v>15.556013229999735</v>
      </c>
      <c r="R1425">
        <f t="shared" si="1101"/>
        <v>0</v>
      </c>
      <c r="S1425" s="23">
        <f t="shared" si="1103"/>
        <v>-2.2730775100000002</v>
      </c>
      <c r="T1425">
        <f>$S1425+測地線補正!$Q$26*(lattice!$N1425/1000)^3+測地線補正!$P$26*(lattice!$N1425/1000)^2+測地線補正!$O$26*(lattice!$N1425/1000)+測地線補正!$N$26</f>
        <v>-0.22521015643002795</v>
      </c>
      <c r="U1425">
        <f>-ATAN(($P$1425-$P$1424)/ABS($N$1425-$N$1424))</f>
        <v>-1.5824464907807301E-4</v>
      </c>
      <c r="V1425">
        <v>0</v>
      </c>
      <c r="W1425">
        <f>ATAN(($M$1425-$M$1424)/ABS($N$1425-$N$1424))</f>
        <v>-2.6156417818266257E-3</v>
      </c>
      <c r="X1425">
        <f>$Z$1424-($Y$1424+$Y$1422)/2</f>
        <v>144.2164686895434</v>
      </c>
      <c r="Y1425">
        <f>_xlfn.XLOOKUP($F1425,設計座標!$E$13:$E$2301,設計座標!$L$13:$L$2301," ",0,1)</f>
        <v>100</v>
      </c>
      <c r="Z1425">
        <f>SQRT(($M$1424-$M$1422)^2+($N$1424-$N$1422)^2)</f>
        <v>244.2164686895434</v>
      </c>
      <c r="AA1425">
        <f>_xlfn.XLOOKUP($G1425,magnet_list!$A$2:$A$592,magnet_list!$AJ$2:$AJ$592,"n/a",0,1)</f>
        <v>0.115</v>
      </c>
      <c r="AB1425">
        <f>_xlfn.XLOOKUP($G1425,magnet_list!$A$2:$A$592,magnet_list!$L$2:$L$592,"n/a",0,1)</f>
        <v>23</v>
      </c>
    </row>
    <row r="1426" spans="1:28">
      <c r="A1426" t="s">
        <v>797</v>
      </c>
      <c r="B1426">
        <v>2</v>
      </c>
      <c r="C1426" t="s">
        <v>1152</v>
      </c>
      <c r="D1426" t="s">
        <v>1152</v>
      </c>
      <c r="E1426" t="s">
        <v>804</v>
      </c>
      <c r="F1426" t="s">
        <v>2126</v>
      </c>
      <c r="G1426" t="s">
        <v>2126</v>
      </c>
      <c r="I1426">
        <f>_xlfn.XLOOKUP($F1426,設計座標!$E$13:$E$2301,設計座標!$G$13:$G$2301,"n/a",0,1)</f>
        <v>378.15593906136917</v>
      </c>
      <c r="J1426">
        <f>_xlfn.XLOOKUP($F1426,設計座標!$E$13:$E$2301,設計座標!$H$13:$H$2301,"n/a",0,1)</f>
        <v>-15000</v>
      </c>
      <c r="K1426">
        <f>_xlfn.XLOOKUP($F1426,設計座標!$E$13:$E$2301,設計座標!$I$13:$I$2301,"n/a",0,1)</f>
        <v>-113693.88159546001</v>
      </c>
      <c r="L1426">
        <f>_xlfn.XLOOKUP($F1426,設計座標!$E$13:$E$2301,設計座標!$J$13:$J$2301,"n/a",0,1)</f>
        <v>-270</v>
      </c>
      <c r="M1426" s="2">
        <f t="shared" si="1112"/>
        <v>-14984.41510303834</v>
      </c>
      <c r="N1426" s="2">
        <f t="shared" si="1113"/>
        <v>-113693.88159546001</v>
      </c>
      <c r="O1426" s="23">
        <f t="shared" si="1114"/>
        <v>-272.25295719282019</v>
      </c>
      <c r="P1426" s="1">
        <f t="shared" si="1085"/>
        <v>-270.20159966939093</v>
      </c>
      <c r="Q1426" s="1">
        <f>(Q$1438-Q$1425)/($N$1438-$N$1425)*($N1426-$N$1425)+Q$1425</f>
        <v>15.584896961659869</v>
      </c>
      <c r="R1426">
        <f t="shared" si="1101"/>
        <v>0</v>
      </c>
      <c r="S1426" s="23">
        <f t="shared" ref="S1426:S1437" si="1125">(S$1438-S$1425)/($N$1438-$N$1425)*($N1426-$N$1425)+S$1425</f>
        <v>-2.2529571928201766</v>
      </c>
      <c r="T1426">
        <f>$S1426+測地線補正!$Q$26*(lattice!$N1426/1000)^3+測地線補正!$P$26*(lattice!$N1426/1000)^2+測地線補正!$O$26*(lattice!$N1426/1000)+測地線補正!$N$26</f>
        <v>-0.20159966939092144</v>
      </c>
      <c r="U1426">
        <v>0</v>
      </c>
      <c r="V1426">
        <v>0</v>
      </c>
      <c r="W1426">
        <v>0</v>
      </c>
      <c r="X1426">
        <f>$Z$1426-($Y$1426+$Y$1424)/2</f>
        <v>197.45867401799916</v>
      </c>
      <c r="Y1426">
        <f>_xlfn.XLOOKUP($F1426,設計座標!$E$13:$E$2301,設計座標!$L$13:$L$2301," ",0,1)</f>
        <v>0</v>
      </c>
      <c r="Z1426">
        <f>SQRT(($M$1426-$M$1424)^2+($N$1426-$N$1424)^2)</f>
        <v>247.45867401799916</v>
      </c>
    </row>
    <row r="1427" spans="1:28">
      <c r="A1427" t="s">
        <v>797</v>
      </c>
      <c r="B1427">
        <v>2</v>
      </c>
      <c r="C1427" t="s">
        <v>804</v>
      </c>
      <c r="D1427" t="s">
        <v>1152</v>
      </c>
      <c r="E1427" t="s">
        <v>804</v>
      </c>
      <c r="F1427" t="s">
        <v>1638</v>
      </c>
      <c r="G1427" t="s">
        <v>2684</v>
      </c>
      <c r="I1427">
        <f>_xlfn.XLOOKUP($F1427,設計座標!$E$13:$E$2301,設計座標!$G$13:$G$2301,"n/a",0,1)</f>
        <v>378.35693836136915</v>
      </c>
      <c r="J1427">
        <f>_xlfn.XLOOKUP($F1427,設計座標!$E$13:$E$2301,設計座標!$H$13:$H$2301,"n/a",0,1)</f>
        <v>-15000</v>
      </c>
      <c r="K1427">
        <f>_xlfn.XLOOKUP($F1427,設計座標!$E$13:$E$2301,設計座標!$I$13:$I$2301,"n/a",0,1)</f>
        <v>-113894.88089546001</v>
      </c>
      <c r="L1427">
        <f>_xlfn.XLOOKUP($F1427,設計座標!$E$13:$E$2301,設計座標!$J$13:$J$2301,"n/a",0,1)</f>
        <v>-270</v>
      </c>
      <c r="M1427" s="2">
        <f t="shared" si="1112"/>
        <v>-14984.388405506021</v>
      </c>
      <c r="N1427" s="2">
        <f t="shared" si="1113"/>
        <v>-113894.88089546001</v>
      </c>
      <c r="O1427" s="23">
        <f t="shared" si="1114"/>
        <v>-272.2343597752668</v>
      </c>
      <c r="P1427" s="1">
        <f t="shared" si="1085"/>
        <v>-270.17978570682692</v>
      </c>
      <c r="Q1427" s="1">
        <f t="shared" ref="Q1427:Q1437" si="1126">(Q$1438-Q$1425)/($N$1438-$N$1425)*($N1427-$N$1425)+Q$1425</f>
        <v>15.611594493979167</v>
      </c>
      <c r="R1427">
        <f t="shared" si="1101"/>
        <v>0</v>
      </c>
      <c r="S1427" s="23">
        <f t="shared" si="1125"/>
        <v>-2.2343597752668103</v>
      </c>
      <c r="T1427">
        <f>$S1427+測地線補正!$Q$26*(lattice!$N1427/1000)^3+測地線補正!$P$26*(lattice!$N1427/1000)^2+測地線補正!$O$26*(lattice!$N1427/1000)+測地線補正!$N$26</f>
        <v>-0.1797857068269082</v>
      </c>
      <c r="U1427">
        <f>-ATAN(($P$1431-$P$1427)/ABS($N$1431-$N$1427))</f>
        <v>-1.0829321281129304E-4</v>
      </c>
      <c r="V1427">
        <v>0</v>
      </c>
      <c r="W1427">
        <f>ATAN(($M$1431-$M$1427)/ABS($N$1431-$N$1427))</f>
        <v>1.3282400566706361E-4</v>
      </c>
      <c r="X1427">
        <f>SQRT(($M$1427-$M$1426)^2+($N$1427-$N$1426)^2)</f>
        <v>200.99930177303244</v>
      </c>
      <c r="Y1427">
        <f>_xlfn.XLOOKUP($F1427,設計座標!$E$13:$E$2301,設計座標!$L$13:$L$2301," ",0,1)</f>
        <v>1889.4492</v>
      </c>
      <c r="Z1427">
        <f>SQRT(($M$1430-$M$1428)^2+($N$1430-$N$1428)^2)</f>
        <v>307.22410271004924</v>
      </c>
    </row>
    <row r="1428" spans="1:28">
      <c r="A1428" t="s">
        <v>797</v>
      </c>
      <c r="B1428">
        <v>2</v>
      </c>
      <c r="C1428" t="s">
        <v>3855</v>
      </c>
      <c r="D1428" t="s">
        <v>1152</v>
      </c>
      <c r="E1428" t="s">
        <v>804</v>
      </c>
      <c r="F1428" t="s">
        <v>2127</v>
      </c>
      <c r="G1428" t="s">
        <v>2127</v>
      </c>
      <c r="I1428">
        <f>_xlfn.XLOOKUP($F1428,設計座標!$E$13:$E$2301,設計座標!$G$13:$G$2301,"n/a",0,1)</f>
        <v>378.99443886136919</v>
      </c>
      <c r="J1428">
        <f>_xlfn.XLOOKUP($F1428,設計座標!$E$13:$E$2301,設計座標!$H$13:$H$2301,"n/a",0,1)</f>
        <v>-15000</v>
      </c>
      <c r="K1428">
        <f>_xlfn.XLOOKUP($F1428,設計座標!$E$13:$E$2301,設計座標!$I$13:$I$2301,"n/a",0,1)</f>
        <v>-114532.38139546002</v>
      </c>
      <c r="L1428">
        <f>_xlfn.XLOOKUP($F1428,設計座標!$E$13:$E$2301,設計座標!$J$13:$J$2301,"n/a",0,1)</f>
        <v>-270</v>
      </c>
      <c r="M1428" s="2">
        <f t="shared" si="1112"/>
        <v>-14984.303730135498</v>
      </c>
      <c r="N1428" s="2">
        <f t="shared" si="1113"/>
        <v>-114532.38139546002</v>
      </c>
      <c r="O1428" s="23">
        <f t="shared" si="1114"/>
        <v>-272.17537517686782</v>
      </c>
      <c r="P1428" s="1">
        <f t="shared" si="1085"/>
        <v>-270.11065935011527</v>
      </c>
      <c r="Q1428" s="1">
        <f t="shared" si="1126"/>
        <v>15.69626986450195</v>
      </c>
      <c r="R1428">
        <f t="shared" si="1101"/>
        <v>0</v>
      </c>
      <c r="S1428" s="23">
        <f t="shared" si="1125"/>
        <v>-2.1753751768678096</v>
      </c>
      <c r="T1428">
        <f>$S1428+測地線補正!$Q$26*(lattice!$N1428/1000)^3+測地線補正!$P$26*(lattice!$N1428/1000)^2+測地線補正!$O$26*(lattice!$N1428/1000)+測地線補正!$N$26</f>
        <v>-0.11065935011526329</v>
      </c>
      <c r="U1428">
        <f t="shared" ref="U1428:U1429" si="1127">-ATAN(($P$1431-$P$1427)/ABS($N$1431-$N$1427))</f>
        <v>-1.0829321281129304E-4</v>
      </c>
      <c r="V1428">
        <v>0</v>
      </c>
      <c r="W1428">
        <f t="shared" ref="W1428:W1429" si="1128">ATAN(($M$1431-$M$1427)/ABS($N$1431-$N$1427))</f>
        <v>1.3282400566706361E-4</v>
      </c>
      <c r="X1428" t="s">
        <v>3860</v>
      </c>
      <c r="Y1428">
        <f>_xlfn.XLOOKUP($F1428,設計座標!$E$13:$E$2301,設計座標!$L$13:$L$2301," ",0,1)</f>
        <v>800</v>
      </c>
      <c r="Z1428">
        <f>SQRT(($M$1428-$M$1426)^2+($N$1428-$N$1426)^2)</f>
        <v>838.49980739650255</v>
      </c>
      <c r="AA1428">
        <f>_xlfn.XLOOKUP($G1428,magnet_list!$A$2:$A$592,magnet_list!$AJ$2:$AJ$592,"n/a",0,1)</f>
        <v>0.74619000000000002</v>
      </c>
      <c r="AB1428">
        <f>_xlfn.XLOOKUP($G1428,magnet_list!$A$2:$A$592,magnet_list!$L$2:$L$592,"n/a",0,1)</f>
        <v>120</v>
      </c>
    </row>
    <row r="1429" spans="1:28">
      <c r="A1429" t="s">
        <v>797</v>
      </c>
      <c r="B1429">
        <v>2</v>
      </c>
      <c r="C1429" t="s">
        <v>3855</v>
      </c>
      <c r="D1429" t="s">
        <v>1152</v>
      </c>
      <c r="E1429" t="s">
        <v>804</v>
      </c>
      <c r="F1429" t="s">
        <v>2128</v>
      </c>
      <c r="G1429" t="s">
        <v>2128</v>
      </c>
      <c r="I1429">
        <f>_xlfn.XLOOKUP($F1429,設計座標!$E$13:$E$2301,設計座標!$G$13:$G$2301,"n/a",0,1)</f>
        <v>378.99443886136919</v>
      </c>
      <c r="J1429">
        <f>_xlfn.XLOOKUP($F1429,設計座標!$E$13:$E$2301,設計座標!$H$13:$H$2301,"n/a",0,1)</f>
        <v>-15000</v>
      </c>
      <c r="K1429">
        <f>_xlfn.XLOOKUP($F1429,設計座標!$E$13:$E$2301,設計座標!$I$13:$I$2301,"n/a",0,1)</f>
        <v>-114532.38139546002</v>
      </c>
      <c r="L1429">
        <f>_xlfn.XLOOKUP($F1429,設計座標!$E$13:$E$2301,設計座標!$J$13:$J$2301,"n/a",0,1)</f>
        <v>-270</v>
      </c>
      <c r="M1429" s="2">
        <f t="shared" si="1112"/>
        <v>-14984.303730135498</v>
      </c>
      <c r="N1429" s="2">
        <f t="shared" si="1113"/>
        <v>-114532.38139546002</v>
      </c>
      <c r="O1429" s="23">
        <f t="shared" si="1114"/>
        <v>-272.17537517686782</v>
      </c>
      <c r="P1429" s="1">
        <f t="shared" si="1085"/>
        <v>-270.11065935011527</v>
      </c>
      <c r="Q1429" s="1">
        <f t="shared" si="1126"/>
        <v>15.69626986450195</v>
      </c>
      <c r="R1429">
        <f t="shared" si="1101"/>
        <v>0</v>
      </c>
      <c r="S1429" s="23">
        <f t="shared" si="1125"/>
        <v>-2.1753751768678096</v>
      </c>
      <c r="T1429">
        <f>$S1429+測地線補正!$Q$26*(lattice!$N1429/1000)^3+測地線補正!$P$26*(lattice!$N1429/1000)^2+測地線補正!$O$26*(lattice!$N1429/1000)+測地線補正!$N$26</f>
        <v>-0.11065935011526329</v>
      </c>
      <c r="U1429">
        <f t="shared" si="1127"/>
        <v>-1.0829321281129304E-4</v>
      </c>
      <c r="V1429">
        <v>0</v>
      </c>
      <c r="W1429">
        <f t="shared" si="1128"/>
        <v>1.3282400566706361E-4</v>
      </c>
      <c r="X1429" t="s">
        <v>3860</v>
      </c>
      <c r="Y1429">
        <f>_xlfn.XLOOKUP($F1429,設計座標!$E$13:$E$2301,設計座標!$L$13:$L$2301," ",0,1)</f>
        <v>800</v>
      </c>
      <c r="Z1429">
        <f>SQRT(($M$1428-$M$1426)^2+($N$1428-$N$1426)^2)</f>
        <v>838.49980739650255</v>
      </c>
      <c r="AA1429">
        <f>_xlfn.XLOOKUP($G1429,magnet_list!$A$2:$A$592,magnet_list!$AJ$2:$AJ$592,"n/a",0,1)</f>
        <v>0.74619000000000002</v>
      </c>
      <c r="AB1429">
        <f>_xlfn.XLOOKUP($G1429,magnet_list!$A$2:$A$592,magnet_list!$L$2:$L$592,"n/a",0,1)</f>
        <v>120</v>
      </c>
    </row>
    <row r="1430" spans="1:28">
      <c r="A1430" t="s">
        <v>797</v>
      </c>
      <c r="B1430">
        <v>2</v>
      </c>
      <c r="C1430" t="s">
        <v>804</v>
      </c>
      <c r="D1430" t="s">
        <v>1152</v>
      </c>
      <c r="E1430" t="s">
        <v>804</v>
      </c>
      <c r="F1430" t="s">
        <v>1197</v>
      </c>
      <c r="G1430" t="s">
        <v>2684</v>
      </c>
      <c r="I1430">
        <f>_xlfn.XLOOKUP($F1430,設計座標!$E$13:$E$2301,設計座標!$G$13:$G$2301,"n/a",0,1)</f>
        <v>379.30166296136917</v>
      </c>
      <c r="J1430">
        <f>_xlfn.XLOOKUP($F1430,設計座標!$E$13:$E$2301,設計座標!$H$13:$H$2301,"n/a",0,1)</f>
        <v>-15000</v>
      </c>
      <c r="K1430">
        <f>_xlfn.XLOOKUP($F1430,設計座標!$E$13:$E$2301,設計座標!$I$13:$I$2301,"n/a",0,1)</f>
        <v>-114839.60549546001</v>
      </c>
      <c r="L1430">
        <f>_xlfn.XLOOKUP($F1430,設計座標!$E$13:$E$2301,設計座標!$J$13:$J$2301,"n/a",0,1)</f>
        <v>-270</v>
      </c>
      <c r="M1430" s="2">
        <f t="shared" si="1112"/>
        <v>-14984.262923399659</v>
      </c>
      <c r="N1430" s="2">
        <f t="shared" si="1113"/>
        <v>-114839.60549546001</v>
      </c>
      <c r="O1430" s="23">
        <f t="shared" si="1114"/>
        <v>-272.14694933224968</v>
      </c>
      <c r="P1430" s="1">
        <f t="shared" si="1085"/>
        <v>-270.07737853223392</v>
      </c>
      <c r="Q1430" s="1">
        <f t="shared" si="1126"/>
        <v>15.737076600341416</v>
      </c>
      <c r="R1430">
        <f t="shared" si="1101"/>
        <v>0</v>
      </c>
      <c r="S1430" s="23">
        <f t="shared" si="1125"/>
        <v>-2.1469493322496587</v>
      </c>
      <c r="T1430">
        <f>$S1430+測地線補正!$Q$26*(lattice!$N1430/1000)^3+測地線補正!$P$26*(lattice!$N1430/1000)^2+測地線補正!$O$26*(lattice!$N1430/1000)+測地線補正!$N$26</f>
        <v>-7.7378532233924213E-2</v>
      </c>
      <c r="U1430">
        <f t="shared" ref="U1430:U1431" si="1129">-ATAN(($P$1431-$P$1427)/ABS($N$1431-$N$1427))</f>
        <v>-1.0829321281129304E-4</v>
      </c>
      <c r="V1430">
        <v>0</v>
      </c>
      <c r="W1430">
        <f t="shared" ref="W1430:W1431" si="1130">ATAN(($M$1431-$M$1427)/ABS($N$1431-$N$1427))</f>
        <v>1.3282400566706361E-4</v>
      </c>
      <c r="X1430" t="s">
        <v>3860</v>
      </c>
      <c r="Y1430">
        <f>_xlfn.XLOOKUP($F1430,設計座標!$E$13:$E$2301,設計座標!$L$13:$L$2301," ",0,1)</f>
        <v>1889.4492</v>
      </c>
      <c r="Z1430">
        <f>SQRT(($M$1430-$M$1428)^2+($N$1430-$N$1428)^2)</f>
        <v>307.22410271004924</v>
      </c>
    </row>
    <row r="1431" spans="1:28">
      <c r="A1431" t="s">
        <v>797</v>
      </c>
      <c r="B1431">
        <v>2</v>
      </c>
      <c r="C1431" t="s">
        <v>804</v>
      </c>
      <c r="D1431" t="s">
        <v>1152</v>
      </c>
      <c r="E1431" t="s">
        <v>804</v>
      </c>
      <c r="F1431" t="s">
        <v>1639</v>
      </c>
      <c r="G1431" t="s">
        <v>2684</v>
      </c>
      <c r="I1431">
        <f>_xlfn.XLOOKUP($F1431,設計座標!$E$13:$E$2301,設計座標!$G$13:$G$2301,"n/a",0,1)</f>
        <v>380.2463875613692</v>
      </c>
      <c r="J1431">
        <f>_xlfn.XLOOKUP($F1431,設計座標!$E$13:$E$2301,設計座標!$H$13:$H$2301,"n/a",0,1)</f>
        <v>-15000</v>
      </c>
      <c r="K1431">
        <f>_xlfn.XLOOKUP($F1431,設計座標!$E$13:$E$2301,設計座標!$I$13:$I$2301,"n/a",0,1)</f>
        <v>-115784.33009546001</v>
      </c>
      <c r="L1431">
        <f>_xlfn.XLOOKUP($F1431,設計座標!$E$13:$E$2301,設計座標!$J$13:$J$2301,"n/a",0,1)</f>
        <v>-270</v>
      </c>
      <c r="M1431" s="2">
        <f t="shared" si="1112"/>
        <v>-14984.137441293296</v>
      </c>
      <c r="N1431" s="2">
        <f t="shared" si="1113"/>
        <v>-115784.33009546001</v>
      </c>
      <c r="O1431" s="23">
        <f t="shared" si="1114"/>
        <v>-272.0595388892325</v>
      </c>
      <c r="P1431" s="1">
        <f t="shared" si="1085"/>
        <v>-269.97517118171533</v>
      </c>
      <c r="Q1431" s="1">
        <f t="shared" si="1126"/>
        <v>15.862558706703664</v>
      </c>
      <c r="R1431">
        <f t="shared" si="1101"/>
        <v>0</v>
      </c>
      <c r="S1431" s="23">
        <f t="shared" si="1125"/>
        <v>-2.0595388892325071</v>
      </c>
      <c r="T1431">
        <f>$S1431+測地線補正!$Q$26*(lattice!$N1431/1000)^3+測地線補正!$P$26*(lattice!$N1431/1000)^2+測地線補正!$O$26*(lattice!$N1431/1000)+測地線補正!$N$26</f>
        <v>2.4828818284652554E-2</v>
      </c>
      <c r="U1431">
        <f t="shared" si="1129"/>
        <v>-1.0829321281129304E-4</v>
      </c>
      <c r="V1431">
        <v>0</v>
      </c>
      <c r="W1431">
        <f t="shared" si="1130"/>
        <v>1.3282400566706361E-4</v>
      </c>
      <c r="X1431" t="s">
        <v>3860</v>
      </c>
      <c r="Y1431">
        <f>_xlfn.XLOOKUP($F1431,設計座標!$E$13:$E$2301,設計座標!$L$13:$L$2301," ",0,1)</f>
        <v>1889.4492</v>
      </c>
      <c r="Z1431">
        <f>SQRT(($M$1430-$M$1428)^2+($N$1430-$N$1428)^2)</f>
        <v>307.22410271004924</v>
      </c>
    </row>
    <row r="1432" spans="1:28">
      <c r="A1432" t="s">
        <v>797</v>
      </c>
      <c r="B1432">
        <v>2</v>
      </c>
      <c r="C1432" t="s">
        <v>804</v>
      </c>
      <c r="D1432" t="s">
        <v>1152</v>
      </c>
      <c r="E1432" t="s">
        <v>804</v>
      </c>
      <c r="F1432" t="s">
        <v>1640</v>
      </c>
      <c r="G1432" t="s">
        <v>2685</v>
      </c>
      <c r="I1432">
        <f>_xlfn.XLOOKUP($F1432,設計座標!$E$13:$E$2301,設計座標!$G$13:$G$2301,"n/a",0,1)</f>
        <v>380.43008736136915</v>
      </c>
      <c r="J1432">
        <f>_xlfn.XLOOKUP($F1432,設計座標!$E$13:$E$2301,設計座標!$H$13:$H$2301,"n/a",0,1)</f>
        <v>-15000</v>
      </c>
      <c r="K1432">
        <f>_xlfn.XLOOKUP($F1432,設計座標!$E$13:$E$2301,設計座標!$I$13:$I$2301,"n/a",0,1)</f>
        <v>-115968.02989546001</v>
      </c>
      <c r="L1432">
        <f>_xlfn.XLOOKUP($F1432,設計座標!$E$13:$E$2301,設計座標!$J$13:$J$2301,"n/a",0,1)</f>
        <v>-270</v>
      </c>
      <c r="M1432" s="2">
        <f t="shared" si="1112"/>
        <v>-14984.113041549877</v>
      </c>
      <c r="N1432" s="2">
        <f t="shared" si="1113"/>
        <v>-115968.02989546001</v>
      </c>
      <c r="O1432" s="23">
        <f t="shared" si="1114"/>
        <v>-272.04254210424335</v>
      </c>
      <c r="P1432" s="1">
        <f t="shared" si="1085"/>
        <v>-269.95532031486084</v>
      </c>
      <c r="Q1432" s="1">
        <f t="shared" si="1126"/>
        <v>15.886958450123412</v>
      </c>
      <c r="R1432">
        <f t="shared" si="1101"/>
        <v>0</v>
      </c>
      <c r="S1432" s="23">
        <f t="shared" si="1125"/>
        <v>-2.0425421042433554</v>
      </c>
      <c r="T1432">
        <f>$S1432+測地線補正!$Q$26*(lattice!$N1432/1000)^3+測地線補正!$P$26*(lattice!$N1432/1000)^2+測地線補正!$O$26*(lattice!$N1432/1000)+測地線補正!$N$26</f>
        <v>4.4679685139185077E-2</v>
      </c>
      <c r="U1432">
        <f>-ATAN(($P$1434-$P$1432)/ABS($N$1434-$N$1432))</f>
        <v>-1.078308020749219E-4</v>
      </c>
      <c r="V1432">
        <v>0</v>
      </c>
      <c r="W1432">
        <f>ATAN(($M$1434-$M$1432)/ABS($N$1434-$N$1432))</f>
        <v>1.3282400566802632E-4</v>
      </c>
      <c r="X1432">
        <f>SQRT(($M$1432-$M$1431)^2+($N$1432-$N$1431)^2)</f>
        <v>183.69980162043797</v>
      </c>
      <c r="Y1432">
        <f>_xlfn.XLOOKUP($F1432,設計座標!$E$13:$E$2301,設計座標!$L$13:$L$2301," ",0,1)</f>
        <v>1889.4492</v>
      </c>
      <c r="Z1432">
        <f>SQRT(($M$1433-$M$1430)^2+($N$1433-$N$1430)^2)</f>
        <v>2073.1490182874768</v>
      </c>
    </row>
    <row r="1433" spans="1:28">
      <c r="A1433" t="s">
        <v>797</v>
      </c>
      <c r="B1433">
        <v>2</v>
      </c>
      <c r="C1433" t="s">
        <v>804</v>
      </c>
      <c r="D1433" t="s">
        <v>1152</v>
      </c>
      <c r="E1433" t="s">
        <v>804</v>
      </c>
      <c r="F1433" t="s">
        <v>1253</v>
      </c>
      <c r="G1433" t="s">
        <v>2685</v>
      </c>
      <c r="I1433">
        <f>_xlfn.XLOOKUP($F1433,設計座標!$E$13:$E$2301,設計座標!$G$13:$G$2301,"n/a",0,1)</f>
        <v>381.37481196136918</v>
      </c>
      <c r="J1433">
        <f>_xlfn.XLOOKUP($F1433,設計座標!$E$13:$E$2301,設計座標!$H$13:$H$2301,"n/a",0,1)</f>
        <v>-15000</v>
      </c>
      <c r="K1433">
        <f>_xlfn.XLOOKUP($F1433,設計座標!$E$13:$E$2301,設計座標!$I$13:$I$2301,"n/a",0,1)</f>
        <v>-116912.75449546002</v>
      </c>
      <c r="L1433">
        <f>_xlfn.XLOOKUP($F1433,設計座標!$E$13:$E$2301,設計座標!$J$13:$J$2301,"n/a",0,1)</f>
        <v>-270</v>
      </c>
      <c r="M1433" s="2">
        <f t="shared" si="1112"/>
        <v>-14983.987559443514</v>
      </c>
      <c r="N1433" s="2">
        <f t="shared" si="1113"/>
        <v>-116912.75449546002</v>
      </c>
      <c r="O1433" s="23">
        <f t="shared" si="1114"/>
        <v>-271.95513166122618</v>
      </c>
      <c r="P1433" s="1">
        <f t="shared" si="1085"/>
        <v>-269.85335074421494</v>
      </c>
      <c r="Q1433" s="1">
        <f t="shared" si="1126"/>
        <v>16.012440556485661</v>
      </c>
      <c r="R1433">
        <f t="shared" si="1101"/>
        <v>0</v>
      </c>
      <c r="S1433" s="23">
        <f t="shared" si="1125"/>
        <v>-1.9551316612262033</v>
      </c>
      <c r="T1433">
        <f>$S1433+測地線補正!$Q$26*(lattice!$N1433/1000)^3+測地線補正!$P$26*(lattice!$N1433/1000)^2+測地線補正!$O$26*(lattice!$N1433/1000)+測地線補正!$N$26</f>
        <v>0.14664925578505161</v>
      </c>
      <c r="U1433">
        <f t="shared" ref="U1433:U1434" si="1131">-ATAN(($P$1434-$P$1432)/ABS($N$1434-$N$1432))</f>
        <v>-1.078308020749219E-4</v>
      </c>
      <c r="V1433">
        <v>0</v>
      </c>
      <c r="W1433">
        <f t="shared" ref="W1433:W1434" si="1132">ATAN(($M$1434-$M$1432)/ABS($N$1434-$N$1432))</f>
        <v>1.3282400566802632E-4</v>
      </c>
      <c r="X1433" t="s">
        <v>3860</v>
      </c>
      <c r="Y1433">
        <f>_xlfn.XLOOKUP($F1433,設計座標!$E$13:$E$2301,設計座標!$L$13:$L$2301," ",0,1)</f>
        <v>1889.4492</v>
      </c>
      <c r="Z1433">
        <f>SQRT(($M$1433-$M$1430)^2+($N$1433-$N$1430)^2)</f>
        <v>2073.1490182874768</v>
      </c>
    </row>
    <row r="1434" spans="1:28">
      <c r="A1434" t="s">
        <v>797</v>
      </c>
      <c r="B1434">
        <v>2</v>
      </c>
      <c r="C1434" t="s">
        <v>804</v>
      </c>
      <c r="D1434" t="s">
        <v>1152</v>
      </c>
      <c r="E1434" t="s">
        <v>804</v>
      </c>
      <c r="F1434" t="s">
        <v>1641</v>
      </c>
      <c r="G1434" t="s">
        <v>2685</v>
      </c>
      <c r="I1434">
        <f>_xlfn.XLOOKUP($F1434,設計座標!$E$13:$E$2301,設計座標!$G$13:$G$2301,"n/a",0,1)</f>
        <v>382.3195365613692</v>
      </c>
      <c r="J1434">
        <f>_xlfn.XLOOKUP($F1434,設計座標!$E$13:$E$2301,設計座標!$H$13:$H$2301,"n/a",0,1)</f>
        <v>-15000</v>
      </c>
      <c r="K1434">
        <f>_xlfn.XLOOKUP($F1434,設計座標!$E$13:$E$2301,設計座標!$I$13:$I$2301,"n/a",0,1)</f>
        <v>-117857.47909546002</v>
      </c>
      <c r="L1434">
        <f>_xlfn.XLOOKUP($F1434,設計座標!$E$13:$E$2301,設計座標!$J$13:$J$2301,"n/a",0,1)</f>
        <v>-270</v>
      </c>
      <c r="M1434" s="2">
        <f t="shared" si="1112"/>
        <v>-14983.862077337151</v>
      </c>
      <c r="N1434" s="2">
        <f t="shared" si="1113"/>
        <v>-117857.47909546002</v>
      </c>
      <c r="O1434" s="23">
        <f t="shared" si="1114"/>
        <v>-271.86772121820906</v>
      </c>
      <c r="P1434" s="1">
        <f t="shared" si="1085"/>
        <v>-269.75157949135536</v>
      </c>
      <c r="Q1434" s="1">
        <f t="shared" si="1126"/>
        <v>16.13792266284791</v>
      </c>
      <c r="R1434">
        <f t="shared" si="1101"/>
        <v>0</v>
      </c>
      <c r="S1434" s="23">
        <f t="shared" si="1125"/>
        <v>-1.8677212182090517</v>
      </c>
      <c r="T1434">
        <f>$S1434+測地線補正!$Q$26*(lattice!$N1434/1000)^3+測地線補正!$P$26*(lattice!$N1434/1000)^2+測地線補正!$O$26*(lattice!$N1434/1000)+測地線補正!$N$26</f>
        <v>0.24842050864462872</v>
      </c>
      <c r="U1434">
        <f t="shared" si="1131"/>
        <v>-1.078308020749219E-4</v>
      </c>
      <c r="V1434">
        <v>0</v>
      </c>
      <c r="W1434">
        <f t="shared" si="1132"/>
        <v>1.3282400566802632E-4</v>
      </c>
      <c r="X1434" t="s">
        <v>3860</v>
      </c>
      <c r="Y1434">
        <f>_xlfn.XLOOKUP($F1434,設計座標!$E$13:$E$2301,設計座標!$L$13:$L$2301," ",0,1)</f>
        <v>1889.4492</v>
      </c>
      <c r="Z1434">
        <f>SQRT(($M$1433-$M$1430)^2+($N$1433-$N$1430)^2)</f>
        <v>2073.1490182874768</v>
      </c>
    </row>
    <row r="1435" spans="1:28">
      <c r="A1435" t="s">
        <v>797</v>
      </c>
      <c r="B1435">
        <v>2</v>
      </c>
      <c r="C1435" t="s">
        <v>1152</v>
      </c>
      <c r="D1435" t="s">
        <v>1152</v>
      </c>
      <c r="E1435" t="s">
        <v>804</v>
      </c>
      <c r="F1435" t="s">
        <v>2129</v>
      </c>
      <c r="G1435" t="s">
        <v>2129</v>
      </c>
      <c r="I1435">
        <f>_xlfn.XLOOKUP($F1435,設計座標!$E$13:$E$2301,設計座標!$G$13:$G$2301,"n/a",0,1)</f>
        <v>382.44953186136917</v>
      </c>
      <c r="J1435">
        <f>_xlfn.XLOOKUP($F1435,設計座標!$E$13:$E$2301,設計座標!$H$13:$H$2301,"n/a",0,1)</f>
        <v>-15000</v>
      </c>
      <c r="K1435">
        <f>_xlfn.XLOOKUP($F1435,設計座標!$E$13:$E$2301,設計座標!$I$13:$I$2301,"n/a",0,1)</f>
        <v>-117987.47439546001</v>
      </c>
      <c r="L1435">
        <f>_xlfn.XLOOKUP($F1435,設計座標!$E$13:$E$2301,設計座標!$J$13:$J$2301,"n/a",0,1)</f>
        <v>-270</v>
      </c>
      <c r="M1435" s="2">
        <f t="shared" si="1112"/>
        <v>-14983.844810840586</v>
      </c>
      <c r="N1435" s="2">
        <f t="shared" si="1113"/>
        <v>-117987.47439546001</v>
      </c>
      <c r="O1435" s="23">
        <f t="shared" si="1114"/>
        <v>-271.85569343067908</v>
      </c>
      <c r="P1435" s="1">
        <f t="shared" ref="P1435:P1498" si="1133">$L1435+$T1435</f>
        <v>-269.73759112181966</v>
      </c>
      <c r="Q1435" s="1">
        <f t="shared" si="1126"/>
        <v>16.155189159413354</v>
      </c>
      <c r="R1435">
        <f t="shared" si="1101"/>
        <v>0</v>
      </c>
      <c r="S1435" s="23">
        <f t="shared" si="1125"/>
        <v>-1.8556934306790698</v>
      </c>
      <c r="T1435">
        <f>$S1435+測地線補正!$Q$26*(lattice!$N1435/1000)^3+測地線補正!$P$26*(lattice!$N1435/1000)^2+測地線補正!$O$26*(lattice!$N1435/1000)+測地線補正!$N$26</f>
        <v>0.26240887818035508</v>
      </c>
      <c r="U1435">
        <v>0</v>
      </c>
      <c r="V1435">
        <v>0</v>
      </c>
      <c r="W1435">
        <v>0</v>
      </c>
      <c r="X1435">
        <f>SQRT(($M$1435-$M$1434)^2+($N$1435-$N$1434)^2)</f>
        <v>129.99530114669767</v>
      </c>
      <c r="Y1435">
        <f>_xlfn.XLOOKUP($F1435,設計座標!$E$13:$E$2301,設計座標!$L$13:$L$2301," ",0,1)</f>
        <v>0</v>
      </c>
      <c r="Z1435">
        <f>SQRT(($M$1435-$M$1433)^2+($N$1435-$N$1433)^2)</f>
        <v>1074.719909480217</v>
      </c>
    </row>
    <row r="1436" spans="1:28">
      <c r="A1436" t="s">
        <v>797</v>
      </c>
      <c r="B1436">
        <v>2</v>
      </c>
      <c r="C1436" t="s">
        <v>805</v>
      </c>
      <c r="D1436" t="s">
        <v>806</v>
      </c>
      <c r="F1436" t="s">
        <v>743</v>
      </c>
      <c r="G1436" t="s">
        <v>743</v>
      </c>
      <c r="I1436">
        <f>_xlfn.XLOOKUP($F1436,設計座標!$E$13:$E$2301,設計座標!$G$13:$G$2301,"n/a",0,1)</f>
        <v>382.62324562764911</v>
      </c>
      <c r="J1436">
        <f>_xlfn.XLOOKUP($F1436,設計座標!$E$13:$E$2301,設計座標!$H$13:$H$2301,"n/a",0,1)</f>
        <v>-15000</v>
      </c>
      <c r="K1436">
        <f>_xlfn.XLOOKUP($F1436,設計座標!$E$13:$E$2301,設計座標!$I$13:$I$2301,"n/a",0,1)</f>
        <v>-118161.18816173999</v>
      </c>
      <c r="L1436">
        <f>_xlfn.XLOOKUP($F1436,設計座標!$E$13:$E$2301,設計座標!$J$13:$J$2301,"n/a",0,1)</f>
        <v>-60</v>
      </c>
      <c r="M1436" s="2">
        <f t="shared" si="1112"/>
        <v>-14983.821737482174</v>
      </c>
      <c r="N1436" s="2">
        <f t="shared" si="1113"/>
        <v>-118161.18816173999</v>
      </c>
      <c r="O1436" s="23">
        <f t="shared" si="1114"/>
        <v>-61.839620601339483</v>
      </c>
      <c r="P1436" s="1">
        <f t="shared" si="1133"/>
        <v>-59.718904189124302</v>
      </c>
      <c r="Q1436" s="1">
        <f t="shared" si="1126"/>
        <v>16.178262517825882</v>
      </c>
      <c r="R1436">
        <f t="shared" si="1101"/>
        <v>0</v>
      </c>
      <c r="S1436" s="23">
        <f t="shared" si="1125"/>
        <v>-1.8396206013394814</v>
      </c>
      <c r="T1436">
        <f>$S1436+測地線補正!$Q$26*(lattice!$N1436/1000)^3+測地線補正!$P$26*(lattice!$N1436/1000)^2+測地線補正!$O$26*(lattice!$N1436/1000)+測地線補正!$N$26</f>
        <v>0.28109581087569935</v>
      </c>
      <c r="U1436">
        <f>-ATAN(($P$1437-$P$1436)/ABS($N$1437-$N$1436))</f>
        <v>-1.0754948532458451E-4</v>
      </c>
      <c r="V1436">
        <v>0</v>
      </c>
      <c r="W1436">
        <f>ATAN(($M$1437-$M$1436)/ABS($N$1437-$N$1436))</f>
        <v>1.3282400567838327E-4</v>
      </c>
      <c r="X1436">
        <f>$Z$1437-($Y$1437+$Y$1435)/2</f>
        <v>153.71376816517187</v>
      </c>
      <c r="Y1436">
        <f>_xlfn.XLOOKUP($F1436,設計座標!$E$13:$E$2301,設計座標!$L$13:$L$2301," ",0,1)</f>
        <v>120</v>
      </c>
      <c r="Z1436">
        <f>SQRT(($M$1437-$M$1435)^2+($N$1437-$N$1435)^2)</f>
        <v>213.71376816517187</v>
      </c>
      <c r="AA1436">
        <f>_xlfn.XLOOKUP($G1436,magnet_list!$A$2:$A$592,magnet_list!$AJ$2:$AJ$592,"n/a",0,1)</f>
        <v>0.1333</v>
      </c>
      <c r="AB1436">
        <f>_xlfn.XLOOKUP($G1436,magnet_list!$A$2:$A$592,magnet_list!$L$2:$L$592,"n/a",0,1)</f>
        <v>23</v>
      </c>
    </row>
    <row r="1437" spans="1:28">
      <c r="A1437" t="s">
        <v>797</v>
      </c>
      <c r="B1437">
        <v>2</v>
      </c>
      <c r="C1437" t="s">
        <v>805</v>
      </c>
      <c r="D1437" t="s">
        <v>1152</v>
      </c>
      <c r="E1437" t="s">
        <v>804</v>
      </c>
      <c r="F1437" t="s">
        <v>744</v>
      </c>
      <c r="G1437" t="s">
        <v>743</v>
      </c>
      <c r="I1437">
        <f>_xlfn.XLOOKUP($F1437,設計座標!$E$13:$E$2301,設計座標!$G$13:$G$2301,"n/a",0,1)</f>
        <v>382.66324562764913</v>
      </c>
      <c r="J1437">
        <f>_xlfn.XLOOKUP($F1437,設計座標!$E$13:$E$2301,設計座標!$H$13:$H$2301,"n/a",0,1)</f>
        <v>-15000</v>
      </c>
      <c r="K1437">
        <f>_xlfn.XLOOKUP($F1437,設計座標!$E$13:$E$2301,設計座標!$I$13:$I$2301,"n/a",0,1)</f>
        <v>-118201.18816173999</v>
      </c>
      <c r="L1437">
        <f>_xlfn.XLOOKUP($F1437,設計座標!$E$13:$E$2301,設計座標!$J$13:$J$2301,"n/a",0,1)</f>
        <v>-60</v>
      </c>
      <c r="M1437" s="2">
        <f t="shared" si="1112"/>
        <v>-14983.816424521916</v>
      </c>
      <c r="N1437" s="2">
        <f t="shared" si="1113"/>
        <v>-118201.18816173999</v>
      </c>
      <c r="O1437" s="23">
        <f t="shared" si="1114"/>
        <v>-61.835919609832871</v>
      </c>
      <c r="P1437" s="1">
        <f t="shared" si="1133"/>
        <v>-59.714602209694732</v>
      </c>
      <c r="Q1437" s="1">
        <f t="shared" si="1126"/>
        <v>16.183575478083814</v>
      </c>
      <c r="R1437">
        <f t="shared" si="1101"/>
        <v>0</v>
      </c>
      <c r="S1437" s="23">
        <f t="shared" si="1125"/>
        <v>-1.8359196098328707</v>
      </c>
      <c r="T1437">
        <f>$S1437+測地線補正!$Q$26*(lattice!$N1437/1000)^3+測地線補正!$P$26*(lattice!$N1437/1000)^2+測地線補正!$O$26*(lattice!$N1437/1000)+測地線補正!$N$26</f>
        <v>0.28539779030527046</v>
      </c>
      <c r="U1437">
        <f>-ATAN(($P$1437-$P$1436)/ABS($N$1437-$N$1436))</f>
        <v>-1.0754948532458451E-4</v>
      </c>
      <c r="V1437">
        <v>0</v>
      </c>
      <c r="W1437">
        <f>ATAN(($M$1437-$M$1436)/ABS($N$1437-$N$1436))</f>
        <v>1.3282400567838327E-4</v>
      </c>
      <c r="X1437">
        <f>$Z$1437-($Y$1437+$Y$1435)/2</f>
        <v>153.71376816517187</v>
      </c>
      <c r="Y1437">
        <f>_xlfn.XLOOKUP($F1437,設計座標!$E$13:$E$2301,設計座標!$L$13:$L$2301," ",0,1)</f>
        <v>120</v>
      </c>
      <c r="Z1437">
        <f>SQRT(($M$1437-$M$1435)^2+($N$1437-$N$1435)^2)</f>
        <v>213.71376816517187</v>
      </c>
      <c r="AA1437">
        <f>_xlfn.XLOOKUP($G1437,magnet_list!$A$2:$A$592,magnet_list!$AJ$2:$AJ$592,"n/a",0,1)</f>
        <v>0.1333</v>
      </c>
      <c r="AB1437">
        <f>_xlfn.XLOOKUP($G1437,magnet_list!$A$2:$A$592,magnet_list!$L$2:$L$592,"n/a",0,1)</f>
        <v>23</v>
      </c>
    </row>
    <row r="1438" spans="1:28">
      <c r="A1438" t="s">
        <v>797</v>
      </c>
      <c r="B1438">
        <v>2</v>
      </c>
      <c r="C1438" t="s">
        <v>805</v>
      </c>
      <c r="D1438" t="s">
        <v>806</v>
      </c>
      <c r="F1438" t="s">
        <v>382</v>
      </c>
      <c r="G1438" t="s">
        <v>2686</v>
      </c>
      <c r="I1438">
        <f>_xlfn.XLOOKUP($F1438,設計座標!$E$13:$E$2301,設計座標!$G$13:$G$2301,"n/a",0,1)</f>
        <v>382.90327762764912</v>
      </c>
      <c r="J1438">
        <f>_xlfn.XLOOKUP($F1438,設計座標!$E$13:$E$2301,設計座標!$H$13:$H$2301,"n/a",0,1)</f>
        <v>-15000</v>
      </c>
      <c r="K1438">
        <f>_xlfn.XLOOKUP($F1438,設計座標!$E$13:$E$2301,設計座標!$I$13:$I$2301,"n/a",0,1)</f>
        <v>-118441.22016174</v>
      </c>
      <c r="L1438">
        <f>_xlfn.XLOOKUP($F1438,設計座標!$E$13:$E$2301,設計座標!$J$13:$J$2301,"n/a",0,1)</f>
        <v>-70</v>
      </c>
      <c r="M1438" s="2">
        <f>_xlfn.XLOOKUP($F1438,survey_data!$A$2:$A$833,survey_data!$B$2:$B$833,"n/a",0,1)</f>
        <v>-14983.78454251</v>
      </c>
      <c r="N1438" s="2">
        <f>_xlfn.XLOOKUP($F1438,survey_data!$A$2:$A$833,survey_data!$C$2:$C$833,"n/a",0,1)</f>
        <v>-118441.22016174</v>
      </c>
      <c r="O1438" s="23">
        <f>_xlfn.XLOOKUP($F1438,survey_data!$A$2:$A$833,survey_data!$D$2:$D$833,"n/a",0,1)</f>
        <v>-71.813710700000001</v>
      </c>
      <c r="P1438" s="1">
        <f t="shared" si="1133"/>
        <v>-69.688794322350091</v>
      </c>
      <c r="Q1438" s="1">
        <f t="shared" si="1102"/>
        <v>16.215457489999608</v>
      </c>
      <c r="R1438">
        <f t="shared" si="1101"/>
        <v>0</v>
      </c>
      <c r="S1438" s="23">
        <f t="shared" si="1103"/>
        <v>-1.8137107000000015</v>
      </c>
      <c r="T1438">
        <f>$S1438+測地線補正!$Q$26*(lattice!$N1438/1000)^3+測地線補正!$P$26*(lattice!$N1438/1000)^2+測地線補正!$O$26*(lattice!$N1438/1000)+測地線補正!$N$26</f>
        <v>0.31120567764990237</v>
      </c>
      <c r="U1438">
        <f>-ATAN(($P$1440-$P$1438)/ABS($N$1440-$N$1438))</f>
        <v>-1.471093157235526E-3</v>
      </c>
      <c r="V1438">
        <v>0</v>
      </c>
      <c r="W1438">
        <f>ATAN(($M$1440-$M$1438)/ABS($N$1440-$N$1438))</f>
        <v>1.1558820892027626E-3</v>
      </c>
      <c r="X1438">
        <f>$Z$1439-($Y$1439+$Y$1437)/2</f>
        <v>170.04801090029241</v>
      </c>
      <c r="Y1438">
        <f>_xlfn.XLOOKUP($F1438,設計座標!$E$13:$E$2301,設計座標!$L$13:$L$2301," ",0,1)</f>
        <v>100</v>
      </c>
      <c r="Z1438">
        <f>SQRT(($M$1439-$M$1437)^2+($N$1439-$N$1437)^2)</f>
        <v>280.04801090029241</v>
      </c>
      <c r="AA1438">
        <f>_xlfn.XLOOKUP($G1438,magnet_list!$A$2:$A$592,magnet_list!$AJ$2:$AJ$592,"n/a",0,1)</f>
        <v>0.1415535</v>
      </c>
      <c r="AB1438">
        <f>_xlfn.XLOOKUP($G1438,magnet_list!$A$2:$A$592,magnet_list!$L$2:$L$592,"n/a",0,1)</f>
        <v>44</v>
      </c>
    </row>
    <row r="1439" spans="1:28">
      <c r="A1439" t="s">
        <v>797</v>
      </c>
      <c r="B1439">
        <v>2</v>
      </c>
      <c r="C1439" t="s">
        <v>805</v>
      </c>
      <c r="D1439" t="s">
        <v>1152</v>
      </c>
      <c r="E1439" t="s">
        <v>804</v>
      </c>
      <c r="F1439" t="s">
        <v>746</v>
      </c>
      <c r="G1439" t="s">
        <v>2686</v>
      </c>
      <c r="I1439">
        <f>_xlfn.XLOOKUP($F1439,設計座標!$E$13:$E$2301,設計座標!$G$13:$G$2301,"n/a",0,1)</f>
        <v>382.9432936276491</v>
      </c>
      <c r="J1439">
        <f>_xlfn.XLOOKUP($F1439,設計座標!$E$13:$E$2301,設計座標!$H$13:$H$2301,"n/a",0,1)</f>
        <v>-15000</v>
      </c>
      <c r="K1439">
        <f>_xlfn.XLOOKUP($F1439,設計座標!$E$13:$E$2301,設計座標!$I$13:$I$2301,"n/a",0,1)</f>
        <v>-118481.23616174</v>
      </c>
      <c r="L1439">
        <f>_xlfn.XLOOKUP($F1439,設計座標!$E$13:$E$2301,設計座標!$J$13:$J$2301,"n/a",0,1)</f>
        <v>-70</v>
      </c>
      <c r="M1439" s="2">
        <f t="shared" si="1112"/>
        <v>-14983.73828871172</v>
      </c>
      <c r="N1439" s="2">
        <f t="shared" si="1113"/>
        <v>-118481.23616174</v>
      </c>
      <c r="O1439" s="23">
        <f t="shared" si="1114"/>
        <v>-71.755441967832866</v>
      </c>
      <c r="P1439" s="1">
        <f t="shared" si="1133"/>
        <v>-69.629926839048196</v>
      </c>
      <c r="Q1439" s="1">
        <f>(Q$1440-Q$1438)/($N$1440-$N$1438)*($N1439-$N$1438)+Q$1438</f>
        <v>16.261711288280488</v>
      </c>
      <c r="R1439">
        <f t="shared" si="1101"/>
        <v>0</v>
      </c>
      <c r="S1439" s="23">
        <f>(S$1440-S$1438)/($N$1440-$N$1438)*($N1439-$N$1438)+S$1438</f>
        <v>-1.7554419678328661</v>
      </c>
      <c r="T1439">
        <f>$S1439+測地線補正!$Q$26*(lattice!$N1439/1000)^3+測地線補正!$P$26*(lattice!$N1439/1000)^2+測地線補正!$O$26*(lattice!$N1439/1000)+測地線補正!$N$26</f>
        <v>0.37007316095180731</v>
      </c>
      <c r="U1439">
        <f t="shared" ref="U1439:U1440" si="1134">-ATAN(($P$1440-$P$1438)/ABS($N$1440-$N$1438))</f>
        <v>-1.471093157235526E-3</v>
      </c>
      <c r="V1439">
        <v>0</v>
      </c>
      <c r="W1439">
        <f t="shared" ref="W1439:W1440" si="1135">ATAN(($M$1440-$M$1438)/ABS($N$1440-$N$1438))</f>
        <v>1.1558820892027626E-3</v>
      </c>
      <c r="X1439">
        <f>$Z$1439-($Y$1439+$Y$1437)/2</f>
        <v>170.04801090029241</v>
      </c>
      <c r="Y1439">
        <f>_xlfn.XLOOKUP($F1439,設計座標!$E$13:$E$2301,設計座標!$L$13:$L$2301," ",0,1)</f>
        <v>100</v>
      </c>
      <c r="Z1439">
        <f>SQRT(($M$1439-$M$1437)^2+($N$1439-$N$1437)^2)</f>
        <v>280.04801090029241</v>
      </c>
      <c r="AA1439">
        <f>_xlfn.XLOOKUP($G1439,magnet_list!$A$2:$A$592,magnet_list!$AJ$2:$AJ$592,"n/a",0,1)</f>
        <v>0.1415535</v>
      </c>
      <c r="AB1439">
        <f>_xlfn.XLOOKUP($G1439,magnet_list!$A$2:$A$592,magnet_list!$L$2:$L$592,"n/a",0,1)</f>
        <v>44</v>
      </c>
    </row>
    <row r="1440" spans="1:28">
      <c r="A1440" t="s">
        <v>797</v>
      </c>
      <c r="B1440">
        <v>2</v>
      </c>
      <c r="C1440" t="s">
        <v>805</v>
      </c>
      <c r="D1440" t="s">
        <v>806</v>
      </c>
      <c r="F1440" t="s">
        <v>383</v>
      </c>
      <c r="G1440" t="s">
        <v>2686</v>
      </c>
      <c r="I1440">
        <f>_xlfn.XLOOKUP($F1440,設計座標!$E$13:$E$2301,設計座標!$G$13:$G$2301,"n/a",0,1)</f>
        <v>382.98334896852913</v>
      </c>
      <c r="J1440">
        <f>_xlfn.XLOOKUP($F1440,設計座標!$E$13:$E$2301,設計座標!$H$13:$H$2301,"n/a",0,1)</f>
        <v>-15000</v>
      </c>
      <c r="K1440">
        <f>_xlfn.XLOOKUP($F1440,設計座標!$E$13:$E$2301,設計座標!$I$13:$I$2301,"n/a",0,1)</f>
        <v>-118521.29150262001</v>
      </c>
      <c r="L1440">
        <f>_xlfn.XLOOKUP($F1440,設計座標!$E$13:$E$2301,設計座標!$J$13:$J$2301,"n/a",0,1)</f>
        <v>-70</v>
      </c>
      <c r="M1440" s="2">
        <f>_xlfn.XLOOKUP($F1440,survey_data!$A$2:$A$833,survey_data!$B$2:$B$833,"n/a",0,1)</f>
        <v>-14983.69198944</v>
      </c>
      <c r="N1440" s="2">
        <f>_xlfn.XLOOKUP($F1440,survey_data!$A$2:$A$833,survey_data!$C$2:$C$833,"n/a",0,1)</f>
        <v>-118521.29150262001</v>
      </c>
      <c r="O1440" s="23">
        <f>_xlfn.XLOOKUP($F1440,survey_data!$A$2:$A$833,survey_data!$D$2:$D$833,"n/a",0,1)</f>
        <v>-71.697115949999997</v>
      </c>
      <c r="P1440" s="1">
        <f t="shared" si="1133"/>
        <v>-69.571001835718661</v>
      </c>
      <c r="Q1440" s="1">
        <f t="shared" si="1102"/>
        <v>16.308010560000184</v>
      </c>
      <c r="R1440">
        <f t="shared" si="1101"/>
        <v>0</v>
      </c>
      <c r="S1440" s="23">
        <f t="shared" si="1103"/>
        <v>-1.697115949999997</v>
      </c>
      <c r="T1440">
        <f>$S1440+測地線補正!$Q$26*(lattice!$N1440/1000)^3+測地線補正!$P$26*(lattice!$N1440/1000)^2+測地線補正!$O$26*(lattice!$N1440/1000)+測地線補正!$N$26</f>
        <v>0.42899816428133408</v>
      </c>
      <c r="U1440">
        <f t="shared" si="1134"/>
        <v>-1.471093157235526E-3</v>
      </c>
      <c r="V1440">
        <v>0</v>
      </c>
      <c r="W1440">
        <f t="shared" si="1135"/>
        <v>1.1558820892027626E-3</v>
      </c>
      <c r="X1440">
        <f>$Z$1439-($Y$1439+$Y$1437)/2</f>
        <v>170.04801090029241</v>
      </c>
      <c r="Y1440">
        <f>_xlfn.XLOOKUP($F1440,設計座標!$E$13:$E$2301,設計座標!$L$13:$L$2301," ",0,1)</f>
        <v>100</v>
      </c>
      <c r="Z1440">
        <f>SQRT(($M$1439-$M$1437)^2+($N$1439-$N$1437)^2)</f>
        <v>280.04801090029241</v>
      </c>
      <c r="AA1440">
        <f>_xlfn.XLOOKUP($G1440,magnet_list!$A$2:$A$592,magnet_list!$AJ$2:$AJ$592,"n/a",0,1)</f>
        <v>0.1415535</v>
      </c>
      <c r="AB1440">
        <f>_xlfn.XLOOKUP($G1440,magnet_list!$A$2:$A$592,magnet_list!$L$2:$L$592,"n/a",0,1)</f>
        <v>44</v>
      </c>
    </row>
    <row r="1441" spans="1:28">
      <c r="A1441" t="s">
        <v>797</v>
      </c>
      <c r="B1441">
        <v>2</v>
      </c>
      <c r="C1441" t="s">
        <v>805</v>
      </c>
      <c r="D1441" t="s">
        <v>1152</v>
      </c>
      <c r="E1441" t="s">
        <v>804</v>
      </c>
      <c r="F1441" t="s">
        <v>745</v>
      </c>
      <c r="G1441" t="s">
        <v>384</v>
      </c>
      <c r="I1441">
        <f>_xlfn.XLOOKUP($F1441,設計座標!$E$13:$E$2301,設計座標!$G$13:$G$2301,"n/a",0,1)</f>
        <v>383.2227254062891</v>
      </c>
      <c r="J1441">
        <f>_xlfn.XLOOKUP($F1441,設計座標!$E$13:$E$2301,設計座標!$H$13:$H$2301,"n/a",0,1)</f>
        <v>-15000</v>
      </c>
      <c r="K1441">
        <f>_xlfn.XLOOKUP($F1441,設計座標!$E$13:$E$2301,設計座標!$I$13:$I$2301,"n/a",0,1)</f>
        <v>-118760.66794037999</v>
      </c>
      <c r="L1441">
        <f>_xlfn.XLOOKUP($F1441,設計座標!$E$13:$E$2301,設計座標!$J$13:$J$2301,"n/a",0,1)</f>
        <v>-60</v>
      </c>
      <c r="M1441" s="2">
        <f t="shared" si="1112"/>
        <v>-14983.881646122136</v>
      </c>
      <c r="N1441" s="2">
        <f t="shared" si="1113"/>
        <v>-118760.66794037999</v>
      </c>
      <c r="O1441" s="23">
        <f t="shared" si="1114"/>
        <v>-62.195999737945478</v>
      </c>
      <c r="P1441" s="1">
        <f t="shared" si="1133"/>
        <v>-60.066313386718726</v>
      </c>
      <c r="Q1441" s="1">
        <f>(Q$1442-Q$1440)/($N$1442-$N$1440)*($N1441-$N$1440)+Q$1440</f>
        <v>16.118353877864848</v>
      </c>
      <c r="R1441">
        <f t="shared" si="1101"/>
        <v>0</v>
      </c>
      <c r="S1441" s="23">
        <f>(S$1442-S$1440)/($N$1442-$N$1440)*($N1441-$N$1440)+S$1440</f>
        <v>-2.1959997379454785</v>
      </c>
      <c r="T1441">
        <f>$S1441+測地線補正!$Q$26*(lattice!$N1441/1000)^3+測地線補正!$P$26*(lattice!$N1441/1000)^2+測地線補正!$O$26*(lattice!$N1441/1000)+測地線補正!$N$26</f>
        <v>-6.6313386718725775E-2</v>
      </c>
      <c r="U1441">
        <f>-ATAN(($P$1442-$P$1441)/ABS($N$1442-$N$1441))</f>
        <v>2.0692020914173477E-3</v>
      </c>
      <c r="V1441">
        <v>0</v>
      </c>
      <c r="W1441">
        <f>ATAN(($M$1442-$M$1441)/ABS($N$1442-$N$1441))</f>
        <v>-7.9229453082930665E-4</v>
      </c>
      <c r="X1441">
        <f>$Z$1441-($Y$1441+$Y$1439)/2</f>
        <v>169.4318154134499</v>
      </c>
      <c r="Y1441">
        <f>_xlfn.XLOOKUP($F1441,設計座標!$E$13:$E$2301,設計座標!$L$13:$L$2301," ",0,1)</f>
        <v>120</v>
      </c>
      <c r="Z1441">
        <f>SQRT(($M$1441-$M$1439)^2+($N$1441-$N$1439)^2)</f>
        <v>279.4318154134499</v>
      </c>
      <c r="AA1441">
        <f>_xlfn.XLOOKUP($G1441,magnet_list!$A$2:$A$592,magnet_list!$AJ$2:$AJ$592,"n/a",0,1)</f>
        <v>0.1333</v>
      </c>
      <c r="AB1441">
        <f>_xlfn.XLOOKUP($G1441,magnet_list!$A$2:$A$592,magnet_list!$L$2:$L$592,"n/a",0,1)</f>
        <v>23</v>
      </c>
    </row>
    <row r="1442" spans="1:28">
      <c r="A1442" t="s">
        <v>797</v>
      </c>
      <c r="B1442">
        <v>2</v>
      </c>
      <c r="C1442" t="s">
        <v>805</v>
      </c>
      <c r="D1442" t="s">
        <v>806</v>
      </c>
      <c r="F1442" t="s">
        <v>384</v>
      </c>
      <c r="G1442" t="s">
        <v>384</v>
      </c>
      <c r="I1442">
        <f>_xlfn.XLOOKUP($F1442,設計座標!$E$13:$E$2301,設計座標!$G$13:$G$2301,"n/a",0,1)</f>
        <v>383.26272540628912</v>
      </c>
      <c r="J1442">
        <f>_xlfn.XLOOKUP($F1442,設計座標!$E$13:$E$2301,設計座標!$H$13:$H$2301,"n/a",0,1)</f>
        <v>-15000</v>
      </c>
      <c r="K1442">
        <f>_xlfn.XLOOKUP($F1442,設計座標!$E$13:$E$2301,設計座標!$I$13:$I$2301,"n/a",0,1)</f>
        <v>-118800.66794037999</v>
      </c>
      <c r="L1442">
        <f>_xlfn.XLOOKUP($F1442,設計座標!$E$13:$E$2301,設計座標!$J$13:$J$2301,"n/a",0,1)</f>
        <v>-60</v>
      </c>
      <c r="M1442" s="2">
        <f>_xlfn.XLOOKUP($F1442,survey_data!$A$2:$A$833,survey_data!$B$2:$B$833,"n/a",0,1)</f>
        <v>-14983.91333791</v>
      </c>
      <c r="N1442" s="2">
        <f>_xlfn.XLOOKUP($F1442,survey_data!$A$2:$A$833,survey_data!$C$2:$C$833,"n/a",0,1)</f>
        <v>-118800.66794037999</v>
      </c>
      <c r="O1442" s="23">
        <f>_xlfn.XLOOKUP($F1442,survey_data!$A$2:$A$833,survey_data!$D$2:$D$833,"n/a",0,1)</f>
        <v>-62.279363629999999</v>
      </c>
      <c r="P1442" s="1">
        <f t="shared" si="1133"/>
        <v>-60.149081588502156</v>
      </c>
      <c r="Q1442" s="1">
        <f t="shared" si="1102"/>
        <v>16.086662089999663</v>
      </c>
      <c r="R1442">
        <f t="shared" si="1101"/>
        <v>0</v>
      </c>
      <c r="S1442" s="23">
        <f t="shared" si="1103"/>
        <v>-2.2793636299999989</v>
      </c>
      <c r="T1442">
        <f>$S1442+測地線補正!$Q$26*(lattice!$N1442/1000)^3+測地線補正!$P$26*(lattice!$N1442/1000)^2+測地線補正!$O$26*(lattice!$N1442/1000)+測地線補正!$N$26</f>
        <v>-0.14908158850215281</v>
      </c>
      <c r="U1442">
        <f>-ATAN(($P$1442-$P$1441)/ABS($N$1442-$N$1441))</f>
        <v>2.0692020914173477E-3</v>
      </c>
      <c r="V1442">
        <v>0</v>
      </c>
      <c r="W1442">
        <f>ATAN(($M$1442-$M$1441)/ABS($N$1442-$N$1441))</f>
        <v>-7.9229453082930665E-4</v>
      </c>
      <c r="X1442">
        <f>$Z$1441-($Y$1441+$Y$1439)/2</f>
        <v>169.4318154134499</v>
      </c>
      <c r="Y1442">
        <f>_xlfn.XLOOKUP($F1442,設計座標!$E$13:$E$2301,設計座標!$L$13:$L$2301," ",0,1)</f>
        <v>120</v>
      </c>
      <c r="Z1442">
        <f>SQRT(($M$1441-$M$1439)^2+($N$1441-$N$1439)^2)</f>
        <v>279.4318154134499</v>
      </c>
      <c r="AA1442">
        <f>_xlfn.XLOOKUP($G1442,magnet_list!$A$2:$A$592,magnet_list!$AJ$2:$AJ$592,"n/a",0,1)</f>
        <v>0.1333</v>
      </c>
      <c r="AB1442">
        <f>_xlfn.XLOOKUP($G1442,magnet_list!$A$2:$A$592,magnet_list!$L$2:$L$592,"n/a",0,1)</f>
        <v>23</v>
      </c>
    </row>
    <row r="1443" spans="1:28">
      <c r="A1443" t="s">
        <v>797</v>
      </c>
      <c r="B1443">
        <v>2</v>
      </c>
      <c r="C1443" t="s">
        <v>1152</v>
      </c>
      <c r="D1443" t="s">
        <v>1152</v>
      </c>
      <c r="E1443" t="s">
        <v>804</v>
      </c>
      <c r="F1443" t="s">
        <v>2130</v>
      </c>
      <c r="G1443" t="s">
        <v>2130</v>
      </c>
      <c r="I1443">
        <f>_xlfn.XLOOKUP($F1443,設計座標!$E$13:$E$2301,設計座標!$G$13:$G$2301,"n/a",0,1)</f>
        <v>383.43064886136915</v>
      </c>
      <c r="J1443">
        <f>_xlfn.XLOOKUP($F1443,設計座標!$E$13:$E$2301,設計座標!$H$13:$H$2301,"n/a",0,1)</f>
        <v>-15000</v>
      </c>
      <c r="K1443">
        <f>_xlfn.XLOOKUP($F1443,設計座標!$E$13:$E$2301,設計座標!$I$13:$I$2301,"n/a",0,1)</f>
        <v>-118968.59139546001</v>
      </c>
      <c r="L1443">
        <f>_xlfn.XLOOKUP($F1443,設計座標!$E$13:$E$2301,設計座標!$J$13:$J$2301,"n/a",0,1)</f>
        <v>-270</v>
      </c>
      <c r="M1443" s="2">
        <f t="shared" si="1112"/>
        <v>-14983.89732487033</v>
      </c>
      <c r="N1443" s="2">
        <f t="shared" si="1113"/>
        <v>-118968.59139546001</v>
      </c>
      <c r="O1443" s="23">
        <f t="shared" si="1114"/>
        <v>-272.29865352293291</v>
      </c>
      <c r="P1443" s="1">
        <f t="shared" si="1133"/>
        <v>-270.16587457393172</v>
      </c>
      <c r="Q1443" s="1">
        <f>(Q$1453-Q$1442)/($N$1453-$N$1442)*($N1443-$N$1442)+Q$1442</f>
        <v>16.102675129669908</v>
      </c>
      <c r="R1443">
        <f t="shared" si="1101"/>
        <v>0</v>
      </c>
      <c r="S1443" s="23">
        <f t="shared" ref="S1443:S1452" si="1136">(S$1453-S$1442)/($N$1453-$N$1442)*($N1443-$N$1442)+S$1442</f>
        <v>-2.2986535229328977</v>
      </c>
      <c r="T1443">
        <f>$S1443+測地線補正!$Q$26*(lattice!$N1443/1000)^3+測地線補正!$P$26*(lattice!$N1443/1000)^2+測地線補正!$O$26*(lattice!$N1443/1000)+測地線補正!$N$26</f>
        <v>-0.16587457393170291</v>
      </c>
      <c r="U1443">
        <v>0</v>
      </c>
      <c r="V1443">
        <v>0</v>
      </c>
      <c r="W1443">
        <v>0</v>
      </c>
      <c r="X1443">
        <f>$Z$1443-($Y$1443+$Y$1441)/2</f>
        <v>147.92345567115601</v>
      </c>
      <c r="Y1443">
        <f>_xlfn.XLOOKUP($F1443,設計座標!$E$13:$E$2301,設計座標!$L$13:$L$2301," ",0,1)</f>
        <v>0</v>
      </c>
      <c r="Z1443">
        <f>SQRT(($M$1443-$M$1441)^2+($N$1443-$N$1441)^2)</f>
        <v>207.92345567115601</v>
      </c>
    </row>
    <row r="1444" spans="1:28">
      <c r="A1444" t="s">
        <v>797</v>
      </c>
      <c r="B1444">
        <v>2</v>
      </c>
      <c r="C1444" t="s">
        <v>804</v>
      </c>
      <c r="D1444" t="s">
        <v>1152</v>
      </c>
      <c r="E1444" t="s">
        <v>804</v>
      </c>
      <c r="F1444" t="s">
        <v>1642</v>
      </c>
      <c r="G1444" t="s">
        <v>2687</v>
      </c>
      <c r="I1444">
        <f>_xlfn.XLOOKUP($F1444,設計座標!$E$13:$E$2301,設計座標!$G$13:$G$2301,"n/a",0,1)</f>
        <v>383.63164836136912</v>
      </c>
      <c r="J1444">
        <f>_xlfn.XLOOKUP($F1444,設計座標!$E$13:$E$2301,設計座標!$H$13:$H$2301,"n/a",0,1)</f>
        <v>-15000</v>
      </c>
      <c r="K1444">
        <f>_xlfn.XLOOKUP($F1444,設計座標!$E$13:$E$2301,設計座標!$I$13:$I$2301,"n/a",0,1)</f>
        <v>-119169.59089546002</v>
      </c>
      <c r="L1444">
        <f>_xlfn.XLOOKUP($F1444,設計座標!$E$13:$E$2301,設計座標!$J$13:$J$2301,"n/a",0,1)</f>
        <v>-270</v>
      </c>
      <c r="M1444" s="2">
        <f t="shared" si="1112"/>
        <v>-14983.878157726791</v>
      </c>
      <c r="N1444" s="2">
        <f t="shared" si="1113"/>
        <v>-119169.59089546002</v>
      </c>
      <c r="O1444" s="23">
        <f t="shared" si="1114"/>
        <v>-272.3217429646831</v>
      </c>
      <c r="P1444" s="1">
        <f t="shared" si="1133"/>
        <v>-270.18598346608513</v>
      </c>
      <c r="Q1444" s="1">
        <f t="shared" ref="Q1444:Q1452" si="1137">(Q$1453-Q$1442)/($N$1453-$N$1442)*($N1444-$N$1442)+Q$1442</f>
        <v>16.121842273209595</v>
      </c>
      <c r="R1444">
        <f t="shared" si="1101"/>
        <v>0</v>
      </c>
      <c r="S1444" s="23">
        <f t="shared" si="1136"/>
        <v>-2.3217429646831214</v>
      </c>
      <c r="T1444">
        <f>$S1444+測地線補正!$Q$26*(lattice!$N1444/1000)^3+測地線補正!$P$26*(lattice!$N1444/1000)^2+測地線補正!$O$26*(lattice!$N1444/1000)+測地線補正!$N$26</f>
        <v>-0.18598346608513538</v>
      </c>
      <c r="U1444">
        <f>-ATAN(($P$1448-$P$1444)/ABS($N$1448-$N$1444))</f>
        <v>1.0027434154914484E-4</v>
      </c>
      <c r="V1444">
        <v>0</v>
      </c>
      <c r="W1444">
        <f>ATAN(($M$1448-$M$1444)/ABS($N$1448-$N$1444))</f>
        <v>9.53591600058438E-5</v>
      </c>
      <c r="X1444">
        <f>SQRT(($M$1444-$M$1443)^2+($N$1444-$N$1443)^2)</f>
        <v>200.99950091388672</v>
      </c>
      <c r="Y1444">
        <f>_xlfn.XLOOKUP($F1444,設計座標!$E$13:$E$2301,設計座標!$L$13:$L$2301," ",0,1)</f>
        <v>1889.4492</v>
      </c>
      <c r="Z1444">
        <f>SQRT(($M$1447-$M$1445)^2+($N$1447-$N$1445)^2)</f>
        <v>307.22410139685786</v>
      </c>
    </row>
    <row r="1445" spans="1:28">
      <c r="A1445" t="s">
        <v>797</v>
      </c>
      <c r="B1445">
        <v>2</v>
      </c>
      <c r="C1445" t="s">
        <v>3855</v>
      </c>
      <c r="D1445" t="s">
        <v>1152</v>
      </c>
      <c r="E1445" t="s">
        <v>804</v>
      </c>
      <c r="F1445" t="s">
        <v>2131</v>
      </c>
      <c r="G1445" t="s">
        <v>2131</v>
      </c>
      <c r="I1445">
        <f>_xlfn.XLOOKUP($F1445,設計座標!$E$13:$E$2301,設計座標!$G$13:$G$2301,"n/a",0,1)</f>
        <v>384.26914886136916</v>
      </c>
      <c r="J1445">
        <f>_xlfn.XLOOKUP($F1445,設計座標!$E$13:$E$2301,設計座標!$H$13:$H$2301,"n/a",0,1)</f>
        <v>-15000</v>
      </c>
      <c r="K1445">
        <f>_xlfn.XLOOKUP($F1445,設計座標!$E$13:$E$2301,設計座標!$I$13:$I$2301,"n/a",0,1)</f>
        <v>-119807.09139546001</v>
      </c>
      <c r="L1445">
        <f>_xlfn.XLOOKUP($F1445,設計座標!$E$13:$E$2301,設計座標!$J$13:$J$2301,"n/a",0,1)</f>
        <v>-270</v>
      </c>
      <c r="M1445" s="2">
        <f t="shared" si="1112"/>
        <v>-14983.817366214424</v>
      </c>
      <c r="N1445" s="2">
        <f t="shared" si="1113"/>
        <v>-119807.09139546001</v>
      </c>
      <c r="O1445" s="23">
        <f t="shared" si="1114"/>
        <v>-272.39497464267481</v>
      </c>
      <c r="P1445" s="1">
        <f t="shared" si="1133"/>
        <v>-270.24982074361969</v>
      </c>
      <c r="Q1445" s="1">
        <f t="shared" si="1137"/>
        <v>16.182633785577153</v>
      </c>
      <c r="R1445">
        <f t="shared" si="1101"/>
        <v>0</v>
      </c>
      <c r="S1445" s="23">
        <f t="shared" si="1136"/>
        <v>-2.3949746426747969</v>
      </c>
      <c r="T1445">
        <f>$S1445+測地線補正!$Q$26*(lattice!$N1445/1000)^3+測地線補正!$P$26*(lattice!$N1445/1000)^2+測地線補正!$O$26*(lattice!$N1445/1000)+測地線補正!$N$26</f>
        <v>-0.24982074361967066</v>
      </c>
      <c r="U1445">
        <f t="shared" ref="U1445:U1446" si="1138">-ATAN(($P$1448-$P$1444)/ABS($N$1448-$N$1444))</f>
        <v>1.0027434154914484E-4</v>
      </c>
      <c r="V1445">
        <v>0</v>
      </c>
      <c r="W1445">
        <f t="shared" ref="W1445:W1446" si="1139">ATAN(($M$1448-$M$1444)/ABS($N$1448-$N$1444))</f>
        <v>9.53591600058438E-5</v>
      </c>
      <c r="X1445" t="s">
        <v>3860</v>
      </c>
      <c r="Y1445">
        <f>_xlfn.XLOOKUP($F1445,設計座標!$E$13:$E$2301,設計座標!$L$13:$L$2301," ",0,1)</f>
        <v>800</v>
      </c>
      <c r="Z1445">
        <f>SQRT(($M$1445-$M$1443)^2+($N$1445-$N$1443)^2)</f>
        <v>838.50000381239511</v>
      </c>
      <c r="AA1445">
        <f>_xlfn.XLOOKUP($G1445,magnet_list!$A$2:$A$592,magnet_list!$AJ$2:$AJ$592,"n/a",0,1)</f>
        <v>0.74619000000000002</v>
      </c>
      <c r="AB1445">
        <f>_xlfn.XLOOKUP($G1445,magnet_list!$A$2:$A$592,magnet_list!$L$2:$L$592,"n/a",0,1)</f>
        <v>120</v>
      </c>
    </row>
    <row r="1446" spans="1:28">
      <c r="A1446" t="s">
        <v>797</v>
      </c>
      <c r="B1446">
        <v>2</v>
      </c>
      <c r="C1446" t="s">
        <v>3855</v>
      </c>
      <c r="D1446" t="s">
        <v>1152</v>
      </c>
      <c r="E1446" t="s">
        <v>804</v>
      </c>
      <c r="F1446" t="s">
        <v>2132</v>
      </c>
      <c r="G1446" t="s">
        <v>2132</v>
      </c>
      <c r="I1446">
        <f>_xlfn.XLOOKUP($F1446,設計座標!$E$13:$E$2301,設計座標!$G$13:$G$2301,"n/a",0,1)</f>
        <v>384.26914886136916</v>
      </c>
      <c r="J1446">
        <f>_xlfn.XLOOKUP($F1446,設計座標!$E$13:$E$2301,設計座標!$H$13:$H$2301,"n/a",0,1)</f>
        <v>-15000</v>
      </c>
      <c r="K1446">
        <f>_xlfn.XLOOKUP($F1446,設計座標!$E$13:$E$2301,設計座標!$I$13:$I$2301,"n/a",0,1)</f>
        <v>-119807.09139546001</v>
      </c>
      <c r="L1446">
        <f>_xlfn.XLOOKUP($F1446,設計座標!$E$13:$E$2301,設計座標!$J$13:$J$2301,"n/a",0,1)</f>
        <v>-270</v>
      </c>
      <c r="M1446" s="2">
        <f t="shared" si="1112"/>
        <v>-14983.817366214424</v>
      </c>
      <c r="N1446" s="2">
        <f t="shared" si="1113"/>
        <v>-119807.09139546001</v>
      </c>
      <c r="O1446" s="23">
        <f t="shared" si="1114"/>
        <v>-272.39497464267481</v>
      </c>
      <c r="P1446" s="1">
        <f t="shared" si="1133"/>
        <v>-270.24982074361969</v>
      </c>
      <c r="Q1446" s="1">
        <f t="shared" si="1137"/>
        <v>16.182633785577153</v>
      </c>
      <c r="R1446">
        <f t="shared" si="1101"/>
        <v>0</v>
      </c>
      <c r="S1446" s="23">
        <f t="shared" si="1136"/>
        <v>-2.3949746426747969</v>
      </c>
      <c r="T1446">
        <f>$S1446+測地線補正!$Q$26*(lattice!$N1446/1000)^3+測地線補正!$P$26*(lattice!$N1446/1000)^2+測地線補正!$O$26*(lattice!$N1446/1000)+測地線補正!$N$26</f>
        <v>-0.24982074361967066</v>
      </c>
      <c r="U1446">
        <f t="shared" si="1138"/>
        <v>1.0027434154914484E-4</v>
      </c>
      <c r="V1446">
        <v>0</v>
      </c>
      <c r="W1446">
        <f t="shared" si="1139"/>
        <v>9.53591600058438E-5</v>
      </c>
      <c r="X1446" t="s">
        <v>3860</v>
      </c>
      <c r="Y1446">
        <f>_xlfn.XLOOKUP($F1446,設計座標!$E$13:$E$2301,設計座標!$L$13:$L$2301," ",0,1)</f>
        <v>800</v>
      </c>
      <c r="Z1446">
        <f>SQRT(($M$1445-$M$1443)^2+($N$1445-$N$1443)^2)</f>
        <v>838.50000381239511</v>
      </c>
      <c r="AA1446">
        <f>_xlfn.XLOOKUP($G1446,magnet_list!$A$2:$A$592,magnet_list!$AJ$2:$AJ$592,"n/a",0,1)</f>
        <v>0.74619000000000002</v>
      </c>
      <c r="AB1446">
        <f>_xlfn.XLOOKUP($G1446,magnet_list!$A$2:$A$592,magnet_list!$L$2:$L$592,"n/a",0,1)</f>
        <v>120</v>
      </c>
    </row>
    <row r="1447" spans="1:28">
      <c r="A1447" t="s">
        <v>797</v>
      </c>
      <c r="B1447">
        <v>2</v>
      </c>
      <c r="C1447" t="s">
        <v>804</v>
      </c>
      <c r="D1447" t="s">
        <v>1152</v>
      </c>
      <c r="E1447" t="s">
        <v>804</v>
      </c>
      <c r="F1447" t="s">
        <v>1307</v>
      </c>
      <c r="G1447" t="s">
        <v>2687</v>
      </c>
      <c r="I1447">
        <f>_xlfn.XLOOKUP($F1447,設計座標!$E$13:$E$2301,設計座標!$G$13:$G$2301,"n/a",0,1)</f>
        <v>384.57637296136915</v>
      </c>
      <c r="J1447">
        <f>_xlfn.XLOOKUP($F1447,設計座標!$E$13:$E$2301,設計座標!$H$13:$H$2301,"n/a",0,1)</f>
        <v>-15000</v>
      </c>
      <c r="K1447">
        <f>_xlfn.XLOOKUP($F1447,設計座標!$E$13:$E$2301,設計座標!$I$13:$I$2301,"n/a",0,1)</f>
        <v>-120114.31549546002</v>
      </c>
      <c r="L1447">
        <f>_xlfn.XLOOKUP($F1447,設計座標!$E$13:$E$2301,設計座標!$J$13:$J$2301,"n/a",0,1)</f>
        <v>-270</v>
      </c>
      <c r="M1447" s="2">
        <f t="shared" si="1112"/>
        <v>-14983.788069582224</v>
      </c>
      <c r="N1447" s="2">
        <f t="shared" si="1113"/>
        <v>-120114.31549546002</v>
      </c>
      <c r="O1447" s="23">
        <f t="shared" si="1114"/>
        <v>-272.43026643674006</v>
      </c>
      <c r="P1447" s="1">
        <f t="shared" si="1133"/>
        <v>-270.28061710779906</v>
      </c>
      <c r="Q1447" s="1">
        <f t="shared" si="1137"/>
        <v>16.211930417775498</v>
      </c>
      <c r="R1447">
        <f t="shared" si="1101"/>
        <v>0</v>
      </c>
      <c r="S1447" s="23">
        <f t="shared" si="1136"/>
        <v>-2.4302664367400295</v>
      </c>
      <c r="T1447">
        <f>$S1447+測地線補正!$Q$26*(lattice!$N1447/1000)^3+測地線補正!$P$26*(lattice!$N1447/1000)^2+測地線補正!$O$26*(lattice!$N1447/1000)+測地線補正!$N$26</f>
        <v>-0.28061710779904758</v>
      </c>
      <c r="U1447">
        <f t="shared" ref="U1447:U1448" si="1140">-ATAN(($P$1448-$P$1444)/ABS($N$1448-$N$1444))</f>
        <v>1.0027434154914484E-4</v>
      </c>
      <c r="V1447">
        <v>0</v>
      </c>
      <c r="W1447">
        <f t="shared" ref="W1447:W1448" si="1141">ATAN(($M$1448-$M$1444)/ABS($N$1448-$N$1444))</f>
        <v>9.53591600058438E-5</v>
      </c>
      <c r="X1447" t="s">
        <v>3860</v>
      </c>
      <c r="Y1447">
        <f>_xlfn.XLOOKUP($F1447,設計座標!$E$13:$E$2301,設計座標!$L$13:$L$2301," ",0,1)</f>
        <v>1889.4492</v>
      </c>
      <c r="Z1447">
        <f>SQRT(($M$1447-$M$1445)^2+($N$1447-$N$1445)^2)</f>
        <v>307.22410139685786</v>
      </c>
    </row>
    <row r="1448" spans="1:28">
      <c r="A1448" t="s">
        <v>797</v>
      </c>
      <c r="B1448">
        <v>2</v>
      </c>
      <c r="C1448" t="s">
        <v>804</v>
      </c>
      <c r="D1448" t="s">
        <v>1152</v>
      </c>
      <c r="E1448" t="s">
        <v>804</v>
      </c>
      <c r="F1448" t="s">
        <v>1643</v>
      </c>
      <c r="G1448" t="s">
        <v>2687</v>
      </c>
      <c r="I1448">
        <f>_xlfn.XLOOKUP($F1448,設計座標!$E$13:$E$2301,設計座標!$G$13:$G$2301,"n/a",0,1)</f>
        <v>385.52109756136917</v>
      </c>
      <c r="J1448">
        <f>_xlfn.XLOOKUP($F1448,設計座標!$E$13:$E$2301,設計座標!$H$13:$H$2301,"n/a",0,1)</f>
        <v>-15000</v>
      </c>
      <c r="K1448">
        <f>_xlfn.XLOOKUP($F1448,設計座標!$E$13:$E$2301,設計座標!$I$13:$I$2301,"n/a",0,1)</f>
        <v>-121059.04009546002</v>
      </c>
      <c r="L1448">
        <f>_xlfn.XLOOKUP($F1448,設計座標!$E$13:$E$2301,設計座標!$J$13:$J$2301,"n/a",0,1)</f>
        <v>-270</v>
      </c>
      <c r="M1448" s="2">
        <f t="shared" si="1112"/>
        <v>-14983.697981437659</v>
      </c>
      <c r="N1448" s="2">
        <f t="shared" si="1113"/>
        <v>-121059.04009546002</v>
      </c>
      <c r="O1448" s="23">
        <f t="shared" si="1114"/>
        <v>-272.53878990879696</v>
      </c>
      <c r="P1448" s="1">
        <f t="shared" si="1133"/>
        <v>-270.37544674114071</v>
      </c>
      <c r="Q1448" s="1">
        <f t="shared" si="1137"/>
        <v>16.302018562341402</v>
      </c>
      <c r="R1448">
        <f t="shared" si="1101"/>
        <v>0</v>
      </c>
      <c r="S1448" s="23">
        <f t="shared" si="1136"/>
        <v>-2.5387899087969381</v>
      </c>
      <c r="T1448">
        <f>$S1448+測地線補正!$Q$26*(lattice!$N1448/1000)^3+測地線補正!$P$26*(lattice!$N1448/1000)^2+測地線補正!$O$26*(lattice!$N1448/1000)+測地線補正!$N$26</f>
        <v>-0.37544674114068877</v>
      </c>
      <c r="U1448">
        <f t="shared" si="1140"/>
        <v>1.0027434154914484E-4</v>
      </c>
      <c r="V1448">
        <v>0</v>
      </c>
      <c r="W1448">
        <f t="shared" si="1141"/>
        <v>9.53591600058438E-5</v>
      </c>
      <c r="X1448" t="s">
        <v>3860</v>
      </c>
      <c r="Y1448">
        <f>_xlfn.XLOOKUP($F1448,設計座標!$E$13:$E$2301,設計座標!$L$13:$L$2301," ",0,1)</f>
        <v>1889.4492</v>
      </c>
      <c r="Z1448">
        <f>SQRT(($M$1447-$M$1445)^2+($N$1447-$N$1445)^2)</f>
        <v>307.22410139685786</v>
      </c>
    </row>
    <row r="1449" spans="1:28">
      <c r="A1449" t="s">
        <v>797</v>
      </c>
      <c r="B1449">
        <v>2</v>
      </c>
      <c r="C1449" t="s">
        <v>804</v>
      </c>
      <c r="D1449" t="s">
        <v>1152</v>
      </c>
      <c r="E1449" t="s">
        <v>804</v>
      </c>
      <c r="F1449" t="s">
        <v>1644</v>
      </c>
      <c r="G1449" t="s">
        <v>2688</v>
      </c>
      <c r="I1449">
        <f>_xlfn.XLOOKUP($F1449,設計座標!$E$13:$E$2301,設計座標!$G$13:$G$2301,"n/a",0,1)</f>
        <v>385.70479636136912</v>
      </c>
      <c r="J1449">
        <f>_xlfn.XLOOKUP($F1449,設計座標!$E$13:$E$2301,設計座標!$H$13:$H$2301,"n/a",0,1)</f>
        <v>-15000</v>
      </c>
      <c r="K1449">
        <f>_xlfn.XLOOKUP($F1449,設計座標!$E$13:$E$2301,設計座標!$I$13:$I$2301,"n/a",0,1)</f>
        <v>-121242.73889546002</v>
      </c>
      <c r="L1449">
        <f>_xlfn.XLOOKUP($F1449,設計座標!$E$13:$E$2301,設計座標!$J$13:$J$2301,"n/a",0,1)</f>
        <v>-270</v>
      </c>
      <c r="M1449" s="2">
        <f t="shared" si="1112"/>
        <v>-14983.680464074343</v>
      </c>
      <c r="N1449" s="2">
        <f t="shared" si="1113"/>
        <v>-121242.73889546002</v>
      </c>
      <c r="O1449" s="23">
        <f t="shared" si="1114"/>
        <v>-272.55989196498206</v>
      </c>
      <c r="P1449" s="1">
        <f t="shared" si="1133"/>
        <v>-270.3939087742624</v>
      </c>
      <c r="Q1449" s="1">
        <f t="shared" si="1137"/>
        <v>16.319535925656577</v>
      </c>
      <c r="R1449">
        <f t="shared" si="1101"/>
        <v>0</v>
      </c>
      <c r="S1449" s="23">
        <f t="shared" si="1136"/>
        <v>-2.5598919649820817</v>
      </c>
      <c r="T1449">
        <f>$S1449+測地線補正!$Q$26*(lattice!$N1449/1000)^3+測地線補正!$P$26*(lattice!$N1449/1000)^2+測地線補正!$O$26*(lattice!$N1449/1000)+測地線補正!$N$26</f>
        <v>-0.39390877426241322</v>
      </c>
      <c r="U1449">
        <f>-ATAN(($P$1451-$P$1449)/ABS($N$1451-$N$1449))</f>
        <v>1.0072784989215184E-4</v>
      </c>
      <c r="V1449">
        <v>0</v>
      </c>
      <c r="W1449">
        <f>ATAN(($M$1451-$M$1449)/ABS($N$1451-$N$1449))</f>
        <v>9.53591600058438E-5</v>
      </c>
      <c r="X1449">
        <f>SQRT(($M$1449-$M$1448)^2+($N$1449-$N$1448)^2)</f>
        <v>183.69880083521883</v>
      </c>
      <c r="Y1449">
        <f>_xlfn.XLOOKUP($F1449,設計座標!$E$13:$E$2301,設計座標!$L$13:$L$2301," ",0,1)</f>
        <v>1889.4492</v>
      </c>
      <c r="Z1449">
        <f>SQRT(($M$1450-$M$1447)^2+($N$1450-$N$1447)^2)</f>
        <v>2073.1480094259514</v>
      </c>
    </row>
    <row r="1450" spans="1:28">
      <c r="A1450" t="s">
        <v>797</v>
      </c>
      <c r="B1450">
        <v>2</v>
      </c>
      <c r="C1450" t="s">
        <v>804</v>
      </c>
      <c r="D1450" t="s">
        <v>1152</v>
      </c>
      <c r="E1450" t="s">
        <v>804</v>
      </c>
      <c r="F1450" t="s">
        <v>1361</v>
      </c>
      <c r="G1450" t="s">
        <v>2688</v>
      </c>
      <c r="I1450">
        <f>_xlfn.XLOOKUP($F1450,設計座標!$E$13:$E$2301,設計座標!$G$13:$G$2301,"n/a",0,1)</f>
        <v>386.64952096136915</v>
      </c>
      <c r="J1450">
        <f>_xlfn.XLOOKUP($F1450,設計座標!$E$13:$E$2301,設計座標!$H$13:$H$2301,"n/a",0,1)</f>
        <v>-15000</v>
      </c>
      <c r="K1450">
        <f>_xlfn.XLOOKUP($F1450,設計座標!$E$13:$E$2301,設計座標!$I$13:$I$2301,"n/a",0,1)</f>
        <v>-122187.46349546002</v>
      </c>
      <c r="L1450">
        <f>_xlfn.XLOOKUP($F1450,設計座標!$E$13:$E$2301,設計座標!$J$13:$J$2301,"n/a",0,1)</f>
        <v>-270</v>
      </c>
      <c r="M1450" s="2">
        <f t="shared" si="1112"/>
        <v>-14983.590375929778</v>
      </c>
      <c r="N1450" s="2">
        <f t="shared" si="1113"/>
        <v>-122187.46349546002</v>
      </c>
      <c r="O1450" s="23">
        <f t="shared" si="1114"/>
        <v>-272.66841543703902</v>
      </c>
      <c r="P1450" s="1">
        <f t="shared" si="1133"/>
        <v>-270.48897160961229</v>
      </c>
      <c r="Q1450" s="1">
        <f t="shared" si="1137"/>
        <v>16.409624070222481</v>
      </c>
      <c r="R1450">
        <f t="shared" si="1101"/>
        <v>0</v>
      </c>
      <c r="S1450" s="23">
        <f t="shared" si="1136"/>
        <v>-2.6684154370389903</v>
      </c>
      <c r="T1450">
        <f>$S1450+測地線補正!$Q$26*(lattice!$N1450/1000)^3+測地線補正!$P$26*(lattice!$N1450/1000)^2+測地線補正!$O$26*(lattice!$N1450/1000)+測地線補正!$N$26</f>
        <v>-0.48897160961230335</v>
      </c>
      <c r="U1450">
        <f t="shared" ref="U1450:U1451" si="1142">-ATAN(($P$1451-$P$1449)/ABS($N$1451-$N$1449))</f>
        <v>1.0072784989215184E-4</v>
      </c>
      <c r="V1450">
        <v>0</v>
      </c>
      <c r="W1450">
        <f t="shared" ref="W1450:W1451" si="1143">ATAN(($M$1451-$M$1449)/ABS($N$1451-$N$1449))</f>
        <v>9.53591600058438E-5</v>
      </c>
      <c r="X1450" t="s">
        <v>3860</v>
      </c>
      <c r="Y1450">
        <f>_xlfn.XLOOKUP($F1450,設計座標!$E$13:$E$2301,設計座標!$L$13:$L$2301," ",0,1)</f>
        <v>1889.4492</v>
      </c>
      <c r="Z1450">
        <f>SQRT(($M$1450-$M$1447)^2+($N$1450-$N$1447)^2)</f>
        <v>2073.1480094259514</v>
      </c>
    </row>
    <row r="1451" spans="1:28">
      <c r="A1451" t="s">
        <v>797</v>
      </c>
      <c r="B1451">
        <v>2</v>
      </c>
      <c r="C1451" t="s">
        <v>804</v>
      </c>
      <c r="D1451" t="s">
        <v>1152</v>
      </c>
      <c r="E1451" t="s">
        <v>804</v>
      </c>
      <c r="F1451" t="s">
        <v>1645</v>
      </c>
      <c r="G1451" t="s">
        <v>2688</v>
      </c>
      <c r="I1451">
        <f>_xlfn.XLOOKUP($F1451,設計座標!$E$13:$E$2301,設計座標!$G$13:$G$2301,"n/a",0,1)</f>
        <v>387.59424556136918</v>
      </c>
      <c r="J1451">
        <f>_xlfn.XLOOKUP($F1451,設計座標!$E$13:$E$2301,設計座標!$H$13:$H$2301,"n/a",0,1)</f>
        <v>-15000</v>
      </c>
      <c r="K1451">
        <f>_xlfn.XLOOKUP($F1451,設計座標!$E$13:$E$2301,設計座標!$I$13:$I$2301,"n/a",0,1)</f>
        <v>-123132.18809546002</v>
      </c>
      <c r="L1451">
        <f>_xlfn.XLOOKUP($F1451,設計座標!$E$13:$E$2301,設計座標!$J$13:$J$2301,"n/a",0,1)</f>
        <v>-270</v>
      </c>
      <c r="M1451" s="2">
        <f t="shared" si="1112"/>
        <v>-14983.500287785211</v>
      </c>
      <c r="N1451" s="2">
        <f t="shared" si="1113"/>
        <v>-123132.18809546002</v>
      </c>
      <c r="O1451" s="23">
        <f t="shared" si="1114"/>
        <v>-272.77693890909592</v>
      </c>
      <c r="P1451" s="1">
        <f t="shared" si="1133"/>
        <v>-270.58422893030252</v>
      </c>
      <c r="Q1451" s="1">
        <f t="shared" si="1137"/>
        <v>16.499712214788389</v>
      </c>
      <c r="R1451">
        <f t="shared" si="1101"/>
        <v>0</v>
      </c>
      <c r="S1451" s="23">
        <f t="shared" si="1136"/>
        <v>-2.7769389090958985</v>
      </c>
      <c r="T1451">
        <f>$S1451+測地線補正!$Q$26*(lattice!$N1451/1000)^3+測地線補正!$P$26*(lattice!$N1451/1000)^2+測地線補正!$O$26*(lattice!$N1451/1000)+測地線補正!$N$26</f>
        <v>-0.58422893030252898</v>
      </c>
      <c r="U1451">
        <f t="shared" si="1142"/>
        <v>1.0072784989215184E-4</v>
      </c>
      <c r="V1451">
        <v>0</v>
      </c>
      <c r="W1451">
        <f t="shared" si="1143"/>
        <v>9.53591600058438E-5</v>
      </c>
      <c r="X1451" t="s">
        <v>3860</v>
      </c>
      <c r="Y1451">
        <f>_xlfn.XLOOKUP($F1451,設計座標!$E$13:$E$2301,設計座標!$L$13:$L$2301," ",0,1)</f>
        <v>1889.4492</v>
      </c>
      <c r="Z1451">
        <f>SQRT(($M$1450-$M$1447)^2+($N$1450-$N$1447)^2)</f>
        <v>2073.1480094259514</v>
      </c>
    </row>
    <row r="1452" spans="1:28">
      <c r="A1452" t="s">
        <v>797</v>
      </c>
      <c r="B1452">
        <v>2</v>
      </c>
      <c r="C1452" t="s">
        <v>1152</v>
      </c>
      <c r="D1452" t="s">
        <v>1152</v>
      </c>
      <c r="E1452" t="s">
        <v>804</v>
      </c>
      <c r="F1452" t="s">
        <v>2133</v>
      </c>
      <c r="G1452" t="s">
        <v>2133</v>
      </c>
      <c r="I1452">
        <f>_xlfn.XLOOKUP($F1452,設計座標!$E$13:$E$2301,設計座標!$G$13:$G$2301,"n/a",0,1)</f>
        <v>387.72424186136914</v>
      </c>
      <c r="J1452">
        <f>_xlfn.XLOOKUP($F1452,設計座標!$E$13:$E$2301,設計座標!$H$13:$H$2301,"n/a",0,1)</f>
        <v>-15000</v>
      </c>
      <c r="K1452">
        <f>_xlfn.XLOOKUP($F1452,設計座標!$E$13:$E$2301,設計座標!$I$13:$I$2301,"n/a",0,1)</f>
        <v>-123262.18439546002</v>
      </c>
      <c r="L1452">
        <f>_xlfn.XLOOKUP($F1452,設計座標!$E$13:$E$2301,設計座標!$J$13:$J$2301,"n/a",0,1)</f>
        <v>-270</v>
      </c>
      <c r="M1452" s="2">
        <f t="shared" si="1112"/>
        <v>-14983.487891447203</v>
      </c>
      <c r="N1452" s="2">
        <f t="shared" si="1113"/>
        <v>-123262.18439546002</v>
      </c>
      <c r="O1452" s="23">
        <f t="shared" si="1114"/>
        <v>-272.79187199100204</v>
      </c>
      <c r="P1452" s="1">
        <f t="shared" si="1133"/>
        <v>-270.59735174272578</v>
      </c>
      <c r="Q1452" s="1">
        <f t="shared" si="1137"/>
        <v>16.512108552797827</v>
      </c>
      <c r="R1452">
        <f t="shared" si="1101"/>
        <v>0</v>
      </c>
      <c r="S1452" s="23">
        <f t="shared" si="1136"/>
        <v>-2.7918719910020449</v>
      </c>
      <c r="T1452">
        <f>$S1452+測地線補正!$Q$26*(lattice!$N1452/1000)^3+測地線補正!$P$26*(lattice!$N1452/1000)^2+測地線補正!$O$26*(lattice!$N1452/1000)+測地線補正!$N$26</f>
        <v>-0.59735174272577773</v>
      </c>
      <c r="U1452">
        <v>0</v>
      </c>
      <c r="V1452">
        <v>0</v>
      </c>
      <c r="W1452">
        <v>0</v>
      </c>
      <c r="X1452">
        <f>SQRT(($M$1452-$M$1451)^2+($N$1452-$N$1451)^2)</f>
        <v>129.99630059105107</v>
      </c>
      <c r="Y1452">
        <f>_xlfn.XLOOKUP($F1452,設計座標!$E$13:$E$2301,設計座標!$L$13:$L$2301," ",0,1)</f>
        <v>0</v>
      </c>
      <c r="Z1452">
        <f>SQRT(($M$1452-$M$1450)^2+($N$1452-$N$1450)^2)</f>
        <v>1074.7209048864174</v>
      </c>
    </row>
    <row r="1453" spans="1:28">
      <c r="A1453" t="s">
        <v>797</v>
      </c>
      <c r="B1453">
        <v>2</v>
      </c>
      <c r="C1453" t="s">
        <v>805</v>
      </c>
      <c r="D1453" t="s">
        <v>806</v>
      </c>
      <c r="F1453" t="s">
        <v>385</v>
      </c>
      <c r="G1453" t="s">
        <v>385</v>
      </c>
      <c r="I1453">
        <f>_xlfn.XLOOKUP($F1453,設計座標!$E$13:$E$2301,設計座標!$G$13:$G$2301,"n/a",0,1)</f>
        <v>387.89809791411909</v>
      </c>
      <c r="J1453">
        <f>_xlfn.XLOOKUP($F1453,設計座標!$E$13:$E$2301,設計座標!$H$13:$H$2301,"n/a",0,1)</f>
        <v>-15000</v>
      </c>
      <c r="K1453">
        <f>_xlfn.XLOOKUP($F1453,設計座標!$E$13:$E$2301,設計座標!$I$13:$I$2301,"n/a",0,1)</f>
        <v>-123436.04044821</v>
      </c>
      <c r="L1453">
        <f>_xlfn.XLOOKUP($F1453,設計座標!$E$13:$E$2301,設計座標!$J$13:$J$2301,"n/a",0,1)</f>
        <v>-60</v>
      </c>
      <c r="M1453" s="2">
        <f>_xlfn.XLOOKUP($F1453,survey_data!$A$2:$A$833,survey_data!$B$2:$B$833,"n/a",0,1)</f>
        <v>-14983.47131268</v>
      </c>
      <c r="N1453" s="2">
        <f>_xlfn.XLOOKUP($F1453,survey_data!$A$2:$A$833,survey_data!$C$2:$C$833,"n/a",0,1)</f>
        <v>-123436.04044821</v>
      </c>
      <c r="O1453" s="23">
        <f>_xlfn.XLOOKUP($F1453,survey_data!$A$2:$A$833,survey_data!$D$2:$D$833,"n/a",0,1)</f>
        <v>-62.811843379999999</v>
      </c>
      <c r="P1453" s="1">
        <f t="shared" si="1133"/>
        <v>-60.614907823512759</v>
      </c>
      <c r="Q1453" s="1">
        <f t="shared" si="1102"/>
        <v>16.528687320000245</v>
      </c>
      <c r="R1453">
        <f t="shared" si="1101"/>
        <v>0</v>
      </c>
      <c r="S1453" s="23">
        <f t="shared" si="1103"/>
        <v>-2.8118433799999991</v>
      </c>
      <c r="T1453">
        <f>$S1453+測地線補正!$Q$26*(lattice!$N1453/1000)^3+測地線補正!$P$26*(lattice!$N1453/1000)^2+測地線補正!$O$26*(lattice!$N1453/1000)+測地線補正!$N$26</f>
        <v>-0.61490782351276185</v>
      </c>
      <c r="U1453">
        <f>-ATAN(($P$1454-$P$1453)/ABS($N$1454-$N$1453))</f>
        <v>9.8805253010947032E-4</v>
      </c>
      <c r="V1453">
        <v>0</v>
      </c>
      <c r="W1453">
        <f>ATAN(($M$1454-$M$1453)/ABS($N$1454-$N$1453))</f>
        <v>-2.4739891823652991E-4</v>
      </c>
      <c r="X1453">
        <f>$Z$1454-($Y$1454+$Y$1452)/2</f>
        <v>153.85605285439536</v>
      </c>
      <c r="Y1453">
        <f>_xlfn.XLOOKUP($F1453,設計座標!$E$13:$E$2301,設計座標!$L$13:$L$2301," ",0,1)</f>
        <v>120</v>
      </c>
      <c r="Z1453">
        <f>SQRT(($M$1454-$M$1452)^2+($N$1454-$N$1452)^2)</f>
        <v>213.85605285439536</v>
      </c>
      <c r="AA1453">
        <f>_xlfn.XLOOKUP($G1453,magnet_list!$A$2:$A$592,magnet_list!$AJ$2:$AJ$592,"n/a",0,1)</f>
        <v>0.1333</v>
      </c>
      <c r="AB1453">
        <f>_xlfn.XLOOKUP($G1453,magnet_list!$A$2:$A$592,magnet_list!$L$2:$L$592,"n/a",0,1)</f>
        <v>23</v>
      </c>
    </row>
    <row r="1454" spans="1:28">
      <c r="A1454" t="s">
        <v>797</v>
      </c>
      <c r="B1454">
        <v>2</v>
      </c>
      <c r="C1454" t="s">
        <v>805</v>
      </c>
      <c r="D1454" t="s">
        <v>1152</v>
      </c>
      <c r="E1454" t="s">
        <v>804</v>
      </c>
      <c r="F1454" t="s">
        <v>747</v>
      </c>
      <c r="G1454" t="s">
        <v>385</v>
      </c>
      <c r="I1454">
        <f>_xlfn.XLOOKUP($F1454,設計座標!$E$13:$E$2301,設計座標!$G$13:$G$2301,"n/a",0,1)</f>
        <v>387.93809791411911</v>
      </c>
      <c r="J1454">
        <f>_xlfn.XLOOKUP($F1454,設計座標!$E$13:$E$2301,設計座標!$H$13:$H$2301,"n/a",0,1)</f>
        <v>-15000</v>
      </c>
      <c r="K1454">
        <f>_xlfn.XLOOKUP($F1454,設計座標!$E$13:$E$2301,設計座標!$I$13:$I$2301,"n/a",0,1)</f>
        <v>-123476.04044821</v>
      </c>
      <c r="L1454">
        <f>_xlfn.XLOOKUP($F1454,設計座標!$E$13:$E$2301,設計座標!$J$13:$J$2301,"n/a",0,1)</f>
        <v>-60</v>
      </c>
      <c r="M1454" s="2">
        <f t="shared" si="1112"/>
        <v>-14983.481208636931</v>
      </c>
      <c r="N1454" s="2">
        <f t="shared" si="1113"/>
        <v>-123476.04044821</v>
      </c>
      <c r="O1454" s="23">
        <f t="shared" si="1114"/>
        <v>-62.851920269222269</v>
      </c>
      <c r="P1454" s="1">
        <f t="shared" si="1133"/>
        <v>-60.654429937578264</v>
      </c>
      <c r="Q1454" s="1">
        <f>(Q$1455-Q$1453)/($N$1455-$N$1453)*($N1454-$N$1453)+Q$1453</f>
        <v>16.518791363069575</v>
      </c>
      <c r="R1454">
        <f t="shared" si="1101"/>
        <v>0</v>
      </c>
      <c r="S1454" s="23">
        <f>(S$1455-S$1453)/($N$1455-$N$1453)*($N1454-$N$1453)+S$1453</f>
        <v>-2.8519202692222705</v>
      </c>
      <c r="T1454">
        <f>$S1454+測地線補正!$Q$26*(lattice!$N1454/1000)^3+測地線補正!$P$26*(lattice!$N1454/1000)^2+測地線補正!$O$26*(lattice!$N1454/1000)+測地線補正!$N$26</f>
        <v>-0.65442993757826096</v>
      </c>
      <c r="U1454">
        <f>-ATAN(($P$1454-$P$1453)/ABS($N$1454-$N$1453))</f>
        <v>9.8805253010947032E-4</v>
      </c>
      <c r="V1454">
        <v>0</v>
      </c>
      <c r="W1454">
        <f>ATAN(($M$1454-$M$1453)/ABS($N$1454-$N$1453))</f>
        <v>-2.4739891823652991E-4</v>
      </c>
      <c r="X1454">
        <f>$Z$1454-($Y$1454+$Y$1452)/2</f>
        <v>153.85605285439536</v>
      </c>
      <c r="Y1454">
        <f>_xlfn.XLOOKUP($F1454,設計座標!$E$13:$E$2301,設計座標!$L$13:$L$2301," ",0,1)</f>
        <v>120</v>
      </c>
      <c r="Z1454">
        <f>SQRT(($M$1454-$M$1452)^2+($N$1454-$N$1452)^2)</f>
        <v>213.85605285439536</v>
      </c>
      <c r="AA1454">
        <f>_xlfn.XLOOKUP($G1454,magnet_list!$A$2:$A$592,magnet_list!$AJ$2:$AJ$592,"n/a",0,1)</f>
        <v>0.1333</v>
      </c>
      <c r="AB1454">
        <f>_xlfn.XLOOKUP($G1454,magnet_list!$A$2:$A$592,magnet_list!$L$2:$L$592,"n/a",0,1)</f>
        <v>23</v>
      </c>
    </row>
    <row r="1455" spans="1:28">
      <c r="A1455" t="s">
        <v>797</v>
      </c>
      <c r="B1455">
        <v>2</v>
      </c>
      <c r="C1455" t="s">
        <v>805</v>
      </c>
      <c r="D1455" t="s">
        <v>806</v>
      </c>
      <c r="F1455" t="s">
        <v>749</v>
      </c>
      <c r="G1455" t="s">
        <v>749</v>
      </c>
      <c r="I1455">
        <f>_xlfn.XLOOKUP($F1455,設計座標!$E$13:$E$2301,設計座標!$G$13:$G$2301,"n/a",0,1)</f>
        <v>388.11813456294914</v>
      </c>
      <c r="J1455">
        <f>_xlfn.XLOOKUP($F1455,設計座標!$E$13:$E$2301,設計座標!$H$13:$H$2301,"n/a",0,1)</f>
        <v>-15000</v>
      </c>
      <c r="K1455">
        <f>_xlfn.XLOOKUP($F1455,設計座標!$E$13:$E$2301,設計座標!$I$13:$I$2301,"n/a",0,1)</f>
        <v>-123656.07709704</v>
      </c>
      <c r="L1455">
        <f>_xlfn.XLOOKUP($F1455,設計座標!$E$13:$E$2301,設計座標!$J$13:$J$2301,"n/a",0,1)</f>
        <v>-60</v>
      </c>
      <c r="M1455" s="2">
        <f>_xlfn.XLOOKUP($F1455,survey_data!$A$2:$A$833,survey_data!$B$2:$B$833,"n/a",0,1)</f>
        <v>-14983.52574951</v>
      </c>
      <c r="N1455" s="2">
        <f>_xlfn.XLOOKUP($F1455,survey_data!$A$2:$A$833,survey_data!$C$2:$C$833,"n/a",0,1)</f>
        <v>-123656.07709704</v>
      </c>
      <c r="O1455" s="23">
        <f>_xlfn.XLOOKUP($F1455,survey_data!$A$2:$A$833,survey_data!$D$2:$D$833,"n/a",0,1)</f>
        <v>-63.032302989999998</v>
      </c>
      <c r="P1455" s="1">
        <f t="shared" si="1133"/>
        <v>-60.832319956531379</v>
      </c>
      <c r="Q1455" s="1">
        <f t="shared" si="1102"/>
        <v>16.474250490000486</v>
      </c>
      <c r="R1455">
        <f t="shared" si="1101"/>
        <v>0</v>
      </c>
      <c r="S1455" s="23">
        <f t="shared" si="1103"/>
        <v>-3.032302989999998</v>
      </c>
      <c r="T1455">
        <f>$S1455+測地線補正!$Q$26*(lattice!$N1455/1000)^3+測地線補正!$P$26*(lattice!$N1455/1000)^2+測地線補正!$O$26*(lattice!$N1455/1000)+測地線補正!$N$26</f>
        <v>-0.83231995653137703</v>
      </c>
      <c r="U1455">
        <f>-ATAN(($P$1456-$P$1455)/ABS($N$1456-$N$1455))</f>
        <v>-1.7948196135639886E-5</v>
      </c>
      <c r="V1455">
        <v>0</v>
      </c>
      <c r="W1455">
        <f>ATAN(($M$1456-$M$1455)/ABS($N$1456-$N$1455))</f>
        <v>1.5744561499519288E-4</v>
      </c>
      <c r="X1455">
        <f>$Z$1456-($Y$1456+$Y$1454)/2</f>
        <v>100.03665031057574</v>
      </c>
      <c r="Y1455">
        <f>_xlfn.XLOOKUP($F1455,設計座標!$E$13:$E$2301,設計座標!$L$13:$L$2301," ",0,1)</f>
        <v>240</v>
      </c>
      <c r="Z1455">
        <f>SQRT(($M$1456-$M$1454)^2+($N$1456-$N$1454)^2)</f>
        <v>280.03665031057574</v>
      </c>
      <c r="AA1455">
        <f>_xlfn.XLOOKUP($G1455,magnet_list!$A$2:$A$592,magnet_list!$AJ$2:$AJ$592,"n/a",0,1)</f>
        <v>0.25219999999999998</v>
      </c>
      <c r="AB1455">
        <f>_xlfn.XLOOKUP($G1455,magnet_list!$A$2:$A$592,magnet_list!$L$2:$L$592,"n/a",0,1)</f>
        <v>23</v>
      </c>
    </row>
    <row r="1456" spans="1:28">
      <c r="A1456" t="s">
        <v>797</v>
      </c>
      <c r="B1456">
        <v>2</v>
      </c>
      <c r="C1456" t="s">
        <v>805</v>
      </c>
      <c r="D1456" t="s">
        <v>1152</v>
      </c>
      <c r="E1456" t="s">
        <v>804</v>
      </c>
      <c r="F1456" t="s">
        <v>748</v>
      </c>
      <c r="G1456" t="s">
        <v>749</v>
      </c>
      <c r="I1456">
        <f>_xlfn.XLOOKUP($F1456,設計座標!$E$13:$E$2301,設計座標!$G$13:$G$2301,"n/a",0,1)</f>
        <v>388.21813456294916</v>
      </c>
      <c r="J1456">
        <f>_xlfn.XLOOKUP($F1456,設計座標!$E$13:$E$2301,設計座標!$H$13:$H$2301,"n/a",0,1)</f>
        <v>-15000</v>
      </c>
      <c r="K1456">
        <f>_xlfn.XLOOKUP($F1456,設計座標!$E$13:$E$2301,設計座標!$I$13:$I$2301,"n/a",0,1)</f>
        <v>-123756.07709704</v>
      </c>
      <c r="L1456">
        <f>_xlfn.XLOOKUP($F1456,設計座標!$E$13:$E$2301,設計座標!$J$13:$J$2301,"n/a",0,1)</f>
        <v>-60</v>
      </c>
      <c r="M1456" s="2">
        <f t="shared" si="1112"/>
        <v>-14983.51000494837</v>
      </c>
      <c r="N1456" s="2">
        <f t="shared" si="1113"/>
        <v>-123756.07709704</v>
      </c>
      <c r="O1456" s="23">
        <f t="shared" si="1114"/>
        <v>-63.031889688133916</v>
      </c>
      <c r="P1456" s="1">
        <f t="shared" si="1133"/>
        <v>-60.830525136917622</v>
      </c>
      <c r="Q1456" s="1">
        <f>(Q$1467-Q$1455)/($N$1467-$N$1455)*($N1456-$N$1455)+Q$1455</f>
        <v>16.489995051629972</v>
      </c>
      <c r="R1456">
        <f t="shared" si="1101"/>
        <v>0</v>
      </c>
      <c r="S1456" s="23">
        <f t="shared" ref="S1456:S1466" si="1144">(S$1467-S$1455)/($N$1467-$N$1455)*($N1456-$N$1455)+S$1455</f>
        <v>-3.0318896881339161</v>
      </c>
      <c r="T1456">
        <f>$S1456+測地線補正!$Q$26*(lattice!$N1456/1000)^3+測地線補正!$P$26*(lattice!$N1456/1000)^2+測地線補正!$O$26*(lattice!$N1456/1000)+測地線補正!$N$26</f>
        <v>-0.83052513691761942</v>
      </c>
      <c r="U1456">
        <f>-ATAN(($P$1456-$P$1455)/ABS($N$1456-$N$1455))</f>
        <v>-1.7948196135639886E-5</v>
      </c>
      <c r="V1456">
        <v>0</v>
      </c>
      <c r="W1456">
        <f>ATAN(($M$1456-$M$1455)/ABS($N$1456-$N$1455))</f>
        <v>1.5744561499519288E-4</v>
      </c>
      <c r="X1456">
        <f>$Z$1456-($Y$1456+$Y$1454)/2</f>
        <v>100.03665031057574</v>
      </c>
      <c r="Y1456">
        <f>_xlfn.XLOOKUP($F1456,設計座標!$E$13:$E$2301,設計座標!$L$13:$L$2301," ",0,1)</f>
        <v>240</v>
      </c>
      <c r="Z1456">
        <f>SQRT(($M$1456-$M$1454)^2+($N$1456-$N$1454)^2)</f>
        <v>280.03665031057574</v>
      </c>
      <c r="AA1456">
        <f>_xlfn.XLOOKUP($G1456,magnet_list!$A$2:$A$592,magnet_list!$AJ$2:$AJ$592,"n/a",0,1)</f>
        <v>0.25219999999999998</v>
      </c>
      <c r="AB1456">
        <f>_xlfn.XLOOKUP($G1456,magnet_list!$A$2:$A$592,magnet_list!$L$2:$L$592,"n/a",0,1)</f>
        <v>23</v>
      </c>
    </row>
    <row r="1457" spans="1:28">
      <c r="A1457" t="s">
        <v>797</v>
      </c>
      <c r="B1457">
        <v>2</v>
      </c>
      <c r="C1457" t="s">
        <v>1152</v>
      </c>
      <c r="D1457" t="s">
        <v>1152</v>
      </c>
      <c r="E1457" t="s">
        <v>804</v>
      </c>
      <c r="F1457" t="s">
        <v>2134</v>
      </c>
      <c r="G1457" t="s">
        <v>2134</v>
      </c>
      <c r="I1457">
        <f>_xlfn.XLOOKUP($F1457,設計座標!$E$13:$E$2301,設計座標!$G$13:$G$2301,"n/a",0,1)</f>
        <v>388.91424186136913</v>
      </c>
      <c r="J1457">
        <f>_xlfn.XLOOKUP($F1457,設計座標!$E$13:$E$2301,設計座標!$H$13:$H$2301,"n/a",0,1)</f>
        <v>-15000</v>
      </c>
      <c r="K1457">
        <f>_xlfn.XLOOKUP($F1457,設計座標!$E$13:$E$2301,設計座標!$I$13:$I$2301,"n/a",0,1)</f>
        <v>-124452.18439546002</v>
      </c>
      <c r="L1457">
        <f>_xlfn.XLOOKUP($F1457,設計座標!$E$13:$E$2301,設計座標!$J$13:$J$2301,"n/a",0,1)</f>
        <v>-270</v>
      </c>
      <c r="M1457" s="2">
        <f t="shared" si="1112"/>
        <v>-14983.400405905762</v>
      </c>
      <c r="N1457" s="2">
        <f t="shared" si="1113"/>
        <v>-124452.18439546002</v>
      </c>
      <c r="O1457" s="23">
        <f t="shared" si="1114"/>
        <v>-273.02901266367962</v>
      </c>
      <c r="P1457" s="1">
        <f t="shared" si="1133"/>
        <v>-270.81809124809052</v>
      </c>
      <c r="Q1457" s="1">
        <f t="shared" ref="Q1457:Q1466" si="1145">(Q$1467-Q$1455)/($N$1467-$N$1455)*($N1457-$N$1455)+Q$1455</f>
        <v>16.599594094237052</v>
      </c>
      <c r="R1457">
        <f t="shared" si="1101"/>
        <v>0</v>
      </c>
      <c r="S1457" s="23">
        <f t="shared" si="1144"/>
        <v>-3.0290126636796129</v>
      </c>
      <c r="T1457">
        <f>$S1457+測地線補正!$Q$26*(lattice!$N1457/1000)^3+測地線補正!$P$26*(lattice!$N1457/1000)^2+測地線補正!$O$26*(lattice!$N1457/1000)+測地線補正!$N$26</f>
        <v>-0.81809124809050915</v>
      </c>
      <c r="U1457">
        <v>0</v>
      </c>
      <c r="V1457">
        <v>0</v>
      </c>
      <c r="W1457">
        <v>0</v>
      </c>
      <c r="X1457">
        <f>$Z$1457-($Y$1457+$Y$1456)/2</f>
        <v>576.1073070479589</v>
      </c>
      <c r="Y1457">
        <f>_xlfn.XLOOKUP($F1457,設計座標!$E$13:$E$2301,設計座標!$L$13:$L$2301," ",0,1)</f>
        <v>0</v>
      </c>
      <c r="Z1457">
        <f>SQRT(($M$1457-$M$1456)^2+($N$1457-$N$1456)^2)</f>
        <v>696.1073070479589</v>
      </c>
    </row>
    <row r="1458" spans="1:28">
      <c r="A1458" t="s">
        <v>797</v>
      </c>
      <c r="B1458">
        <v>2</v>
      </c>
      <c r="C1458" t="s">
        <v>804</v>
      </c>
      <c r="D1458" t="s">
        <v>1152</v>
      </c>
      <c r="E1458" t="s">
        <v>804</v>
      </c>
      <c r="F1458" t="s">
        <v>1646</v>
      </c>
      <c r="G1458" t="s">
        <v>2689</v>
      </c>
      <c r="I1458">
        <f>_xlfn.XLOOKUP($F1458,設計座標!$E$13:$E$2301,設計座標!$G$13:$G$2301,"n/a",0,1)</f>
        <v>389.18693836136913</v>
      </c>
      <c r="J1458">
        <f>_xlfn.XLOOKUP($F1458,設計座標!$E$13:$E$2301,設計座標!$H$13:$H$2301,"n/a",0,1)</f>
        <v>-15000</v>
      </c>
      <c r="K1458">
        <f>_xlfn.XLOOKUP($F1458,設計座標!$E$13:$E$2301,設計座標!$I$13:$I$2301,"n/a",0,1)</f>
        <v>-124724.88089546002</v>
      </c>
      <c r="L1458">
        <f>_xlfn.XLOOKUP($F1458,設計座標!$E$13:$E$2301,設計座標!$J$13:$J$2301,"n/a",0,1)</f>
        <v>-270</v>
      </c>
      <c r="M1458" s="2">
        <f t="shared" si="1112"/>
        <v>-14983.35747103726</v>
      </c>
      <c r="N1458" s="2">
        <f t="shared" si="1113"/>
        <v>-124724.88089546002</v>
      </c>
      <c r="O1458" s="23">
        <f t="shared" si="1114"/>
        <v>-273.02788560395635</v>
      </c>
      <c r="P1458" s="1">
        <f t="shared" si="1133"/>
        <v>-270.81324889161641</v>
      </c>
      <c r="Q1458" s="1">
        <f t="shared" si="1145"/>
        <v>16.642528962741</v>
      </c>
      <c r="R1458">
        <f t="shared" ref="R1458:R1521" si="1146">$N1458-$K1458</f>
        <v>0</v>
      </c>
      <c r="S1458" s="23">
        <f t="shared" si="1144"/>
        <v>-3.0278856039563729</v>
      </c>
      <c r="T1458">
        <f>$S1458+測地線補正!$Q$26*(lattice!$N1458/1000)^3+測地線補正!$P$26*(lattice!$N1458/1000)^2+測地線補正!$O$26*(lattice!$N1458/1000)+測地線補正!$N$26</f>
        <v>-0.81324889161640468</v>
      </c>
      <c r="U1458">
        <f>-ATAN(($P$1462-$P$1458)/ABS($N$1462-$N$1458))</f>
        <v>-1.7524441922253627E-5</v>
      </c>
      <c r="V1458">
        <v>0</v>
      </c>
      <c r="W1458">
        <f>ATAN(($M$1462-$M$1458)/ABS($N$1462-$N$1458))</f>
        <v>1.5744561499444736E-4</v>
      </c>
      <c r="X1458">
        <f>SQRT(($M$1458-$M$1457)^2+($N$1458-$N$1457)^2)</f>
        <v>272.69650337995887</v>
      </c>
      <c r="Y1458">
        <f>_xlfn.XLOOKUP($F1458,設計座標!$E$13:$E$2301,設計座標!$L$13:$L$2301," ",0,1)</f>
        <v>1889.4492</v>
      </c>
      <c r="Z1458">
        <f>SQRT(($M$1461-$M$1459)^2+($N$1461-$N$1459)^2)</f>
        <v>307.22410380791456</v>
      </c>
    </row>
    <row r="1459" spans="1:28">
      <c r="A1459" t="s">
        <v>797</v>
      </c>
      <c r="B1459">
        <v>2</v>
      </c>
      <c r="C1459" t="s">
        <v>3855</v>
      </c>
      <c r="D1459" t="s">
        <v>1152</v>
      </c>
      <c r="E1459" t="s">
        <v>804</v>
      </c>
      <c r="F1459" t="s">
        <v>2135</v>
      </c>
      <c r="G1459" t="s">
        <v>2135</v>
      </c>
      <c r="I1459">
        <f>_xlfn.XLOOKUP($F1459,設計座標!$E$13:$E$2301,設計座標!$G$13:$G$2301,"n/a",0,1)</f>
        <v>389.82443886136912</v>
      </c>
      <c r="J1459">
        <f>_xlfn.XLOOKUP($F1459,設計座標!$E$13:$E$2301,設計座標!$H$13:$H$2301,"n/a",0,1)</f>
        <v>-15000</v>
      </c>
      <c r="K1459">
        <f>_xlfn.XLOOKUP($F1459,設計座標!$E$13:$E$2301,設計座標!$I$13:$I$2301,"n/a",0,1)</f>
        <v>-125362.38139546002</v>
      </c>
      <c r="L1459">
        <f>_xlfn.XLOOKUP($F1459,設計座標!$E$13:$E$2301,設計座標!$J$13:$J$2301,"n/a",0,1)</f>
        <v>-270</v>
      </c>
      <c r="M1459" s="2">
        <f t="shared" si="1112"/>
        <v>-14983.257099378148</v>
      </c>
      <c r="N1459" s="2">
        <f t="shared" si="1113"/>
        <v>-125362.38139546002</v>
      </c>
      <c r="O1459" s="23">
        <f t="shared" si="1114"/>
        <v>-273.02525080249359</v>
      </c>
      <c r="P1459" s="1">
        <f t="shared" si="1133"/>
        <v>-270.80199119029754</v>
      </c>
      <c r="Q1459" s="1">
        <f t="shared" si="1145"/>
        <v>16.742900621851774</v>
      </c>
      <c r="R1459">
        <f t="shared" si="1146"/>
        <v>0</v>
      </c>
      <c r="S1459" s="23">
        <f t="shared" si="1144"/>
        <v>-3.0252508024935905</v>
      </c>
      <c r="T1459">
        <f>$S1459+測地線補正!$Q$26*(lattice!$N1459/1000)^3+測地線補正!$P$26*(lattice!$N1459/1000)^2+測地線補正!$O$26*(lattice!$N1459/1000)+測地線補正!$N$26</f>
        <v>-0.80199119029752919</v>
      </c>
      <c r="U1459">
        <f t="shared" ref="U1459:U1460" si="1147">-ATAN(($P$1462-$P$1458)/ABS($N$1462-$N$1458))</f>
        <v>-1.7524441922253627E-5</v>
      </c>
      <c r="V1459">
        <v>0</v>
      </c>
      <c r="W1459">
        <f t="shared" ref="W1459:W1460" si="1148">ATAN(($M$1462-$M$1458)/ABS($N$1462-$N$1458))</f>
        <v>1.5744561499444736E-4</v>
      </c>
      <c r="X1459" t="s">
        <v>3860</v>
      </c>
      <c r="Y1459">
        <f>_xlfn.XLOOKUP($F1459,設計座標!$E$13:$E$2301,設計座標!$L$13:$L$2301," ",0,1)</f>
        <v>800</v>
      </c>
      <c r="Z1459">
        <f>SQRT(($M$1459-$M$1457)^2+($N$1459-$N$1457)^2)</f>
        <v>910.19701128149234</v>
      </c>
      <c r="AA1459">
        <f>_xlfn.XLOOKUP($G1459,magnet_list!$A$2:$A$592,magnet_list!$AJ$2:$AJ$592,"n/a",0,1)</f>
        <v>0.74619000000000002</v>
      </c>
      <c r="AB1459">
        <f>_xlfn.XLOOKUP($G1459,magnet_list!$A$2:$A$592,magnet_list!$L$2:$L$592,"n/a",0,1)</f>
        <v>120</v>
      </c>
    </row>
    <row r="1460" spans="1:28">
      <c r="A1460" t="s">
        <v>797</v>
      </c>
      <c r="B1460">
        <v>2</v>
      </c>
      <c r="C1460" t="s">
        <v>3855</v>
      </c>
      <c r="D1460" t="s">
        <v>1152</v>
      </c>
      <c r="E1460" t="s">
        <v>804</v>
      </c>
      <c r="F1460" t="s">
        <v>2136</v>
      </c>
      <c r="G1460" t="s">
        <v>2136</v>
      </c>
      <c r="I1460">
        <f>_xlfn.XLOOKUP($F1460,設計座標!$E$13:$E$2301,設計座標!$G$13:$G$2301,"n/a",0,1)</f>
        <v>389.82443886136912</v>
      </c>
      <c r="J1460">
        <f>_xlfn.XLOOKUP($F1460,設計座標!$E$13:$E$2301,設計座標!$H$13:$H$2301,"n/a",0,1)</f>
        <v>-15000</v>
      </c>
      <c r="K1460">
        <f>_xlfn.XLOOKUP($F1460,設計座標!$E$13:$E$2301,設計座標!$I$13:$I$2301,"n/a",0,1)</f>
        <v>-125362.38139546002</v>
      </c>
      <c r="L1460">
        <f>_xlfn.XLOOKUP($F1460,設計座標!$E$13:$E$2301,設計座標!$J$13:$J$2301,"n/a",0,1)</f>
        <v>-270</v>
      </c>
      <c r="M1460" s="2">
        <f t="shared" si="1112"/>
        <v>-14983.257099378148</v>
      </c>
      <c r="N1460" s="2">
        <f t="shared" si="1113"/>
        <v>-125362.38139546002</v>
      </c>
      <c r="O1460" s="23">
        <f t="shared" si="1114"/>
        <v>-273.02525080249359</v>
      </c>
      <c r="P1460" s="1">
        <f t="shared" si="1133"/>
        <v>-270.80199119029754</v>
      </c>
      <c r="Q1460" s="1">
        <f t="shared" si="1145"/>
        <v>16.742900621851774</v>
      </c>
      <c r="R1460">
        <f t="shared" si="1146"/>
        <v>0</v>
      </c>
      <c r="S1460" s="23">
        <f t="shared" si="1144"/>
        <v>-3.0252508024935905</v>
      </c>
      <c r="T1460">
        <f>$S1460+測地線補正!$Q$26*(lattice!$N1460/1000)^3+測地線補正!$P$26*(lattice!$N1460/1000)^2+測地線補正!$O$26*(lattice!$N1460/1000)+測地線補正!$N$26</f>
        <v>-0.80199119029752919</v>
      </c>
      <c r="U1460">
        <f t="shared" si="1147"/>
        <v>-1.7524441922253627E-5</v>
      </c>
      <c r="V1460">
        <v>0</v>
      </c>
      <c r="W1460">
        <f t="shared" si="1148"/>
        <v>1.5744561499444736E-4</v>
      </c>
      <c r="X1460" t="s">
        <v>3860</v>
      </c>
      <c r="Y1460">
        <f>_xlfn.XLOOKUP($F1460,設計座標!$E$13:$E$2301,設計座標!$L$13:$L$2301," ",0,1)</f>
        <v>800</v>
      </c>
      <c r="Z1460">
        <f>SQRT(($M$1459-$M$1457)^2+($N$1459-$N$1457)^2)</f>
        <v>910.19701128149234</v>
      </c>
      <c r="AA1460">
        <f>_xlfn.XLOOKUP($G1460,magnet_list!$A$2:$A$592,magnet_list!$AJ$2:$AJ$592,"n/a",0,1)</f>
        <v>0.74619000000000002</v>
      </c>
      <c r="AB1460">
        <f>_xlfn.XLOOKUP($G1460,magnet_list!$A$2:$A$592,magnet_list!$L$2:$L$592,"n/a",0,1)</f>
        <v>120</v>
      </c>
    </row>
    <row r="1461" spans="1:28">
      <c r="A1461" t="s">
        <v>797</v>
      </c>
      <c r="B1461">
        <v>2</v>
      </c>
      <c r="C1461" t="s">
        <v>804</v>
      </c>
      <c r="D1461" t="s">
        <v>1152</v>
      </c>
      <c r="E1461" t="s">
        <v>804</v>
      </c>
      <c r="F1461" t="s">
        <v>1198</v>
      </c>
      <c r="G1461" t="s">
        <v>2689</v>
      </c>
      <c r="I1461">
        <f>_xlfn.XLOOKUP($F1461,設計座標!$E$13:$E$2301,設計座標!$G$13:$G$2301,"n/a",0,1)</f>
        <v>390.13166296136916</v>
      </c>
      <c r="J1461">
        <f>_xlfn.XLOOKUP($F1461,設計座標!$E$13:$E$2301,設計座標!$H$13:$H$2301,"n/a",0,1)</f>
        <v>-15000</v>
      </c>
      <c r="K1461">
        <f>_xlfn.XLOOKUP($F1461,設計座標!$E$13:$E$2301,設計座標!$I$13:$I$2301,"n/a",0,1)</f>
        <v>-125669.60549546003</v>
      </c>
      <c r="L1461">
        <f>_xlfn.XLOOKUP($F1461,設計座標!$E$13:$E$2301,設計座標!$J$13:$J$2301,"n/a",0,1)</f>
        <v>-270</v>
      </c>
      <c r="M1461" s="2">
        <f t="shared" si="1112"/>
        <v>-14983.208728290383</v>
      </c>
      <c r="N1461" s="2">
        <f t="shared" si="1113"/>
        <v>-125669.60549546003</v>
      </c>
      <c r="O1461" s="23">
        <f t="shared" si="1114"/>
        <v>-273.02398103955522</v>
      </c>
      <c r="P1461" s="1">
        <f t="shared" si="1133"/>
        <v>-270.79659714256945</v>
      </c>
      <c r="Q1461" s="1">
        <f t="shared" si="1145"/>
        <v>16.791271709616904</v>
      </c>
      <c r="R1461">
        <f t="shared" si="1146"/>
        <v>0</v>
      </c>
      <c r="S1461" s="23">
        <f t="shared" si="1144"/>
        <v>-3.0239810395552369</v>
      </c>
      <c r="T1461">
        <f>$S1461+測地線補正!$Q$26*(lattice!$N1461/1000)^3+測地線補正!$P$26*(lattice!$N1461/1000)^2+測地線補正!$O$26*(lattice!$N1461/1000)+測地線補正!$N$26</f>
        <v>-0.79659714256947756</v>
      </c>
      <c r="U1461">
        <f t="shared" ref="U1461:U1462" si="1149">-ATAN(($P$1462-$P$1458)/ABS($N$1462-$N$1458))</f>
        <v>-1.7524441922253627E-5</v>
      </c>
      <c r="V1461">
        <v>0</v>
      </c>
      <c r="W1461">
        <f t="shared" ref="W1461:W1462" si="1150">ATAN(($M$1462-$M$1458)/ABS($N$1462-$N$1458))</f>
        <v>1.5744561499444736E-4</v>
      </c>
      <c r="X1461" t="s">
        <v>3860</v>
      </c>
      <c r="Y1461">
        <f>_xlfn.XLOOKUP($F1461,設計座標!$E$13:$E$2301,設計座標!$L$13:$L$2301," ",0,1)</f>
        <v>1889.4492</v>
      </c>
      <c r="Z1461">
        <f>SQRT(($M$1461-$M$1459)^2+($N$1461-$N$1459)^2)</f>
        <v>307.22410380791456</v>
      </c>
    </row>
    <row r="1462" spans="1:28">
      <c r="A1462" t="s">
        <v>797</v>
      </c>
      <c r="B1462">
        <v>2</v>
      </c>
      <c r="C1462" t="s">
        <v>804</v>
      </c>
      <c r="D1462" t="s">
        <v>1152</v>
      </c>
      <c r="E1462" t="s">
        <v>804</v>
      </c>
      <c r="F1462" t="s">
        <v>1647</v>
      </c>
      <c r="G1462" t="s">
        <v>2689</v>
      </c>
      <c r="I1462">
        <f>_xlfn.XLOOKUP($F1462,設計座標!$E$13:$E$2301,設計座標!$G$13:$G$2301,"n/a",0,1)</f>
        <v>391.07638756136919</v>
      </c>
      <c r="J1462">
        <f>_xlfn.XLOOKUP($F1462,設計座標!$E$13:$E$2301,設計座標!$H$13:$H$2301,"n/a",0,1)</f>
        <v>-15000</v>
      </c>
      <c r="K1462">
        <f>_xlfn.XLOOKUP($F1462,設計座標!$E$13:$E$2301,設計座標!$I$13:$I$2301,"n/a",0,1)</f>
        <v>-126614.33009546003</v>
      </c>
      <c r="L1462">
        <f>_xlfn.XLOOKUP($F1462,設計座標!$E$13:$E$2301,設計座標!$J$13:$J$2301,"n/a",0,1)</f>
        <v>-270</v>
      </c>
      <c r="M1462" s="2">
        <f t="shared" si="1112"/>
        <v>-14983.059985543507</v>
      </c>
      <c r="N1462" s="2">
        <f t="shared" si="1113"/>
        <v>-126614.33009546003</v>
      </c>
      <c r="O1462" s="23">
        <f t="shared" si="1114"/>
        <v>-273.0200764751541</v>
      </c>
      <c r="P1462" s="1">
        <f t="shared" si="1133"/>
        <v>-270.78013734884257</v>
      </c>
      <c r="Q1462" s="1">
        <f t="shared" si="1145"/>
        <v>16.940014456492808</v>
      </c>
      <c r="R1462">
        <f t="shared" si="1146"/>
        <v>0</v>
      </c>
      <c r="S1462" s="23">
        <f t="shared" si="1144"/>
        <v>-3.0200764751541009</v>
      </c>
      <c r="T1462">
        <f>$S1462+測地線補正!$Q$26*(lattice!$N1462/1000)^3+測地線補正!$P$26*(lattice!$N1462/1000)^2+測地線補正!$O$26*(lattice!$N1462/1000)+測地線補正!$N$26</f>
        <v>-0.7801373488425567</v>
      </c>
      <c r="U1462">
        <f t="shared" si="1149"/>
        <v>-1.7524441922253627E-5</v>
      </c>
      <c r="V1462">
        <v>0</v>
      </c>
      <c r="W1462">
        <f t="shared" si="1150"/>
        <v>1.5744561499444736E-4</v>
      </c>
      <c r="X1462" t="s">
        <v>3860</v>
      </c>
      <c r="Y1462">
        <f>_xlfn.XLOOKUP($F1462,設計座標!$E$13:$E$2301,設計座標!$L$13:$L$2301," ",0,1)</f>
        <v>1889.4492</v>
      </c>
      <c r="Z1462">
        <f>SQRT(($M$1461-$M$1459)^2+($N$1461-$N$1459)^2)</f>
        <v>307.22410380791456</v>
      </c>
    </row>
    <row r="1463" spans="1:28">
      <c r="A1463" t="s">
        <v>797</v>
      </c>
      <c r="B1463">
        <v>2</v>
      </c>
      <c r="C1463" t="s">
        <v>804</v>
      </c>
      <c r="D1463" t="s">
        <v>1152</v>
      </c>
      <c r="E1463" t="s">
        <v>804</v>
      </c>
      <c r="F1463" t="s">
        <v>1648</v>
      </c>
      <c r="G1463" t="s">
        <v>2690</v>
      </c>
      <c r="I1463">
        <f>_xlfn.XLOOKUP($F1463,設計座標!$E$13:$E$2301,設計座標!$G$13:$G$2301,"n/a",0,1)</f>
        <v>391.26008636136913</v>
      </c>
      <c r="J1463">
        <f>_xlfn.XLOOKUP($F1463,設計座標!$E$13:$E$2301,設計座標!$H$13:$H$2301,"n/a",0,1)</f>
        <v>-15000</v>
      </c>
      <c r="K1463">
        <f>_xlfn.XLOOKUP($F1463,設計座標!$E$13:$E$2301,設計座標!$I$13:$I$2301,"n/a",0,1)</f>
        <v>-126798.02889546003</v>
      </c>
      <c r="L1463">
        <f>_xlfn.XLOOKUP($F1463,設計座標!$E$13:$E$2301,設計座標!$J$13:$J$2301,"n/a",0,1)</f>
        <v>-270</v>
      </c>
      <c r="M1463" s="2">
        <f t="shared" si="1112"/>
        <v>-14983.031062972728</v>
      </c>
      <c r="N1463" s="2">
        <f t="shared" si="1113"/>
        <v>-126798.02889546003</v>
      </c>
      <c r="O1463" s="23">
        <f t="shared" si="1114"/>
        <v>-273.01931724458575</v>
      </c>
      <c r="P1463" s="1">
        <f t="shared" si="1133"/>
        <v>-270.77695902558378</v>
      </c>
      <c r="Q1463" s="1">
        <f t="shared" si="1145"/>
        <v>16.968937027271433</v>
      </c>
      <c r="R1463">
        <f t="shared" si="1146"/>
        <v>0</v>
      </c>
      <c r="S1463" s="23">
        <f t="shared" si="1144"/>
        <v>-3.0193172445857308</v>
      </c>
      <c r="T1463">
        <f>$S1463+測地線補正!$Q$26*(lattice!$N1463/1000)^3+測地線補正!$P$26*(lattice!$N1463/1000)^2+測地線補正!$O$26*(lattice!$N1463/1000)+測地線補正!$N$26</f>
        <v>-0.77695902558379726</v>
      </c>
      <c r="U1463">
        <f>-ATAN(($P$1465-$P$1463)/ABS($N$1465-$N$1463))</f>
        <v>-1.7080309283959611E-5</v>
      </c>
      <c r="V1463">
        <v>0</v>
      </c>
      <c r="W1463">
        <f>ATAN(($M$1465-$M$1463)/ABS($N$1465-$N$1463))</f>
        <v>1.5744561499348464E-4</v>
      </c>
      <c r="X1463">
        <f>SQRT(($M$1463-$M$1462)^2+($N$1463-$N$1462)^2)</f>
        <v>183.69880227686428</v>
      </c>
      <c r="Y1463">
        <f>_xlfn.XLOOKUP($F1463,設計座標!$E$13:$E$2301,設計座標!$L$13:$L$2301," ",0,1)</f>
        <v>1889.4492</v>
      </c>
      <c r="Z1463">
        <f>SQRT(($M$1464-$M$1461)^2+($N$1464-$N$1461)^2)</f>
        <v>2073.1480256957607</v>
      </c>
    </row>
    <row r="1464" spans="1:28">
      <c r="A1464" t="s">
        <v>797</v>
      </c>
      <c r="B1464">
        <v>2</v>
      </c>
      <c r="C1464" t="s">
        <v>804</v>
      </c>
      <c r="D1464" t="s">
        <v>1152</v>
      </c>
      <c r="E1464" t="s">
        <v>804</v>
      </c>
      <c r="F1464" t="s">
        <v>1254</v>
      </c>
      <c r="G1464" t="s">
        <v>2690</v>
      </c>
      <c r="I1464">
        <f>_xlfn.XLOOKUP($F1464,設計座標!$E$13:$E$2301,設計座標!$G$13:$G$2301,"n/a",0,1)</f>
        <v>392.20481096136916</v>
      </c>
      <c r="J1464">
        <f>_xlfn.XLOOKUP($F1464,設計座標!$E$13:$E$2301,設計座標!$H$13:$H$2301,"n/a",0,1)</f>
        <v>-15000</v>
      </c>
      <c r="K1464">
        <f>_xlfn.XLOOKUP($F1464,設計座標!$E$13:$E$2301,設計座標!$I$13:$I$2301,"n/a",0,1)</f>
        <v>-127742.75349546003</v>
      </c>
      <c r="L1464">
        <f>_xlfn.XLOOKUP($F1464,設計座標!$E$13:$E$2301,設計座標!$J$13:$J$2301,"n/a",0,1)</f>
        <v>-270</v>
      </c>
      <c r="M1464" s="2">
        <f t="shared" si="1112"/>
        <v>-14982.882320225852</v>
      </c>
      <c r="N1464" s="2">
        <f t="shared" si="1113"/>
        <v>-127742.75349546003</v>
      </c>
      <c r="O1464" s="23">
        <f t="shared" si="1114"/>
        <v>-273.01541268018457</v>
      </c>
      <c r="P1464" s="1">
        <f t="shared" si="1133"/>
        <v>-270.76072761270973</v>
      </c>
      <c r="Q1464" s="1">
        <f t="shared" si="1145"/>
        <v>17.117679774147337</v>
      </c>
      <c r="R1464">
        <f t="shared" si="1146"/>
        <v>0</v>
      </c>
      <c r="S1464" s="23">
        <f t="shared" si="1144"/>
        <v>-3.0154126801845949</v>
      </c>
      <c r="T1464">
        <f>$S1464+測地線補正!$Q$26*(lattice!$N1464/1000)^3+測地線補正!$P$26*(lattice!$N1464/1000)^2+測地線補正!$O$26*(lattice!$N1464/1000)+測地線補正!$N$26</f>
        <v>-0.7607276127097482</v>
      </c>
      <c r="U1464">
        <f t="shared" ref="U1464:U1465" si="1151">-ATAN(($P$1465-$P$1463)/ABS($N$1465-$N$1463))</f>
        <v>-1.7080309283959611E-5</v>
      </c>
      <c r="V1464">
        <v>0</v>
      </c>
      <c r="W1464">
        <f t="shared" ref="W1464:W1465" si="1152">ATAN(($M$1465-$M$1463)/ABS($N$1465-$N$1463))</f>
        <v>1.5744561499348464E-4</v>
      </c>
      <c r="X1464" t="s">
        <v>3860</v>
      </c>
      <c r="Y1464">
        <f>_xlfn.XLOOKUP($F1464,設計座標!$E$13:$E$2301,設計座標!$L$13:$L$2301," ",0,1)</f>
        <v>1889.4492</v>
      </c>
      <c r="Z1464">
        <f>SQRT(($M$1464-$M$1461)^2+($N$1464-$N$1461)^2)</f>
        <v>2073.1480256957607</v>
      </c>
    </row>
    <row r="1465" spans="1:28">
      <c r="A1465" t="s">
        <v>797</v>
      </c>
      <c r="B1465">
        <v>2</v>
      </c>
      <c r="C1465" t="s">
        <v>804</v>
      </c>
      <c r="D1465" t="s">
        <v>1152</v>
      </c>
      <c r="E1465" t="s">
        <v>804</v>
      </c>
      <c r="F1465" t="s">
        <v>1649</v>
      </c>
      <c r="G1465" t="s">
        <v>2690</v>
      </c>
      <c r="I1465">
        <f>_xlfn.XLOOKUP($F1465,設計座標!$E$13:$E$2301,設計座標!$G$13:$G$2301,"n/a",0,1)</f>
        <v>393.14953556136919</v>
      </c>
      <c r="J1465">
        <f>_xlfn.XLOOKUP($F1465,設計座標!$E$13:$E$2301,設計座標!$H$13:$H$2301,"n/a",0,1)</f>
        <v>-15000</v>
      </c>
      <c r="K1465">
        <f>_xlfn.XLOOKUP($F1465,設計座標!$E$13:$E$2301,設計座標!$I$13:$I$2301,"n/a",0,1)</f>
        <v>-128687.47809546003</v>
      </c>
      <c r="L1465">
        <f>_xlfn.XLOOKUP($F1465,設計座標!$E$13:$E$2301,設計座標!$J$13:$J$2301,"n/a",0,1)</f>
        <v>-270</v>
      </c>
      <c r="M1465" s="2">
        <f t="shared" si="1112"/>
        <v>-14982.733577478977</v>
      </c>
      <c r="N1465" s="2">
        <f t="shared" si="1113"/>
        <v>-128687.47809546003</v>
      </c>
      <c r="O1465" s="23">
        <f t="shared" si="1114"/>
        <v>-273.01150811578344</v>
      </c>
      <c r="P1465" s="1">
        <f t="shared" si="1133"/>
        <v>-270.74468664886831</v>
      </c>
      <c r="Q1465" s="1">
        <f t="shared" si="1145"/>
        <v>17.266422521023241</v>
      </c>
      <c r="R1465">
        <f t="shared" si="1146"/>
        <v>0</v>
      </c>
      <c r="S1465" s="23">
        <f t="shared" si="1144"/>
        <v>-3.0115081157834593</v>
      </c>
      <c r="T1465">
        <f>$S1465+測地線補正!$Q$26*(lattice!$N1465/1000)^3+測地線補正!$P$26*(lattice!$N1465/1000)^2+測地線補正!$O$26*(lattice!$N1465/1000)+測地線補正!$N$26</f>
        <v>-0.74468664886831371</v>
      </c>
      <c r="U1465">
        <f t="shared" si="1151"/>
        <v>-1.7080309283959611E-5</v>
      </c>
      <c r="V1465">
        <v>0</v>
      </c>
      <c r="W1465">
        <f t="shared" si="1152"/>
        <v>1.5744561499348464E-4</v>
      </c>
      <c r="X1465" t="s">
        <v>3860</v>
      </c>
      <c r="Y1465">
        <f>_xlfn.XLOOKUP($F1465,設計座標!$E$13:$E$2301,設計座標!$L$13:$L$2301," ",0,1)</f>
        <v>1889.4492</v>
      </c>
      <c r="Z1465">
        <f>SQRT(($M$1464-$M$1461)^2+($N$1464-$N$1461)^2)</f>
        <v>2073.1480256957607</v>
      </c>
    </row>
    <row r="1466" spans="1:28">
      <c r="A1466" t="s">
        <v>797</v>
      </c>
      <c r="B1466">
        <v>2</v>
      </c>
      <c r="C1466" t="s">
        <v>1152</v>
      </c>
      <c r="D1466" t="s">
        <v>1152</v>
      </c>
      <c r="E1466" t="s">
        <v>804</v>
      </c>
      <c r="F1466" t="s">
        <v>2137</v>
      </c>
      <c r="G1466" t="s">
        <v>2137</v>
      </c>
      <c r="I1466">
        <f>_xlfn.XLOOKUP($F1466,設計座標!$E$13:$E$2301,設計座標!$G$13:$G$2301,"n/a",0,1)</f>
        <v>393.27953186136915</v>
      </c>
      <c r="J1466">
        <f>_xlfn.XLOOKUP($F1466,設計座標!$E$13:$E$2301,設計座標!$H$13:$H$2301,"n/a",0,1)</f>
        <v>-15000</v>
      </c>
      <c r="K1466">
        <f>_xlfn.XLOOKUP($F1466,設計座標!$E$13:$E$2301,設計座標!$I$13:$I$2301,"n/a",0,1)</f>
        <v>-128817.47439546003</v>
      </c>
      <c r="L1466">
        <f>_xlfn.XLOOKUP($F1466,設計座標!$E$13:$E$2301,設計座標!$J$13:$J$2301,"n/a",0,1)</f>
        <v>-270</v>
      </c>
      <c r="M1466" s="2">
        <f t="shared" si="1112"/>
        <v>-14982.713110131408</v>
      </c>
      <c r="N1466" s="2">
        <f t="shared" si="1113"/>
        <v>-128817.47439546003</v>
      </c>
      <c r="O1466" s="23">
        <f t="shared" si="1114"/>
        <v>-273.01097083864971</v>
      </c>
      <c r="P1466" s="1">
        <f t="shared" si="1133"/>
        <v>-270.74249424282652</v>
      </c>
      <c r="Q1466" s="1">
        <f t="shared" si="1145"/>
        <v>17.286889868592791</v>
      </c>
      <c r="R1466">
        <f t="shared" si="1146"/>
        <v>0</v>
      </c>
      <c r="S1466" s="23">
        <f t="shared" si="1144"/>
        <v>-3.0109708386497216</v>
      </c>
      <c r="T1466">
        <f>$S1466+測地線補正!$Q$26*(lattice!$N1466/1000)^3+測地線補正!$P$26*(lattice!$N1466/1000)^2+測地線補正!$O$26*(lattice!$N1466/1000)+測地線補正!$N$26</f>
        <v>-0.742494242826502</v>
      </c>
      <c r="U1466">
        <v>0</v>
      </c>
      <c r="V1466">
        <v>0</v>
      </c>
      <c r="W1466">
        <v>0</v>
      </c>
      <c r="X1466">
        <f>SQRT(($M$1466-$M$1465)^2+($N$1466-$N$1465)^2)</f>
        <v>129.99630161124597</v>
      </c>
      <c r="Y1466">
        <f>_xlfn.XLOOKUP($F1466,設計座標!$E$13:$E$2301,設計座標!$L$13:$L$2301," ",0,1)</f>
        <v>0</v>
      </c>
      <c r="Z1466">
        <f>SQRT(($M$1466-$M$1464)^2+($N$1466-$N$1464)^2)</f>
        <v>1074.7209133206941</v>
      </c>
    </row>
    <row r="1467" spans="1:28">
      <c r="A1467" t="s">
        <v>797</v>
      </c>
      <c r="B1467">
        <v>2</v>
      </c>
      <c r="C1467" t="s">
        <v>805</v>
      </c>
      <c r="D1467" t="s">
        <v>806</v>
      </c>
      <c r="F1467" t="s">
        <v>386</v>
      </c>
      <c r="G1467" t="s">
        <v>386</v>
      </c>
      <c r="I1467">
        <f>_xlfn.XLOOKUP($F1467,設計座標!$E$13:$E$2301,設計座標!$G$13:$G$2301,"n/a",0,1)</f>
        <v>393.45694665425913</v>
      </c>
      <c r="J1467">
        <f>_xlfn.XLOOKUP($F1467,設計座標!$E$13:$E$2301,設計座標!$H$13:$H$2301,"n/a",0,1)</f>
        <v>-15000</v>
      </c>
      <c r="K1467">
        <f>_xlfn.XLOOKUP($F1467,設計座標!$E$13:$E$2301,設計座標!$I$13:$I$2301,"n/a",0,1)</f>
        <v>-128994.88918835</v>
      </c>
      <c r="L1467">
        <f>_xlfn.XLOOKUP($F1467,設計座標!$E$13:$E$2301,設計座標!$J$13:$J$2301,"n/a",0,1)</f>
        <v>-60</v>
      </c>
      <c r="M1467" s="2">
        <f>_xlfn.XLOOKUP($F1467,survey_data!$A$2:$A$833,survey_data!$B$2:$B$833,"n/a",0,1)</f>
        <v>-14982.685176950001</v>
      </c>
      <c r="N1467" s="2">
        <f>_xlfn.XLOOKUP($F1467,survey_data!$A$2:$A$833,survey_data!$C$2:$C$833,"n/a",0,1)</f>
        <v>-128994.88918835</v>
      </c>
      <c r="O1467" s="23">
        <f>_xlfn.XLOOKUP($F1467,survey_data!$A$2:$A$833,survey_data!$D$2:$D$833,"n/a",0,1)</f>
        <v>-63.010237580000002</v>
      </c>
      <c r="P1467" s="1">
        <f t="shared" si="1133"/>
        <v>-60.739507911956665</v>
      </c>
      <c r="Q1467" s="1">
        <f t="shared" ref="Q1467:Q1519" si="1153">$M1467-$J1467</f>
        <v>17.314823049999177</v>
      </c>
      <c r="R1467">
        <f t="shared" si="1146"/>
        <v>0</v>
      </c>
      <c r="S1467" s="23">
        <f t="shared" ref="S1467:S1519" si="1154">$O1467-$L1467</f>
        <v>-3.0102375800000019</v>
      </c>
      <c r="T1467">
        <f>$S1467+測地線補正!$Q$26*(lattice!$N1467/1000)^3+測地線補正!$P$26*(lattice!$N1467/1000)^2+測地線補正!$O$26*(lattice!$N1467/1000)+測地線補正!$N$26</f>
        <v>-0.73950791195666388</v>
      </c>
      <c r="U1467">
        <f>-ATAN(($P$1468-$P$1467)/ABS($N$1468-$N$1467))</f>
        <v>-2.1780868968489784E-3</v>
      </c>
      <c r="V1467">
        <v>0</v>
      </c>
      <c r="W1467">
        <f>ATAN(($M$1468-$M$1467)/ABS($N$1468-$N$1467))</f>
        <v>-7.5502485644622129E-5</v>
      </c>
      <c r="X1467">
        <f>$Z$1468-($Y$1468+$Y$1466)/2</f>
        <v>157.4147943173441</v>
      </c>
      <c r="Y1467">
        <f>_xlfn.XLOOKUP($F1467,設計座標!$E$13:$E$2301,設計座標!$L$13:$L$2301," ",0,1)</f>
        <v>120</v>
      </c>
      <c r="Z1467">
        <f>SQRT(($M$1468-$M$1466)^2+($N$1468-$N$1466)^2)</f>
        <v>217.4147943173441</v>
      </c>
      <c r="AA1467">
        <f>_xlfn.XLOOKUP($G1467,magnet_list!$A$2:$A$592,magnet_list!$AJ$2:$AJ$592,"n/a",0,1)</f>
        <v>0.1333</v>
      </c>
      <c r="AB1467">
        <f>_xlfn.XLOOKUP($G1467,magnet_list!$A$2:$A$592,magnet_list!$L$2:$L$592,"n/a",0,1)</f>
        <v>23</v>
      </c>
    </row>
    <row r="1468" spans="1:28">
      <c r="A1468" t="s">
        <v>797</v>
      </c>
      <c r="B1468">
        <v>2</v>
      </c>
      <c r="C1468" t="s">
        <v>805</v>
      </c>
      <c r="D1468" t="s">
        <v>1152</v>
      </c>
      <c r="E1468" t="s">
        <v>804</v>
      </c>
      <c r="F1468" t="s">
        <v>750</v>
      </c>
      <c r="G1468" t="s">
        <v>386</v>
      </c>
      <c r="I1468">
        <f>_xlfn.XLOOKUP($F1468,設計座標!$E$13:$E$2301,設計座標!$G$13:$G$2301,"n/a",0,1)</f>
        <v>393.49694665425915</v>
      </c>
      <c r="J1468">
        <f>_xlfn.XLOOKUP($F1468,設計座標!$E$13:$E$2301,設計座標!$H$13:$H$2301,"n/a",0,1)</f>
        <v>-15000</v>
      </c>
      <c r="K1468">
        <f>_xlfn.XLOOKUP($F1468,設計座標!$E$13:$E$2301,設計座標!$I$13:$I$2301,"n/a",0,1)</f>
        <v>-129034.88918835</v>
      </c>
      <c r="L1468">
        <f>_xlfn.XLOOKUP($F1468,設計座標!$E$13:$E$2301,設計座標!$J$13:$J$2301,"n/a",0,1)</f>
        <v>-60</v>
      </c>
      <c r="M1468" s="2">
        <f t="shared" si="1112"/>
        <v>-14982.688197049432</v>
      </c>
      <c r="N1468" s="2">
        <f t="shared" si="1113"/>
        <v>-129034.88918835</v>
      </c>
      <c r="O1468" s="23">
        <f t="shared" si="1114"/>
        <v>-62.923621021187174</v>
      </c>
      <c r="P1468" s="1">
        <f t="shared" si="1133"/>
        <v>-60.652384298309372</v>
      </c>
      <c r="Q1468" s="1">
        <f>(Q$1469-Q$1467)/($N$1469-$N$1467)*($N1468-$N$1467)+Q$1467</f>
        <v>17.3118029505683</v>
      </c>
      <c r="R1468">
        <f t="shared" si="1146"/>
        <v>0</v>
      </c>
      <c r="S1468" s="23">
        <f>(S$1469-S$1467)/($N$1469-$N$1467)*($N1468-$N$1467)+S$1467</f>
        <v>-2.923621021187174</v>
      </c>
      <c r="T1468">
        <f>$S1468+測地線補正!$Q$26*(lattice!$N1468/1000)^3+測地線補正!$P$26*(lattice!$N1468/1000)^2+測地線補正!$O$26*(lattice!$N1468/1000)+測地線補正!$N$26</f>
        <v>-0.65238429830936906</v>
      </c>
      <c r="U1468">
        <f>-ATAN(($P$1468-$P$1467)/ABS($N$1468-$N$1467))</f>
        <v>-2.1780868968489784E-3</v>
      </c>
      <c r="V1468">
        <v>0</v>
      </c>
      <c r="W1468">
        <f>ATAN(($M$1468-$M$1467)/ABS($N$1468-$N$1467))</f>
        <v>-7.5502485644622129E-5</v>
      </c>
      <c r="X1468">
        <f>$Z$1468-($Y$1468+$Y$1466)/2</f>
        <v>157.4147943173441</v>
      </c>
      <c r="Y1468">
        <f>_xlfn.XLOOKUP($F1468,設計座標!$E$13:$E$2301,設計座標!$L$13:$L$2301," ",0,1)</f>
        <v>120</v>
      </c>
      <c r="Z1468">
        <f>SQRT(($M$1468-$M$1466)^2+($N$1468-$N$1466)^2)</f>
        <v>217.4147943173441</v>
      </c>
      <c r="AA1468">
        <f>_xlfn.XLOOKUP($G1468,magnet_list!$A$2:$A$592,magnet_list!$AJ$2:$AJ$592,"n/a",0,1)</f>
        <v>0.1333</v>
      </c>
      <c r="AB1468">
        <f>_xlfn.XLOOKUP($G1468,magnet_list!$A$2:$A$592,magnet_list!$L$2:$L$592,"n/a",0,1)</f>
        <v>23</v>
      </c>
    </row>
    <row r="1469" spans="1:28">
      <c r="A1469" t="s">
        <v>797</v>
      </c>
      <c r="B1469">
        <v>2</v>
      </c>
      <c r="C1469" t="s">
        <v>805</v>
      </c>
      <c r="D1469" t="s">
        <v>806</v>
      </c>
      <c r="F1469" t="s">
        <v>387</v>
      </c>
      <c r="G1469" t="s">
        <v>2691</v>
      </c>
      <c r="I1469">
        <f>_xlfn.XLOOKUP($F1469,設計座標!$E$13:$E$2301,設計座標!$G$13:$G$2301,"n/a",0,1)</f>
        <v>393.73683187634913</v>
      </c>
      <c r="J1469">
        <f>_xlfn.XLOOKUP($F1469,設計座標!$E$13:$E$2301,設計座標!$H$13:$H$2301,"n/a",0,1)</f>
        <v>-15000</v>
      </c>
      <c r="K1469">
        <f>_xlfn.XLOOKUP($F1469,設計座標!$E$13:$E$2301,設計座標!$I$13:$I$2301,"n/a",0,1)</f>
        <v>-129274.77441044</v>
      </c>
      <c r="L1469">
        <f>_xlfn.XLOOKUP($F1469,設計座標!$E$13:$E$2301,設計座標!$J$13:$J$2301,"n/a",0,1)</f>
        <v>-70</v>
      </c>
      <c r="M1469" s="2">
        <f>_xlfn.XLOOKUP($F1469,survey_data!$A$2:$A$833,survey_data!$B$2:$B$833,"n/a",0,1)</f>
        <v>-14982.706308979999</v>
      </c>
      <c r="N1469" s="2">
        <f>_xlfn.XLOOKUP($F1469,survey_data!$A$2:$A$833,survey_data!$C$2:$C$833,"n/a",0,1)</f>
        <v>-129274.77441044</v>
      </c>
      <c r="O1469" s="23">
        <f>_xlfn.XLOOKUP($F1469,survey_data!$A$2:$A$833,survey_data!$D$2:$D$833,"n/a",0,1)</f>
        <v>-72.404170210000004</v>
      </c>
      <c r="P1469" s="1">
        <f t="shared" si="1133"/>
        <v>-70.12989973939203</v>
      </c>
      <c r="Q1469" s="1">
        <f t="shared" si="1153"/>
        <v>17.293691020000551</v>
      </c>
      <c r="R1469">
        <f t="shared" si="1146"/>
        <v>0</v>
      </c>
      <c r="S1469" s="23">
        <f t="shared" si="1154"/>
        <v>-2.4041702100000037</v>
      </c>
      <c r="T1469">
        <f>$S1469+測地線補正!$Q$26*(lattice!$N1469/1000)^3+測地線補正!$P$26*(lattice!$N1469/1000)^2+測地線補正!$O$26*(lattice!$N1469/1000)+測地線補正!$N$26</f>
        <v>-0.12989973939203137</v>
      </c>
      <c r="U1469">
        <f>-ATAN(($P$1471-$P$1469)/ABS($N$1471-$N$1469))</f>
        <v>-1.2713396884718275E-3</v>
      </c>
      <c r="V1469">
        <v>0</v>
      </c>
      <c r="W1469">
        <f>ATAN(($M$1471-$M$1469)/ABS($N$1471-$N$1469))</f>
        <v>-3.0604115727311605E-7</v>
      </c>
      <c r="X1469">
        <f>$Z$1470-($Y$1470+$Y$1468)/2</f>
        <v>169.89172267681238</v>
      </c>
      <c r="Y1469">
        <f>_xlfn.XLOOKUP($F1469,設計座標!$E$13:$E$2301,設計座標!$L$13:$L$2301," ",0,1)</f>
        <v>100</v>
      </c>
      <c r="Z1469">
        <f>SQRT(($M$1470-$M$1468)^2+($N$1470-$N$1468)^2)</f>
        <v>279.89172267681238</v>
      </c>
      <c r="AA1469">
        <f>_xlfn.XLOOKUP($G1469,magnet_list!$A$2:$A$592,magnet_list!$AJ$2:$AJ$592,"n/a",0,1)</f>
        <v>0.1415535</v>
      </c>
      <c r="AB1469">
        <f>_xlfn.XLOOKUP($G1469,magnet_list!$A$2:$A$592,magnet_list!$L$2:$L$592,"n/a",0,1)</f>
        <v>44</v>
      </c>
    </row>
    <row r="1470" spans="1:28">
      <c r="A1470" t="s">
        <v>797</v>
      </c>
      <c r="B1470">
        <v>2</v>
      </c>
      <c r="C1470" t="s">
        <v>805</v>
      </c>
      <c r="D1470" t="s">
        <v>1152</v>
      </c>
      <c r="E1470" t="s">
        <v>804</v>
      </c>
      <c r="F1470" t="s">
        <v>751</v>
      </c>
      <c r="G1470" t="s">
        <v>2691</v>
      </c>
      <c r="I1470">
        <f>_xlfn.XLOOKUP($F1470,設計座標!$E$13:$E$2301,設計座標!$G$13:$G$2301,"n/a",0,1)</f>
        <v>393.77683837634913</v>
      </c>
      <c r="J1470">
        <f>_xlfn.XLOOKUP($F1470,設計座標!$E$13:$E$2301,設計座標!$H$13:$H$2301,"n/a",0,1)</f>
        <v>-15000</v>
      </c>
      <c r="K1470">
        <f>_xlfn.XLOOKUP($F1470,設計座標!$E$13:$E$2301,設計座標!$I$13:$I$2301,"n/a",0,1)</f>
        <v>-129314.78091044001</v>
      </c>
      <c r="L1470">
        <f>_xlfn.XLOOKUP($F1470,設計座標!$E$13:$E$2301,設計座標!$J$13:$J$2301,"n/a",0,1)</f>
        <v>-70</v>
      </c>
      <c r="M1470" s="2">
        <f t="shared" si="1112"/>
        <v>-14982.706321223635</v>
      </c>
      <c r="N1470" s="2">
        <f t="shared" si="1113"/>
        <v>-129314.78091044001</v>
      </c>
      <c r="O1470" s="23">
        <f t="shared" si="1114"/>
        <v>-72.353812922301543</v>
      </c>
      <c r="P1470" s="1">
        <f t="shared" si="1133"/>
        <v>-70.079037690963489</v>
      </c>
      <c r="Q1470" s="1">
        <f>(Q$1471-Q$1469)/($N$1471-$N$1469)*($N1470-$N$1469)+Q$1469</f>
        <v>17.293678776364992</v>
      </c>
      <c r="R1470">
        <f t="shared" si="1146"/>
        <v>0</v>
      </c>
      <c r="S1470" s="23">
        <f>(S$1471-S$1469)/($N$1471-$N$1469)*($N1470-$N$1469)+S$1469</f>
        <v>-2.3538129223015463</v>
      </c>
      <c r="T1470">
        <f>$S1470+測地線補正!$Q$26*(lattice!$N1470/1000)^3+測地線補正!$P$26*(lattice!$N1470/1000)^2+測地線補正!$O$26*(lattice!$N1470/1000)+測地線補正!$N$26</f>
        <v>-7.9037690963489782E-2</v>
      </c>
      <c r="U1470">
        <f t="shared" ref="U1470:U1471" si="1155">-ATAN(($P$1471-$P$1469)/ABS($N$1471-$N$1469))</f>
        <v>-1.2713396884718275E-3</v>
      </c>
      <c r="V1470">
        <v>0</v>
      </c>
      <c r="W1470">
        <f t="shared" ref="W1470:W1471" si="1156">ATAN(($M$1471-$M$1469)/ABS($N$1471-$N$1469))</f>
        <v>-3.0604115727311605E-7</v>
      </c>
      <c r="X1470">
        <f>$Z$1470-($Y$1470+$Y$1468)/2</f>
        <v>169.89172267681238</v>
      </c>
      <c r="Y1470">
        <f>_xlfn.XLOOKUP($F1470,設計座標!$E$13:$E$2301,設計座標!$L$13:$L$2301," ",0,1)</f>
        <v>100</v>
      </c>
      <c r="Z1470">
        <f>SQRT(($M$1470-$M$1468)^2+($N$1470-$N$1468)^2)</f>
        <v>279.89172267681238</v>
      </c>
      <c r="AA1470">
        <f>_xlfn.XLOOKUP($G1470,magnet_list!$A$2:$A$592,magnet_list!$AJ$2:$AJ$592,"n/a",0,1)</f>
        <v>0.1415535</v>
      </c>
      <c r="AB1470">
        <f>_xlfn.XLOOKUP($G1470,magnet_list!$A$2:$A$592,magnet_list!$L$2:$L$592,"n/a",0,1)</f>
        <v>44</v>
      </c>
    </row>
    <row r="1471" spans="1:28">
      <c r="A1471" t="s">
        <v>797</v>
      </c>
      <c r="B1471">
        <v>2</v>
      </c>
      <c r="C1471" t="s">
        <v>805</v>
      </c>
      <c r="D1471" t="s">
        <v>806</v>
      </c>
      <c r="F1471" t="s">
        <v>388</v>
      </c>
      <c r="G1471" t="s">
        <v>2691</v>
      </c>
      <c r="I1471">
        <f>_xlfn.XLOOKUP($F1471,設計座標!$E$13:$E$2301,設計座標!$G$13:$G$2301,"n/a",0,1)</f>
        <v>393.8168537937691</v>
      </c>
      <c r="J1471">
        <f>_xlfn.XLOOKUP($F1471,設計座標!$E$13:$E$2301,設計座標!$H$13:$H$2301,"n/a",0,1)</f>
        <v>-15000</v>
      </c>
      <c r="K1471">
        <f>_xlfn.XLOOKUP($F1471,設計座標!$E$13:$E$2301,設計座標!$I$13:$I$2301,"n/a",0,1)</f>
        <v>-129354.79632785999</v>
      </c>
      <c r="L1471">
        <f>_xlfn.XLOOKUP($F1471,設計座標!$E$13:$E$2301,設計座標!$J$13:$J$2301,"n/a",0,1)</f>
        <v>-70</v>
      </c>
      <c r="M1471" s="2">
        <f>_xlfn.XLOOKUP($F1471,survey_data!$A$2:$A$833,survey_data!$B$2:$B$833,"n/a",0,1)</f>
        <v>-14982.70633347</v>
      </c>
      <c r="N1471" s="2">
        <f>_xlfn.XLOOKUP($F1471,survey_data!$A$2:$A$833,survey_data!$C$2:$C$833,"n/a",0,1)</f>
        <v>-129354.79632785999</v>
      </c>
      <c r="O1471" s="23">
        <f>_xlfn.XLOOKUP($F1471,survey_data!$A$2:$A$833,survey_data!$D$2:$D$833,"n/a",0,1)</f>
        <v>-72.303444409999997</v>
      </c>
      <c r="P1471" s="1">
        <f t="shared" si="1133"/>
        <v>-70.028164645016744</v>
      </c>
      <c r="Q1471" s="1">
        <f t="shared" si="1153"/>
        <v>17.293666530000337</v>
      </c>
      <c r="R1471">
        <f t="shared" si="1146"/>
        <v>0</v>
      </c>
      <c r="S1471" s="23">
        <f t="shared" si="1154"/>
        <v>-2.3034444099999973</v>
      </c>
      <c r="T1471">
        <f>$S1471+測地線補正!$Q$26*(lattice!$N1471/1000)^3+測地線補正!$P$26*(lattice!$N1471/1000)^2+測地線補正!$O$26*(lattice!$N1471/1000)+測地線補正!$N$26</f>
        <v>-2.8164645016745427E-2</v>
      </c>
      <c r="U1471">
        <f t="shared" si="1155"/>
        <v>-1.2713396884718275E-3</v>
      </c>
      <c r="V1471">
        <v>0</v>
      </c>
      <c r="W1471">
        <f t="shared" si="1156"/>
        <v>-3.0604115727311605E-7</v>
      </c>
      <c r="X1471">
        <f>$Z$1470-($Y$1470+$Y$1468)/2</f>
        <v>169.89172267681238</v>
      </c>
      <c r="Y1471">
        <f>_xlfn.XLOOKUP($F1471,設計座標!$E$13:$E$2301,設計座標!$L$13:$L$2301," ",0,1)</f>
        <v>100</v>
      </c>
      <c r="Z1471">
        <f>SQRT(($M$1470-$M$1468)^2+($N$1470-$N$1468)^2)</f>
        <v>279.89172267681238</v>
      </c>
      <c r="AA1471">
        <f>_xlfn.XLOOKUP($G1471,magnet_list!$A$2:$A$592,magnet_list!$AJ$2:$AJ$592,"n/a",0,1)</f>
        <v>0.1415535</v>
      </c>
      <c r="AB1471">
        <f>_xlfn.XLOOKUP($G1471,magnet_list!$A$2:$A$592,magnet_list!$L$2:$L$592,"n/a",0,1)</f>
        <v>44</v>
      </c>
    </row>
    <row r="1472" spans="1:28">
      <c r="A1472" t="s">
        <v>797</v>
      </c>
      <c r="B1472">
        <v>2</v>
      </c>
      <c r="C1472" t="s">
        <v>805</v>
      </c>
      <c r="D1472" t="s">
        <v>1152</v>
      </c>
      <c r="E1472" t="s">
        <v>804</v>
      </c>
      <c r="F1472" t="s">
        <v>752</v>
      </c>
      <c r="G1472" t="s">
        <v>389</v>
      </c>
      <c r="I1472">
        <f>_xlfn.XLOOKUP($F1472,設計座標!$E$13:$E$2301,設計座標!$G$13:$G$2301,"n/a",0,1)</f>
        <v>394.05708079549908</v>
      </c>
      <c r="J1472">
        <f>_xlfn.XLOOKUP($F1472,設計座標!$E$13:$E$2301,設計座標!$H$13:$H$2301,"n/a",0,1)</f>
        <v>-15000</v>
      </c>
      <c r="K1472">
        <f>_xlfn.XLOOKUP($F1472,設計座標!$E$13:$E$2301,設計座標!$I$13:$I$2301,"n/a",0,1)</f>
        <v>-129595.02332959</v>
      </c>
      <c r="L1472">
        <f>_xlfn.XLOOKUP($F1472,設計座標!$E$13:$E$2301,設計座標!$J$13:$J$2301,"n/a",0,1)</f>
        <v>-60</v>
      </c>
      <c r="M1472" s="2">
        <f t="shared" si="1112"/>
        <v>-14982.635948442841</v>
      </c>
      <c r="N1472" s="2">
        <f t="shared" si="1113"/>
        <v>-129595.02332959</v>
      </c>
      <c r="O1472" s="23">
        <f t="shared" si="1114"/>
        <v>-62.881636853011862</v>
      </c>
      <c r="P1472" s="1">
        <f t="shared" si="1133"/>
        <v>-60.603335327152912</v>
      </c>
      <c r="Q1472" s="1">
        <f>(Q$1473-Q$1471)/($N$1473-$N$1471)*($N1472-$N$1471)+Q$1471</f>
        <v>17.364051557158096</v>
      </c>
      <c r="R1472">
        <f t="shared" si="1146"/>
        <v>0</v>
      </c>
      <c r="S1472" s="23">
        <f>(S$1473-S$1471)/($N$1473-$N$1471)*($N1472-$N$1471)+S$1471</f>
        <v>-2.8816368530118623</v>
      </c>
      <c r="T1472">
        <f>$S1472+測地線補正!$Q$26*(lattice!$N1472/1000)^3+測地線補正!$P$26*(lattice!$N1472/1000)^2+測地線補正!$O$26*(lattice!$N1472/1000)+測地線補正!$N$26</f>
        <v>-0.6033353271529116</v>
      </c>
      <c r="U1472">
        <f>-ATAN(($P$1473-$P$1472)/ABS($N$1473-$N$1472))</f>
        <v>2.394305021377211E-3</v>
      </c>
      <c r="V1472">
        <v>0</v>
      </c>
      <c r="W1472">
        <f>ATAN(($M$1473-$M$1472)/ABS($N$1473-$N$1472))</f>
        <v>2.9299381265594483E-4</v>
      </c>
      <c r="X1472">
        <f>$Z$1472-($Y$1472+$Y$1470)/2</f>
        <v>170.24242798578189</v>
      </c>
      <c r="Y1472">
        <f>_xlfn.XLOOKUP($F1472,設計座標!$E$13:$E$2301,設計座標!$L$13:$L$2301," ",0,1)</f>
        <v>120</v>
      </c>
      <c r="Z1472">
        <f>SQRT(($M$1472-$M$1470)^2+($N$1472-$N$1470)^2)</f>
        <v>280.24242798578189</v>
      </c>
      <c r="AA1472">
        <f>_xlfn.XLOOKUP($G1472,magnet_list!$A$2:$A$592,magnet_list!$AJ$2:$AJ$592,"n/a",0,1)</f>
        <v>0.1333</v>
      </c>
      <c r="AB1472">
        <f>_xlfn.XLOOKUP($G1472,magnet_list!$A$2:$A$592,magnet_list!$L$2:$L$592,"n/a",0,1)</f>
        <v>23</v>
      </c>
    </row>
    <row r="1473" spans="1:30">
      <c r="A1473" t="s">
        <v>797</v>
      </c>
      <c r="B1473">
        <v>2</v>
      </c>
      <c r="C1473" t="s">
        <v>805</v>
      </c>
      <c r="D1473" t="s">
        <v>806</v>
      </c>
      <c r="F1473" t="s">
        <v>389</v>
      </c>
      <c r="G1473" t="s">
        <v>389</v>
      </c>
      <c r="I1473">
        <f>_xlfn.XLOOKUP($F1473,設計座標!$E$13:$E$2301,設計座標!$G$13:$G$2301,"n/a",0,1)</f>
        <v>394.0970807954991</v>
      </c>
      <c r="J1473">
        <f>_xlfn.XLOOKUP($F1473,設計座標!$E$13:$E$2301,設計座標!$H$13:$H$2301,"n/a",0,1)</f>
        <v>-15000</v>
      </c>
      <c r="K1473">
        <f>_xlfn.XLOOKUP($F1473,設計座標!$E$13:$E$2301,設計座標!$I$13:$I$2301,"n/a",0,1)</f>
        <v>-129635.02332959</v>
      </c>
      <c r="L1473">
        <f>_xlfn.XLOOKUP($F1473,設計座標!$E$13:$E$2301,設計座標!$J$13:$J$2301,"n/a",0,1)</f>
        <v>-60</v>
      </c>
      <c r="M1473" s="2">
        <f>_xlfn.XLOOKUP($F1473,survey_data!$A$2:$A$833,survey_data!$B$2:$B$833,"n/a",0,1)</f>
        <v>-14982.62422869</v>
      </c>
      <c r="N1473" s="2">
        <f>_xlfn.XLOOKUP($F1473,survey_data!$A$2:$A$833,survey_data!$C$2:$C$833,"n/a",0,1)</f>
        <v>-129635.02332959</v>
      </c>
      <c r="O1473" s="23">
        <f>_xlfn.XLOOKUP($F1473,survey_data!$A$2:$A$833,survey_data!$D$2:$D$833,"n/a",0,1)</f>
        <v>-62.977911200000001</v>
      </c>
      <c r="P1473" s="1">
        <f t="shared" si="1133"/>
        <v>-60.699107711019408</v>
      </c>
      <c r="Q1473" s="1">
        <f t="shared" si="1153"/>
        <v>17.375771310000346</v>
      </c>
      <c r="R1473">
        <f t="shared" si="1146"/>
        <v>0</v>
      </c>
      <c r="S1473" s="23">
        <f t="shared" si="1154"/>
        <v>-2.9779112000000012</v>
      </c>
      <c r="T1473">
        <f>$S1473+測地線補正!$Q$26*(lattice!$N1473/1000)^3+測地線補正!$P$26*(lattice!$N1473/1000)^2+測地線補正!$O$26*(lattice!$N1473/1000)+測地線補正!$N$26</f>
        <v>-0.69910771101940683</v>
      </c>
      <c r="U1473">
        <f>-ATAN(($P$1473-$P$1472)/ABS($N$1473-$N$1472))</f>
        <v>2.394305021377211E-3</v>
      </c>
      <c r="V1473">
        <v>0</v>
      </c>
      <c r="W1473">
        <f>ATAN(($M$1473-$M$1472)/ABS($N$1473-$N$1472))</f>
        <v>2.9299381265594483E-4</v>
      </c>
      <c r="X1473">
        <f>$Z$1472-($Y$1472+$Y$1470)/2</f>
        <v>170.24242798578189</v>
      </c>
      <c r="Y1473">
        <f>_xlfn.XLOOKUP($F1473,設計座標!$E$13:$E$2301,設計座標!$L$13:$L$2301," ",0,1)</f>
        <v>120</v>
      </c>
      <c r="Z1473">
        <f>SQRT(($M$1472-$M$1470)^2+($N$1472-$N$1470)^2)</f>
        <v>280.24242798578189</v>
      </c>
      <c r="AA1473">
        <f>_xlfn.XLOOKUP($G1473,magnet_list!$A$2:$A$592,magnet_list!$AJ$2:$AJ$592,"n/a",0,1)</f>
        <v>0.1333</v>
      </c>
      <c r="AB1473">
        <f>_xlfn.XLOOKUP($G1473,magnet_list!$A$2:$A$592,magnet_list!$L$2:$L$592,"n/a",0,1)</f>
        <v>23</v>
      </c>
    </row>
    <row r="1474" spans="1:30">
      <c r="A1474" t="s">
        <v>797</v>
      </c>
      <c r="B1474">
        <v>2</v>
      </c>
      <c r="C1474" t="s">
        <v>1152</v>
      </c>
      <c r="D1474" t="s">
        <v>1152</v>
      </c>
      <c r="E1474" t="s">
        <v>804</v>
      </c>
      <c r="F1474" t="s">
        <v>2138</v>
      </c>
      <c r="G1474" t="s">
        <v>2138</v>
      </c>
      <c r="I1474">
        <f>_xlfn.XLOOKUP($F1474,設計座標!$E$13:$E$2301,設計座標!$G$13:$G$2301,"n/a",0,1)</f>
        <v>394.26064886136913</v>
      </c>
      <c r="J1474">
        <f>_xlfn.XLOOKUP($F1474,設計座標!$E$13:$E$2301,設計座標!$H$13:$H$2301,"n/a",0,1)</f>
        <v>-15000</v>
      </c>
      <c r="K1474">
        <f>_xlfn.XLOOKUP($F1474,設計座標!$E$13:$E$2301,設計座標!$I$13:$I$2301,"n/a",0,1)</f>
        <v>-129798.59139546003</v>
      </c>
      <c r="L1474">
        <f>_xlfn.XLOOKUP($F1474,設計座標!$E$13:$E$2301,設計座標!$J$13:$J$2301,"n/a",0,1)</f>
        <v>-270</v>
      </c>
      <c r="M1474" s="2">
        <f t="shared" si="1112"/>
        <v>-14982.598606390477</v>
      </c>
      <c r="N1474" s="2">
        <f t="shared" si="1113"/>
        <v>-129798.59139546003</v>
      </c>
      <c r="O1474" s="23">
        <f t="shared" si="1114"/>
        <v>-272.99331713605511</v>
      </c>
      <c r="P1474" s="1">
        <f t="shared" si="1133"/>
        <v>-270.71246454504762</v>
      </c>
      <c r="Q1474" s="1">
        <f>(Q$1485-Q$1473)/($N$1485-$N$1473)*($N1474-$N$1473)+Q$1473</f>
        <v>17.401393609523556</v>
      </c>
      <c r="R1474">
        <f t="shared" si="1146"/>
        <v>0</v>
      </c>
      <c r="S1474" s="23">
        <f t="shared" ref="S1474:S1484" si="1157">(S$1485-S$1473)/($N$1485-$N$1473)*($N1474-$N$1473)+S$1473</f>
        <v>-2.9933171360551323</v>
      </c>
      <c r="T1474">
        <f>$S1474+測地線補正!$Q$26*(lattice!$N1474/1000)^3+測地線補正!$P$26*(lattice!$N1474/1000)^2+測地線補正!$O$26*(lattice!$N1474/1000)+測地線補正!$N$26</f>
        <v>-0.71246454504764523</v>
      </c>
      <c r="U1474">
        <v>0</v>
      </c>
      <c r="V1474">
        <v>0</v>
      </c>
      <c r="W1474">
        <v>0</v>
      </c>
      <c r="X1474">
        <f>$Z$1474-($Y$1474+$Y$1472)/2</f>
        <v>143.56806929499896</v>
      </c>
      <c r="Y1474">
        <f>_xlfn.XLOOKUP($F1474,設計座標!$E$13:$E$2301,設計座標!$L$13:$L$2301," ",0,1)</f>
        <v>0</v>
      </c>
      <c r="Z1474">
        <f>SQRT(($M$1474-$M$1472)^2+($N$1474-$N$1472)^2)</f>
        <v>203.56806929499896</v>
      </c>
    </row>
    <row r="1475" spans="1:30">
      <c r="A1475" t="s">
        <v>797</v>
      </c>
      <c r="B1475">
        <v>2</v>
      </c>
      <c r="C1475" t="s">
        <v>804</v>
      </c>
      <c r="D1475" t="s">
        <v>1152</v>
      </c>
      <c r="E1475" t="s">
        <v>804</v>
      </c>
      <c r="F1475" t="s">
        <v>1650</v>
      </c>
      <c r="G1475" t="s">
        <v>2692</v>
      </c>
      <c r="I1475">
        <f>_xlfn.XLOOKUP($F1475,設計座標!$E$13:$E$2301,設計座標!$G$13:$G$2301,"n/a",0,1)</f>
        <v>394.4616483613691</v>
      </c>
      <c r="J1475">
        <f>_xlfn.XLOOKUP($F1475,設計座標!$E$13:$E$2301,設計座標!$H$13:$H$2301,"n/a",0,1)</f>
        <v>-15000</v>
      </c>
      <c r="K1475">
        <f>_xlfn.XLOOKUP($F1475,設計座標!$E$13:$E$2301,設計座標!$I$13:$I$2301,"n/a",0,1)</f>
        <v>-129999.59089546003</v>
      </c>
      <c r="L1475">
        <f>_xlfn.XLOOKUP($F1475,設計座標!$E$13:$E$2301,設計座標!$J$13:$J$2301,"n/a",0,1)</f>
        <v>-270</v>
      </c>
      <c r="M1475" s="2">
        <f t="shared" ref="M1475:M1529" si="1158">$J1475+$Q1475</f>
        <v>-14982.567120602798</v>
      </c>
      <c r="N1475" s="2">
        <f t="shared" ref="N1475:N1529" si="1159">$K1475</f>
        <v>-129999.59089546003</v>
      </c>
      <c r="O1475" s="23">
        <f t="shared" ref="O1475:O1529" si="1160">$L1475+$S1475</f>
        <v>-273.01224861529982</v>
      </c>
      <c r="P1475" s="1">
        <f t="shared" si="1133"/>
        <v>-270.72888575585949</v>
      </c>
      <c r="Q1475" s="1">
        <f t="shared" ref="Q1475:Q1484" si="1161">(Q$1485-Q$1473)/($N$1485-$N$1473)*($N1475-$N$1473)+Q$1473</f>
        <v>17.43287939720236</v>
      </c>
      <c r="R1475">
        <f t="shared" si="1146"/>
        <v>0</v>
      </c>
      <c r="S1475" s="23">
        <f t="shared" si="1157"/>
        <v>-3.0122486152998271</v>
      </c>
      <c r="T1475">
        <f>$S1475+測地線補正!$Q$26*(lattice!$N1475/1000)^3+測地線補正!$P$26*(lattice!$N1475/1000)^2+測地線補正!$O$26*(lattice!$N1475/1000)+測地線補正!$N$26</f>
        <v>-0.72888575585947479</v>
      </c>
      <c r="U1475">
        <f>-ATAN(($P$1479-$P$1475)/ABS($N$1479-$N$1475))</f>
        <v>8.1918407515788432E-5</v>
      </c>
      <c r="V1475">
        <v>0</v>
      </c>
      <c r="W1475">
        <f>ATAN(($M$1479-$M$1475)/ABS($N$1479-$N$1475))</f>
        <v>1.5664609823064408E-4</v>
      </c>
      <c r="X1475">
        <f>SQRT(($M$1475-$M$1474)^2+($N$1475-$N$1474)^2)</f>
        <v>200.99950246606826</v>
      </c>
      <c r="Y1475">
        <f>_xlfn.XLOOKUP($F1475,設計座標!$E$13:$E$2301,設計座標!$L$13:$L$2301," ",0,1)</f>
        <v>1889.4492</v>
      </c>
      <c r="Z1475">
        <f>SQRT(($M$1478-$M$1476)^2+($N$1478-$N$1476)^2)</f>
        <v>307.22410376933925</v>
      </c>
    </row>
    <row r="1476" spans="1:30">
      <c r="A1476" t="s">
        <v>797</v>
      </c>
      <c r="B1476">
        <v>2</v>
      </c>
      <c r="C1476" t="s">
        <v>3855</v>
      </c>
      <c r="D1476" t="s">
        <v>1152</v>
      </c>
      <c r="E1476" t="s">
        <v>804</v>
      </c>
      <c r="F1476" t="s">
        <v>2139</v>
      </c>
      <c r="G1476" t="s">
        <v>2139</v>
      </c>
      <c r="I1476">
        <f>_xlfn.XLOOKUP($F1476,設計座標!$E$13:$E$2301,設計座標!$G$13:$G$2301,"n/a",0,1)</f>
        <v>395.09914886136914</v>
      </c>
      <c r="J1476">
        <f>_xlfn.XLOOKUP($F1476,設計座標!$E$13:$E$2301,設計座標!$H$13:$H$2301,"n/a",0,1)</f>
        <v>-15000</v>
      </c>
      <c r="K1476">
        <f>_xlfn.XLOOKUP($F1476,設計座標!$E$13:$E$2301,設計座標!$I$13:$I$2301,"n/a",0,1)</f>
        <v>-130637.09139546003</v>
      </c>
      <c r="L1476">
        <f>_xlfn.XLOOKUP($F1476,設計座標!$E$13:$E$2301,設計座標!$J$13:$J$2301,"n/a",0,1)</f>
        <v>-270</v>
      </c>
      <c r="M1476" s="2">
        <f t="shared" si="1158"/>
        <v>-14982.467258636036</v>
      </c>
      <c r="N1476" s="2">
        <f t="shared" si="1159"/>
        <v>-130637.09139546003</v>
      </c>
      <c r="O1476" s="23">
        <f t="shared" si="1160"/>
        <v>-273.07229268249517</v>
      </c>
      <c r="P1476" s="1">
        <f t="shared" si="1133"/>
        <v>-270.78102463447027</v>
      </c>
      <c r="Q1476" s="1">
        <f t="shared" si="1161"/>
        <v>17.53274136396411</v>
      </c>
      <c r="R1476">
        <f t="shared" si="1146"/>
        <v>0</v>
      </c>
      <c r="S1476" s="23">
        <f t="shared" si="1157"/>
        <v>-3.0722926824951795</v>
      </c>
      <c r="T1476">
        <f>$S1476+測地線補正!$Q$26*(lattice!$N1476/1000)^3+測地線補正!$P$26*(lattice!$N1476/1000)^2+測地線補正!$O$26*(lattice!$N1476/1000)+測地線補正!$N$26</f>
        <v>-0.78102463447026094</v>
      </c>
      <c r="U1476">
        <f t="shared" ref="U1476:U1477" si="1162">-ATAN(($P$1479-$P$1475)/ABS($N$1479-$N$1475))</f>
        <v>8.1918407515788432E-5</v>
      </c>
      <c r="V1476">
        <v>0</v>
      </c>
      <c r="W1476">
        <f t="shared" ref="W1476:W1477" si="1163">ATAN(($M$1479-$M$1475)/ABS($N$1479-$N$1475))</f>
        <v>1.5664609823064408E-4</v>
      </c>
      <c r="X1476" t="s">
        <v>3860</v>
      </c>
      <c r="Y1476">
        <f>_xlfn.XLOOKUP($F1476,設計座標!$E$13:$E$2301,設計座標!$L$13:$L$2301," ",0,1)</f>
        <v>800</v>
      </c>
      <c r="Z1476">
        <f>SQRT(($M$1476-$M$1474)^2+($N$1476-$N$1474)^2)</f>
        <v>838.50001028755662</v>
      </c>
      <c r="AA1476">
        <f>_xlfn.XLOOKUP($G1476,magnet_list!$A$2:$A$592,magnet_list!$AJ$2:$AJ$592,"n/a",0,1)</f>
        <v>0.74619000000000002</v>
      </c>
      <c r="AB1476">
        <f>_xlfn.XLOOKUP($G1476,magnet_list!$A$2:$A$592,magnet_list!$L$2:$L$592,"n/a",0,1)</f>
        <v>120</v>
      </c>
    </row>
    <row r="1477" spans="1:30">
      <c r="A1477" t="s">
        <v>797</v>
      </c>
      <c r="B1477">
        <v>2</v>
      </c>
      <c r="C1477" t="s">
        <v>3855</v>
      </c>
      <c r="D1477" t="s">
        <v>1152</v>
      </c>
      <c r="E1477" t="s">
        <v>804</v>
      </c>
      <c r="F1477" t="s">
        <v>2140</v>
      </c>
      <c r="G1477" t="s">
        <v>2140</v>
      </c>
      <c r="I1477">
        <f>_xlfn.XLOOKUP($F1477,設計座標!$E$13:$E$2301,設計座標!$G$13:$G$2301,"n/a",0,1)</f>
        <v>395.09914886136914</v>
      </c>
      <c r="J1477">
        <f>_xlfn.XLOOKUP($F1477,設計座標!$E$13:$E$2301,設計座標!$H$13:$H$2301,"n/a",0,1)</f>
        <v>-15000</v>
      </c>
      <c r="K1477">
        <f>_xlfn.XLOOKUP($F1477,設計座標!$E$13:$E$2301,設計座標!$I$13:$I$2301,"n/a",0,1)</f>
        <v>-130637.09139546003</v>
      </c>
      <c r="L1477">
        <f>_xlfn.XLOOKUP($F1477,設計座標!$E$13:$E$2301,設計座標!$J$13:$J$2301,"n/a",0,1)</f>
        <v>-270</v>
      </c>
      <c r="M1477" s="2">
        <f t="shared" si="1158"/>
        <v>-14982.467258636036</v>
      </c>
      <c r="N1477" s="2">
        <f t="shared" si="1159"/>
        <v>-130637.09139546003</v>
      </c>
      <c r="O1477" s="23">
        <f t="shared" si="1160"/>
        <v>-273.07229268249517</v>
      </c>
      <c r="P1477" s="1">
        <f t="shared" si="1133"/>
        <v>-270.78102463447027</v>
      </c>
      <c r="Q1477" s="1">
        <f t="shared" si="1161"/>
        <v>17.53274136396411</v>
      </c>
      <c r="R1477">
        <f t="shared" si="1146"/>
        <v>0</v>
      </c>
      <c r="S1477" s="23">
        <f t="shared" si="1157"/>
        <v>-3.0722926824951795</v>
      </c>
      <c r="T1477">
        <f>$S1477+測地線補正!$Q$26*(lattice!$N1477/1000)^3+測地線補正!$P$26*(lattice!$N1477/1000)^2+測地線補正!$O$26*(lattice!$N1477/1000)+測地線補正!$N$26</f>
        <v>-0.78102463447026094</v>
      </c>
      <c r="U1477">
        <f t="shared" si="1162"/>
        <v>8.1918407515788432E-5</v>
      </c>
      <c r="V1477">
        <v>0</v>
      </c>
      <c r="W1477">
        <f t="shared" si="1163"/>
        <v>1.5664609823064408E-4</v>
      </c>
      <c r="X1477" t="s">
        <v>3860</v>
      </c>
      <c r="Y1477">
        <f>_xlfn.XLOOKUP($F1477,設計座標!$E$13:$E$2301,設計座標!$L$13:$L$2301," ",0,1)</f>
        <v>800</v>
      </c>
      <c r="Z1477">
        <f>SQRT(($M$1476-$M$1474)^2+($N$1476-$N$1474)^2)</f>
        <v>838.50001028755662</v>
      </c>
      <c r="AA1477">
        <f>_xlfn.XLOOKUP($G1477,magnet_list!$A$2:$A$592,magnet_list!$AJ$2:$AJ$592,"n/a",0,1)</f>
        <v>0.74619000000000002</v>
      </c>
      <c r="AB1477">
        <f>_xlfn.XLOOKUP($G1477,magnet_list!$A$2:$A$592,magnet_list!$L$2:$L$592,"n/a",0,1)</f>
        <v>120</v>
      </c>
    </row>
    <row r="1478" spans="1:30">
      <c r="A1478" t="s">
        <v>797</v>
      </c>
      <c r="B1478">
        <v>2</v>
      </c>
      <c r="C1478" t="s">
        <v>804</v>
      </c>
      <c r="D1478" t="s">
        <v>1152</v>
      </c>
      <c r="E1478" t="s">
        <v>804</v>
      </c>
      <c r="F1478" t="s">
        <v>1308</v>
      </c>
      <c r="G1478" t="s">
        <v>2692</v>
      </c>
      <c r="I1478">
        <f>_xlfn.XLOOKUP($F1478,設計座標!$E$13:$E$2301,設計座標!$G$13:$G$2301,"n/a",0,1)</f>
        <v>395.40637296136913</v>
      </c>
      <c r="J1478">
        <f>_xlfn.XLOOKUP($F1478,設計座標!$E$13:$E$2301,設計座標!$H$13:$H$2301,"n/a",0,1)</f>
        <v>-15000</v>
      </c>
      <c r="K1478">
        <f>_xlfn.XLOOKUP($F1478,設計座標!$E$13:$E$2301,設計座標!$I$13:$I$2301,"n/a",0,1)</f>
        <v>-130944.31549546003</v>
      </c>
      <c r="L1478">
        <f>_xlfn.XLOOKUP($F1478,設計座標!$E$13:$E$2301,設計座標!$J$13:$J$2301,"n/a",0,1)</f>
        <v>-270</v>
      </c>
      <c r="M1478" s="2">
        <f t="shared" si="1158"/>
        <v>-14982.419133179095</v>
      </c>
      <c r="N1478" s="2">
        <f t="shared" si="1159"/>
        <v>-130944.31549546003</v>
      </c>
      <c r="O1478" s="23">
        <f t="shared" si="1160"/>
        <v>-273.10122910608141</v>
      </c>
      <c r="P1478" s="1">
        <f t="shared" si="1133"/>
        <v>-270.80618202936893</v>
      </c>
      <c r="Q1478" s="1">
        <f t="shared" si="1161"/>
        <v>17.580866820905101</v>
      </c>
      <c r="R1478">
        <f t="shared" si="1146"/>
        <v>0</v>
      </c>
      <c r="S1478" s="23">
        <f t="shared" si="1157"/>
        <v>-3.1012291060814077</v>
      </c>
      <c r="T1478">
        <f>$S1478+測地線補正!$Q$26*(lattice!$N1478/1000)^3+測地線補正!$P$26*(lattice!$N1478/1000)^2+測地線補正!$O$26*(lattice!$N1478/1000)+測地線補正!$N$26</f>
        <v>-0.80618202936892946</v>
      </c>
      <c r="U1478">
        <f t="shared" ref="U1478:U1479" si="1164">-ATAN(($P$1479-$P$1475)/ABS($N$1479-$N$1475))</f>
        <v>8.1918407515788432E-5</v>
      </c>
      <c r="V1478">
        <v>0</v>
      </c>
      <c r="W1478">
        <f t="shared" ref="W1478:W1479" si="1165">ATAN(($M$1479-$M$1475)/ABS($N$1479-$N$1475))</f>
        <v>1.5664609823064408E-4</v>
      </c>
      <c r="X1478" t="s">
        <v>3860</v>
      </c>
      <c r="Y1478">
        <f>_xlfn.XLOOKUP($F1478,設計座標!$E$13:$E$2301,設計座標!$L$13:$L$2301," ",0,1)</f>
        <v>1889.4492</v>
      </c>
      <c r="Z1478">
        <f>SQRT(($M$1478-$M$1476)^2+($N$1478-$N$1476)^2)</f>
        <v>307.22410376933925</v>
      </c>
    </row>
    <row r="1479" spans="1:30">
      <c r="A1479" t="s">
        <v>797</v>
      </c>
      <c r="B1479">
        <v>2</v>
      </c>
      <c r="C1479" t="s">
        <v>804</v>
      </c>
      <c r="D1479" t="s">
        <v>1152</v>
      </c>
      <c r="E1479" t="s">
        <v>804</v>
      </c>
      <c r="F1479" t="s">
        <v>1651</v>
      </c>
      <c r="G1479" t="s">
        <v>2692</v>
      </c>
      <c r="I1479">
        <f>_xlfn.XLOOKUP($F1479,設計座標!$E$13:$E$2301,設計座標!$G$13:$G$2301,"n/a",0,1)</f>
        <v>396.3510975613691</v>
      </c>
      <c r="J1479">
        <f>_xlfn.XLOOKUP($F1479,設計座標!$E$13:$E$2301,設計座標!$H$13:$H$2301,"n/a",0,1)</f>
        <v>-15000</v>
      </c>
      <c r="K1479">
        <f>_xlfn.XLOOKUP($F1479,設計座標!$E$13:$E$2301,設計座標!$I$13:$I$2301,"n/a",0,1)</f>
        <v>-131889.04009546002</v>
      </c>
      <c r="L1479">
        <f>_xlfn.XLOOKUP($F1479,設計座標!$E$13:$E$2301,設計座標!$J$13:$J$2301,"n/a",0,1)</f>
        <v>-270</v>
      </c>
      <c r="M1479" s="2">
        <f t="shared" si="1158"/>
        <v>-14982.271145755392</v>
      </c>
      <c r="N1479" s="2">
        <f t="shared" si="1159"/>
        <v>-131889.04009546002</v>
      </c>
      <c r="O1479" s="23">
        <f t="shared" si="1160"/>
        <v>-273.19020959686299</v>
      </c>
      <c r="P1479" s="1">
        <f t="shared" si="1133"/>
        <v>-270.8836664257517</v>
      </c>
      <c r="Q1479" s="1">
        <f t="shared" si="1161"/>
        <v>17.728854244607842</v>
      </c>
      <c r="R1479">
        <f t="shared" si="1146"/>
        <v>0</v>
      </c>
      <c r="S1479" s="23">
        <f t="shared" si="1157"/>
        <v>-3.1902095968629869</v>
      </c>
      <c r="T1479">
        <f>$S1479+測地線補正!$Q$26*(lattice!$N1479/1000)^3+測地線補正!$P$26*(lattice!$N1479/1000)^2+測地線補正!$O$26*(lattice!$N1479/1000)+測地線補正!$N$26</f>
        <v>-0.88366642575170951</v>
      </c>
      <c r="U1479">
        <f t="shared" si="1164"/>
        <v>8.1918407515788432E-5</v>
      </c>
      <c r="V1479">
        <v>0</v>
      </c>
      <c r="W1479">
        <f t="shared" si="1165"/>
        <v>1.5664609823064408E-4</v>
      </c>
      <c r="X1479" t="s">
        <v>3860</v>
      </c>
      <c r="Y1479">
        <f>_xlfn.XLOOKUP($F1479,設計座標!$E$13:$E$2301,設計座標!$L$13:$L$2301," ",0,1)</f>
        <v>1889.4492</v>
      </c>
      <c r="Z1479">
        <f>SQRT(($M$1478-$M$1476)^2+($N$1478-$N$1476)^2)</f>
        <v>307.22410376933925</v>
      </c>
    </row>
    <row r="1480" spans="1:30">
      <c r="A1480" t="s">
        <v>797</v>
      </c>
      <c r="B1480">
        <v>2</v>
      </c>
      <c r="C1480" t="s">
        <v>804</v>
      </c>
      <c r="D1480" t="s">
        <v>1152</v>
      </c>
      <c r="E1480" t="s">
        <v>804</v>
      </c>
      <c r="F1480" t="s">
        <v>1652</v>
      </c>
      <c r="G1480" t="s">
        <v>2693</v>
      </c>
      <c r="I1480">
        <f>_xlfn.XLOOKUP($F1480,設計座標!$E$13:$E$2301,設計座標!$G$13:$G$2301,"n/a",0,1)</f>
        <v>396.53479636136916</v>
      </c>
      <c r="J1480">
        <f>_xlfn.XLOOKUP($F1480,設計座標!$E$13:$E$2301,設計座標!$H$13:$H$2301,"n/a",0,1)</f>
        <v>-15000</v>
      </c>
      <c r="K1480">
        <f>_xlfn.XLOOKUP($F1480,設計座標!$E$13:$E$2301,設計座標!$I$13:$I$2301,"n/a",0,1)</f>
        <v>-132072.73889546003</v>
      </c>
      <c r="L1480">
        <f>_xlfn.XLOOKUP($F1480,設計座標!$E$13:$E$2301,設計座標!$J$13:$J$2301,"n/a",0,1)</f>
        <v>-270</v>
      </c>
      <c r="M1480" s="2">
        <f t="shared" si="1158"/>
        <v>-14982.242370054888</v>
      </c>
      <c r="N1480" s="2">
        <f t="shared" si="1159"/>
        <v>-132072.73889546003</v>
      </c>
      <c r="O1480" s="23">
        <f t="shared" si="1160"/>
        <v>-273.20751158029816</v>
      </c>
      <c r="P1480" s="1">
        <f t="shared" si="1133"/>
        <v>-270.89875481697817</v>
      </c>
      <c r="Q1480" s="1">
        <f t="shared" si="1161"/>
        <v>17.757629945112825</v>
      </c>
      <c r="R1480">
        <f t="shared" si="1146"/>
        <v>0</v>
      </c>
      <c r="S1480" s="23">
        <f t="shared" si="1157"/>
        <v>-3.2075115802981471</v>
      </c>
      <c r="T1480">
        <f>$S1480+測地線補正!$Q$26*(lattice!$N1480/1000)^3+測地線補正!$P$26*(lattice!$N1480/1000)^2+測地線補正!$O$26*(lattice!$N1480/1000)+測地線補正!$N$26</f>
        <v>-0.89875481697814075</v>
      </c>
      <c r="U1480">
        <f>-ATAN(($P$1482-$P$1480)/ABS($N$1482-$N$1480))</f>
        <v>8.2353637979301836E-5</v>
      </c>
      <c r="V1480">
        <v>0</v>
      </c>
      <c r="W1480">
        <f>ATAN(($M$1482-$M$1480)/ABS($N$1482-$N$1480))</f>
        <v>1.566460982306453E-4</v>
      </c>
      <c r="X1480">
        <f>SQRT(($M$1480-$M$1479)^2+($N$1480-$N$1479)^2)</f>
        <v>183.69880225381345</v>
      </c>
      <c r="Y1480">
        <f>_xlfn.XLOOKUP($F1480,設計座標!$E$13:$E$2301,設計座標!$L$13:$L$2301," ",0,1)</f>
        <v>1889.4492</v>
      </c>
      <c r="Z1480">
        <f>SQRT(($M$1481-$M$1478)^2+($N$1481-$N$1478)^2)</f>
        <v>2073.1480254354396</v>
      </c>
    </row>
    <row r="1481" spans="1:30">
      <c r="A1481" t="s">
        <v>797</v>
      </c>
      <c r="B1481">
        <v>2</v>
      </c>
      <c r="C1481" t="s">
        <v>804</v>
      </c>
      <c r="D1481" t="s">
        <v>1152</v>
      </c>
      <c r="E1481" t="s">
        <v>804</v>
      </c>
      <c r="F1481" t="s">
        <v>1362</v>
      </c>
      <c r="G1481" t="s">
        <v>2693</v>
      </c>
      <c r="I1481">
        <f>_xlfn.XLOOKUP($F1481,設計座標!$E$13:$E$2301,設計座標!$G$13:$G$2301,"n/a",0,1)</f>
        <v>397.47952096136913</v>
      </c>
      <c r="J1481">
        <f>_xlfn.XLOOKUP($F1481,設計座標!$E$13:$E$2301,設計座標!$H$13:$H$2301,"n/a",0,1)</f>
        <v>-15000</v>
      </c>
      <c r="K1481">
        <f>_xlfn.XLOOKUP($F1481,設計座標!$E$13:$E$2301,設計座標!$I$13:$I$2301,"n/a",0,1)</f>
        <v>-133017.46349546002</v>
      </c>
      <c r="L1481">
        <f>_xlfn.XLOOKUP($F1481,設計座標!$E$13:$E$2301,設計座標!$J$13:$J$2301,"n/a",0,1)</f>
        <v>-270</v>
      </c>
      <c r="M1481" s="2">
        <f t="shared" si="1158"/>
        <v>-14982.094382631185</v>
      </c>
      <c r="N1481" s="2">
        <f t="shared" si="1159"/>
        <v>-133017.46349546002</v>
      </c>
      <c r="O1481" s="23">
        <f t="shared" si="1160"/>
        <v>-273.29649207107974</v>
      </c>
      <c r="P1481" s="1">
        <f t="shared" si="1133"/>
        <v>-270.97646301655959</v>
      </c>
      <c r="Q1481" s="1">
        <f t="shared" si="1161"/>
        <v>17.905617368815566</v>
      </c>
      <c r="R1481">
        <f t="shared" si="1146"/>
        <v>0</v>
      </c>
      <c r="S1481" s="23">
        <f t="shared" si="1157"/>
        <v>-3.2964920710797263</v>
      </c>
      <c r="T1481">
        <f>$S1481+測地線補正!$Q$26*(lattice!$N1481/1000)^3+測地線補正!$P$26*(lattice!$N1481/1000)^2+測地線補正!$O$26*(lattice!$N1481/1000)+測地線補正!$N$26</f>
        <v>-0.97646301655961687</v>
      </c>
      <c r="U1481">
        <f t="shared" ref="U1481:U1482" si="1166">-ATAN(($P$1482-$P$1480)/ABS($N$1482-$N$1480))</f>
        <v>8.2353637979301836E-5</v>
      </c>
      <c r="V1481">
        <v>0</v>
      </c>
      <c r="W1481">
        <f t="shared" ref="W1481:W1482" si="1167">ATAN(($M$1482-$M$1480)/ABS($N$1482-$N$1480))</f>
        <v>1.566460982306453E-4</v>
      </c>
      <c r="X1481" t="s">
        <v>3860</v>
      </c>
      <c r="Y1481">
        <f>_xlfn.XLOOKUP($F1481,設計座標!$E$13:$E$2301,設計座標!$L$13:$L$2301," ",0,1)</f>
        <v>1889.4492</v>
      </c>
      <c r="Z1481">
        <f>SQRT(($M$1481-$M$1478)^2+($N$1481-$N$1478)^2)</f>
        <v>2073.1480254354396</v>
      </c>
    </row>
    <row r="1482" spans="1:30">
      <c r="A1482" t="s">
        <v>797</v>
      </c>
      <c r="B1482">
        <v>2</v>
      </c>
      <c r="C1482" t="s">
        <v>804</v>
      </c>
      <c r="D1482" t="s">
        <v>1152</v>
      </c>
      <c r="E1482" t="s">
        <v>804</v>
      </c>
      <c r="F1482" t="s">
        <v>1653</v>
      </c>
      <c r="G1482" t="s">
        <v>2693</v>
      </c>
      <c r="I1482">
        <f>_xlfn.XLOOKUP($F1482,設計座標!$E$13:$E$2301,設計座標!$G$13:$G$2301,"n/a",0,1)</f>
        <v>398.4242455613691</v>
      </c>
      <c r="J1482">
        <f>_xlfn.XLOOKUP($F1482,設計座標!$E$13:$E$2301,設計座標!$H$13:$H$2301,"n/a",0,1)</f>
        <v>-15000</v>
      </c>
      <c r="K1482">
        <f>_xlfn.XLOOKUP($F1482,設計座標!$E$13:$E$2301,設計座標!$I$13:$I$2301,"n/a",0,1)</f>
        <v>-133962.18809546001</v>
      </c>
      <c r="L1482">
        <f>_xlfn.XLOOKUP($F1482,設計座標!$E$13:$E$2301,設計座標!$J$13:$J$2301,"n/a",0,1)</f>
        <v>-270</v>
      </c>
      <c r="M1482" s="2">
        <f t="shared" si="1158"/>
        <v>-14981.946395207482</v>
      </c>
      <c r="N1482" s="2">
        <f t="shared" si="1159"/>
        <v>-133962.18809546001</v>
      </c>
      <c r="O1482" s="23">
        <f t="shared" si="1160"/>
        <v>-273.38547256186132</v>
      </c>
      <c r="P1482" s="1">
        <f t="shared" si="1133"/>
        <v>-271.05435783272702</v>
      </c>
      <c r="Q1482" s="1">
        <f t="shared" si="1161"/>
        <v>18.053604792518307</v>
      </c>
      <c r="R1482">
        <f t="shared" si="1146"/>
        <v>0</v>
      </c>
      <c r="S1482" s="23">
        <f t="shared" si="1157"/>
        <v>-3.3854725618613055</v>
      </c>
      <c r="T1482">
        <f>$S1482+測地線補正!$Q$26*(lattice!$N1482/1000)^3+測地線補正!$P$26*(lattice!$N1482/1000)^2+測地線補正!$O$26*(lattice!$N1482/1000)+測地線補正!$N$26</f>
        <v>-1.0543578327270267</v>
      </c>
      <c r="U1482">
        <f t="shared" si="1166"/>
        <v>8.2353637979301836E-5</v>
      </c>
      <c r="V1482">
        <v>0</v>
      </c>
      <c r="W1482">
        <f t="shared" si="1167"/>
        <v>1.566460982306453E-4</v>
      </c>
      <c r="X1482" t="s">
        <v>3860</v>
      </c>
      <c r="Y1482">
        <f>_xlfn.XLOOKUP($F1482,設計座標!$E$13:$E$2301,設計座標!$L$13:$L$2301," ",0,1)</f>
        <v>1889.4492</v>
      </c>
      <c r="Z1482">
        <f>SQRT(($M$1481-$M$1478)^2+($N$1481-$N$1478)^2)</f>
        <v>2073.1480254354396</v>
      </c>
    </row>
    <row r="1483" spans="1:30">
      <c r="A1483" t="s">
        <v>797</v>
      </c>
      <c r="B1483">
        <v>2</v>
      </c>
      <c r="C1483" t="s">
        <v>2288</v>
      </c>
      <c r="D1483" t="s">
        <v>1152</v>
      </c>
      <c r="E1483" t="s">
        <v>804</v>
      </c>
      <c r="F1483" t="s">
        <v>3797</v>
      </c>
      <c r="G1483" t="s">
        <v>3797</v>
      </c>
      <c r="I1483">
        <f>_xlfn.XLOOKUP($F1483,設計座標!$E$13:$E$2301,設計座標!$G$13:$G$2301,"n/a",0,1)</f>
        <v>398.55424186136912</v>
      </c>
      <c r="J1483">
        <f>_xlfn.XLOOKUP($F1483,設計座標!$E$13:$E$2301,設計座標!$H$13:$H$2301,"n/a",0,1)</f>
        <v>-15000</v>
      </c>
      <c r="K1483">
        <f>_xlfn.XLOOKUP($F1483,設計座標!$E$13:$E$2301,設計座標!$I$13:$I$2301,"n/a",0,1)</f>
        <v>-134092.18439546</v>
      </c>
      <c r="L1483">
        <f>_xlfn.XLOOKUP($F1483,設計座標!$E$13:$E$2301,設計座標!$J$13:$J$2301,"n/a",0,1)</f>
        <v>-270</v>
      </c>
      <c r="M1483" s="2">
        <f t="shared" si="1158"/>
        <v>-14981.926031794135</v>
      </c>
      <c r="N1483" s="2">
        <f t="shared" si="1159"/>
        <v>-134092.18439546</v>
      </c>
      <c r="O1483" s="23">
        <f t="shared" si="1160"/>
        <v>-273.39771648413642</v>
      </c>
      <c r="P1483" s="1">
        <f t="shared" si="1133"/>
        <v>-271.06509090831213</v>
      </c>
      <c r="Q1483" s="1">
        <f t="shared" si="1161"/>
        <v>18.073968205864258</v>
      </c>
      <c r="R1483">
        <f t="shared" si="1146"/>
        <v>0</v>
      </c>
      <c r="S1483" s="23">
        <f t="shared" si="1157"/>
        <v>-3.3977164841364211</v>
      </c>
      <c r="T1483">
        <f>$S1483+測地線補正!$Q$26*(lattice!$N1483/1000)^3+測地線補正!$P$26*(lattice!$N1483/1000)^2+測地線補正!$O$26*(lattice!$N1483/1000)+測地線補正!$N$26</f>
        <v>-1.0650909083121507</v>
      </c>
      <c r="U1483">
        <v>0</v>
      </c>
      <c r="V1483">
        <v>0</v>
      </c>
      <c r="W1483">
        <v>0</v>
      </c>
      <c r="X1483">
        <f>SQRT(($M$1483-$M$1482)^2+($N$1483-$N$1482)^2)</f>
        <v>129.99630159492352</v>
      </c>
      <c r="Y1483">
        <f>_xlfn.XLOOKUP($F1483,設計座標!$E$13:$E$2301,設計座標!$L$13:$L$2301," ",0,1)</f>
        <v>0</v>
      </c>
      <c r="Z1483">
        <f>SQRT(($M$1483-$M$1481)^2+($N$1483-$N$1481)^2)</f>
        <v>1074.7209131857367</v>
      </c>
    </row>
    <row r="1484" spans="1:30">
      <c r="A1484" t="s">
        <v>797</v>
      </c>
      <c r="B1484">
        <v>2</v>
      </c>
      <c r="C1484" t="s">
        <v>1152</v>
      </c>
      <c r="D1484" t="s">
        <v>1152</v>
      </c>
      <c r="E1484" t="s">
        <v>804</v>
      </c>
      <c r="F1484" t="s">
        <v>2141</v>
      </c>
      <c r="G1484" t="s">
        <v>2141</v>
      </c>
      <c r="I1484">
        <f>_xlfn.XLOOKUP($F1484,設計座標!$E$13:$E$2301,設計座標!$G$13:$G$2301,"n/a",0,1)</f>
        <v>398.6392418613691</v>
      </c>
      <c r="J1484">
        <f>_xlfn.XLOOKUP($F1484,設計座標!$E$13:$E$2301,設計座標!$H$13:$H$2301,"n/a",0,1)</f>
        <v>-15000</v>
      </c>
      <c r="K1484">
        <f>_xlfn.XLOOKUP($F1484,設計座標!$E$13:$E$2301,設計座標!$I$13:$I$2301,"n/a",0,1)</f>
        <v>-134177.18439546</v>
      </c>
      <c r="L1484">
        <f>_xlfn.XLOOKUP($F1484,設計座標!$E$13:$E$2301,設計座標!$J$13:$J$2301,"n/a",0,1)</f>
        <v>-270</v>
      </c>
      <c r="M1484" s="2">
        <f t="shared" si="1158"/>
        <v>-14981.912716875677</v>
      </c>
      <c r="N1484" s="2">
        <f t="shared" si="1159"/>
        <v>-134177.18439546</v>
      </c>
      <c r="O1484" s="23">
        <f t="shared" si="1160"/>
        <v>-273.40572235348333</v>
      </c>
      <c r="P1484" s="1">
        <f t="shared" si="1133"/>
        <v>-271.07211079091786</v>
      </c>
      <c r="Q1484" s="1">
        <f t="shared" si="1161"/>
        <v>18.087283124322752</v>
      </c>
      <c r="R1484">
        <f t="shared" si="1146"/>
        <v>0</v>
      </c>
      <c r="S1484" s="23">
        <f t="shared" si="1157"/>
        <v>-3.4057223534833549</v>
      </c>
      <c r="T1484">
        <f>$S1484+測地線補正!$Q$26*(lattice!$N1484/1000)^3+測地線補正!$P$26*(lattice!$N1484/1000)^2+測地線補正!$O$26*(lattice!$N1484/1000)+測地線補正!$N$26</f>
        <v>-1.0721107909178749</v>
      </c>
      <c r="U1484">
        <v>0</v>
      </c>
      <c r="V1484">
        <v>0</v>
      </c>
      <c r="W1484">
        <v>0</v>
      </c>
      <c r="X1484">
        <f>$Z$1484-($Y$1484+$Y$1483)/2</f>
        <v>85.000001042865009</v>
      </c>
      <c r="Y1484">
        <f>_xlfn.XLOOKUP($F1484,設計座標!$E$13:$E$2301,設計座標!$L$13:$L$2301," ",0,1)</f>
        <v>0</v>
      </c>
      <c r="Z1484">
        <f>SQRT(($M$1484-$M$1483)^2+($N$1484-$N$1483)^2)</f>
        <v>85.000001042865009</v>
      </c>
    </row>
    <row r="1485" spans="1:30">
      <c r="A1485" t="s">
        <v>797</v>
      </c>
      <c r="B1485">
        <v>2</v>
      </c>
      <c r="C1485" t="s">
        <v>805</v>
      </c>
      <c r="D1485" t="s">
        <v>806</v>
      </c>
      <c r="F1485" t="s">
        <v>390</v>
      </c>
      <c r="G1485" t="s">
        <v>390</v>
      </c>
      <c r="I1485">
        <f>_xlfn.XLOOKUP($F1485,設計座標!$E$13:$E$2301,設計座標!$G$13:$G$2301,"n/a",0,1)</f>
        <v>398.81154577292909</v>
      </c>
      <c r="J1485">
        <f>_xlfn.XLOOKUP($F1485,設計座標!$E$13:$E$2301,設計座標!$H$13:$H$2301,"n/a",0,1)</f>
        <v>-15000</v>
      </c>
      <c r="K1485">
        <f>_xlfn.XLOOKUP($F1485,設計座標!$E$13:$E$2301,設計座標!$I$13:$I$2301,"n/a",0,1)</f>
        <v>-134349.48830701999</v>
      </c>
      <c r="L1485">
        <f>_xlfn.XLOOKUP($F1485,設計座標!$E$13:$E$2301,設計座標!$J$13:$J$2301,"n/a",0,1)</f>
        <v>-60</v>
      </c>
      <c r="M1485" s="2">
        <f>_xlfn.XLOOKUP($F1485,survey_data!$A$2:$A$833,survey_data!$B$2:$B$833,"n/a",0,1)</f>
        <v>-14981.885726140001</v>
      </c>
      <c r="N1485" s="2">
        <f>_xlfn.XLOOKUP($F1485,survey_data!$A$2:$A$833,survey_data!$C$2:$C$833,"n/a",0,1)</f>
        <v>-134349.48830701999</v>
      </c>
      <c r="O1485" s="23">
        <f>_xlfn.XLOOKUP($F1485,survey_data!$A$2:$A$833,survey_data!$D$2:$D$833,"n/a",0,1)</f>
        <v>-63.42195109</v>
      </c>
      <c r="P1485" s="1">
        <f t="shared" si="1133"/>
        <v>-61.0863454425009</v>
      </c>
      <c r="Q1485" s="1">
        <f t="shared" si="1153"/>
        <v>18.11427385999923</v>
      </c>
      <c r="R1485">
        <f t="shared" si="1146"/>
        <v>0</v>
      </c>
      <c r="S1485" s="23">
        <f t="shared" si="1154"/>
        <v>-3.4219510900000003</v>
      </c>
      <c r="T1485">
        <f>$S1485+測地線補正!$Q$26*(lattice!$N1485/1000)^3+測地線補正!$P$26*(lattice!$N1485/1000)^2+測地線補正!$O$26*(lattice!$N1485/1000)+測地線補正!$N$26</f>
        <v>-1.0863454425009007</v>
      </c>
      <c r="U1485">
        <f>-ATAN(($P$1486-$P$1485)/ABS($N$1486-$N$1485))</f>
        <v>1.6634598582899519E-4</v>
      </c>
      <c r="V1485">
        <v>0</v>
      </c>
      <c r="W1485">
        <f>ATAN(($M$1486-$M$1485)/ABS($N$1486-$N$1485))</f>
        <v>1.5232982096177879E-4</v>
      </c>
      <c r="X1485">
        <f>$Z$1486-($Y$1486+$Y$1484)/2</f>
        <v>152.30391413776402</v>
      </c>
      <c r="Y1485">
        <f>_xlfn.XLOOKUP($F1485,設計座標!$E$13:$E$2301,設計座標!$L$13:$L$2301," ",0,1)</f>
        <v>120</v>
      </c>
      <c r="Z1485">
        <f>SQRT(($M$1486-$M$1484)^2+($N$1486-$N$1484)^2)</f>
        <v>212.30391413776402</v>
      </c>
      <c r="AA1485">
        <f>_xlfn.XLOOKUP($G1485,magnet_list!$A$2:$A$592,magnet_list!$AJ$2:$AJ$592,"n/a",0,1)</f>
        <v>0.1333</v>
      </c>
      <c r="AB1485">
        <f>_xlfn.XLOOKUP($G1485,magnet_list!$A$2:$A$592,magnet_list!$L$2:$L$592,"n/a",0,1)</f>
        <v>23</v>
      </c>
      <c r="AD1485" t="s">
        <v>3887</v>
      </c>
    </row>
    <row r="1486" spans="1:30">
      <c r="A1486" t="s">
        <v>797</v>
      </c>
      <c r="B1486">
        <v>2</v>
      </c>
      <c r="C1486" t="s">
        <v>805</v>
      </c>
      <c r="D1486" t="s">
        <v>1152</v>
      </c>
      <c r="E1486" t="s">
        <v>804</v>
      </c>
      <c r="F1486" t="s">
        <v>753</v>
      </c>
      <c r="G1486" t="s">
        <v>390</v>
      </c>
      <c r="I1486">
        <f>_xlfn.XLOOKUP($F1486,設計座標!$E$13:$E$2301,設計座標!$G$13:$G$2301,"n/a",0,1)</f>
        <v>398.85154577292911</v>
      </c>
      <c r="J1486">
        <f>_xlfn.XLOOKUP($F1486,設計座標!$E$13:$E$2301,設計座標!$H$13:$H$2301,"n/a",0,1)</f>
        <v>-15000</v>
      </c>
      <c r="K1486">
        <f>_xlfn.XLOOKUP($F1486,設計座標!$E$13:$E$2301,設計座標!$I$13:$I$2301,"n/a",0,1)</f>
        <v>-134389.48830701999</v>
      </c>
      <c r="L1486">
        <f>_xlfn.XLOOKUP($F1486,設計座標!$E$13:$E$2301,設計座標!$J$13:$J$2301,"n/a",0,1)</f>
        <v>-60</v>
      </c>
      <c r="M1486" s="2">
        <f t="shared" si="1158"/>
        <v>-14981.879632947115</v>
      </c>
      <c r="N1486" s="2">
        <f t="shared" si="1159"/>
        <v>-134389.48830701999</v>
      </c>
      <c r="O1486" s="23">
        <f t="shared" si="1160"/>
        <v>-63.429066968851835</v>
      </c>
      <c r="P1486" s="1">
        <f t="shared" si="1133"/>
        <v>-61.092999281995432</v>
      </c>
      <c r="Q1486" s="1">
        <f>(Q$1488-Q$1485)/($N$1488-$N$1485)*($N1486-$N$1485)+Q$1485</f>
        <v>18.120367052884919</v>
      </c>
      <c r="R1486">
        <f t="shared" si="1146"/>
        <v>0</v>
      </c>
      <c r="S1486" s="23">
        <f t="shared" ref="S1486:S1487" si="1168">(S$1488-S$1485)/($N$1488-$N$1485)*($N1486-$N$1485)+S$1485</f>
        <v>-3.429066968851834</v>
      </c>
      <c r="T1486">
        <f>$S1486+測地線補正!$Q$26*(lattice!$N1486/1000)^3+測地線補正!$P$26*(lattice!$N1486/1000)^2+測地線補正!$O$26*(lattice!$N1486/1000)+測地線補正!$N$26</f>
        <v>-1.0929992819954288</v>
      </c>
      <c r="U1486">
        <f>-ATAN(($P$1486-$P$1485)/ABS($N$1486-$N$1485))</f>
        <v>1.6634598582899519E-4</v>
      </c>
      <c r="V1486">
        <v>0</v>
      </c>
      <c r="W1486">
        <f>ATAN(($M$1486-$M$1485)/ABS($N$1486-$N$1485))</f>
        <v>1.5232982096177879E-4</v>
      </c>
      <c r="X1486">
        <f>$Z$1486-($Y$1486+$Y$1484)/2</f>
        <v>152.30391413776402</v>
      </c>
      <c r="Y1486">
        <f>_xlfn.XLOOKUP($F1486,設計座標!$E$13:$E$2301,設計座標!$L$13:$L$2301," ",0,1)</f>
        <v>120</v>
      </c>
      <c r="Z1486">
        <f>SQRT(($M$1486-$M$1484)^2+($N$1486-$N$1484)^2)</f>
        <v>212.30391413776402</v>
      </c>
      <c r="AA1486">
        <f>_xlfn.XLOOKUP($G1486,magnet_list!$A$2:$A$592,magnet_list!$AJ$2:$AJ$592,"n/a",0,1)</f>
        <v>0.1333</v>
      </c>
      <c r="AB1486">
        <f>_xlfn.XLOOKUP($G1486,magnet_list!$A$2:$A$592,magnet_list!$L$2:$L$592,"n/a",0,1)</f>
        <v>23</v>
      </c>
      <c r="AD1486" t="s">
        <v>3887</v>
      </c>
    </row>
    <row r="1487" spans="1:30">
      <c r="A1487" t="s">
        <v>797</v>
      </c>
      <c r="B1487">
        <v>2</v>
      </c>
      <c r="C1487" t="s">
        <v>805</v>
      </c>
      <c r="D1487" t="s">
        <v>1152</v>
      </c>
      <c r="E1487" t="s">
        <v>804</v>
      </c>
      <c r="F1487" t="s">
        <v>754</v>
      </c>
      <c r="G1487" t="s">
        <v>391</v>
      </c>
      <c r="I1487">
        <f>_xlfn.XLOOKUP($F1487,設計座標!$E$13:$E$2301,設計座標!$G$13:$G$2301,"n/a",0,1)</f>
        <v>399.4118005741791</v>
      </c>
      <c r="J1487">
        <f>_xlfn.XLOOKUP($F1487,設計座標!$E$13:$E$2301,設計座標!$H$13:$H$2301,"n/a",0,1)</f>
        <v>-15000</v>
      </c>
      <c r="K1487">
        <f>_xlfn.XLOOKUP($F1487,設計座標!$E$13:$E$2301,設計座標!$I$13:$I$2301,"n/a",0,1)</f>
        <v>-134949.74310826999</v>
      </c>
      <c r="L1487">
        <f>_xlfn.XLOOKUP($F1487,設計座標!$E$13:$E$2301,設計座標!$J$13:$J$2301,"n/a",0,1)</f>
        <v>-60</v>
      </c>
      <c r="M1487" s="2">
        <f t="shared" si="1158"/>
        <v>-14981.794289432886</v>
      </c>
      <c r="N1487" s="2">
        <f t="shared" si="1159"/>
        <v>-134949.74310826999</v>
      </c>
      <c r="O1487" s="23">
        <f t="shared" si="1160"/>
        <v>-63.528734601148166</v>
      </c>
      <c r="P1487" s="1">
        <f t="shared" si="1133"/>
        <v>-61.186230367090808</v>
      </c>
      <c r="Q1487" s="1">
        <f>(Q$1488-Q$1485)/($N$1488-$N$1485)*($N1487-$N$1485)+Q$1485</f>
        <v>18.205710567113695</v>
      </c>
      <c r="R1487">
        <f t="shared" si="1146"/>
        <v>0</v>
      </c>
      <c r="S1487" s="23">
        <f t="shared" si="1168"/>
        <v>-3.5287346011481668</v>
      </c>
      <c r="T1487">
        <f>$S1487+測地線補正!$Q$26*(lattice!$N1487/1000)^3+測地線補正!$P$26*(lattice!$N1487/1000)^2+測地線補正!$O$26*(lattice!$N1487/1000)+測地線補正!$N$26</f>
        <v>-1.1862303670908043</v>
      </c>
      <c r="U1487">
        <f>-ATAN(($P$1488-$P$1487)/ABS($N$1488-$N$1487))</f>
        <v>1.6647068765538202E-4</v>
      </c>
      <c r="V1487">
        <v>0</v>
      </c>
      <c r="W1487">
        <f>ATAN(($M$1488-$M$1487)/ABS($N$1488-$N$1487))</f>
        <v>1.5232982096177879E-4</v>
      </c>
      <c r="X1487">
        <f>$Z$1487-($Y$1487+$Y$1486)/2</f>
        <v>440.25480775018582</v>
      </c>
      <c r="Y1487">
        <f>_xlfn.XLOOKUP($F1487,設計座標!$E$13:$E$2301,設計座標!$L$13:$L$2301," ",0,1)</f>
        <v>120</v>
      </c>
      <c r="Z1487">
        <f>SQRT(($M$1487-$M$1486)^2+($N$1487-$N$1486)^2)</f>
        <v>560.25480775018582</v>
      </c>
      <c r="AA1487">
        <f>_xlfn.XLOOKUP($G1487,magnet_list!$A$2:$A$592,magnet_list!$AJ$2:$AJ$592,"n/a",0,1)</f>
        <v>0.1333</v>
      </c>
      <c r="AB1487">
        <f>_xlfn.XLOOKUP($G1487,magnet_list!$A$2:$A$592,magnet_list!$L$2:$L$592,"n/a",0,1)</f>
        <v>23</v>
      </c>
    </row>
    <row r="1488" spans="1:30">
      <c r="A1488" t="s">
        <v>797</v>
      </c>
      <c r="B1488">
        <v>2</v>
      </c>
      <c r="C1488" t="s">
        <v>805</v>
      </c>
      <c r="D1488" t="s">
        <v>806</v>
      </c>
      <c r="F1488" t="s">
        <v>391</v>
      </c>
      <c r="G1488" t="s">
        <v>391</v>
      </c>
      <c r="I1488">
        <f>_xlfn.XLOOKUP($F1488,設計座標!$E$13:$E$2301,設計座標!$G$13:$G$2301,"n/a",0,1)</f>
        <v>399.45180057417912</v>
      </c>
      <c r="J1488">
        <f>_xlfn.XLOOKUP($F1488,設計座標!$E$13:$E$2301,設計座標!$H$13:$H$2301,"n/a",0,1)</f>
        <v>-15000</v>
      </c>
      <c r="K1488">
        <f>_xlfn.XLOOKUP($F1488,設計座標!$E$13:$E$2301,設計座標!$I$13:$I$2301,"n/a",0,1)</f>
        <v>-134989.74310826999</v>
      </c>
      <c r="L1488">
        <f>_xlfn.XLOOKUP($F1488,設計座標!$E$13:$E$2301,設計座標!$J$13:$J$2301,"n/a",0,1)</f>
        <v>-60</v>
      </c>
      <c r="M1488" s="2">
        <f>_xlfn.XLOOKUP($F1488,survey_data!$A$2:$A$833,survey_data!$B$2:$B$833,"n/a",0,1)</f>
        <v>-14981.788196240001</v>
      </c>
      <c r="N1488" s="2">
        <f>_xlfn.XLOOKUP($F1488,survey_data!$A$2:$A$833,survey_data!$C$2:$C$833,"n/a",0,1)</f>
        <v>-134989.74310826999</v>
      </c>
      <c r="O1488" s="23">
        <f>_xlfn.XLOOKUP($F1488,survey_data!$A$2:$A$833,survey_data!$D$2:$D$833,"n/a",0,1)</f>
        <v>-63.535850480000001</v>
      </c>
      <c r="P1488" s="1">
        <f t="shared" si="1133"/>
        <v>-61.192889194658534</v>
      </c>
      <c r="Q1488" s="1">
        <f t="shared" si="1153"/>
        <v>18.211803759999384</v>
      </c>
      <c r="R1488">
        <f t="shared" si="1146"/>
        <v>0</v>
      </c>
      <c r="S1488" s="23">
        <f t="shared" si="1154"/>
        <v>-3.5358504800000006</v>
      </c>
      <c r="T1488">
        <f>$S1488+測地線補正!$Q$26*(lattice!$N1488/1000)^3+測地線補正!$P$26*(lattice!$N1488/1000)^2+測地線補正!$O$26*(lattice!$N1488/1000)+測地線補正!$N$26</f>
        <v>-1.192889194658534</v>
      </c>
      <c r="U1488">
        <f>-ATAN(($P$1488-$P$1487)/ABS($N$1488-$N$1487))</f>
        <v>1.6647068765538202E-4</v>
      </c>
      <c r="V1488">
        <v>0</v>
      </c>
      <c r="W1488">
        <f>ATAN(($M$1488-$M$1487)/ABS($N$1488-$N$1487))</f>
        <v>1.5232982096177879E-4</v>
      </c>
      <c r="X1488">
        <f>$Z$1487-($Y$1487+$Y$1486)/2</f>
        <v>440.25480775018582</v>
      </c>
      <c r="Y1488">
        <f>_xlfn.XLOOKUP($F1488,設計座標!$E$13:$E$2301,設計座標!$L$13:$L$2301," ",0,1)</f>
        <v>120</v>
      </c>
      <c r="Z1488">
        <f>SQRT(($M$1487-$M$1486)^2+($N$1487-$N$1486)^2)</f>
        <v>560.25480775018582</v>
      </c>
      <c r="AA1488">
        <f>_xlfn.XLOOKUP($G1488,magnet_list!$A$2:$A$592,magnet_list!$AJ$2:$AJ$592,"n/a",0,1)</f>
        <v>0.1333</v>
      </c>
      <c r="AB1488">
        <f>_xlfn.XLOOKUP($G1488,magnet_list!$A$2:$A$592,magnet_list!$L$2:$L$592,"n/a",0,1)</f>
        <v>23</v>
      </c>
    </row>
    <row r="1489" spans="1:30">
      <c r="A1489" t="s">
        <v>797</v>
      </c>
      <c r="B1489">
        <v>2</v>
      </c>
      <c r="C1489" t="s">
        <v>1152</v>
      </c>
      <c r="D1489" t="s">
        <v>1152</v>
      </c>
      <c r="E1489" t="s">
        <v>804</v>
      </c>
      <c r="F1489" t="s">
        <v>2142</v>
      </c>
      <c r="G1489" t="s">
        <v>2142</v>
      </c>
      <c r="I1489">
        <f>_xlfn.XLOOKUP($F1489,設計座標!$E$13:$E$2301,設計座標!$G$13:$G$2301,"n/a",0,1)</f>
        <v>399.6892276613691</v>
      </c>
      <c r="J1489">
        <f>_xlfn.XLOOKUP($F1489,設計座標!$E$13:$E$2301,設計座標!$H$13:$H$2301,"n/a",0,1)</f>
        <v>-15000</v>
      </c>
      <c r="K1489">
        <f>_xlfn.XLOOKUP($F1489,設計座標!$E$13:$E$2301,設計座標!$I$13:$I$2301,"n/a",0,1)</f>
        <v>-135227.17019546</v>
      </c>
      <c r="L1489">
        <f>_xlfn.XLOOKUP($F1489,設計座標!$E$13:$E$2301,設計座標!$J$13:$J$2301,"n/a",0,1)</f>
        <v>-270</v>
      </c>
      <c r="M1489" s="2">
        <f t="shared" si="1158"/>
        <v>-14981.617763694507</v>
      </c>
      <c r="N1489" s="2">
        <f t="shared" si="1159"/>
        <v>-135227.17019546</v>
      </c>
      <c r="O1489" s="23">
        <f t="shared" si="1160"/>
        <v>-272.33598481411036</v>
      </c>
      <c r="P1489" s="1">
        <f t="shared" si="1133"/>
        <v>-269.99031745159562</v>
      </c>
      <c r="Q1489" s="1">
        <f>(Q$1491-Q$1488)/($N$1491-$N$1488)*($N1489-$N$1488)+Q$1488</f>
        <v>18.382236305492899</v>
      </c>
      <c r="R1489">
        <f t="shared" si="1146"/>
        <v>0</v>
      </c>
      <c r="S1489" s="23">
        <f t="shared" ref="S1489:S1490" si="1169">(S$1491-S$1488)/($N$1491-$N$1488)*($N1489-$N$1488)+S$1488</f>
        <v>-2.3359848141103781</v>
      </c>
      <c r="T1489">
        <f>$S1489+測地線補正!$Q$26*(lattice!$N1489/1000)^3+測地線補正!$P$26*(lattice!$N1489/1000)^2+測地線補正!$O$26*(lattice!$N1489/1000)+測地線補正!$N$26</f>
        <v>9.6825484044067434E-3</v>
      </c>
      <c r="U1489">
        <v>0</v>
      </c>
      <c r="V1489">
        <v>0</v>
      </c>
      <c r="W1489">
        <v>0</v>
      </c>
      <c r="X1489">
        <f>$Z$1489-($Y$1489+$Y$1487)/2</f>
        <v>177.42714836089036</v>
      </c>
      <c r="Y1489">
        <f>_xlfn.XLOOKUP($F1489,設計座標!$E$13:$E$2301,設計座標!$L$13:$L$2301," ",0,1)</f>
        <v>0</v>
      </c>
      <c r="Z1489">
        <f>SQRT(($M$1489-$M$1488)^2+($N$1489-$N$1488)^2)</f>
        <v>237.42714836089036</v>
      </c>
    </row>
    <row r="1490" spans="1:30">
      <c r="A1490" t="s">
        <v>797</v>
      </c>
      <c r="B1490" t="s">
        <v>3814</v>
      </c>
      <c r="C1490" t="s">
        <v>805</v>
      </c>
      <c r="D1490" t="s">
        <v>806</v>
      </c>
      <c r="E1490" t="s">
        <v>804</v>
      </c>
      <c r="F1490" t="s">
        <v>755</v>
      </c>
      <c r="G1490" t="s">
        <v>2694</v>
      </c>
      <c r="I1490">
        <f>_xlfn.XLOOKUP($F1490,設計座標!$E$13:$E$2301,設計座標!$G$13:$G$2301,"n/a",0,1)</f>
        <v>400.07673296136909</v>
      </c>
      <c r="J1490">
        <f>_xlfn.XLOOKUP($F1490,設計座標!$E$13:$E$2301,設計座標!$H$13:$H$2301,"n/a",0,1)</f>
        <v>-14942</v>
      </c>
      <c r="K1490">
        <f>_xlfn.XLOOKUP($F1490,設計座標!$E$13:$E$2301,設計座標!$I$13:$I$2301,"n/a",0,1)</f>
        <v>-135602.30859104</v>
      </c>
      <c r="L1490">
        <f>_xlfn.XLOOKUP($F1490,設計座標!$E$13:$E$2301,設計座標!$J$13:$J$2301,"n/a",0,1)</f>
        <v>112</v>
      </c>
      <c r="M1490" s="2">
        <f t="shared" si="1158"/>
        <v>-14923.34847769</v>
      </c>
      <c r="N1490" s="2">
        <f t="shared" si="1159"/>
        <v>-135602.30859104</v>
      </c>
      <c r="O1490" s="23">
        <f t="shared" si="1160"/>
        <v>111.55982112</v>
      </c>
      <c r="P1490" s="1">
        <f t="shared" si="1133"/>
        <v>113.90974031196572</v>
      </c>
      <c r="Q1490" s="1">
        <f>(Q$1491-Q$1488)/($N$1491-$N$1488)*($N1490-$N$1488)+Q$1488</f>
        <v>18.651522309999564</v>
      </c>
      <c r="R1490">
        <f t="shared" si="1146"/>
        <v>0</v>
      </c>
      <c r="S1490" s="23">
        <f t="shared" si="1169"/>
        <v>-0.44017888000000482</v>
      </c>
      <c r="T1490">
        <f>$S1490+測地線補正!$Q$26*(lattice!$N1490/1000)^3+測地線補正!$P$26*(lattice!$N1490/1000)^2+測地線補正!$O$26*(lattice!$N1490/1000)+測地線補正!$N$26</f>
        <v>1.909740311965715</v>
      </c>
      <c r="U1490">
        <f>-ATAN(($P$1494-$P$1490)/ABS($N$1494-$N$1490))</f>
        <v>-9.7556768615132382E-5</v>
      </c>
      <c r="V1490">
        <v>0</v>
      </c>
      <c r="W1490">
        <f>ATAN(($Q$1494-$Q$1490)/ABS($N$1494-$N$1490))</f>
        <v>1.4107135406518195E-4</v>
      </c>
      <c r="X1490">
        <f t="shared" ref="X1490:X1491" si="1170">$Z$1492-($Y$1492+$Y$1489)/2</f>
        <v>307.24854829083392</v>
      </c>
      <c r="Y1490">
        <f>_xlfn.XLOOKUP($F1490,設計座標!$E$13:$E$2301,設計座標!$L$13:$L$2301," ",0,1)</f>
        <v>1000</v>
      </c>
      <c r="Z1490">
        <f t="shared" ref="Z1490:Z1491" si="1171">SQRT(($M$1492-$M$1489)^2+($N$1492-$N$1489)^2)</f>
        <v>807.24854829083392</v>
      </c>
      <c r="AA1490" t="str">
        <f>_xlfn.XLOOKUP($G1490,magnet_list!$A$2:$A$592,magnet_list!$AJ$2:$AJ$592,"n/a",0,1)</f>
        <v>n/a</v>
      </c>
      <c r="AB1490" t="str">
        <f>_xlfn.XLOOKUP($G1490,magnet_list!$A$2:$A$592,magnet_list!$L$2:$L$592,"n/a",0,1)</f>
        <v>n/a</v>
      </c>
      <c r="AD1490" s="2" t="s">
        <v>3850</v>
      </c>
    </row>
    <row r="1491" spans="1:30">
      <c r="A1491" t="s">
        <v>797</v>
      </c>
      <c r="B1491" t="s">
        <v>3814</v>
      </c>
      <c r="C1491" t="s">
        <v>805</v>
      </c>
      <c r="D1491" t="s">
        <v>806</v>
      </c>
      <c r="E1491" t="s">
        <v>804</v>
      </c>
      <c r="F1491" t="s">
        <v>392</v>
      </c>
      <c r="G1491" t="s">
        <v>2695</v>
      </c>
      <c r="I1491">
        <f>_xlfn.XLOOKUP($F1491,設計座標!$E$13:$E$2301,設計座標!$G$13:$G$2301,"n/a",0,1)</f>
        <v>400.07673296136909</v>
      </c>
      <c r="J1491">
        <f>_xlfn.XLOOKUP($F1491,設計座標!$E$13:$E$2301,設計座標!$H$13:$H$2301,"n/a",0,1)</f>
        <v>-14942</v>
      </c>
      <c r="K1491">
        <f>_xlfn.XLOOKUP($F1491,設計座標!$E$13:$E$2301,設計座標!$I$13:$I$2301,"n/a",0,1)</f>
        <v>-135602.30859104</v>
      </c>
      <c r="L1491">
        <f>_xlfn.XLOOKUP($F1491,設計座標!$E$13:$E$2301,設計座標!$J$13:$J$2301,"n/a",0,1)</f>
        <v>112</v>
      </c>
      <c r="M1491" s="2">
        <f>_xlfn.XLOOKUP($F1491,survey_data!$A$2:$A$833,survey_data!$B$2:$B$833,"n/a",0,1)</f>
        <v>-14923.34847769</v>
      </c>
      <c r="N1491" s="2">
        <f>_xlfn.XLOOKUP($F1491,survey_data!$A$2:$A$833,survey_data!$C$2:$C$833,"n/a",0,1)</f>
        <v>-135602.30859104</v>
      </c>
      <c r="O1491" s="23">
        <f>_xlfn.XLOOKUP($F1491,survey_data!$A$2:$A$833,survey_data!$D$2:$D$833,"n/a",0,1)</f>
        <v>111.55982112</v>
      </c>
      <c r="P1491" s="1">
        <f t="shared" si="1133"/>
        <v>113.90974031196572</v>
      </c>
      <c r="Q1491" s="1">
        <f t="shared" si="1153"/>
        <v>18.651522309999564</v>
      </c>
      <c r="R1491">
        <f t="shared" si="1146"/>
        <v>0</v>
      </c>
      <c r="S1491" s="23">
        <f t="shared" si="1154"/>
        <v>-0.44017888000000482</v>
      </c>
      <c r="T1491">
        <f>$S1491+測地線補正!$Q$26*(lattice!$N1491/1000)^3+測地線補正!$P$26*(lattice!$N1491/1000)^2+測地線補正!$O$26*(lattice!$N1491/1000)+測地線補正!$N$26</f>
        <v>1.909740311965715</v>
      </c>
      <c r="U1491">
        <f t="shared" ref="U1491:U1495" si="1172">-ATAN(($P$1494-$P$1490)/ABS($N$1494-$N$1490))</f>
        <v>-9.7556768615132382E-5</v>
      </c>
      <c r="V1491">
        <v>0</v>
      </c>
      <c r="W1491">
        <f t="shared" ref="W1491:W1495" si="1173">ATAN(($Q$1494-$Q$1490)/ABS($N$1494-$N$1490))</f>
        <v>1.4107135406518195E-4</v>
      </c>
      <c r="X1491">
        <f t="shared" si="1170"/>
        <v>307.24854829083392</v>
      </c>
      <c r="Y1491">
        <f>_xlfn.XLOOKUP($F1491,設計座標!$E$13:$E$2301,設計座標!$L$13:$L$2301," ",0,1)</f>
        <v>1000</v>
      </c>
      <c r="Z1491">
        <f t="shared" si="1171"/>
        <v>807.24854829083392</v>
      </c>
      <c r="AA1491" t="str">
        <f>_xlfn.XLOOKUP($G1491,magnet_list!$A$2:$A$592,magnet_list!$AJ$2:$AJ$592,"n/a",0,1)</f>
        <v>n/a</v>
      </c>
      <c r="AB1491" t="str">
        <f>_xlfn.XLOOKUP($G1491,magnet_list!$A$2:$A$592,magnet_list!$L$2:$L$592,"n/a",0,1)</f>
        <v>n/a</v>
      </c>
      <c r="AD1491" s="2" t="s">
        <v>3850</v>
      </c>
    </row>
    <row r="1492" spans="1:30">
      <c r="A1492" t="s">
        <v>797</v>
      </c>
      <c r="B1492" t="s">
        <v>3814</v>
      </c>
      <c r="C1492" t="s">
        <v>805</v>
      </c>
      <c r="D1492" t="s">
        <v>1152</v>
      </c>
      <c r="E1492" t="s">
        <v>804</v>
      </c>
      <c r="F1492" t="s">
        <v>1390</v>
      </c>
      <c r="G1492" t="s">
        <v>2694</v>
      </c>
      <c r="I1492">
        <f>_xlfn.XLOOKUP($F1492,設計座標!$E$13:$E$2301,設計座標!$G$13:$G$2301,"n/a",0,1)</f>
        <v>400.50705111136909</v>
      </c>
      <c r="J1492">
        <f>_xlfn.XLOOKUP($F1492,設計座標!$E$13:$E$2301,設計座標!$H$13:$H$2301,"n/a",0,1)</f>
        <v>-14942</v>
      </c>
      <c r="K1492">
        <f>_xlfn.XLOOKUP($F1492,設計座標!$E$13:$E$2301,設計座標!$I$13:$I$2301,"n/a",0,1)</f>
        <v>-136032.30859104</v>
      </c>
      <c r="L1492">
        <f>_xlfn.XLOOKUP($F1492,設計座標!$E$13:$E$2301,設計座標!$J$13:$J$2301,"n/a",0,1)</f>
        <v>112</v>
      </c>
      <c r="M1492" s="2">
        <f t="shared" si="1158"/>
        <v>-14923.287817007351</v>
      </c>
      <c r="N1492" s="2">
        <f t="shared" si="1159"/>
        <v>-136032.30859104</v>
      </c>
      <c r="O1492" s="23">
        <f t="shared" si="1160"/>
        <v>111.59695183349652</v>
      </c>
      <c r="P1492" s="1">
        <f t="shared" si="1133"/>
        <v>113.95170882974709</v>
      </c>
      <c r="Q1492" s="1">
        <f>(Q$1495-Q$1491)/($N$1495-$N$1491)*($N1492-$N$1491)+Q$1491</f>
        <v>18.712182992649996</v>
      </c>
      <c r="R1492">
        <f t="shared" si="1146"/>
        <v>0</v>
      </c>
      <c r="S1492" s="23">
        <f t="shared" ref="S1492:S1494" si="1174">(S$1495-S$1491)/($N$1495-$N$1491)*($N1492-$N$1491)+S$1491</f>
        <v>-0.40304816650347597</v>
      </c>
      <c r="T1492">
        <f>$S1492+測地線補正!$Q$26*(lattice!$N1492/1000)^3+測地線補正!$P$26*(lattice!$N1492/1000)^2+測地線補正!$O$26*(lattice!$N1492/1000)+測地線補正!$N$26</f>
        <v>1.9517088297470961</v>
      </c>
      <c r="U1492">
        <f t="shared" si="1172"/>
        <v>-9.7556768615132382E-5</v>
      </c>
      <c r="V1492">
        <v>0</v>
      </c>
      <c r="W1492">
        <f t="shared" si="1173"/>
        <v>1.4107135406518195E-4</v>
      </c>
      <c r="X1492">
        <f>$Z$1492-($Y$1492+$Y$1489)/2</f>
        <v>307.24854829083392</v>
      </c>
      <c r="Y1492">
        <f>_xlfn.XLOOKUP($F1492,設計座標!$E$13:$E$2301,設計座標!$L$13:$L$2301," ",0,1)</f>
        <v>1000</v>
      </c>
      <c r="Z1492">
        <f>SQRT(($M$1492-$M$1489)^2+($N$1492-$N$1489)^2)</f>
        <v>807.24854829083392</v>
      </c>
      <c r="AA1492" t="str">
        <f>_xlfn.XLOOKUP($G1492,magnet_list!$A$2:$A$592,magnet_list!$AJ$2:$AJ$592,"n/a",0,1)</f>
        <v>n/a</v>
      </c>
      <c r="AB1492" t="str">
        <f>_xlfn.XLOOKUP($G1492,magnet_list!$A$2:$A$592,magnet_list!$L$2:$L$592,"n/a",0,1)</f>
        <v>n/a</v>
      </c>
      <c r="AD1492" s="2" t="s">
        <v>3850</v>
      </c>
    </row>
    <row r="1493" spans="1:30">
      <c r="A1493" t="s">
        <v>797</v>
      </c>
      <c r="B1493" t="s">
        <v>3814</v>
      </c>
      <c r="C1493" t="s">
        <v>805</v>
      </c>
      <c r="D1493" t="s">
        <v>1152</v>
      </c>
      <c r="E1493" t="s">
        <v>804</v>
      </c>
      <c r="F1493" t="s">
        <v>1391</v>
      </c>
      <c r="G1493" t="s">
        <v>2695</v>
      </c>
      <c r="I1493">
        <f>_xlfn.XLOOKUP($F1493,設計座標!$E$13:$E$2301,設計座標!$G$13:$G$2301,"n/a",0,1)</f>
        <v>400.50705111136909</v>
      </c>
      <c r="J1493">
        <f>_xlfn.XLOOKUP($F1493,設計座標!$E$13:$E$2301,設計座標!$H$13:$H$2301,"n/a",0,1)</f>
        <v>-14942</v>
      </c>
      <c r="K1493">
        <f>_xlfn.XLOOKUP($F1493,設計座標!$E$13:$E$2301,設計座標!$I$13:$I$2301,"n/a",0,1)</f>
        <v>-136032.30859104</v>
      </c>
      <c r="L1493">
        <f>_xlfn.XLOOKUP($F1493,設計座標!$E$13:$E$2301,設計座標!$J$13:$J$2301,"n/a",0,1)</f>
        <v>112</v>
      </c>
      <c r="M1493" s="2">
        <f t="shared" si="1158"/>
        <v>-14923.287817007351</v>
      </c>
      <c r="N1493" s="2">
        <f t="shared" si="1159"/>
        <v>-136032.30859104</v>
      </c>
      <c r="O1493" s="23">
        <f t="shared" si="1160"/>
        <v>111.59695183349652</v>
      </c>
      <c r="P1493" s="1">
        <f t="shared" si="1133"/>
        <v>113.95170882974709</v>
      </c>
      <c r="Q1493" s="1">
        <f t="shared" ref="Q1493:Q1494" si="1175">(Q$1495-Q$1491)/($N$1495-$N$1491)*($N1493-$N$1491)+Q$1491</f>
        <v>18.712182992649996</v>
      </c>
      <c r="R1493">
        <f t="shared" si="1146"/>
        <v>0</v>
      </c>
      <c r="S1493" s="23">
        <f t="shared" si="1174"/>
        <v>-0.40304816650347597</v>
      </c>
      <c r="T1493">
        <f>$S1493+測地線補正!$Q$26*(lattice!$N1493/1000)^3+測地線補正!$P$26*(lattice!$N1493/1000)^2+測地線補正!$O$26*(lattice!$N1493/1000)+測地線補正!$N$26</f>
        <v>1.9517088297470961</v>
      </c>
      <c r="U1493">
        <f t="shared" si="1172"/>
        <v>-9.7556768615132382E-5</v>
      </c>
      <c r="V1493">
        <v>0</v>
      </c>
      <c r="W1493">
        <f t="shared" si="1173"/>
        <v>1.4107135406518195E-4</v>
      </c>
      <c r="X1493">
        <f t="shared" ref="X1493:X1495" si="1176">$Z$1492-($Y$1492+$Y$1489)/2</f>
        <v>307.24854829083392</v>
      </c>
      <c r="Y1493">
        <f>_xlfn.XLOOKUP($F1493,設計座標!$E$13:$E$2301,設計座標!$L$13:$L$2301," ",0,1)</f>
        <v>1000</v>
      </c>
      <c r="Z1493">
        <f t="shared" ref="Z1493:Z1494" si="1177">SQRT(($M$1492-$M$1489)^2+($N$1492-$N$1489)^2)</f>
        <v>807.24854829083392</v>
      </c>
      <c r="AA1493" t="str">
        <f>_xlfn.XLOOKUP($G1493,magnet_list!$A$2:$A$592,magnet_list!$AJ$2:$AJ$592,"n/a",0,1)</f>
        <v>n/a</v>
      </c>
      <c r="AB1493" t="str">
        <f>_xlfn.XLOOKUP($G1493,magnet_list!$A$2:$A$592,magnet_list!$L$2:$L$592,"n/a",0,1)</f>
        <v>n/a</v>
      </c>
      <c r="AD1493" s="2" t="s">
        <v>3850</v>
      </c>
    </row>
    <row r="1494" spans="1:30">
      <c r="A1494" t="s">
        <v>797</v>
      </c>
      <c r="B1494" t="s">
        <v>3814</v>
      </c>
      <c r="C1494" t="s">
        <v>805</v>
      </c>
      <c r="D1494" t="s">
        <v>806</v>
      </c>
      <c r="E1494" t="s">
        <v>804</v>
      </c>
      <c r="F1494" t="s">
        <v>756</v>
      </c>
      <c r="G1494" t="s">
        <v>2694</v>
      </c>
      <c r="I1494">
        <f>_xlfn.XLOOKUP($F1494,設計座標!$E$13:$E$2301,設計座標!$G$13:$G$2301,"n/a",0,1)</f>
        <v>400.9373692613691</v>
      </c>
      <c r="J1494">
        <f>_xlfn.XLOOKUP($F1494,設計座標!$E$13:$E$2301,設計座標!$H$13:$H$2301,"n/a",0,1)</f>
        <v>-14942</v>
      </c>
      <c r="K1494">
        <f>_xlfn.XLOOKUP($F1494,設計座標!$E$13:$E$2301,設計座標!$I$13:$I$2301,"n/a",0,1)</f>
        <v>-136462.38482693001</v>
      </c>
      <c r="L1494">
        <f>_xlfn.XLOOKUP($F1494,設計座標!$E$13:$E$2301,設計座標!$J$13:$J$2301,"n/a",0,1)</f>
        <v>112</v>
      </c>
      <c r="M1494" s="2">
        <f t="shared" si="1158"/>
        <v>-14923.227145569999</v>
      </c>
      <c r="N1494" s="2">
        <f t="shared" si="1159"/>
        <v>-136462.38482693001</v>
      </c>
      <c r="O1494" s="23">
        <f t="shared" si="1160"/>
        <v>111.63408913000001</v>
      </c>
      <c r="P1494" s="1">
        <f t="shared" si="1133"/>
        <v>113.993646570568</v>
      </c>
      <c r="Q1494" s="1">
        <f t="shared" si="1175"/>
        <v>18.772854430000734</v>
      </c>
      <c r="R1494">
        <f t="shared" si="1146"/>
        <v>0</v>
      </c>
      <c r="S1494" s="23">
        <f t="shared" si="1174"/>
        <v>-0.36591086999999334</v>
      </c>
      <c r="T1494">
        <f>$S1494+測地線補正!$Q$26*(lattice!$N1494/1000)^3+測地線補正!$P$26*(lattice!$N1494/1000)^2+測地線補正!$O$26*(lattice!$N1494/1000)+測地線補正!$N$26</f>
        <v>1.9936465705680033</v>
      </c>
      <c r="U1494">
        <f t="shared" si="1172"/>
        <v>-9.7556768615132382E-5</v>
      </c>
      <c r="V1494">
        <v>0</v>
      </c>
      <c r="W1494">
        <f t="shared" si="1173"/>
        <v>1.4107135406518195E-4</v>
      </c>
      <c r="X1494">
        <f t="shared" si="1176"/>
        <v>307.24854829083392</v>
      </c>
      <c r="Y1494">
        <f>_xlfn.XLOOKUP($F1494,設計座標!$E$13:$E$2301,設計座標!$L$13:$L$2301," ",0,1)</f>
        <v>1000</v>
      </c>
      <c r="Z1494">
        <f t="shared" si="1177"/>
        <v>807.24854829083392</v>
      </c>
      <c r="AA1494" t="str">
        <f>_xlfn.XLOOKUP($G1494,magnet_list!$A$2:$A$592,magnet_list!$AJ$2:$AJ$592,"n/a",0,1)</f>
        <v>n/a</v>
      </c>
      <c r="AB1494" t="str">
        <f>_xlfn.XLOOKUP($G1494,magnet_list!$A$2:$A$592,magnet_list!$L$2:$L$592,"n/a",0,1)</f>
        <v>n/a</v>
      </c>
      <c r="AD1494" s="2" t="s">
        <v>3850</v>
      </c>
    </row>
    <row r="1495" spans="1:30">
      <c r="A1495" t="s">
        <v>797</v>
      </c>
      <c r="B1495" t="s">
        <v>3814</v>
      </c>
      <c r="C1495" t="s">
        <v>805</v>
      </c>
      <c r="D1495" t="s">
        <v>806</v>
      </c>
      <c r="E1495" t="s">
        <v>804</v>
      </c>
      <c r="F1495" t="s">
        <v>393</v>
      </c>
      <c r="G1495" t="s">
        <v>2695</v>
      </c>
      <c r="I1495">
        <f>_xlfn.XLOOKUP($F1495,設計座標!$E$13:$E$2301,設計座標!$G$13:$G$2301,"n/a",0,1)</f>
        <v>400.9373692613691</v>
      </c>
      <c r="J1495">
        <f>_xlfn.XLOOKUP($F1495,設計座標!$E$13:$E$2301,設計座標!$H$13:$H$2301,"n/a",0,1)</f>
        <v>-14942</v>
      </c>
      <c r="K1495">
        <f>_xlfn.XLOOKUP($F1495,設計座標!$E$13:$E$2301,設計座標!$I$13:$I$2301,"n/a",0,1)</f>
        <v>-136462.38482693001</v>
      </c>
      <c r="L1495">
        <f>_xlfn.XLOOKUP($F1495,設計座標!$E$13:$E$2301,設計座標!$J$13:$J$2301,"n/a",0,1)</f>
        <v>112</v>
      </c>
      <c r="M1495" s="2">
        <f>_xlfn.XLOOKUP($F1495,survey_data!$A$2:$A$833,survey_data!$B$2:$B$833,"n/a",0,1)</f>
        <v>-14923.227145569999</v>
      </c>
      <c r="N1495" s="2">
        <f>_xlfn.XLOOKUP($F1495,survey_data!$A$2:$A$833,survey_data!$C$2:$C$833,"n/a",0,1)</f>
        <v>-136462.38482693001</v>
      </c>
      <c r="O1495" s="23">
        <f>_xlfn.XLOOKUP($F1495,survey_data!$A$2:$A$833,survey_data!$D$2:$D$833,"n/a",0,1)</f>
        <v>111.63408913000001</v>
      </c>
      <c r="P1495" s="1">
        <f t="shared" si="1133"/>
        <v>113.993646570568</v>
      </c>
      <c r="Q1495" s="1">
        <f t="shared" si="1153"/>
        <v>18.772854430000734</v>
      </c>
      <c r="R1495">
        <f t="shared" si="1146"/>
        <v>0</v>
      </c>
      <c r="S1495" s="23">
        <f t="shared" si="1154"/>
        <v>-0.36591086999999334</v>
      </c>
      <c r="T1495">
        <f>$S1495+測地線補正!$Q$26*(lattice!$N1495/1000)^3+測地線補正!$P$26*(lattice!$N1495/1000)^2+測地線補正!$O$26*(lattice!$N1495/1000)+測地線補正!$N$26</f>
        <v>1.9936465705680033</v>
      </c>
      <c r="U1495">
        <f t="shared" si="1172"/>
        <v>-9.7556768615132382E-5</v>
      </c>
      <c r="V1495">
        <v>0</v>
      </c>
      <c r="W1495">
        <f t="shared" si="1173"/>
        <v>1.4107135406518195E-4</v>
      </c>
      <c r="X1495">
        <f t="shared" si="1176"/>
        <v>307.24854829083392</v>
      </c>
      <c r="Y1495">
        <f>_xlfn.XLOOKUP($F1495,設計座標!$E$13:$E$2301,設計座標!$L$13:$L$2301," ",0,1)</f>
        <v>1000</v>
      </c>
      <c r="Z1495">
        <f t="shared" ref="Z1495:Z1499" si="1178">SQRT(($M$1500-$M$1492)^2+($N$1500-$N$1492)^2)</f>
        <v>2755.7362850328545</v>
      </c>
      <c r="AA1495" t="str">
        <f>_xlfn.XLOOKUP($G1495,magnet_list!$A$2:$A$592,magnet_list!$AJ$2:$AJ$592,"n/a",0,1)</f>
        <v>n/a</v>
      </c>
      <c r="AB1495" t="str">
        <f>_xlfn.XLOOKUP($G1495,magnet_list!$A$2:$A$592,magnet_list!$L$2:$L$592,"n/a",0,1)</f>
        <v>n/a</v>
      </c>
      <c r="AD1495" s="2" t="s">
        <v>3850</v>
      </c>
    </row>
    <row r="1496" spans="1:30">
      <c r="A1496" t="s">
        <v>797</v>
      </c>
      <c r="B1496" t="s">
        <v>3814</v>
      </c>
      <c r="C1496" t="s">
        <v>805</v>
      </c>
      <c r="D1496" t="s">
        <v>806</v>
      </c>
      <c r="E1496" t="s">
        <v>804</v>
      </c>
      <c r="F1496" t="s">
        <v>757</v>
      </c>
      <c r="G1496" t="s">
        <v>2696</v>
      </c>
      <c r="I1496">
        <f>_xlfn.XLOOKUP($F1496,設計座標!$E$13:$E$2301,設計座標!$G$13:$G$2301,"n/a",0,1)</f>
        <v>402.7996381613691</v>
      </c>
      <c r="J1496">
        <f>_xlfn.XLOOKUP($F1496,設計座標!$E$13:$E$2301,設計座標!$H$13:$H$2301,"n/a",0,1)</f>
        <v>-15175.5</v>
      </c>
      <c r="K1496">
        <f>_xlfn.XLOOKUP($F1496,設計座標!$E$13:$E$2301,設計座標!$I$13:$I$2301,"n/a",0,1)</f>
        <v>-138319.21727416001</v>
      </c>
      <c r="L1496">
        <f>_xlfn.XLOOKUP($F1496,設計座標!$E$13:$E$2301,設計座標!$J$13:$J$2301,"n/a",0,1)</f>
        <v>127</v>
      </c>
      <c r="M1496" s="2">
        <f t="shared" si="1158"/>
        <v>-15156.71096196</v>
      </c>
      <c r="N1496" s="2">
        <f t="shared" si="1159"/>
        <v>-138319.21727416001</v>
      </c>
      <c r="O1496" s="23">
        <f t="shared" si="1160"/>
        <v>126.85792567999999</v>
      </c>
      <c r="P1496" s="1">
        <f t="shared" si="1133"/>
        <v>129.23777162589587</v>
      </c>
      <c r="Q1496" s="1">
        <f>(Q$1497-Q$1495)/($N$1497-$N$1495)*($N1496-$N$1495)+Q$1495</f>
        <v>18.789038040000378</v>
      </c>
      <c r="R1496">
        <f t="shared" si="1146"/>
        <v>0</v>
      </c>
      <c r="S1496" s="23">
        <f>(S$1497-S$1495)/($N$1497-$N$1495)*($N1496-$N$1495)+S$1495</f>
        <v>-0.14207432000000608</v>
      </c>
      <c r="T1496">
        <f>$S1496+測地線補正!$Q$26*(lattice!$N1496/1000)^3+測地線補正!$P$26*(lattice!$N1496/1000)^2+測地線補正!$O$26*(lattice!$N1496/1000)+測地線補正!$N$26</f>
        <v>2.2377716258958857</v>
      </c>
      <c r="U1496">
        <f>-ATAN(($P$1504-$P$1496)/ABS($N$1504-$N$1496))</f>
        <v>-1.5098797282524796E-5</v>
      </c>
      <c r="V1496">
        <v>0</v>
      </c>
      <c r="W1496">
        <f>ATAN(($Q$1504-$Q$1496)/ABS($N$1504-$N$1496))</f>
        <v>-1.0211947532432993E-4</v>
      </c>
      <c r="X1496">
        <f t="shared" ref="X1496:X1499" si="1179">$Z$1500-($Y$1500+$Y$1492)/2</f>
        <v>1645.7362850328545</v>
      </c>
      <c r="Y1496">
        <f>_xlfn.XLOOKUP($F1496,設計座標!$E$13:$E$2301,設計座標!$L$13:$L$2301," ",0,1)</f>
        <v>1220</v>
      </c>
      <c r="Z1496">
        <f t="shared" si="1178"/>
        <v>2755.7362850328545</v>
      </c>
      <c r="AA1496" t="str">
        <f>_xlfn.XLOOKUP($G1496,magnet_list!$A$2:$A$592,magnet_list!$AJ$2:$AJ$592,"n/a",0,1)</f>
        <v>n/a</v>
      </c>
      <c r="AB1496" t="str">
        <f>_xlfn.XLOOKUP($G1496,magnet_list!$A$2:$A$592,magnet_list!$L$2:$L$592,"n/a",0,1)</f>
        <v>n/a</v>
      </c>
      <c r="AD1496" s="2" t="s">
        <v>3850</v>
      </c>
    </row>
    <row r="1497" spans="1:30">
      <c r="A1497" t="s">
        <v>797</v>
      </c>
      <c r="B1497" t="s">
        <v>3814</v>
      </c>
      <c r="C1497" t="s">
        <v>805</v>
      </c>
      <c r="D1497" t="s">
        <v>806</v>
      </c>
      <c r="E1497" t="s">
        <v>804</v>
      </c>
      <c r="F1497" t="s">
        <v>394</v>
      </c>
      <c r="G1497" t="s">
        <v>2697</v>
      </c>
      <c r="I1497">
        <f>_xlfn.XLOOKUP($F1497,設計座標!$E$13:$E$2301,設計座標!$G$13:$G$2301,"n/a",0,1)</f>
        <v>402.7996381613691</v>
      </c>
      <c r="J1497">
        <f>_xlfn.XLOOKUP($F1497,設計座標!$E$13:$E$2301,設計座標!$H$13:$H$2301,"n/a",0,1)</f>
        <v>-15175.5</v>
      </c>
      <c r="K1497">
        <f>_xlfn.XLOOKUP($F1497,設計座標!$E$13:$E$2301,設計座標!$I$13:$I$2301,"n/a",0,1)</f>
        <v>-138319.21727416001</v>
      </c>
      <c r="L1497">
        <f>_xlfn.XLOOKUP($F1497,設計座標!$E$13:$E$2301,設計座標!$J$13:$J$2301,"n/a",0,1)</f>
        <v>127</v>
      </c>
      <c r="M1497" s="2">
        <f>_xlfn.XLOOKUP($F1497,survey_data!$A$2:$A$833,survey_data!$B$2:$B$833,"n/a",0,1)</f>
        <v>-15156.71096196</v>
      </c>
      <c r="N1497" s="2">
        <f>_xlfn.XLOOKUP($F1497,survey_data!$A$2:$A$833,survey_data!$C$2:$C$833,"n/a",0,1)</f>
        <v>-138319.21727416001</v>
      </c>
      <c r="O1497" s="23">
        <f>_xlfn.XLOOKUP($F1497,survey_data!$A$2:$A$833,survey_data!$D$2:$D$833,"n/a",0,1)</f>
        <v>126.85792567999999</v>
      </c>
      <c r="P1497" s="1">
        <f t="shared" si="1133"/>
        <v>129.23777162589587</v>
      </c>
      <c r="Q1497" s="1">
        <f t="shared" si="1153"/>
        <v>18.789038040000378</v>
      </c>
      <c r="R1497">
        <f t="shared" si="1146"/>
        <v>0</v>
      </c>
      <c r="S1497" s="23">
        <f t="shared" si="1154"/>
        <v>-0.14207432000000608</v>
      </c>
      <c r="T1497">
        <f>$S1497+測地線補正!$Q$26*(lattice!$N1497/1000)^3+測地線補正!$P$26*(lattice!$N1497/1000)^2+測地線補正!$O$26*(lattice!$N1497/1000)+測地線補正!$N$26</f>
        <v>2.2377716258958857</v>
      </c>
      <c r="U1497">
        <f t="shared" ref="U1497:U1505" si="1180">-ATAN(($P$1504-$P$1496)/ABS($N$1504-$N$1496))</f>
        <v>-1.5098797282524796E-5</v>
      </c>
      <c r="V1497">
        <v>0</v>
      </c>
      <c r="W1497">
        <f t="shared" ref="W1497:W1505" si="1181">ATAN(($Q$1504-$Q$1496)/ABS($N$1504-$N$1496))</f>
        <v>-1.0211947532432993E-4</v>
      </c>
      <c r="X1497">
        <f t="shared" si="1179"/>
        <v>1645.7362850328545</v>
      </c>
      <c r="Y1497">
        <f>_xlfn.XLOOKUP($F1497,設計座標!$E$13:$E$2301,設計座標!$L$13:$L$2301," ",0,1)</f>
        <v>1220</v>
      </c>
      <c r="Z1497">
        <f t="shared" si="1178"/>
        <v>2755.7362850328545</v>
      </c>
      <c r="AA1497" t="str">
        <f>_xlfn.XLOOKUP($G1497,magnet_list!$A$2:$A$592,magnet_list!$AJ$2:$AJ$592,"n/a",0,1)</f>
        <v>n/a</v>
      </c>
      <c r="AB1497" t="str">
        <f>_xlfn.XLOOKUP($G1497,magnet_list!$A$2:$A$592,magnet_list!$L$2:$L$592,"n/a",0,1)</f>
        <v>n/a</v>
      </c>
      <c r="AD1497" s="2" t="s">
        <v>3850</v>
      </c>
    </row>
    <row r="1498" spans="1:30">
      <c r="A1498" t="s">
        <v>797</v>
      </c>
      <c r="B1498" t="s">
        <v>3814</v>
      </c>
      <c r="C1498" t="s">
        <v>805</v>
      </c>
      <c r="D1498" t="s">
        <v>806</v>
      </c>
      <c r="E1498" t="s">
        <v>804</v>
      </c>
      <c r="F1498" t="s">
        <v>758</v>
      </c>
      <c r="G1498" t="s">
        <v>2696</v>
      </c>
      <c r="I1498">
        <f>_xlfn.XLOOKUP($F1498,設計座標!$E$13:$E$2301,設計座標!$G$13:$G$2301,"n/a",0,1)</f>
        <v>403.25733816136909</v>
      </c>
      <c r="J1498">
        <f>_xlfn.XLOOKUP($F1498,設計座標!$E$13:$E$2301,設計座標!$H$13:$H$2301,"n/a",0,1)</f>
        <v>-15225</v>
      </c>
      <c r="K1498">
        <f>_xlfn.XLOOKUP($F1498,設計座標!$E$13:$E$2301,設計座標!$I$13:$I$2301,"n/a",0,1)</f>
        <v>-138775.2960801</v>
      </c>
      <c r="L1498">
        <f>_xlfn.XLOOKUP($F1498,設計座標!$E$13:$E$2301,設計座標!$J$13:$J$2301,"n/a",0,1)</f>
        <v>127</v>
      </c>
      <c r="M1498" s="2">
        <f t="shared" si="1158"/>
        <v>-15206.244604220001</v>
      </c>
      <c r="N1498" s="2">
        <f t="shared" si="1159"/>
        <v>-138775.2960801</v>
      </c>
      <c r="O1498" s="23">
        <f t="shared" si="1160"/>
        <v>126.83352157</v>
      </c>
      <c r="P1498" s="1">
        <f t="shared" si="1133"/>
        <v>129.21824261106329</v>
      </c>
      <c r="Q1498" s="1">
        <f>(Q$1499-Q$1497)/($N$1499-$N$1497)*($N1498-$N$1497)+Q$1497</f>
        <v>18.755395779999162</v>
      </c>
      <c r="R1498">
        <f t="shared" si="1146"/>
        <v>0</v>
      </c>
      <c r="S1498" s="23">
        <f>(S$1499-S$1497)/($N$1499-$N$1497)*($N1498-$N$1497)+S$1497</f>
        <v>-0.16647842999999796</v>
      </c>
      <c r="T1498">
        <f>$S1498+測地線補正!$Q$26*(lattice!$N1498/1000)^3+測地線補正!$P$26*(lattice!$N1498/1000)^2+測地線補正!$O$26*(lattice!$N1498/1000)+測地線補正!$N$26</f>
        <v>2.2182426110632782</v>
      </c>
      <c r="U1498">
        <f t="shared" si="1180"/>
        <v>-1.5098797282524796E-5</v>
      </c>
      <c r="V1498">
        <v>0</v>
      </c>
      <c r="W1498">
        <f t="shared" si="1181"/>
        <v>-1.0211947532432993E-4</v>
      </c>
      <c r="X1498">
        <f t="shared" si="1179"/>
        <v>1645.7362850328545</v>
      </c>
      <c r="Y1498">
        <f>_xlfn.XLOOKUP($F1498,設計座標!$E$13:$E$2301,設計座標!$L$13:$L$2301," ",0,1)</f>
        <v>1220</v>
      </c>
      <c r="Z1498">
        <f t="shared" si="1178"/>
        <v>2755.7362850328545</v>
      </c>
      <c r="AA1498" t="str">
        <f>_xlfn.XLOOKUP($G1498,magnet_list!$A$2:$A$592,magnet_list!$AJ$2:$AJ$592,"n/a",0,1)</f>
        <v>n/a</v>
      </c>
      <c r="AB1498" t="str">
        <f>_xlfn.XLOOKUP($G1498,magnet_list!$A$2:$A$592,magnet_list!$L$2:$L$592,"n/a",0,1)</f>
        <v>n/a</v>
      </c>
      <c r="AD1498" s="2" t="s">
        <v>3850</v>
      </c>
    </row>
    <row r="1499" spans="1:30">
      <c r="A1499" t="s">
        <v>797</v>
      </c>
      <c r="B1499" t="s">
        <v>3814</v>
      </c>
      <c r="C1499" t="s">
        <v>805</v>
      </c>
      <c r="D1499" t="s">
        <v>806</v>
      </c>
      <c r="E1499" t="s">
        <v>804</v>
      </c>
      <c r="F1499" t="s">
        <v>395</v>
      </c>
      <c r="G1499" t="s">
        <v>2697</v>
      </c>
      <c r="I1499">
        <f>_xlfn.XLOOKUP($F1499,設計座標!$E$13:$E$2301,設計座標!$G$13:$G$2301,"n/a",0,1)</f>
        <v>403.25733816136909</v>
      </c>
      <c r="J1499">
        <f>_xlfn.XLOOKUP($F1499,設計座標!$E$13:$E$2301,設計座標!$H$13:$H$2301,"n/a",0,1)</f>
        <v>-15225</v>
      </c>
      <c r="K1499">
        <f>_xlfn.XLOOKUP($F1499,設計座標!$E$13:$E$2301,設計座標!$I$13:$I$2301,"n/a",0,1)</f>
        <v>-138775.2960801</v>
      </c>
      <c r="L1499">
        <f>_xlfn.XLOOKUP($F1499,設計座標!$E$13:$E$2301,設計座標!$J$13:$J$2301,"n/a",0,1)</f>
        <v>127</v>
      </c>
      <c r="M1499" s="2">
        <f>_xlfn.XLOOKUP($F1499,survey_data!$A$2:$A$833,survey_data!$B$2:$B$833,"n/a",0,1)</f>
        <v>-15206.244604220001</v>
      </c>
      <c r="N1499" s="2">
        <f>_xlfn.XLOOKUP($F1499,survey_data!$A$2:$A$833,survey_data!$C$2:$C$833,"n/a",0,1)</f>
        <v>-138775.2960801</v>
      </c>
      <c r="O1499" s="23">
        <f>_xlfn.XLOOKUP($F1499,survey_data!$A$2:$A$833,survey_data!$D$2:$D$833,"n/a",0,1)</f>
        <v>126.83352157</v>
      </c>
      <c r="P1499" s="1">
        <f t="shared" ref="P1499:P1562" si="1182">$L1499+$T1499</f>
        <v>129.21824261106329</v>
      </c>
      <c r="Q1499" s="1">
        <f t="shared" si="1153"/>
        <v>18.755395779999162</v>
      </c>
      <c r="R1499">
        <f t="shared" si="1146"/>
        <v>0</v>
      </c>
      <c r="S1499" s="23">
        <f t="shared" si="1154"/>
        <v>-0.16647842999999796</v>
      </c>
      <c r="T1499">
        <f>$S1499+測地線補正!$Q$26*(lattice!$N1499/1000)^3+測地線補正!$P$26*(lattice!$N1499/1000)^2+測地線補正!$O$26*(lattice!$N1499/1000)+測地線補正!$N$26</f>
        <v>2.2182426110632782</v>
      </c>
      <c r="U1499">
        <f t="shared" si="1180"/>
        <v>-1.5098797282524796E-5</v>
      </c>
      <c r="V1499">
        <v>0</v>
      </c>
      <c r="W1499">
        <f t="shared" si="1181"/>
        <v>-1.0211947532432993E-4</v>
      </c>
      <c r="X1499">
        <f t="shared" si="1179"/>
        <v>1645.7362850328545</v>
      </c>
      <c r="Y1499">
        <f>_xlfn.XLOOKUP($F1499,設計座標!$E$13:$E$2301,設計座標!$L$13:$L$2301," ",0,1)</f>
        <v>1220</v>
      </c>
      <c r="Z1499">
        <f t="shared" si="1178"/>
        <v>2755.7362850328545</v>
      </c>
      <c r="AA1499" t="str">
        <f>_xlfn.XLOOKUP($G1499,magnet_list!$A$2:$A$592,magnet_list!$AJ$2:$AJ$592,"n/a",0,1)</f>
        <v>n/a</v>
      </c>
      <c r="AB1499" t="str">
        <f>_xlfn.XLOOKUP($G1499,magnet_list!$A$2:$A$592,magnet_list!$L$2:$L$592,"n/a",0,1)</f>
        <v>n/a</v>
      </c>
      <c r="AD1499" s="2" t="s">
        <v>3850</v>
      </c>
    </row>
    <row r="1500" spans="1:30">
      <c r="A1500" t="s">
        <v>797</v>
      </c>
      <c r="B1500" t="s">
        <v>3814</v>
      </c>
      <c r="C1500" t="s">
        <v>805</v>
      </c>
      <c r="D1500" t="s">
        <v>1152</v>
      </c>
      <c r="E1500" t="s">
        <v>804</v>
      </c>
      <c r="F1500" t="s">
        <v>1392</v>
      </c>
      <c r="G1500" t="s">
        <v>2696</v>
      </c>
      <c r="I1500">
        <f>_xlfn.XLOOKUP($F1500,設計座標!$E$13:$E$2301,設計座標!$G$13:$G$2301,"n/a",0,1)</f>
        <v>403.25733816136909</v>
      </c>
      <c r="J1500">
        <f>_xlfn.XLOOKUP($F1500,設計座標!$E$13:$E$2301,設計座標!$H$13:$H$2301,"n/a",0,1)</f>
        <v>-15193</v>
      </c>
      <c r="K1500">
        <f>_xlfn.XLOOKUP($F1500,設計座標!$E$13:$E$2301,設計座標!$I$13:$I$2301,"n/a",0,1)</f>
        <v>-138776.59221901</v>
      </c>
      <c r="L1500">
        <f>_xlfn.XLOOKUP($F1500,設計座標!$E$13:$E$2301,設計座標!$J$13:$J$2301,"n/a",0,1)</f>
        <v>127</v>
      </c>
      <c r="M1500" s="2">
        <f t="shared" si="1158"/>
        <v>-15174.26558873724</v>
      </c>
      <c r="N1500" s="2">
        <f t="shared" si="1159"/>
        <v>-138776.59221901</v>
      </c>
      <c r="O1500" s="23">
        <f t="shared" si="1160"/>
        <v>126.82651964598823</v>
      </c>
      <c r="P1500" s="1">
        <f t="shared" si="1182"/>
        <v>129.21125448105121</v>
      </c>
      <c r="Q1500" s="1">
        <f>(Q$1503-Q$1499)/($N$1503-$N$1499)*($N1500-$N$1499)+Q$1499</f>
        <v>18.734411262759416</v>
      </c>
      <c r="R1500">
        <f t="shared" si="1146"/>
        <v>0</v>
      </c>
      <c r="S1500" s="23">
        <f t="shared" ref="S1500:S1502" si="1183">(S$1503-S$1499)/($N$1503-$N$1499)*($N1500-$N$1499)+S$1499</f>
        <v>-0.17348035401177209</v>
      </c>
      <c r="T1500">
        <f>$S1500+測地線補正!$Q$26*(lattice!$N1500/1000)^3+測地線補正!$P$26*(lattice!$N1500/1000)^2+測地線補正!$O$26*(lattice!$N1500/1000)+測地線補正!$N$26</f>
        <v>2.2112544810512134</v>
      </c>
      <c r="U1500">
        <f t="shared" si="1180"/>
        <v>-1.5098797282524796E-5</v>
      </c>
      <c r="V1500">
        <v>0</v>
      </c>
      <c r="W1500">
        <f t="shared" si="1181"/>
        <v>-1.0211947532432993E-4</v>
      </c>
      <c r="X1500">
        <f>$Z$1500-($Y$1500+$Y$1492)/2</f>
        <v>1645.7362850328545</v>
      </c>
      <c r="Y1500">
        <f>_xlfn.XLOOKUP($F1500,設計座標!$E$13:$E$2301,設計座標!$L$13:$L$2301," ",0,1)</f>
        <v>1220</v>
      </c>
      <c r="Z1500">
        <f>SQRT(($M$1500-$M$1492)^2+($N$1500-$N$1492)^2)</f>
        <v>2755.7362850328545</v>
      </c>
      <c r="AA1500" t="str">
        <f>_xlfn.XLOOKUP($G1500,magnet_list!$A$2:$A$592,magnet_list!$AJ$2:$AJ$592,"n/a",0,1)</f>
        <v>n/a</v>
      </c>
      <c r="AB1500" t="str">
        <f>_xlfn.XLOOKUP($G1500,magnet_list!$A$2:$A$592,magnet_list!$L$2:$L$592,"n/a",0,1)</f>
        <v>n/a</v>
      </c>
      <c r="AD1500" s="2" t="s">
        <v>3850</v>
      </c>
    </row>
    <row r="1501" spans="1:30">
      <c r="A1501" t="s">
        <v>797</v>
      </c>
      <c r="B1501" t="s">
        <v>3814</v>
      </c>
      <c r="C1501" t="s">
        <v>805</v>
      </c>
      <c r="D1501" t="s">
        <v>1152</v>
      </c>
      <c r="E1501" t="s">
        <v>804</v>
      </c>
      <c r="F1501" t="s">
        <v>1393</v>
      </c>
      <c r="G1501" t="s">
        <v>2697</v>
      </c>
      <c r="I1501">
        <f>_xlfn.XLOOKUP($F1501,設計座標!$E$13:$E$2301,設計座標!$G$13:$G$2301,"n/a",0,1)</f>
        <v>403.25733816136909</v>
      </c>
      <c r="J1501">
        <f>_xlfn.XLOOKUP($F1501,設計座標!$E$13:$E$2301,設計座標!$H$13:$H$2301,"n/a",0,1)</f>
        <v>-15193</v>
      </c>
      <c r="K1501">
        <f>_xlfn.XLOOKUP($F1501,設計座標!$E$13:$E$2301,設計座標!$I$13:$I$2301,"n/a",0,1)</f>
        <v>-138776.59221901</v>
      </c>
      <c r="L1501">
        <f>_xlfn.XLOOKUP($F1501,設計座標!$E$13:$E$2301,設計座標!$J$13:$J$2301,"n/a",0,1)</f>
        <v>127</v>
      </c>
      <c r="M1501" s="2">
        <f t="shared" si="1158"/>
        <v>-15174.26558873724</v>
      </c>
      <c r="N1501" s="2">
        <f t="shared" si="1159"/>
        <v>-138776.59221901</v>
      </c>
      <c r="O1501" s="23">
        <f t="shared" si="1160"/>
        <v>126.82651964598823</v>
      </c>
      <c r="P1501" s="1">
        <f t="shared" si="1182"/>
        <v>129.21125448105121</v>
      </c>
      <c r="Q1501" s="1">
        <f t="shared" ref="Q1501:Q1502" si="1184">(Q$1503-Q$1499)/($N$1503-$N$1499)*($N1501-$N$1499)+Q$1499</f>
        <v>18.734411262759416</v>
      </c>
      <c r="R1501">
        <f t="shared" si="1146"/>
        <v>0</v>
      </c>
      <c r="S1501" s="23">
        <f t="shared" si="1183"/>
        <v>-0.17348035401177209</v>
      </c>
      <c r="T1501">
        <f>$S1501+測地線補正!$Q$26*(lattice!$N1501/1000)^3+測地線補正!$P$26*(lattice!$N1501/1000)^2+測地線補正!$O$26*(lattice!$N1501/1000)+測地線補正!$N$26</f>
        <v>2.2112544810512134</v>
      </c>
      <c r="U1501">
        <f t="shared" si="1180"/>
        <v>-1.5098797282524796E-5</v>
      </c>
      <c r="V1501">
        <v>0</v>
      </c>
      <c r="W1501">
        <f t="shared" si="1181"/>
        <v>-1.0211947532432993E-4</v>
      </c>
      <c r="X1501">
        <f t="shared" ref="X1501:X1505" si="1185">$Z$1500-($Y$1500+$Y$1492)/2</f>
        <v>1645.7362850328545</v>
      </c>
      <c r="Y1501">
        <f>_xlfn.XLOOKUP($F1501,設計座標!$E$13:$E$2301,設計座標!$L$13:$L$2301," ",0,1)</f>
        <v>1220</v>
      </c>
      <c r="Z1501">
        <f t="shared" ref="Z1501:Z1505" si="1186">SQRT(($M$1500-$M$1492)^2+($N$1500-$N$1492)^2)</f>
        <v>2755.7362850328545</v>
      </c>
      <c r="AA1501" t="str">
        <f>_xlfn.XLOOKUP($G1501,magnet_list!$A$2:$A$592,magnet_list!$AJ$2:$AJ$592,"n/a",0,1)</f>
        <v>n/a</v>
      </c>
      <c r="AB1501" t="str">
        <f>_xlfn.XLOOKUP($G1501,magnet_list!$A$2:$A$592,magnet_list!$L$2:$L$592,"n/a",0,1)</f>
        <v>n/a</v>
      </c>
      <c r="AD1501" s="2" t="s">
        <v>3850</v>
      </c>
    </row>
    <row r="1502" spans="1:30">
      <c r="A1502" t="s">
        <v>797</v>
      </c>
      <c r="B1502" t="s">
        <v>3814</v>
      </c>
      <c r="C1502" t="s">
        <v>805</v>
      </c>
      <c r="D1502" t="s">
        <v>806</v>
      </c>
      <c r="E1502" t="s">
        <v>804</v>
      </c>
      <c r="F1502" t="s">
        <v>759</v>
      </c>
      <c r="G1502" t="s">
        <v>2696</v>
      </c>
      <c r="I1502">
        <f>_xlfn.XLOOKUP($F1502,設計座標!$E$13:$E$2301,設計座標!$G$13:$G$2301,"n/a",0,1)</f>
        <v>403.25733816136909</v>
      </c>
      <c r="J1502">
        <f>_xlfn.XLOOKUP($F1502,設計座標!$E$13:$E$2301,設計座標!$H$13:$H$2301,"n/a",0,1)</f>
        <v>-15161</v>
      </c>
      <c r="K1502">
        <f>_xlfn.XLOOKUP($F1502,設計座標!$E$13:$E$2301,設計座標!$I$13:$I$2301,"n/a",0,1)</f>
        <v>-138777.77251901</v>
      </c>
      <c r="L1502">
        <f>_xlfn.XLOOKUP($F1502,設計座標!$E$13:$E$2301,設計座標!$J$13:$J$2301,"n/a",0,1)</f>
        <v>127</v>
      </c>
      <c r="M1502" s="2">
        <f t="shared" si="1158"/>
        <v>-15142.28469782</v>
      </c>
      <c r="N1502" s="2">
        <f t="shared" si="1159"/>
        <v>-138777.77251901</v>
      </c>
      <c r="O1502" s="23">
        <f t="shared" si="1160"/>
        <v>126.8201435</v>
      </c>
      <c r="P1502" s="1">
        <f t="shared" si="1182"/>
        <v>129.20489089596254</v>
      </c>
      <c r="Q1502" s="1">
        <f t="shared" si="1184"/>
        <v>18.715302180000435</v>
      </c>
      <c r="R1502">
        <f t="shared" si="1146"/>
        <v>0</v>
      </c>
      <c r="S1502" s="23">
        <f t="shared" si="1183"/>
        <v>-0.17985649999999964</v>
      </c>
      <c r="T1502">
        <f>$S1502+測地線補正!$Q$26*(lattice!$N1502/1000)^3+測地線補正!$P$26*(lattice!$N1502/1000)^2+測地線補正!$O$26*(lattice!$N1502/1000)+測地線補正!$N$26</f>
        <v>2.2048908959625413</v>
      </c>
      <c r="U1502">
        <f t="shared" si="1180"/>
        <v>-1.5098797282524796E-5</v>
      </c>
      <c r="V1502">
        <v>0</v>
      </c>
      <c r="W1502">
        <f t="shared" si="1181"/>
        <v>-1.0211947532432993E-4</v>
      </c>
      <c r="X1502">
        <f t="shared" si="1185"/>
        <v>1645.7362850328545</v>
      </c>
      <c r="Y1502">
        <f>_xlfn.XLOOKUP($F1502,設計座標!$E$13:$E$2301,設計座標!$L$13:$L$2301," ",0,1)</f>
        <v>1220</v>
      </c>
      <c r="Z1502">
        <f t="shared" si="1186"/>
        <v>2755.7362850328545</v>
      </c>
      <c r="AA1502" t="str">
        <f>_xlfn.XLOOKUP($G1502,magnet_list!$A$2:$A$592,magnet_list!$AJ$2:$AJ$592,"n/a",0,1)</f>
        <v>n/a</v>
      </c>
      <c r="AB1502" t="str">
        <f>_xlfn.XLOOKUP($G1502,magnet_list!$A$2:$A$592,magnet_list!$L$2:$L$592,"n/a",0,1)</f>
        <v>n/a</v>
      </c>
      <c r="AD1502" s="2" t="s">
        <v>3850</v>
      </c>
    </row>
    <row r="1503" spans="1:30">
      <c r="A1503" t="s">
        <v>797</v>
      </c>
      <c r="B1503" t="s">
        <v>3814</v>
      </c>
      <c r="C1503" t="s">
        <v>805</v>
      </c>
      <c r="D1503" t="s">
        <v>806</v>
      </c>
      <c r="E1503" t="s">
        <v>804</v>
      </c>
      <c r="F1503" t="s">
        <v>396</v>
      </c>
      <c r="G1503" t="s">
        <v>2697</v>
      </c>
      <c r="I1503">
        <f>_xlfn.XLOOKUP($F1503,設計座標!$E$13:$E$2301,設計座標!$G$13:$G$2301,"n/a",0,1)</f>
        <v>403.25733816136909</v>
      </c>
      <c r="J1503">
        <f>_xlfn.XLOOKUP($F1503,設計座標!$E$13:$E$2301,設計座標!$H$13:$H$2301,"n/a",0,1)</f>
        <v>-15161</v>
      </c>
      <c r="K1503">
        <f>_xlfn.XLOOKUP($F1503,設計座標!$E$13:$E$2301,設計座標!$I$13:$I$2301,"n/a",0,1)</f>
        <v>-138777.77251901</v>
      </c>
      <c r="L1503">
        <f>_xlfn.XLOOKUP($F1503,設計座標!$E$13:$E$2301,設計座標!$J$13:$J$2301,"n/a",0,1)</f>
        <v>127</v>
      </c>
      <c r="M1503" s="2">
        <f>_xlfn.XLOOKUP($F1503,survey_data!$A$2:$A$833,survey_data!$B$2:$B$833,"n/a",0,1)</f>
        <v>-15142.28469782</v>
      </c>
      <c r="N1503" s="2">
        <f>_xlfn.XLOOKUP($F1503,survey_data!$A$2:$A$833,survey_data!$C$2:$C$833,"n/a",0,1)</f>
        <v>-138777.77251901</v>
      </c>
      <c r="O1503" s="23">
        <f>_xlfn.XLOOKUP($F1503,survey_data!$A$2:$A$833,survey_data!$D$2:$D$833,"n/a",0,1)</f>
        <v>126.8201435</v>
      </c>
      <c r="P1503" s="1">
        <f t="shared" si="1182"/>
        <v>129.20489089596254</v>
      </c>
      <c r="Q1503" s="1">
        <f t="shared" si="1153"/>
        <v>18.715302180000435</v>
      </c>
      <c r="R1503">
        <f t="shared" si="1146"/>
        <v>0</v>
      </c>
      <c r="S1503" s="23">
        <f t="shared" si="1154"/>
        <v>-0.17985649999999964</v>
      </c>
      <c r="T1503">
        <f>$S1503+測地線補正!$Q$26*(lattice!$N1503/1000)^3+測地線補正!$P$26*(lattice!$N1503/1000)^2+測地線補正!$O$26*(lattice!$N1503/1000)+測地線補正!$N$26</f>
        <v>2.2048908959625413</v>
      </c>
      <c r="U1503">
        <f t="shared" si="1180"/>
        <v>-1.5098797282524796E-5</v>
      </c>
      <c r="V1503">
        <v>0</v>
      </c>
      <c r="W1503">
        <f t="shared" si="1181"/>
        <v>-1.0211947532432993E-4</v>
      </c>
      <c r="X1503">
        <f t="shared" si="1185"/>
        <v>1645.7362850328545</v>
      </c>
      <c r="Y1503">
        <f>_xlfn.XLOOKUP($F1503,設計座標!$E$13:$E$2301,設計座標!$L$13:$L$2301," ",0,1)</f>
        <v>1220</v>
      </c>
      <c r="Z1503">
        <f t="shared" si="1186"/>
        <v>2755.7362850328545</v>
      </c>
      <c r="AA1503" t="str">
        <f>_xlfn.XLOOKUP($G1503,magnet_list!$A$2:$A$592,magnet_list!$AJ$2:$AJ$592,"n/a",0,1)</f>
        <v>n/a</v>
      </c>
      <c r="AB1503" t="str">
        <f>_xlfn.XLOOKUP($G1503,magnet_list!$A$2:$A$592,magnet_list!$L$2:$L$592,"n/a",0,1)</f>
        <v>n/a</v>
      </c>
      <c r="AD1503" s="2" t="s">
        <v>3850</v>
      </c>
    </row>
    <row r="1504" spans="1:30">
      <c r="A1504" t="s">
        <v>797</v>
      </c>
      <c r="B1504" t="s">
        <v>3814</v>
      </c>
      <c r="C1504" t="s">
        <v>805</v>
      </c>
      <c r="D1504" t="s">
        <v>806</v>
      </c>
      <c r="E1504" t="s">
        <v>804</v>
      </c>
      <c r="F1504" t="s">
        <v>760</v>
      </c>
      <c r="G1504" t="s">
        <v>2696</v>
      </c>
      <c r="I1504">
        <f>_xlfn.XLOOKUP($F1504,設計座標!$E$13:$E$2301,設計座標!$G$13:$G$2301,"n/a",0,1)</f>
        <v>403.71503816136908</v>
      </c>
      <c r="J1504">
        <f>_xlfn.XLOOKUP($F1504,設計座標!$E$13:$E$2301,設計座標!$H$13:$H$2301,"n/a",0,1)</f>
        <v>-15210.5</v>
      </c>
      <c r="K1504">
        <f>_xlfn.XLOOKUP($F1504,設計座標!$E$13:$E$2301,設計座標!$I$13:$I$2301,"n/a",0,1)</f>
        <v>-139233.84966313001</v>
      </c>
      <c r="L1504">
        <f>_xlfn.XLOOKUP($F1504,設計座標!$E$13:$E$2301,設計座標!$J$13:$J$2301,"n/a",0,1)</f>
        <v>127</v>
      </c>
      <c r="M1504" s="2">
        <f t="shared" si="1158"/>
        <v>-15191.804363740001</v>
      </c>
      <c r="N1504" s="2">
        <f t="shared" si="1159"/>
        <v>-139233.84966313001</v>
      </c>
      <c r="O1504" s="23">
        <f t="shared" si="1160"/>
        <v>126.86200175</v>
      </c>
      <c r="P1504" s="1">
        <f t="shared" si="1182"/>
        <v>129.25158147492601</v>
      </c>
      <c r="Q1504" s="1">
        <f>(Q$1505-Q$1503)/($N$1505-$N$1503)*($N1504-$N$1503)+Q$1503</f>
        <v>18.695636259999446</v>
      </c>
      <c r="R1504">
        <f t="shared" si="1146"/>
        <v>0</v>
      </c>
      <c r="S1504" s="23">
        <f>(S$1505-S$1503)/($N$1505-$N$1503)*($N1504-$N$1503)+S$1503</f>
        <v>-0.13799824999999544</v>
      </c>
      <c r="T1504">
        <f>$S1504+測地線補正!$Q$26*(lattice!$N1504/1000)^3+測地線補正!$P$26*(lattice!$N1504/1000)^2+測地線補正!$O$26*(lattice!$N1504/1000)+測地線補正!$N$26</f>
        <v>2.2515814749260246</v>
      </c>
      <c r="U1504">
        <f t="shared" si="1180"/>
        <v>-1.5098797282524796E-5</v>
      </c>
      <c r="V1504">
        <v>0</v>
      </c>
      <c r="W1504">
        <f t="shared" si="1181"/>
        <v>-1.0211947532432993E-4</v>
      </c>
      <c r="X1504">
        <f t="shared" si="1185"/>
        <v>1645.7362850328545</v>
      </c>
      <c r="Y1504">
        <f>_xlfn.XLOOKUP($F1504,設計座標!$E$13:$E$2301,設計座標!$L$13:$L$2301," ",0,1)</f>
        <v>1220</v>
      </c>
      <c r="Z1504">
        <f t="shared" si="1186"/>
        <v>2755.7362850328545</v>
      </c>
      <c r="AA1504" t="str">
        <f>_xlfn.XLOOKUP($G1504,magnet_list!$A$2:$A$592,magnet_list!$AJ$2:$AJ$592,"n/a",0,1)</f>
        <v>n/a</v>
      </c>
      <c r="AB1504" t="str">
        <f>_xlfn.XLOOKUP($G1504,magnet_list!$A$2:$A$592,magnet_list!$L$2:$L$592,"n/a",0,1)</f>
        <v>n/a</v>
      </c>
      <c r="AD1504" s="2" t="s">
        <v>3850</v>
      </c>
    </row>
    <row r="1505" spans="1:30">
      <c r="A1505" t="s">
        <v>797</v>
      </c>
      <c r="B1505" t="s">
        <v>3814</v>
      </c>
      <c r="C1505" t="s">
        <v>805</v>
      </c>
      <c r="D1505" t="s">
        <v>806</v>
      </c>
      <c r="E1505" t="s">
        <v>804</v>
      </c>
      <c r="F1505" t="s">
        <v>397</v>
      </c>
      <c r="G1505" t="s">
        <v>2697</v>
      </c>
      <c r="I1505">
        <f>_xlfn.XLOOKUP($F1505,設計座標!$E$13:$E$2301,設計座標!$G$13:$G$2301,"n/a",0,1)</f>
        <v>403.71503816136908</v>
      </c>
      <c r="J1505">
        <f>_xlfn.XLOOKUP($F1505,設計座標!$E$13:$E$2301,設計座標!$H$13:$H$2301,"n/a",0,1)</f>
        <v>-15210.5</v>
      </c>
      <c r="K1505">
        <f>_xlfn.XLOOKUP($F1505,設計座標!$E$13:$E$2301,設計座標!$I$13:$I$2301,"n/a",0,1)</f>
        <v>-139233.84966313001</v>
      </c>
      <c r="L1505">
        <f>_xlfn.XLOOKUP($F1505,設計座標!$E$13:$E$2301,設計座標!$J$13:$J$2301,"n/a",0,1)</f>
        <v>127</v>
      </c>
      <c r="M1505" s="2">
        <f>_xlfn.XLOOKUP($F1505,survey_data!$A$2:$A$833,survey_data!$B$2:$B$833,"n/a",0,1)</f>
        <v>-15191.804363740001</v>
      </c>
      <c r="N1505" s="2">
        <f>_xlfn.XLOOKUP($F1505,survey_data!$A$2:$A$833,survey_data!$C$2:$C$833,"n/a",0,1)</f>
        <v>-139233.84966313001</v>
      </c>
      <c r="O1505" s="23">
        <f>_xlfn.XLOOKUP($F1505,survey_data!$A$2:$A$833,survey_data!$D$2:$D$833,"n/a",0,1)</f>
        <v>126.86200175</v>
      </c>
      <c r="P1505" s="1">
        <f t="shared" si="1182"/>
        <v>129.25158147492601</v>
      </c>
      <c r="Q1505" s="1">
        <f t="shared" si="1153"/>
        <v>18.695636259999446</v>
      </c>
      <c r="R1505">
        <f t="shared" si="1146"/>
        <v>0</v>
      </c>
      <c r="S1505" s="23">
        <f t="shared" si="1154"/>
        <v>-0.13799824999999544</v>
      </c>
      <c r="T1505">
        <f>$S1505+測地線補正!$Q$26*(lattice!$N1505/1000)^3+測地線補正!$P$26*(lattice!$N1505/1000)^2+測地線補正!$O$26*(lattice!$N1505/1000)+測地線補正!$N$26</f>
        <v>2.2515814749260246</v>
      </c>
      <c r="U1505">
        <f t="shared" si="1180"/>
        <v>-1.5098797282524796E-5</v>
      </c>
      <c r="V1505">
        <v>0</v>
      </c>
      <c r="W1505">
        <f t="shared" si="1181"/>
        <v>-1.0211947532432993E-4</v>
      </c>
      <c r="X1505">
        <f t="shared" si="1185"/>
        <v>1645.7362850328545</v>
      </c>
      <c r="Y1505">
        <f>_xlfn.XLOOKUP($F1505,設計座標!$E$13:$E$2301,設計座標!$L$13:$L$2301," ",0,1)</f>
        <v>1220</v>
      </c>
      <c r="Z1505">
        <f t="shared" si="1186"/>
        <v>2755.7362850328545</v>
      </c>
      <c r="AA1505" t="str">
        <f>_xlfn.XLOOKUP($G1505,magnet_list!$A$2:$A$592,magnet_list!$AJ$2:$AJ$592,"n/a",0,1)</f>
        <v>n/a</v>
      </c>
      <c r="AB1505" t="str">
        <f>_xlfn.XLOOKUP($G1505,magnet_list!$A$2:$A$592,magnet_list!$L$2:$L$592,"n/a",0,1)</f>
        <v>n/a</v>
      </c>
      <c r="AD1505" s="2" t="s">
        <v>3850</v>
      </c>
    </row>
    <row r="1506" spans="1:30">
      <c r="A1506" t="s">
        <v>797</v>
      </c>
      <c r="B1506" t="s">
        <v>3814</v>
      </c>
      <c r="C1506" t="s">
        <v>1152</v>
      </c>
      <c r="D1506" t="s">
        <v>1152</v>
      </c>
      <c r="E1506" t="s">
        <v>804</v>
      </c>
      <c r="F1506" t="s">
        <v>2143</v>
      </c>
      <c r="G1506" t="s">
        <v>2143</v>
      </c>
      <c r="I1506">
        <f>_xlfn.XLOOKUP($F1506,設計座標!$E$13:$E$2301,設計座標!$G$13:$G$2301,"n/a",0,1)</f>
        <v>406.17233366136907</v>
      </c>
      <c r="J1506">
        <f>_xlfn.XLOOKUP($F1506,設計座標!$E$13:$E$2301,設計座標!$H$13:$H$2301,"n/a",0,1)</f>
        <v>-15211.436</v>
      </c>
      <c r="K1506">
        <f>_xlfn.XLOOKUP($F1506,設計座標!$E$13:$E$2301,設計座標!$I$13:$I$2301,"n/a",0,1)</f>
        <v>-141703.45319546</v>
      </c>
      <c r="L1506">
        <f>_xlfn.XLOOKUP($F1506,設計座標!$E$13:$E$2301,設計座標!$J$13:$J$2301,"n/a",0,1)</f>
        <v>-270</v>
      </c>
      <c r="M1506" s="2">
        <f t="shared" si="1158"/>
        <v>-15192.398524838323</v>
      </c>
      <c r="N1506" s="2">
        <f t="shared" si="1159"/>
        <v>-141703.45319546</v>
      </c>
      <c r="O1506" s="23">
        <f t="shared" si="1160"/>
        <v>-270.04921624244201</v>
      </c>
      <c r="P1506" s="1">
        <f t="shared" si="1182"/>
        <v>-267.63420515168758</v>
      </c>
      <c r="Q1506" s="1">
        <f>(Q$1509-Q$1505)/($N$1509-$N$1505)*($N1506-$N$1505)+Q$1505</f>
        <v>19.037475161675818</v>
      </c>
      <c r="R1506">
        <f t="shared" si="1146"/>
        <v>0</v>
      </c>
      <c r="S1506" s="23">
        <f t="shared" ref="S1506:S1508" si="1187">(S$1509-S$1505)/($N$1509-$N$1505)*($N1506-$N$1505)+S$1505</f>
        <v>-4.921624244200197E-2</v>
      </c>
      <c r="T1506">
        <f>$S1506+測地線補正!$Q$26*(lattice!$N1506/1000)^3+測地線補正!$P$26*(lattice!$N1506/1000)^2+測地線補正!$O$26*(lattice!$N1506/1000)+測地線補正!$N$26</f>
        <v>2.3657948483124054</v>
      </c>
      <c r="U1506">
        <v>0</v>
      </c>
      <c r="V1506">
        <v>0</v>
      </c>
      <c r="W1506">
        <v>0</v>
      </c>
      <c r="X1506">
        <f>$Z$1506-($Y$1506+$Y$1500)/2</f>
        <v>2316.9171458784908</v>
      </c>
      <c r="Y1506">
        <f>_xlfn.XLOOKUP($F1506,設計座標!$E$13:$E$2301,設計座標!$L$13:$L$2301," ",0,1)</f>
        <v>0</v>
      </c>
      <c r="Z1506">
        <f>SQRT(($M$1506-$M$1500)^2+($N$1506-$N$1500)^2)</f>
        <v>2926.9171458784908</v>
      </c>
    </row>
    <row r="1507" spans="1:30">
      <c r="A1507" t="s">
        <v>797</v>
      </c>
      <c r="B1507" t="s">
        <v>3814</v>
      </c>
      <c r="C1507" t="s">
        <v>1152</v>
      </c>
      <c r="D1507" t="s">
        <v>1152</v>
      </c>
      <c r="E1507" t="s">
        <v>804</v>
      </c>
      <c r="F1507" t="s">
        <v>2144</v>
      </c>
      <c r="G1507" t="s">
        <v>2144</v>
      </c>
      <c r="I1507">
        <f>_xlfn.XLOOKUP($F1507,設計座標!$E$13:$E$2301,設計座標!$G$13:$G$2301,"n/a",0,1)</f>
        <v>406.48983366136906</v>
      </c>
      <c r="J1507">
        <f>_xlfn.XLOOKUP($F1507,設計座標!$E$13:$E$2301,設計座標!$H$13:$H$2301,"n/a",0,1)</f>
        <v>-15211.436</v>
      </c>
      <c r="K1507">
        <f>_xlfn.XLOOKUP($F1507,設計座標!$E$13:$E$2301,設計座標!$I$13:$I$2301,"n/a",0,1)</f>
        <v>-142020.95319546</v>
      </c>
      <c r="L1507">
        <f>_xlfn.XLOOKUP($F1507,設計座標!$E$13:$E$2301,設計座標!$J$13:$J$2301,"n/a",0,1)</f>
        <v>-270</v>
      </c>
      <c r="M1507" s="2">
        <f t="shared" si="1158"/>
        <v>-15192.354576953629</v>
      </c>
      <c r="N1507" s="2">
        <f t="shared" si="1159"/>
        <v>-142020.95319546</v>
      </c>
      <c r="O1507" s="23">
        <f t="shared" si="1160"/>
        <v>-270.03780214822376</v>
      </c>
      <c r="P1507" s="1">
        <f t="shared" si="1182"/>
        <v>-267.61961116465608</v>
      </c>
      <c r="Q1507" s="1">
        <f t="shared" ref="Q1507:Q1508" si="1188">(Q$1509-Q$1505)/($N$1509-$N$1505)*($N1507-$N$1505)+Q$1505</f>
        <v>19.081423046371242</v>
      </c>
      <c r="R1507">
        <f t="shared" si="1146"/>
        <v>0</v>
      </c>
      <c r="S1507" s="23">
        <f t="shared" si="1187"/>
        <v>-3.7802148223782167E-2</v>
      </c>
      <c r="T1507">
        <f>$S1507+測地線補正!$Q$26*(lattice!$N1507/1000)^3+測地線補正!$P$26*(lattice!$N1507/1000)^2+測地線補正!$O$26*(lattice!$N1507/1000)+測地線補正!$N$26</f>
        <v>2.3803888353439335</v>
      </c>
      <c r="U1507">
        <v>0</v>
      </c>
      <c r="V1507">
        <v>0</v>
      </c>
      <c r="W1507">
        <v>0</v>
      </c>
      <c r="X1507">
        <f>$Z$1507-($Y$1507+$Y$1506)/2</f>
        <v>317.50000304160091</v>
      </c>
      <c r="Y1507">
        <f>_xlfn.XLOOKUP($F1507,設計座標!$E$13:$E$2301,設計座標!$L$13:$L$2301," ",0,1)</f>
        <v>0</v>
      </c>
      <c r="Z1507">
        <f>SQRT(($M$1507-$M$1506)^2+($N$1507-$N$1506)^2)</f>
        <v>317.50000304160091</v>
      </c>
    </row>
    <row r="1508" spans="1:30">
      <c r="A1508" t="s">
        <v>797</v>
      </c>
      <c r="B1508" t="s">
        <v>3814</v>
      </c>
      <c r="C1508" t="s">
        <v>805</v>
      </c>
      <c r="D1508" t="s">
        <v>806</v>
      </c>
      <c r="E1508" t="s">
        <v>804</v>
      </c>
      <c r="F1508" t="s">
        <v>761</v>
      </c>
      <c r="G1508" t="s">
        <v>2698</v>
      </c>
      <c r="I1508">
        <f>_xlfn.XLOOKUP($F1508,設計座標!$E$13:$E$2301,設計座標!$G$13:$G$2301,"n/a",0,1)</f>
        <v>407.86518966136907</v>
      </c>
      <c r="J1508">
        <f>_xlfn.XLOOKUP($F1508,設計座標!$E$13:$E$2301,設計座標!$H$13:$H$2301,"n/a",0,1)</f>
        <v>-15210.5</v>
      </c>
      <c r="K1508">
        <f>_xlfn.XLOOKUP($F1508,設計座標!$E$13:$E$2301,設計座標!$I$13:$I$2301,"n/a",0,1)</f>
        <v>-143383.62246765001</v>
      </c>
      <c r="L1508">
        <f>_xlfn.XLOOKUP($F1508,設計座標!$E$13:$E$2301,設計座標!$J$13:$J$2301,"n/a",0,1)</f>
        <v>127</v>
      </c>
      <c r="M1508" s="2">
        <f t="shared" si="1158"/>
        <v>-15191.22995827</v>
      </c>
      <c r="N1508" s="2">
        <f t="shared" si="1159"/>
        <v>-143383.62246765001</v>
      </c>
      <c r="O1508" s="23">
        <f t="shared" si="1160"/>
        <v>127.01118568</v>
      </c>
      <c r="P1508" s="1">
        <f t="shared" si="1182"/>
        <v>129.44279370991137</v>
      </c>
      <c r="Q1508" s="1">
        <f t="shared" si="1188"/>
        <v>19.27004173000023</v>
      </c>
      <c r="R1508">
        <f t="shared" si="1146"/>
        <v>0</v>
      </c>
      <c r="S1508" s="23">
        <f t="shared" si="1187"/>
        <v>1.1185679999996978E-2</v>
      </c>
      <c r="T1508">
        <f>$S1508+測地線補正!$Q$26*(lattice!$N1508/1000)^3+測地線補正!$P$26*(lattice!$N1508/1000)^2+測地線補正!$O$26*(lattice!$N1508/1000)+測地線補正!$N$26</f>
        <v>2.4427937099113777</v>
      </c>
      <c r="U1508">
        <f>-ATAN(($P$1516-$P$1508)/ABS($N$1516-$N$1508))</f>
        <v>1.5175993552120404E-5</v>
      </c>
      <c r="V1508">
        <v>0</v>
      </c>
      <c r="W1508">
        <f>ATAN(($Q$1516-$Q$1508)/ABS($N$1516-$N$1508))</f>
        <v>3.4741109971586783E-4</v>
      </c>
      <c r="X1508">
        <f t="shared" ref="X1508:X1511" si="1189">$Z$1512-($Y$1512+$Y$1507)/2</f>
        <v>1210.0605786269568</v>
      </c>
      <c r="Y1508">
        <f>_xlfn.XLOOKUP($F1508,設計座標!$E$13:$E$2301,設計座標!$L$13:$L$2301," ",0,1)</f>
        <v>1220</v>
      </c>
      <c r="Z1508">
        <f t="shared" ref="Z1508:Z1511" si="1190">SQRT(($M$1512-$M$1507)^2+($N$1512-$N$1507)^2)</f>
        <v>1820.0605786269568</v>
      </c>
      <c r="AA1508" t="str">
        <f>_xlfn.XLOOKUP($G1508,magnet_list!$A$2:$A$592,magnet_list!$AJ$2:$AJ$592,"n/a",0,1)</f>
        <v>n/a</v>
      </c>
      <c r="AB1508" t="str">
        <f>_xlfn.XLOOKUP($G1508,magnet_list!$A$2:$A$592,magnet_list!$L$2:$L$592,"n/a",0,1)</f>
        <v>n/a</v>
      </c>
      <c r="AD1508" s="2" t="s">
        <v>3850</v>
      </c>
    </row>
    <row r="1509" spans="1:30">
      <c r="A1509" t="s">
        <v>797</v>
      </c>
      <c r="B1509" t="s">
        <v>3814</v>
      </c>
      <c r="C1509" t="s">
        <v>805</v>
      </c>
      <c r="D1509" t="s">
        <v>806</v>
      </c>
      <c r="E1509" t="s">
        <v>804</v>
      </c>
      <c r="F1509" t="s">
        <v>398</v>
      </c>
      <c r="G1509" t="s">
        <v>2699</v>
      </c>
      <c r="I1509">
        <f>_xlfn.XLOOKUP($F1509,設計座標!$E$13:$E$2301,設計座標!$G$13:$G$2301,"n/a",0,1)</f>
        <v>407.86518966136907</v>
      </c>
      <c r="J1509">
        <f>_xlfn.XLOOKUP($F1509,設計座標!$E$13:$E$2301,設計座標!$H$13:$H$2301,"n/a",0,1)</f>
        <v>-15210.5</v>
      </c>
      <c r="K1509">
        <f>_xlfn.XLOOKUP($F1509,設計座標!$E$13:$E$2301,設計座標!$I$13:$I$2301,"n/a",0,1)</f>
        <v>-143383.62246765001</v>
      </c>
      <c r="L1509">
        <f>_xlfn.XLOOKUP($F1509,設計座標!$E$13:$E$2301,設計座標!$J$13:$J$2301,"n/a",0,1)</f>
        <v>127</v>
      </c>
      <c r="M1509" s="2">
        <f>_xlfn.XLOOKUP($F1509,survey_data!$A$2:$A$833,survey_data!$B$2:$B$833,"n/a",0,1)</f>
        <v>-15191.22995827</v>
      </c>
      <c r="N1509" s="2">
        <f>_xlfn.XLOOKUP($F1509,survey_data!$A$2:$A$833,survey_data!$C$2:$C$833,"n/a",0,1)</f>
        <v>-143383.62246765001</v>
      </c>
      <c r="O1509" s="23">
        <f>_xlfn.XLOOKUP($F1509,survey_data!$A$2:$A$833,survey_data!$D$2:$D$833,"n/a",0,1)</f>
        <v>127.01118568</v>
      </c>
      <c r="P1509" s="1">
        <f t="shared" si="1182"/>
        <v>129.44279370991137</v>
      </c>
      <c r="Q1509" s="1">
        <f t="shared" si="1153"/>
        <v>19.27004173000023</v>
      </c>
      <c r="R1509">
        <f t="shared" si="1146"/>
        <v>0</v>
      </c>
      <c r="S1509" s="23">
        <f t="shared" si="1154"/>
        <v>1.1185679999996978E-2</v>
      </c>
      <c r="T1509">
        <f>$S1509+測地線補正!$Q$26*(lattice!$N1509/1000)^3+測地線補正!$P$26*(lattice!$N1509/1000)^2+測地線補正!$O$26*(lattice!$N1509/1000)+測地線補正!$N$26</f>
        <v>2.4427937099113777</v>
      </c>
      <c r="U1509">
        <f t="shared" ref="U1509:U1517" si="1191">-ATAN(($P$1516-$P$1508)/ABS($N$1516-$N$1508))</f>
        <v>1.5175993552120404E-5</v>
      </c>
      <c r="V1509">
        <v>0</v>
      </c>
      <c r="W1509">
        <f t="shared" ref="W1509:W1517" si="1192">ATAN(($Q$1516-$Q$1508)/ABS($N$1516-$N$1508))</f>
        <v>3.4741109971586783E-4</v>
      </c>
      <c r="X1509">
        <f t="shared" si="1189"/>
        <v>1210.0605786269568</v>
      </c>
      <c r="Y1509">
        <f>_xlfn.XLOOKUP($F1509,設計座標!$E$13:$E$2301,設計座標!$L$13:$L$2301," ",0,1)</f>
        <v>1220</v>
      </c>
      <c r="Z1509">
        <f t="shared" si="1190"/>
        <v>1820.0605786269568</v>
      </c>
      <c r="AA1509" t="str">
        <f>_xlfn.XLOOKUP($G1509,magnet_list!$A$2:$A$592,magnet_list!$AJ$2:$AJ$592,"n/a",0,1)</f>
        <v>n/a</v>
      </c>
      <c r="AB1509" t="str">
        <f>_xlfn.XLOOKUP($G1509,magnet_list!$A$2:$A$592,magnet_list!$L$2:$L$592,"n/a",0,1)</f>
        <v>n/a</v>
      </c>
      <c r="AD1509" s="2" t="s">
        <v>3850</v>
      </c>
    </row>
    <row r="1510" spans="1:30">
      <c r="A1510" t="s">
        <v>797</v>
      </c>
      <c r="B1510" t="s">
        <v>3814</v>
      </c>
      <c r="C1510" t="s">
        <v>805</v>
      </c>
      <c r="D1510" t="s">
        <v>806</v>
      </c>
      <c r="E1510" t="s">
        <v>804</v>
      </c>
      <c r="F1510" t="s">
        <v>763</v>
      </c>
      <c r="G1510" t="s">
        <v>2698</v>
      </c>
      <c r="I1510">
        <f>_xlfn.XLOOKUP($F1510,設計座標!$E$13:$E$2301,設計座標!$G$13:$G$2301,"n/a",0,1)</f>
        <v>408.32287746136905</v>
      </c>
      <c r="J1510">
        <f>_xlfn.XLOOKUP($F1510,設計座標!$E$13:$E$2301,設計座標!$H$13:$H$2301,"n/a",0,1)</f>
        <v>-15161</v>
      </c>
      <c r="K1510">
        <f>_xlfn.XLOOKUP($F1510,設計座標!$E$13:$E$2301,設計座標!$I$13:$I$2301,"n/a",0,1)</f>
        <v>-143839.71041992999</v>
      </c>
      <c r="L1510">
        <f>_xlfn.XLOOKUP($F1510,設計座標!$E$13:$E$2301,設計座標!$J$13:$J$2301,"n/a",0,1)</f>
        <v>127</v>
      </c>
      <c r="M1510" s="2">
        <f t="shared" si="1158"/>
        <v>-15141.55634064</v>
      </c>
      <c r="N1510" s="2">
        <f t="shared" si="1159"/>
        <v>-143839.71041992999</v>
      </c>
      <c r="O1510" s="23">
        <f t="shared" si="1160"/>
        <v>126.99139183</v>
      </c>
      <c r="P1510" s="1">
        <f t="shared" si="1182"/>
        <v>129.42740724568057</v>
      </c>
      <c r="Q1510" s="1">
        <f>(Q$1511-Q$1509)/($N$1511-$N$1509)*($N1510-$N$1509)+Q$1509</f>
        <v>19.443659360000311</v>
      </c>
      <c r="R1510">
        <f t="shared" si="1146"/>
        <v>0</v>
      </c>
      <c r="S1510" s="23">
        <f>(S$1511-S$1509)/($N$1511-$N$1509)*($N1510-$N$1509)+S$1509</f>
        <v>-8.6081700000022465E-3</v>
      </c>
      <c r="T1510">
        <f>$S1510+測地線補正!$Q$26*(lattice!$N1510/1000)^3+測地線補正!$P$26*(lattice!$N1510/1000)^2+測地線補正!$O$26*(lattice!$N1510/1000)+測地線補正!$N$26</f>
        <v>2.4274072456805555</v>
      </c>
      <c r="U1510">
        <f t="shared" si="1191"/>
        <v>1.5175993552120404E-5</v>
      </c>
      <c r="V1510">
        <v>0</v>
      </c>
      <c r="W1510">
        <f t="shared" si="1192"/>
        <v>3.4741109971586783E-4</v>
      </c>
      <c r="X1510">
        <f t="shared" si="1189"/>
        <v>1210.0605786269568</v>
      </c>
      <c r="Y1510">
        <f>_xlfn.XLOOKUP($F1510,設計座標!$E$13:$E$2301,設計座標!$L$13:$L$2301," ",0,1)</f>
        <v>1220</v>
      </c>
      <c r="Z1510">
        <f t="shared" si="1190"/>
        <v>1820.0605786269568</v>
      </c>
      <c r="AA1510" t="str">
        <f>_xlfn.XLOOKUP($G1510,magnet_list!$A$2:$A$592,magnet_list!$AJ$2:$AJ$592,"n/a",0,1)</f>
        <v>n/a</v>
      </c>
      <c r="AB1510" t="str">
        <f>_xlfn.XLOOKUP($G1510,magnet_list!$A$2:$A$592,magnet_list!$L$2:$L$592,"n/a",0,1)</f>
        <v>n/a</v>
      </c>
      <c r="AD1510" s="2" t="s">
        <v>3850</v>
      </c>
    </row>
    <row r="1511" spans="1:30">
      <c r="A1511" t="s">
        <v>797</v>
      </c>
      <c r="B1511" t="s">
        <v>3814</v>
      </c>
      <c r="C1511" t="s">
        <v>805</v>
      </c>
      <c r="D1511" t="s">
        <v>806</v>
      </c>
      <c r="E1511" t="s">
        <v>804</v>
      </c>
      <c r="F1511" t="s">
        <v>399</v>
      </c>
      <c r="G1511" t="s">
        <v>2699</v>
      </c>
      <c r="I1511">
        <f>_xlfn.XLOOKUP($F1511,設計座標!$E$13:$E$2301,設計座標!$G$13:$G$2301,"n/a",0,1)</f>
        <v>408.32287746136905</v>
      </c>
      <c r="J1511">
        <f>_xlfn.XLOOKUP($F1511,設計座標!$E$13:$E$2301,設計座標!$H$13:$H$2301,"n/a",0,1)</f>
        <v>-15161</v>
      </c>
      <c r="K1511">
        <f>_xlfn.XLOOKUP($F1511,設計座標!$E$13:$E$2301,設計座標!$I$13:$I$2301,"n/a",0,1)</f>
        <v>-143839.71041992999</v>
      </c>
      <c r="L1511">
        <f>_xlfn.XLOOKUP($F1511,設計座標!$E$13:$E$2301,設計座標!$J$13:$J$2301,"n/a",0,1)</f>
        <v>127</v>
      </c>
      <c r="M1511" s="2">
        <f>_xlfn.XLOOKUP($F1511,survey_data!$A$2:$A$833,survey_data!$B$2:$B$833,"n/a",0,1)</f>
        <v>-15141.55634064</v>
      </c>
      <c r="N1511" s="2">
        <f>_xlfn.XLOOKUP($F1511,survey_data!$A$2:$A$833,survey_data!$C$2:$C$833,"n/a",0,1)</f>
        <v>-143839.71041992999</v>
      </c>
      <c r="O1511" s="23">
        <f>_xlfn.XLOOKUP($F1511,survey_data!$A$2:$A$833,survey_data!$D$2:$D$833,"n/a",0,1)</f>
        <v>126.99139183</v>
      </c>
      <c r="P1511" s="1">
        <f t="shared" si="1182"/>
        <v>129.42740724568057</v>
      </c>
      <c r="Q1511" s="1">
        <f t="shared" si="1153"/>
        <v>19.443659360000311</v>
      </c>
      <c r="R1511">
        <f t="shared" si="1146"/>
        <v>0</v>
      </c>
      <c r="S1511" s="23">
        <f t="shared" si="1154"/>
        <v>-8.6081700000022465E-3</v>
      </c>
      <c r="T1511">
        <f>$S1511+測地線補正!$Q$26*(lattice!$N1511/1000)^3+測地線補正!$P$26*(lattice!$N1511/1000)^2+測地線補正!$O$26*(lattice!$N1511/1000)+測地線補正!$N$26</f>
        <v>2.4274072456805555</v>
      </c>
      <c r="U1511">
        <f t="shared" si="1191"/>
        <v>1.5175993552120404E-5</v>
      </c>
      <c r="V1511">
        <v>0</v>
      </c>
      <c r="W1511">
        <f t="shared" si="1192"/>
        <v>3.4741109971586783E-4</v>
      </c>
      <c r="X1511">
        <f t="shared" si="1189"/>
        <v>1210.0605786269568</v>
      </c>
      <c r="Y1511">
        <f>_xlfn.XLOOKUP($F1511,設計座標!$E$13:$E$2301,設計座標!$L$13:$L$2301," ",0,1)</f>
        <v>1220</v>
      </c>
      <c r="Z1511">
        <f t="shared" si="1190"/>
        <v>1820.0605786269568</v>
      </c>
      <c r="AA1511" t="str">
        <f>_xlfn.XLOOKUP($G1511,magnet_list!$A$2:$A$592,magnet_list!$AJ$2:$AJ$592,"n/a",0,1)</f>
        <v>n/a</v>
      </c>
      <c r="AB1511" t="str">
        <f>_xlfn.XLOOKUP($G1511,magnet_list!$A$2:$A$592,magnet_list!$L$2:$L$592,"n/a",0,1)</f>
        <v>n/a</v>
      </c>
      <c r="AD1511" s="2" t="s">
        <v>3850</v>
      </c>
    </row>
    <row r="1512" spans="1:30">
      <c r="A1512" t="s">
        <v>797</v>
      </c>
      <c r="B1512" t="s">
        <v>3814</v>
      </c>
      <c r="C1512" t="s">
        <v>805</v>
      </c>
      <c r="D1512" t="s">
        <v>1152</v>
      </c>
      <c r="E1512" t="s">
        <v>804</v>
      </c>
      <c r="F1512" t="s">
        <v>1394</v>
      </c>
      <c r="G1512" t="s">
        <v>2698</v>
      </c>
      <c r="I1512">
        <f>_xlfn.XLOOKUP($F1512,設計座標!$E$13:$E$2301,設計座標!$G$13:$G$2301,"n/a",0,1)</f>
        <v>408.32287746136905</v>
      </c>
      <c r="J1512">
        <f>_xlfn.XLOOKUP($F1512,設計座標!$E$13:$E$2301,設計座標!$H$13:$H$2301,"n/a",0,1)</f>
        <v>-15193</v>
      </c>
      <c r="K1512">
        <f>_xlfn.XLOOKUP($F1512,設計座標!$E$13:$E$2301,設計座標!$I$13:$I$2301,"n/a",0,1)</f>
        <v>-143840.91656992998</v>
      </c>
      <c r="L1512">
        <f>_xlfn.XLOOKUP($F1512,設計座標!$E$13:$E$2301,設計座標!$J$13:$J$2301,"n/a",0,1)</f>
        <v>127</v>
      </c>
      <c r="M1512" s="2">
        <f t="shared" si="1158"/>
        <v>-15173.544328158667</v>
      </c>
      <c r="N1512" s="2">
        <f t="shared" si="1159"/>
        <v>-143840.91656992998</v>
      </c>
      <c r="O1512" s="23">
        <f t="shared" si="1160"/>
        <v>126.99402295306935</v>
      </c>
      <c r="P1512" s="1">
        <f t="shared" si="1182"/>
        <v>129.43004996905853</v>
      </c>
      <c r="Q1512" s="1">
        <f>(Q$1515-Q$1511)/($N$1515-$N$1511)*($N1512-$N$1511)+Q$1511</f>
        <v>19.455671841332951</v>
      </c>
      <c r="R1512">
        <f t="shared" si="1146"/>
        <v>0</v>
      </c>
      <c r="S1512" s="23">
        <f t="shared" ref="S1512:S1514" si="1193">(S$1515-S$1511)/($N$1515-$N$1511)*($N1512-$N$1511)+S$1511</f>
        <v>-5.9770469306520309E-3</v>
      </c>
      <c r="T1512">
        <f>$S1512+測地線補正!$Q$26*(lattice!$N1512/1000)^3+測地線補正!$P$26*(lattice!$N1512/1000)^2+測地線補正!$O$26*(lattice!$N1512/1000)+測地線補正!$N$26</f>
        <v>2.4300499690585156</v>
      </c>
      <c r="U1512">
        <f t="shared" si="1191"/>
        <v>1.5175993552120404E-5</v>
      </c>
      <c r="V1512">
        <v>0</v>
      </c>
      <c r="W1512">
        <f t="shared" si="1192"/>
        <v>3.4741109971586783E-4</v>
      </c>
      <c r="X1512">
        <f>$Z$1512-($Y$1512+$Y$1507)/2</f>
        <v>1210.0605786269568</v>
      </c>
      <c r="Y1512">
        <f>_xlfn.XLOOKUP($F1512,設計座標!$E$13:$E$2301,設計座標!$L$13:$L$2301," ",0,1)</f>
        <v>1220</v>
      </c>
      <c r="Z1512">
        <f>SQRT(($M$1512-$M$1507)^2+($N$1512-$N$1507)^2)</f>
        <v>1820.0605786269568</v>
      </c>
      <c r="AA1512" t="str">
        <f>_xlfn.XLOOKUP($G1512,magnet_list!$A$2:$A$592,magnet_list!$AJ$2:$AJ$592,"n/a",0,1)</f>
        <v>n/a</v>
      </c>
      <c r="AB1512" t="str">
        <f>_xlfn.XLOOKUP($G1512,magnet_list!$A$2:$A$592,magnet_list!$L$2:$L$592,"n/a",0,1)</f>
        <v>n/a</v>
      </c>
      <c r="AD1512" s="2" t="s">
        <v>3850</v>
      </c>
    </row>
    <row r="1513" spans="1:30">
      <c r="A1513" t="s">
        <v>797</v>
      </c>
      <c r="B1513" t="s">
        <v>3814</v>
      </c>
      <c r="C1513" t="s">
        <v>805</v>
      </c>
      <c r="D1513" t="s">
        <v>1152</v>
      </c>
      <c r="E1513" t="s">
        <v>804</v>
      </c>
      <c r="F1513" t="s">
        <v>1395</v>
      </c>
      <c r="G1513" t="s">
        <v>2699</v>
      </c>
      <c r="I1513">
        <f>_xlfn.XLOOKUP($F1513,設計座標!$E$13:$E$2301,設計座標!$G$13:$G$2301,"n/a",0,1)</f>
        <v>408.32287746136905</v>
      </c>
      <c r="J1513">
        <f>_xlfn.XLOOKUP($F1513,設計座標!$E$13:$E$2301,設計座標!$H$13:$H$2301,"n/a",0,1)</f>
        <v>-15193</v>
      </c>
      <c r="K1513">
        <f>_xlfn.XLOOKUP($F1513,設計座標!$E$13:$E$2301,設計座標!$I$13:$I$2301,"n/a",0,1)</f>
        <v>-143840.91656992998</v>
      </c>
      <c r="L1513">
        <f>_xlfn.XLOOKUP($F1513,設計座標!$E$13:$E$2301,設計座標!$J$13:$J$2301,"n/a",0,1)</f>
        <v>127</v>
      </c>
      <c r="M1513" s="2">
        <f t="shared" si="1158"/>
        <v>-15173.544328158667</v>
      </c>
      <c r="N1513" s="2">
        <f t="shared" si="1159"/>
        <v>-143840.91656992998</v>
      </c>
      <c r="O1513" s="23">
        <f t="shared" si="1160"/>
        <v>126.99402295306935</v>
      </c>
      <c r="P1513" s="1">
        <f t="shared" si="1182"/>
        <v>129.43004996905853</v>
      </c>
      <c r="Q1513" s="1">
        <f t="shared" ref="Q1513:Q1514" si="1194">(Q$1515-Q$1511)/($N$1515-$N$1511)*($N1513-$N$1511)+Q$1511</f>
        <v>19.455671841332951</v>
      </c>
      <c r="R1513">
        <f t="shared" si="1146"/>
        <v>0</v>
      </c>
      <c r="S1513" s="23">
        <f t="shared" si="1193"/>
        <v>-5.9770469306520309E-3</v>
      </c>
      <c r="T1513">
        <f>$S1513+測地線補正!$Q$26*(lattice!$N1513/1000)^3+測地線補正!$P$26*(lattice!$N1513/1000)^2+測地線補正!$O$26*(lattice!$N1513/1000)+測地線補正!$N$26</f>
        <v>2.4300499690585156</v>
      </c>
      <c r="U1513">
        <f t="shared" si="1191"/>
        <v>1.5175993552120404E-5</v>
      </c>
      <c r="V1513">
        <v>0</v>
      </c>
      <c r="W1513">
        <f t="shared" si="1192"/>
        <v>3.4741109971586783E-4</v>
      </c>
      <c r="X1513">
        <f t="shared" ref="X1513:X1517" si="1195">$Z$1512-($Y$1512+$Y$1507)/2</f>
        <v>1210.0605786269568</v>
      </c>
      <c r="Y1513">
        <f>_xlfn.XLOOKUP($F1513,設計座標!$E$13:$E$2301,設計座標!$L$13:$L$2301," ",0,1)</f>
        <v>1220</v>
      </c>
      <c r="Z1513">
        <f t="shared" ref="Z1513:Z1517" si="1196">SQRT(($M$1512-$M$1507)^2+($N$1512-$N$1507)^2)</f>
        <v>1820.0605786269568</v>
      </c>
      <c r="AA1513" t="str">
        <f>_xlfn.XLOOKUP($G1513,magnet_list!$A$2:$A$592,magnet_list!$AJ$2:$AJ$592,"n/a",0,1)</f>
        <v>n/a</v>
      </c>
      <c r="AB1513" t="str">
        <f>_xlfn.XLOOKUP($G1513,magnet_list!$A$2:$A$592,magnet_list!$L$2:$L$592,"n/a",0,1)</f>
        <v>n/a</v>
      </c>
      <c r="AD1513" s="2" t="s">
        <v>3850</v>
      </c>
    </row>
    <row r="1514" spans="1:30">
      <c r="A1514" t="s">
        <v>797</v>
      </c>
      <c r="B1514" t="s">
        <v>3814</v>
      </c>
      <c r="C1514" t="s">
        <v>805</v>
      </c>
      <c r="D1514" t="s">
        <v>806</v>
      </c>
      <c r="E1514" t="s">
        <v>804</v>
      </c>
      <c r="F1514" t="s">
        <v>762</v>
      </c>
      <c r="G1514" t="s">
        <v>2698</v>
      </c>
      <c r="I1514">
        <f>_xlfn.XLOOKUP($F1514,設計座標!$E$13:$E$2301,設計座標!$G$13:$G$2301,"n/a",0,1)</f>
        <v>408.32287746136905</v>
      </c>
      <c r="J1514">
        <f>_xlfn.XLOOKUP($F1514,設計座標!$E$13:$E$2301,設計座標!$H$13:$H$2301,"n/a",0,1)</f>
        <v>-15225</v>
      </c>
      <c r="K1514">
        <f>_xlfn.XLOOKUP($F1514,設計座標!$E$13:$E$2301,設計座標!$I$13:$I$2301,"n/a",0,1)</f>
        <v>-143842.19662301001</v>
      </c>
      <c r="L1514">
        <f>_xlfn.XLOOKUP($F1514,設計座標!$E$13:$E$2301,設計座標!$J$13:$J$2301,"n/a",0,1)</f>
        <v>127</v>
      </c>
      <c r="M1514" s="2">
        <f t="shared" si="1158"/>
        <v>-15205.53157965</v>
      </c>
      <c r="N1514" s="2">
        <f t="shared" si="1159"/>
        <v>-143842.19662301001</v>
      </c>
      <c r="O1514" s="23">
        <f t="shared" si="1160"/>
        <v>126.99681529</v>
      </c>
      <c r="P1514" s="1">
        <f t="shared" si="1182"/>
        <v>129.43285461675183</v>
      </c>
      <c r="Q1514" s="1">
        <f t="shared" si="1194"/>
        <v>19.468420350000088</v>
      </c>
      <c r="R1514">
        <f t="shared" si="1146"/>
        <v>0</v>
      </c>
      <c r="S1514" s="23">
        <f t="shared" si="1193"/>
        <v>-3.1847099999993134E-3</v>
      </c>
      <c r="T1514">
        <f>$S1514+測地線補正!$Q$26*(lattice!$N1514/1000)^3+測地線補正!$P$26*(lattice!$N1514/1000)^2+測地線補正!$O$26*(lattice!$N1514/1000)+測地線補正!$N$26</f>
        <v>2.4328546167518175</v>
      </c>
      <c r="U1514">
        <f t="shared" si="1191"/>
        <v>1.5175993552120404E-5</v>
      </c>
      <c r="V1514">
        <v>0</v>
      </c>
      <c r="W1514">
        <f t="shared" si="1192"/>
        <v>3.4741109971586783E-4</v>
      </c>
      <c r="X1514">
        <f t="shared" si="1195"/>
        <v>1210.0605786269568</v>
      </c>
      <c r="Y1514">
        <f>_xlfn.XLOOKUP($F1514,設計座標!$E$13:$E$2301,設計座標!$L$13:$L$2301," ",0,1)</f>
        <v>1220</v>
      </c>
      <c r="Z1514">
        <f t="shared" si="1196"/>
        <v>1820.0605786269568</v>
      </c>
      <c r="AA1514" t="str">
        <f>_xlfn.XLOOKUP($G1514,magnet_list!$A$2:$A$592,magnet_list!$AJ$2:$AJ$592,"n/a",0,1)</f>
        <v>n/a</v>
      </c>
      <c r="AB1514" t="str">
        <f>_xlfn.XLOOKUP($G1514,magnet_list!$A$2:$A$592,magnet_list!$L$2:$L$592,"n/a",0,1)</f>
        <v>n/a</v>
      </c>
      <c r="AD1514" s="2" t="s">
        <v>3850</v>
      </c>
    </row>
    <row r="1515" spans="1:30">
      <c r="A1515" t="s">
        <v>797</v>
      </c>
      <c r="B1515" t="s">
        <v>3814</v>
      </c>
      <c r="C1515" t="s">
        <v>805</v>
      </c>
      <c r="D1515" t="s">
        <v>806</v>
      </c>
      <c r="E1515" t="s">
        <v>804</v>
      </c>
      <c r="F1515" t="s">
        <v>400</v>
      </c>
      <c r="G1515" t="s">
        <v>2699</v>
      </c>
      <c r="I1515">
        <f>_xlfn.XLOOKUP($F1515,設計座標!$E$13:$E$2301,設計座標!$G$13:$G$2301,"n/a",0,1)</f>
        <v>408.32287746136905</v>
      </c>
      <c r="J1515">
        <f>_xlfn.XLOOKUP($F1515,設計座標!$E$13:$E$2301,設計座標!$H$13:$H$2301,"n/a",0,1)</f>
        <v>-15225</v>
      </c>
      <c r="K1515">
        <f>_xlfn.XLOOKUP($F1515,設計座標!$E$13:$E$2301,設計座標!$I$13:$I$2301,"n/a",0,1)</f>
        <v>-143842.19662301001</v>
      </c>
      <c r="L1515">
        <f>_xlfn.XLOOKUP($F1515,設計座標!$E$13:$E$2301,設計座標!$J$13:$J$2301,"n/a",0,1)</f>
        <v>127</v>
      </c>
      <c r="M1515" s="2">
        <f>_xlfn.XLOOKUP($F1515,survey_data!$A$2:$A$833,survey_data!$B$2:$B$833,"n/a",0,1)</f>
        <v>-15205.53157965</v>
      </c>
      <c r="N1515" s="2">
        <f>_xlfn.XLOOKUP($F1515,survey_data!$A$2:$A$833,survey_data!$C$2:$C$833,"n/a",0,1)</f>
        <v>-143842.19662301001</v>
      </c>
      <c r="O1515" s="23">
        <f>_xlfn.XLOOKUP($F1515,survey_data!$A$2:$A$833,survey_data!$D$2:$D$833,"n/a",0,1)</f>
        <v>126.99681529</v>
      </c>
      <c r="P1515" s="1">
        <f t="shared" si="1182"/>
        <v>129.43285461675183</v>
      </c>
      <c r="Q1515" s="1">
        <f t="shared" si="1153"/>
        <v>19.468420350000088</v>
      </c>
      <c r="R1515">
        <f t="shared" si="1146"/>
        <v>0</v>
      </c>
      <c r="S1515" s="23">
        <f t="shared" si="1154"/>
        <v>-3.1847099999993134E-3</v>
      </c>
      <c r="T1515">
        <f>$S1515+測地線補正!$Q$26*(lattice!$N1515/1000)^3+測地線補正!$P$26*(lattice!$N1515/1000)^2+測地線補正!$O$26*(lattice!$N1515/1000)+測地線補正!$N$26</f>
        <v>2.4328546167518175</v>
      </c>
      <c r="U1515">
        <f t="shared" si="1191"/>
        <v>1.5175993552120404E-5</v>
      </c>
      <c r="V1515">
        <v>0</v>
      </c>
      <c r="W1515">
        <f t="shared" si="1192"/>
        <v>3.4741109971586783E-4</v>
      </c>
      <c r="X1515">
        <f t="shared" si="1195"/>
        <v>1210.0605786269568</v>
      </c>
      <c r="Y1515">
        <f>_xlfn.XLOOKUP($F1515,設計座標!$E$13:$E$2301,設計座標!$L$13:$L$2301," ",0,1)</f>
        <v>1220</v>
      </c>
      <c r="Z1515">
        <f t="shared" si="1196"/>
        <v>1820.0605786269568</v>
      </c>
      <c r="AA1515" t="str">
        <f>_xlfn.XLOOKUP($G1515,magnet_list!$A$2:$A$592,magnet_list!$AJ$2:$AJ$592,"n/a",0,1)</f>
        <v>n/a</v>
      </c>
      <c r="AB1515" t="str">
        <f>_xlfn.XLOOKUP($G1515,magnet_list!$A$2:$A$592,magnet_list!$L$2:$L$592,"n/a",0,1)</f>
        <v>n/a</v>
      </c>
      <c r="AD1515" s="2" t="s">
        <v>3850</v>
      </c>
    </row>
    <row r="1516" spans="1:30">
      <c r="A1516" t="s">
        <v>797</v>
      </c>
      <c r="B1516" t="s">
        <v>3814</v>
      </c>
      <c r="C1516" t="s">
        <v>805</v>
      </c>
      <c r="D1516" t="s">
        <v>806</v>
      </c>
      <c r="E1516" t="s">
        <v>804</v>
      </c>
      <c r="F1516" t="s">
        <v>764</v>
      </c>
      <c r="G1516" t="s">
        <v>2698</v>
      </c>
      <c r="I1516">
        <f>_xlfn.XLOOKUP($F1516,設計座標!$E$13:$E$2301,設計座標!$G$13:$G$2301,"n/a",0,1)</f>
        <v>408.78056526136902</v>
      </c>
      <c r="J1516">
        <f>_xlfn.XLOOKUP($F1516,設計座標!$E$13:$E$2301,設計座標!$H$13:$H$2301,"n/a",0,1)</f>
        <v>-15175.5</v>
      </c>
      <c r="K1516">
        <f>_xlfn.XLOOKUP($F1516,設計座標!$E$13:$E$2301,設計座標!$I$13:$I$2301,"n/a",0,1)</f>
        <v>-144298.37080895001</v>
      </c>
      <c r="L1516">
        <f>_xlfn.XLOOKUP($F1516,設計座標!$E$13:$E$2301,設計座標!$J$13:$J$2301,"n/a",0,1)</f>
        <v>127</v>
      </c>
      <c r="M1516" s="2">
        <f t="shared" si="1158"/>
        <v>-15155.91216453</v>
      </c>
      <c r="N1516" s="2">
        <f t="shared" si="1159"/>
        <v>-144298.37080895001</v>
      </c>
      <c r="O1516" s="23">
        <f t="shared" si="1160"/>
        <v>126.98850585</v>
      </c>
      <c r="P1516" s="1">
        <f t="shared" si="1182"/>
        <v>129.42891149498092</v>
      </c>
      <c r="Q1516" s="1">
        <f>(Q$1517-Q$1515)/($N$1517-$N$1515)*($N1516-$N$1515)+Q$1515</f>
        <v>19.587835469999845</v>
      </c>
      <c r="R1516">
        <f t="shared" si="1146"/>
        <v>0</v>
      </c>
      <c r="S1516" s="23">
        <f>(S$1517-S$1515)/($N$1517-$N$1515)*($N1516-$N$1515)+S$1515</f>
        <v>-1.1494150000004311E-2</v>
      </c>
      <c r="T1516">
        <f>$S1516+測地線補正!$Q$26*(lattice!$N1516/1000)^3+測地線補正!$P$26*(lattice!$N1516/1000)^2+測地線補正!$O$26*(lattice!$N1516/1000)+測地線補正!$N$26</f>
        <v>2.4289114949809294</v>
      </c>
      <c r="U1516">
        <f t="shared" si="1191"/>
        <v>1.5175993552120404E-5</v>
      </c>
      <c r="V1516">
        <v>0</v>
      </c>
      <c r="W1516">
        <f t="shared" si="1192"/>
        <v>3.4741109971586783E-4</v>
      </c>
      <c r="X1516">
        <f t="shared" si="1195"/>
        <v>1210.0605786269568</v>
      </c>
      <c r="Y1516">
        <f>_xlfn.XLOOKUP($F1516,設計座標!$E$13:$E$2301,設計座標!$L$13:$L$2301," ",0,1)</f>
        <v>1220</v>
      </c>
      <c r="Z1516">
        <f t="shared" si="1196"/>
        <v>1820.0605786269568</v>
      </c>
      <c r="AA1516" t="str">
        <f>_xlfn.XLOOKUP($G1516,magnet_list!$A$2:$A$592,magnet_list!$AJ$2:$AJ$592,"n/a",0,1)</f>
        <v>n/a</v>
      </c>
      <c r="AB1516" t="str">
        <f>_xlfn.XLOOKUP($G1516,magnet_list!$A$2:$A$592,magnet_list!$L$2:$L$592,"n/a",0,1)</f>
        <v>n/a</v>
      </c>
      <c r="AD1516" s="2" t="s">
        <v>3850</v>
      </c>
    </row>
    <row r="1517" spans="1:30">
      <c r="A1517" t="s">
        <v>797</v>
      </c>
      <c r="B1517" t="s">
        <v>3814</v>
      </c>
      <c r="C1517" t="s">
        <v>805</v>
      </c>
      <c r="D1517" t="s">
        <v>806</v>
      </c>
      <c r="E1517" t="s">
        <v>804</v>
      </c>
      <c r="F1517" t="s">
        <v>401</v>
      </c>
      <c r="G1517" t="s">
        <v>2699</v>
      </c>
      <c r="I1517">
        <f>_xlfn.XLOOKUP($F1517,設計座標!$E$13:$E$2301,設計座標!$G$13:$G$2301,"n/a",0,1)</f>
        <v>408.78056526136902</v>
      </c>
      <c r="J1517">
        <f>_xlfn.XLOOKUP($F1517,設計座標!$E$13:$E$2301,設計座標!$H$13:$H$2301,"n/a",0,1)</f>
        <v>-15175.5</v>
      </c>
      <c r="K1517">
        <f>_xlfn.XLOOKUP($F1517,設計座標!$E$13:$E$2301,設計座標!$I$13:$I$2301,"n/a",0,1)</f>
        <v>-144298.37080895001</v>
      </c>
      <c r="L1517">
        <f>_xlfn.XLOOKUP($F1517,設計座標!$E$13:$E$2301,設計座標!$J$13:$J$2301,"n/a",0,1)</f>
        <v>127</v>
      </c>
      <c r="M1517" s="2">
        <f>_xlfn.XLOOKUP($F1517,survey_data!$A$2:$A$833,survey_data!$B$2:$B$833,"n/a",0,1)</f>
        <v>-15155.91216453</v>
      </c>
      <c r="N1517" s="2">
        <f>_xlfn.XLOOKUP($F1517,survey_data!$A$2:$A$833,survey_data!$C$2:$C$833,"n/a",0,1)</f>
        <v>-144298.37080895001</v>
      </c>
      <c r="O1517" s="23">
        <f>_xlfn.XLOOKUP($F1517,survey_data!$A$2:$A$833,survey_data!$D$2:$D$833,"n/a",0,1)</f>
        <v>126.98850585</v>
      </c>
      <c r="P1517" s="1">
        <f t="shared" si="1182"/>
        <v>129.42891149498092</v>
      </c>
      <c r="Q1517" s="1">
        <f t="shared" si="1153"/>
        <v>19.587835469999845</v>
      </c>
      <c r="R1517">
        <f t="shared" si="1146"/>
        <v>0</v>
      </c>
      <c r="S1517" s="23">
        <f t="shared" si="1154"/>
        <v>-1.1494150000004311E-2</v>
      </c>
      <c r="T1517">
        <f>$S1517+測地線補正!$Q$26*(lattice!$N1517/1000)^3+測地線補正!$P$26*(lattice!$N1517/1000)^2+測地線補正!$O$26*(lattice!$N1517/1000)+測地線補正!$N$26</f>
        <v>2.4289114949809294</v>
      </c>
      <c r="U1517">
        <f t="shared" si="1191"/>
        <v>1.5175993552120404E-5</v>
      </c>
      <c r="V1517">
        <v>0</v>
      </c>
      <c r="W1517">
        <f t="shared" si="1192"/>
        <v>3.4741109971586783E-4</v>
      </c>
      <c r="X1517">
        <f t="shared" si="1195"/>
        <v>1210.0605786269568</v>
      </c>
      <c r="Y1517">
        <f>_xlfn.XLOOKUP($F1517,設計座標!$E$13:$E$2301,設計座標!$L$13:$L$2301," ",0,1)</f>
        <v>1220</v>
      </c>
      <c r="Z1517">
        <f t="shared" si="1196"/>
        <v>1820.0605786269568</v>
      </c>
      <c r="AA1517" t="str">
        <f>_xlfn.XLOOKUP($G1517,magnet_list!$A$2:$A$592,magnet_list!$AJ$2:$AJ$592,"n/a",0,1)</f>
        <v>n/a</v>
      </c>
      <c r="AB1517" t="str">
        <f>_xlfn.XLOOKUP($G1517,magnet_list!$A$2:$A$592,magnet_list!$L$2:$L$592,"n/a",0,1)</f>
        <v>n/a</v>
      </c>
      <c r="AD1517" s="2" t="s">
        <v>3850</v>
      </c>
    </row>
    <row r="1518" spans="1:30">
      <c r="A1518" t="s">
        <v>797</v>
      </c>
      <c r="B1518" t="s">
        <v>3814</v>
      </c>
      <c r="C1518" t="s">
        <v>805</v>
      </c>
      <c r="D1518" t="s">
        <v>806</v>
      </c>
      <c r="E1518" t="s">
        <v>804</v>
      </c>
      <c r="F1518" t="s">
        <v>765</v>
      </c>
      <c r="G1518" t="s">
        <v>2700</v>
      </c>
      <c r="I1518">
        <f>_xlfn.XLOOKUP($F1518,設計座標!$E$13:$E$2301,設計座標!$G$13:$G$2301,"n/a",0,1)</f>
        <v>410.64229876136903</v>
      </c>
      <c r="J1518">
        <f>_xlfn.XLOOKUP($F1518,設計座標!$E$13:$E$2301,設計座標!$H$13:$H$2301,"n/a",0,1)</f>
        <v>-14942</v>
      </c>
      <c r="K1518">
        <f>_xlfn.XLOOKUP($F1518,設計座標!$E$13:$E$2301,設計座標!$I$13:$I$2301,"n/a",0,1)</f>
        <v>-146154.94133366999</v>
      </c>
      <c r="L1518">
        <f>_xlfn.XLOOKUP($F1518,設計座標!$E$13:$E$2301,設計座標!$J$13:$J$2301,"n/a",0,1)</f>
        <v>112</v>
      </c>
      <c r="M1518" s="2">
        <f t="shared" si="1158"/>
        <v>-14922.02879962</v>
      </c>
      <c r="N1518" s="2">
        <f t="shared" si="1159"/>
        <v>-146154.94133366999</v>
      </c>
      <c r="O1518" s="23">
        <f t="shared" si="1160"/>
        <v>112.02841976000001</v>
      </c>
      <c r="P1518" s="1">
        <f t="shared" si="1182"/>
        <v>114.48616739366872</v>
      </c>
      <c r="Q1518" s="1">
        <f>(Q$1519-Q$1517)/($N$1519-$N$1517)*($N1518-$N$1517)+Q$1517</f>
        <v>19.971200379999573</v>
      </c>
      <c r="R1518">
        <f t="shared" si="1146"/>
        <v>0</v>
      </c>
      <c r="S1518" s="23">
        <f>(S$1519-S$1517)/($N$1519-$N$1517)*($N1518-$N$1517)+S$1517</f>
        <v>2.8419760000005567E-2</v>
      </c>
      <c r="T1518">
        <f>$S1518+測地線補正!$Q$26*(lattice!$N1518/1000)^3+測地線補正!$P$26*(lattice!$N1518/1000)^2+測地線補正!$O$26*(lattice!$N1518/1000)+測地線補正!$N$26</f>
        <v>2.4861673936687163</v>
      </c>
      <c r="U1518">
        <f>-ATAN(($P$1522-$P$1518)/ABS($N$1522-$N$1518))</f>
        <v>2.4102032634902292E-5</v>
      </c>
      <c r="V1518">
        <v>0</v>
      </c>
      <c r="W1518">
        <f>ATAN(($Q$1522-$Q$1518)/ABS($N$1522-$N$1518))</f>
        <v>1.1793152462517626E-4</v>
      </c>
      <c r="X1518">
        <f t="shared" ref="X1518:X1519" si="1197">$Z$1520-($Y$1520+$Y$1512)/2</f>
        <v>1645.5321585259358</v>
      </c>
      <c r="Y1518">
        <f>_xlfn.XLOOKUP($F1518,設計座標!$E$13:$E$2301,設計座標!$L$13:$L$2301," ",0,1)</f>
        <v>1000</v>
      </c>
      <c r="Z1518">
        <f t="shared" ref="Z1518:Z1519" si="1198">SQRT(($M$1520-$M$1512)^2+($N$1520-$N$1512)^2)</f>
        <v>2755.5321585259358</v>
      </c>
      <c r="AA1518" t="str">
        <f>_xlfn.XLOOKUP($G1518,magnet_list!$A$2:$A$592,magnet_list!$AJ$2:$AJ$592,"n/a",0,1)</f>
        <v>n/a</v>
      </c>
      <c r="AB1518" t="str">
        <f>_xlfn.XLOOKUP($G1518,magnet_list!$A$2:$A$592,magnet_list!$L$2:$L$592,"n/a",0,1)</f>
        <v>n/a</v>
      </c>
      <c r="AD1518" s="2" t="s">
        <v>3850</v>
      </c>
    </row>
    <row r="1519" spans="1:30">
      <c r="A1519" t="s">
        <v>797</v>
      </c>
      <c r="B1519" t="s">
        <v>3814</v>
      </c>
      <c r="C1519" t="s">
        <v>805</v>
      </c>
      <c r="D1519" t="s">
        <v>806</v>
      </c>
      <c r="E1519" t="s">
        <v>804</v>
      </c>
      <c r="F1519" t="s">
        <v>402</v>
      </c>
      <c r="G1519" t="s">
        <v>2701</v>
      </c>
      <c r="I1519">
        <f>_xlfn.XLOOKUP($F1519,設計座標!$E$13:$E$2301,設計座標!$G$13:$G$2301,"n/a",0,1)</f>
        <v>410.64229876136903</v>
      </c>
      <c r="J1519">
        <f>_xlfn.XLOOKUP($F1519,設計座標!$E$13:$E$2301,設計座標!$H$13:$H$2301,"n/a",0,1)</f>
        <v>-14942</v>
      </c>
      <c r="K1519">
        <f>_xlfn.XLOOKUP($F1519,設計座標!$E$13:$E$2301,設計座標!$I$13:$I$2301,"n/a",0,1)</f>
        <v>-146154.94133366999</v>
      </c>
      <c r="L1519">
        <f>_xlfn.XLOOKUP($F1519,設計座標!$E$13:$E$2301,設計座標!$J$13:$J$2301,"n/a",0,1)</f>
        <v>112</v>
      </c>
      <c r="M1519" s="2">
        <f>_xlfn.XLOOKUP($F1519,survey_data!$A$2:$A$833,survey_data!$B$2:$B$833,"n/a",0,1)</f>
        <v>-14922.02879962</v>
      </c>
      <c r="N1519" s="2">
        <f>_xlfn.XLOOKUP($F1519,survey_data!$A$2:$A$833,survey_data!$C$2:$C$833,"n/a",0,1)</f>
        <v>-146154.94133366999</v>
      </c>
      <c r="O1519" s="23">
        <f>_xlfn.XLOOKUP($F1519,survey_data!$A$2:$A$833,survey_data!$D$2:$D$833,"n/a",0,1)</f>
        <v>112.02841976000001</v>
      </c>
      <c r="P1519" s="1">
        <f t="shared" si="1182"/>
        <v>114.48616739366872</v>
      </c>
      <c r="Q1519" s="1">
        <f t="shared" si="1153"/>
        <v>19.971200379999573</v>
      </c>
      <c r="R1519">
        <f t="shared" si="1146"/>
        <v>0</v>
      </c>
      <c r="S1519" s="23">
        <f t="shared" si="1154"/>
        <v>2.8419760000005567E-2</v>
      </c>
      <c r="T1519">
        <f>$S1519+測地線補正!$Q$26*(lattice!$N1519/1000)^3+測地線補正!$P$26*(lattice!$N1519/1000)^2+測地線補正!$O$26*(lattice!$N1519/1000)+測地線補正!$N$26</f>
        <v>2.4861673936687163</v>
      </c>
      <c r="U1519">
        <f t="shared" ref="U1519:U1523" si="1199">-ATAN(($P$1522-$P$1518)/ABS($N$1522-$N$1518))</f>
        <v>2.4102032634902292E-5</v>
      </c>
      <c r="V1519">
        <v>0</v>
      </c>
      <c r="W1519">
        <f t="shared" ref="W1519:W1523" si="1200">ATAN(($Q$1522-$Q$1518)/ABS($N$1522-$N$1518))</f>
        <v>1.1793152462517626E-4</v>
      </c>
      <c r="X1519">
        <f t="shared" si="1197"/>
        <v>1645.5321585259358</v>
      </c>
      <c r="Y1519">
        <f>_xlfn.XLOOKUP($F1519,設計座標!$E$13:$E$2301,設計座標!$L$13:$L$2301," ",0,1)</f>
        <v>1000</v>
      </c>
      <c r="Z1519">
        <f t="shared" si="1198"/>
        <v>2755.5321585259358</v>
      </c>
      <c r="AA1519" t="str">
        <f>_xlfn.XLOOKUP($G1519,magnet_list!$A$2:$A$592,magnet_list!$AJ$2:$AJ$592,"n/a",0,1)</f>
        <v>n/a</v>
      </c>
      <c r="AB1519" t="str">
        <f>_xlfn.XLOOKUP($G1519,magnet_list!$A$2:$A$592,magnet_list!$L$2:$L$592,"n/a",0,1)</f>
        <v>n/a</v>
      </c>
      <c r="AD1519" s="2" t="s">
        <v>3850</v>
      </c>
    </row>
    <row r="1520" spans="1:30">
      <c r="A1520" t="s">
        <v>797</v>
      </c>
      <c r="B1520" t="s">
        <v>3814</v>
      </c>
      <c r="C1520" t="s">
        <v>805</v>
      </c>
      <c r="D1520" t="s">
        <v>1152</v>
      </c>
      <c r="E1520" t="s">
        <v>804</v>
      </c>
      <c r="F1520" t="s">
        <v>1396</v>
      </c>
      <c r="G1520" t="s">
        <v>2700</v>
      </c>
      <c r="I1520">
        <f>_xlfn.XLOOKUP($F1520,設計座標!$E$13:$E$2301,設計座標!$G$13:$G$2301,"n/a",0,1)</f>
        <v>411.07277536136905</v>
      </c>
      <c r="J1520">
        <f>_xlfn.XLOOKUP($F1520,設計座標!$E$13:$E$2301,設計座標!$H$13:$H$2301,"n/a",0,1)</f>
        <v>-14942</v>
      </c>
      <c r="K1520">
        <f>_xlfn.XLOOKUP($F1520,設計座標!$E$13:$E$2301,設計座標!$I$13:$I$2301,"n/a",0,1)</f>
        <v>-146584.94133366999</v>
      </c>
      <c r="L1520">
        <f>_xlfn.XLOOKUP($F1520,設計座標!$E$13:$E$2301,設計座標!$J$13:$J$2301,"n/a",0,1)</f>
        <v>112</v>
      </c>
      <c r="M1520" s="2">
        <f t="shared" si="1158"/>
        <v>-14921.978089064176</v>
      </c>
      <c r="N1520" s="2">
        <f t="shared" si="1159"/>
        <v>-146584.94133366999</v>
      </c>
      <c r="O1520" s="23">
        <f t="shared" si="1160"/>
        <v>112.01415534835712</v>
      </c>
      <c r="P1520" s="1">
        <f t="shared" si="1182"/>
        <v>114.4758218318603</v>
      </c>
      <c r="Q1520" s="1">
        <f>(Q$1523-Q$1519)/($N$1523-$N$1519)*($N1520-$N$1519)+Q$1519</f>
        <v>20.021910935823492</v>
      </c>
      <c r="R1520">
        <f t="shared" si="1146"/>
        <v>0</v>
      </c>
      <c r="S1520" s="23">
        <f t="shared" ref="S1520:S1522" si="1201">(S$1523-S$1519)/($N$1523-$N$1519)*($N1520-$N$1519)+S$1519</f>
        <v>1.4155348357125975E-2</v>
      </c>
      <c r="T1520">
        <f>$S1520+測地線補正!$Q$26*(lattice!$N1520/1000)^3+測地線補正!$P$26*(lattice!$N1520/1000)^2+測地線補正!$O$26*(lattice!$N1520/1000)+測地線補正!$N$26</f>
        <v>2.4758218318603076</v>
      </c>
      <c r="U1520">
        <f t="shared" si="1199"/>
        <v>2.4102032634902292E-5</v>
      </c>
      <c r="V1520">
        <v>0</v>
      </c>
      <c r="W1520">
        <f t="shared" si="1200"/>
        <v>1.1793152462517626E-4</v>
      </c>
      <c r="X1520">
        <f>$Z$1520-($Y$1520+$Y$1512)/2</f>
        <v>1645.5321585259358</v>
      </c>
      <c r="Y1520">
        <f>_xlfn.XLOOKUP($F1520,設計座標!$E$13:$E$2301,設計座標!$L$13:$L$2301," ",0,1)</f>
        <v>1000</v>
      </c>
      <c r="Z1520">
        <f>SQRT(($M$1520-$M$1512)^2+($N$1520-$N$1512)^2)</f>
        <v>2755.5321585259358</v>
      </c>
      <c r="AA1520" t="str">
        <f>_xlfn.XLOOKUP($G1520,magnet_list!$A$2:$A$592,magnet_list!$AJ$2:$AJ$592,"n/a",0,1)</f>
        <v>n/a</v>
      </c>
      <c r="AB1520" t="str">
        <f>_xlfn.XLOOKUP($G1520,magnet_list!$A$2:$A$592,magnet_list!$L$2:$L$592,"n/a",0,1)</f>
        <v>n/a</v>
      </c>
      <c r="AD1520" s="2" t="s">
        <v>3850</v>
      </c>
    </row>
    <row r="1521" spans="1:30">
      <c r="A1521" t="s">
        <v>797</v>
      </c>
      <c r="B1521" t="s">
        <v>3814</v>
      </c>
      <c r="C1521" t="s">
        <v>805</v>
      </c>
      <c r="D1521" t="s">
        <v>1152</v>
      </c>
      <c r="E1521" t="s">
        <v>804</v>
      </c>
      <c r="F1521" t="s">
        <v>1397</v>
      </c>
      <c r="G1521" t="s">
        <v>2701</v>
      </c>
      <c r="I1521">
        <f>_xlfn.XLOOKUP($F1521,設計座標!$E$13:$E$2301,設計座標!$G$13:$G$2301,"n/a",0,1)</f>
        <v>411.07277536136905</v>
      </c>
      <c r="J1521">
        <f>_xlfn.XLOOKUP($F1521,設計座標!$E$13:$E$2301,設計座標!$H$13:$H$2301,"n/a",0,1)</f>
        <v>-14942</v>
      </c>
      <c r="K1521">
        <f>_xlfn.XLOOKUP($F1521,設計座標!$E$13:$E$2301,設計座標!$I$13:$I$2301,"n/a",0,1)</f>
        <v>-146584.94133366999</v>
      </c>
      <c r="L1521">
        <f>_xlfn.XLOOKUP($F1521,設計座標!$E$13:$E$2301,設計座標!$J$13:$J$2301,"n/a",0,1)</f>
        <v>112</v>
      </c>
      <c r="M1521" s="2">
        <f t="shared" si="1158"/>
        <v>-14921.978089064176</v>
      </c>
      <c r="N1521" s="2">
        <f t="shared" si="1159"/>
        <v>-146584.94133366999</v>
      </c>
      <c r="O1521" s="23">
        <f t="shared" si="1160"/>
        <v>112.01415534835712</v>
      </c>
      <c r="P1521" s="1">
        <f t="shared" si="1182"/>
        <v>114.4758218318603</v>
      </c>
      <c r="Q1521" s="1">
        <f t="shared" ref="Q1521:Q1522" si="1202">(Q$1523-Q$1519)/($N$1523-$N$1519)*($N1521-$N$1519)+Q$1519</f>
        <v>20.021910935823492</v>
      </c>
      <c r="R1521">
        <f t="shared" si="1146"/>
        <v>0</v>
      </c>
      <c r="S1521" s="23">
        <f t="shared" si="1201"/>
        <v>1.4155348357125975E-2</v>
      </c>
      <c r="T1521">
        <f>$S1521+測地線補正!$Q$26*(lattice!$N1521/1000)^3+測地線補正!$P$26*(lattice!$N1521/1000)^2+測地線補正!$O$26*(lattice!$N1521/1000)+測地線補正!$N$26</f>
        <v>2.4758218318603076</v>
      </c>
      <c r="U1521">
        <f t="shared" si="1199"/>
        <v>2.4102032634902292E-5</v>
      </c>
      <c r="V1521">
        <v>0</v>
      </c>
      <c r="W1521">
        <f t="shared" si="1200"/>
        <v>1.1793152462517626E-4</v>
      </c>
      <c r="X1521">
        <f t="shared" ref="X1521:X1523" si="1203">$Z$1520-($Y$1520+$Y$1512)/2</f>
        <v>1645.5321585259358</v>
      </c>
      <c r="Y1521">
        <f>_xlfn.XLOOKUP($F1521,設計座標!$E$13:$E$2301,設計座標!$L$13:$L$2301," ",0,1)</f>
        <v>1000</v>
      </c>
      <c r="Z1521">
        <f t="shared" ref="Z1521:Z1523" si="1204">SQRT(($M$1520-$M$1512)^2+($N$1520-$N$1512)^2)</f>
        <v>2755.5321585259358</v>
      </c>
      <c r="AA1521" t="str">
        <f>_xlfn.XLOOKUP($G1521,magnet_list!$A$2:$A$592,magnet_list!$AJ$2:$AJ$592,"n/a",0,1)</f>
        <v>n/a</v>
      </c>
      <c r="AB1521" t="str">
        <f>_xlfn.XLOOKUP($G1521,magnet_list!$A$2:$A$592,magnet_list!$L$2:$L$592,"n/a",0,1)</f>
        <v>n/a</v>
      </c>
      <c r="AD1521" s="2" t="s">
        <v>3850</v>
      </c>
    </row>
    <row r="1522" spans="1:30">
      <c r="A1522" t="s">
        <v>797</v>
      </c>
      <c r="B1522" t="s">
        <v>3814</v>
      </c>
      <c r="C1522" t="s">
        <v>805</v>
      </c>
      <c r="D1522" t="s">
        <v>806</v>
      </c>
      <c r="E1522" t="s">
        <v>804</v>
      </c>
      <c r="F1522" t="s">
        <v>766</v>
      </c>
      <c r="G1522" t="s">
        <v>2700</v>
      </c>
      <c r="I1522">
        <f>_xlfn.XLOOKUP($F1522,設計座標!$E$13:$E$2301,設計座標!$G$13:$G$2301,"n/a",0,1)</f>
        <v>411.50357236136904</v>
      </c>
      <c r="J1522">
        <f>_xlfn.XLOOKUP($F1522,設計座標!$E$13:$E$2301,設計座標!$H$13:$H$2301,"n/a",0,1)</f>
        <v>-14942</v>
      </c>
      <c r="K1522">
        <f>_xlfn.XLOOKUP($F1522,設計座標!$E$13:$E$2301,設計座標!$I$13:$I$2301,"n/a",0,1)</f>
        <v>-147015.00423757001</v>
      </c>
      <c r="L1522">
        <f>_xlfn.XLOOKUP($F1522,設計座標!$E$13:$E$2301,設計座標!$J$13:$J$2301,"n/a",0,1)</f>
        <v>112</v>
      </c>
      <c r="M1522" s="2">
        <f t="shared" si="1158"/>
        <v>-14921.92737109</v>
      </c>
      <c r="N1522" s="2">
        <f t="shared" si="1159"/>
        <v>-147015.00423757001</v>
      </c>
      <c r="O1522" s="23">
        <f t="shared" si="1160"/>
        <v>111.99988885</v>
      </c>
      <c r="P1522" s="1">
        <f t="shared" si="1182"/>
        <v>114.46543812948684</v>
      </c>
      <c r="Q1522" s="1">
        <f t="shared" si="1202"/>
        <v>20.072628910000276</v>
      </c>
      <c r="R1522">
        <f t="shared" ref="R1522:R1585" si="1205">$N1522-$K1522</f>
        <v>0</v>
      </c>
      <c r="S1522" s="23">
        <f t="shared" si="1201"/>
        <v>-1.1114999999506381E-4</v>
      </c>
      <c r="T1522">
        <f>$S1522+測地線補正!$Q$26*(lattice!$N1522/1000)^3+測地線補正!$P$26*(lattice!$N1522/1000)^2+測地線補正!$O$26*(lattice!$N1522/1000)+測地線補正!$N$26</f>
        <v>2.4654381294868477</v>
      </c>
      <c r="U1522">
        <f t="shared" si="1199"/>
        <v>2.4102032634902292E-5</v>
      </c>
      <c r="V1522">
        <v>0</v>
      </c>
      <c r="W1522">
        <f t="shared" si="1200"/>
        <v>1.1793152462517626E-4</v>
      </c>
      <c r="X1522">
        <f t="shared" si="1203"/>
        <v>1645.5321585259358</v>
      </c>
      <c r="Y1522">
        <f>_xlfn.XLOOKUP($F1522,設計座標!$E$13:$E$2301,設計座標!$L$13:$L$2301," ",0,1)</f>
        <v>1000</v>
      </c>
      <c r="Z1522">
        <f t="shared" si="1204"/>
        <v>2755.5321585259358</v>
      </c>
      <c r="AA1522" t="str">
        <f>_xlfn.XLOOKUP($G1522,magnet_list!$A$2:$A$592,magnet_list!$AJ$2:$AJ$592,"n/a",0,1)</f>
        <v>n/a</v>
      </c>
      <c r="AB1522" t="str">
        <f>_xlfn.XLOOKUP($G1522,magnet_list!$A$2:$A$592,magnet_list!$L$2:$L$592,"n/a",0,1)</f>
        <v>n/a</v>
      </c>
      <c r="AD1522" s="2" t="s">
        <v>3850</v>
      </c>
    </row>
    <row r="1523" spans="1:30">
      <c r="A1523" t="s">
        <v>797</v>
      </c>
      <c r="B1523" t="s">
        <v>3814</v>
      </c>
      <c r="C1523" t="s">
        <v>805</v>
      </c>
      <c r="D1523" t="s">
        <v>806</v>
      </c>
      <c r="E1523" t="s">
        <v>804</v>
      </c>
      <c r="F1523" t="s">
        <v>403</v>
      </c>
      <c r="G1523" t="s">
        <v>2701</v>
      </c>
      <c r="I1523">
        <f>_xlfn.XLOOKUP($F1523,設計座標!$E$13:$E$2301,設計座標!$G$13:$G$2301,"n/a",0,1)</f>
        <v>411.50357236136904</v>
      </c>
      <c r="J1523">
        <f>_xlfn.XLOOKUP($F1523,設計座標!$E$13:$E$2301,設計座標!$H$13:$H$2301,"n/a",0,1)</f>
        <v>-14942</v>
      </c>
      <c r="K1523">
        <f>_xlfn.XLOOKUP($F1523,設計座標!$E$13:$E$2301,設計座標!$I$13:$I$2301,"n/a",0,1)</f>
        <v>-147015.00423757001</v>
      </c>
      <c r="L1523">
        <f>_xlfn.XLOOKUP($F1523,設計座標!$E$13:$E$2301,設計座標!$J$13:$J$2301,"n/a",0,1)</f>
        <v>112</v>
      </c>
      <c r="M1523" s="2">
        <f>_xlfn.XLOOKUP($F1523,survey_data!$A$2:$A$833,survey_data!$B$2:$B$833,"n/a",0,1)</f>
        <v>-14921.92737109</v>
      </c>
      <c r="N1523" s="2">
        <f>_xlfn.XLOOKUP($F1523,survey_data!$A$2:$A$833,survey_data!$C$2:$C$833,"n/a",0,1)</f>
        <v>-147015.00423757001</v>
      </c>
      <c r="O1523" s="23">
        <f>_xlfn.XLOOKUP($F1523,survey_data!$A$2:$A$833,survey_data!$D$2:$D$833,"n/a",0,1)</f>
        <v>111.99988885</v>
      </c>
      <c r="P1523" s="1">
        <f t="shared" si="1182"/>
        <v>114.46543812948684</v>
      </c>
      <c r="Q1523" s="1">
        <f t="shared" ref="Q1523:Q1561" si="1206">$M1523-$J1523</f>
        <v>20.072628910000276</v>
      </c>
      <c r="R1523">
        <f t="shared" si="1205"/>
        <v>0</v>
      </c>
      <c r="S1523" s="23">
        <f t="shared" ref="S1523:S1561" si="1207">$O1523-$L1523</f>
        <v>-1.1114999999506381E-4</v>
      </c>
      <c r="T1523">
        <f>$S1523+測地線補正!$Q$26*(lattice!$N1523/1000)^3+測地線補正!$P$26*(lattice!$N1523/1000)^2+測地線補正!$O$26*(lattice!$N1523/1000)+測地線補正!$N$26</f>
        <v>2.4654381294868477</v>
      </c>
      <c r="U1523">
        <f t="shared" si="1199"/>
        <v>2.4102032634902292E-5</v>
      </c>
      <c r="V1523">
        <v>0</v>
      </c>
      <c r="W1523">
        <f t="shared" si="1200"/>
        <v>1.1793152462517626E-4</v>
      </c>
      <c r="X1523">
        <f t="shared" si="1203"/>
        <v>1645.5321585259358</v>
      </c>
      <c r="Y1523">
        <f>_xlfn.XLOOKUP($F1523,設計座標!$E$13:$E$2301,設計座標!$L$13:$L$2301," ",0,1)</f>
        <v>1000</v>
      </c>
      <c r="Z1523">
        <f t="shared" si="1204"/>
        <v>2755.5321585259358</v>
      </c>
      <c r="AA1523" t="str">
        <f>_xlfn.XLOOKUP($G1523,magnet_list!$A$2:$A$592,magnet_list!$AJ$2:$AJ$592,"n/a",0,1)</f>
        <v>n/a</v>
      </c>
      <c r="AB1523" t="str">
        <f>_xlfn.XLOOKUP($G1523,magnet_list!$A$2:$A$592,magnet_list!$L$2:$L$592,"n/a",0,1)</f>
        <v>n/a</v>
      </c>
      <c r="AD1523" s="2" t="s">
        <v>3850</v>
      </c>
    </row>
    <row r="1524" spans="1:30">
      <c r="A1524" t="s">
        <v>797</v>
      </c>
      <c r="B1524" t="s">
        <v>3814</v>
      </c>
      <c r="C1524" t="s">
        <v>2288</v>
      </c>
      <c r="D1524" t="s">
        <v>1152</v>
      </c>
      <c r="E1524" t="s">
        <v>804</v>
      </c>
      <c r="F1524" t="s">
        <v>2343</v>
      </c>
      <c r="G1524" t="s">
        <v>2343</v>
      </c>
      <c r="I1524">
        <f>_xlfn.XLOOKUP($F1524,設計座標!$E$13:$E$2301,設計座標!$G$13:$G$2301,"n/a",0,1)</f>
        <v>411.93607236136904</v>
      </c>
      <c r="J1524">
        <f>_xlfn.XLOOKUP($F1524,設計座標!$E$13:$E$2301,設計座標!$H$13:$H$2301,"n/a",0,1)</f>
        <v>-15000</v>
      </c>
      <c r="K1524">
        <f>_xlfn.XLOOKUP($F1524,設計座標!$E$13:$E$2301,設計座標!$I$13:$I$2301,"n/a",0,1)</f>
        <v>-147459.73149546</v>
      </c>
      <c r="L1524">
        <f>_xlfn.XLOOKUP($F1524,設計座標!$E$13:$E$2301,設計座標!$J$13:$J$2301,"n/a",0,1)</f>
        <v>-270</v>
      </c>
      <c r="M1524" s="2">
        <f t="shared" si="1158"/>
        <v>-14979.820086352511</v>
      </c>
      <c r="N1524" s="2">
        <f t="shared" si="1159"/>
        <v>-147459.73149546</v>
      </c>
      <c r="O1524" s="23">
        <f t="shared" si="1160"/>
        <v>-270.97065755481464</v>
      </c>
      <c r="P1524" s="1">
        <f t="shared" si="1182"/>
        <v>-268.50113153888822</v>
      </c>
      <c r="Q1524" s="1">
        <f>(Q$1528-Q$1523)/($N$1528-$N$1523)*($N1524-$N$1523)+Q$1523</f>
        <v>20.179913647489098</v>
      </c>
      <c r="R1524">
        <f t="shared" si="1205"/>
        <v>0</v>
      </c>
      <c r="S1524" s="23">
        <f t="shared" ref="S1524:S1527" si="1208">(S$1528-S$1523)/($N$1528-$N$1523)*($N1524-$N$1523)+S$1523</f>
        <v>-0.97065755481464544</v>
      </c>
      <c r="T1524">
        <f>$S1524+測地線補正!$Q$26*(lattice!$N1524/1000)^3+測地線補正!$P$26*(lattice!$N1524/1000)^2+測地線補正!$O$26*(lattice!$N1524/1000)+測地線補正!$N$26</f>
        <v>1.4988684611117808</v>
      </c>
      <c r="U1524">
        <v>0</v>
      </c>
      <c r="V1524">
        <v>0</v>
      </c>
      <c r="W1524">
        <v>0</v>
      </c>
      <c r="X1524">
        <f>$Z$1524-($Y$1524+$Y$1520)/2</f>
        <v>376.70036147756252</v>
      </c>
      <c r="Y1524">
        <f>_xlfn.XLOOKUP($F1524,設計座標!$E$13:$E$2301,設計座標!$L$13:$L$2301," ",0,1)</f>
        <v>0</v>
      </c>
      <c r="Z1524">
        <f>SQRT(($M$1524-$M$1520)^2+($N$1524-$N$1520)^2)</f>
        <v>876.70036147756252</v>
      </c>
    </row>
    <row r="1525" spans="1:30">
      <c r="A1525" t="s">
        <v>797</v>
      </c>
      <c r="B1525" t="s">
        <v>3814</v>
      </c>
      <c r="C1525" t="s">
        <v>1152</v>
      </c>
      <c r="D1525" t="s">
        <v>1152</v>
      </c>
      <c r="E1525" t="s">
        <v>804</v>
      </c>
      <c r="F1525" t="s">
        <v>2151</v>
      </c>
      <c r="G1525" t="s">
        <v>2151</v>
      </c>
      <c r="I1525">
        <f>_xlfn.XLOOKUP($F1525,設計座標!$E$13:$E$2301,設計座標!$G$13:$G$2301,"n/a",0,1)</f>
        <v>412.17107336136905</v>
      </c>
      <c r="J1525">
        <f>_xlfn.XLOOKUP($F1525,設計座標!$E$13:$E$2301,設計座標!$H$13:$H$2301,"n/a",0,1)</f>
        <v>-15000</v>
      </c>
      <c r="K1525">
        <f>_xlfn.XLOOKUP($F1525,設計座標!$E$13:$E$2301,設計座標!$I$13:$I$2301,"n/a",0,1)</f>
        <v>-147694.73249545999</v>
      </c>
      <c r="L1525">
        <f>_xlfn.XLOOKUP($F1525,設計座標!$E$13:$E$2301,設計座標!$J$13:$J$2301,"n/a",0,1)</f>
        <v>-270</v>
      </c>
      <c r="M1525" s="2">
        <f t="shared" si="1158"/>
        <v>-14979.763395380354</v>
      </c>
      <c r="N1525" s="2">
        <f t="shared" si="1159"/>
        <v>-147694.73249545999</v>
      </c>
      <c r="O1525" s="23">
        <f t="shared" si="1160"/>
        <v>-271.48350980668687</v>
      </c>
      <c r="P1525" s="1">
        <f t="shared" si="1182"/>
        <v>-269.01189818504298</v>
      </c>
      <c r="Q1525" s="1">
        <f t="shared" ref="Q1525:Q1527" si="1209">(Q$1528-Q$1523)/($N$1528-$N$1523)*($N1525-$N$1523)+Q$1523</f>
        <v>20.236604619646343</v>
      </c>
      <c r="R1525">
        <f t="shared" si="1205"/>
        <v>0</v>
      </c>
      <c r="S1525" s="23">
        <f t="shared" si="1208"/>
        <v>-1.4835098066868657</v>
      </c>
      <c r="T1525">
        <f>$S1525+測地線補正!$Q$26*(lattice!$N1525/1000)^3+測地線補正!$P$26*(lattice!$N1525/1000)^2+測地線補正!$O$26*(lattice!$N1525/1000)+測地線補正!$N$26</f>
        <v>0.98810181495704774</v>
      </c>
      <c r="U1525">
        <v>0</v>
      </c>
      <c r="V1525">
        <v>0</v>
      </c>
      <c r="W1525">
        <v>0</v>
      </c>
      <c r="X1525">
        <f>$Z$1525-($Y$1525+$Y$1524)/2</f>
        <v>235.00100683797353</v>
      </c>
      <c r="Y1525">
        <f>_xlfn.XLOOKUP($F1525,設計座標!$E$13:$E$2301,設計座標!$L$13:$L$2301," ",0,1)</f>
        <v>0</v>
      </c>
      <c r="Z1525">
        <f>SQRT(($M$1525-$M$1524)^2+($N$1525-$N$1524)^2)</f>
        <v>235.00100683797353</v>
      </c>
    </row>
    <row r="1526" spans="1:30">
      <c r="A1526" t="s">
        <v>797</v>
      </c>
      <c r="B1526" t="s">
        <v>3814</v>
      </c>
      <c r="C1526" t="s">
        <v>2288</v>
      </c>
      <c r="D1526" t="s">
        <v>1152</v>
      </c>
      <c r="E1526" t="s">
        <v>804</v>
      </c>
      <c r="F1526" t="s">
        <v>2152</v>
      </c>
      <c r="G1526" t="s">
        <v>2152</v>
      </c>
      <c r="I1526">
        <f>_xlfn.XLOOKUP($F1526,設計座標!$E$13:$E$2301,設計座標!$G$13:$G$2301,"n/a",0,1)</f>
        <v>412.31357336136904</v>
      </c>
      <c r="J1526">
        <f>_xlfn.XLOOKUP($F1526,設計座標!$E$13:$E$2301,設計座標!$H$13:$H$2301,"n/a",0,1)</f>
        <v>-15000</v>
      </c>
      <c r="K1526">
        <f>_xlfn.XLOOKUP($F1526,設計座標!$E$13:$E$2301,設計座標!$I$13:$I$2301,"n/a",0,1)</f>
        <v>-147837.23249545999</v>
      </c>
      <c r="L1526">
        <f>_xlfn.XLOOKUP($F1526,設計座標!$E$13:$E$2301,設計座標!$J$13:$J$2301,"n/a",0,1)</f>
        <v>-270</v>
      </c>
      <c r="M1526" s="2">
        <f t="shared" si="1158"/>
        <v>-14979.729019086073</v>
      </c>
      <c r="N1526" s="2">
        <f t="shared" si="1159"/>
        <v>-147837.23249545999</v>
      </c>
      <c r="O1526" s="23">
        <f t="shared" si="1160"/>
        <v>-271.79449335948789</v>
      </c>
      <c r="P1526" s="1">
        <f t="shared" si="1182"/>
        <v>-269.32162237068292</v>
      </c>
      <c r="Q1526" s="1">
        <f t="shared" si="1209"/>
        <v>20.27098091392768</v>
      </c>
      <c r="R1526">
        <f t="shared" si="1205"/>
        <v>0</v>
      </c>
      <c r="S1526" s="23">
        <f t="shared" si="1208"/>
        <v>-1.7944933594878953</v>
      </c>
      <c r="T1526">
        <f>$S1526+測地線補正!$Q$26*(lattice!$N1526/1000)^3+測地線補正!$P$26*(lattice!$N1526/1000)^2+測地線補正!$O$26*(lattice!$N1526/1000)+測地線補正!$N$26</f>
        <v>0.67837762931706069</v>
      </c>
      <c r="U1526">
        <v>0</v>
      </c>
      <c r="V1526">
        <v>0</v>
      </c>
      <c r="W1526">
        <v>0</v>
      </c>
      <c r="X1526">
        <f>$Z$1526-($Y$1526+$Y$1525)/2</f>
        <v>92.500004146419627</v>
      </c>
      <c r="Y1526">
        <f>_xlfn.XLOOKUP($F1526,設計座標!$E$13:$E$2301,設計座標!$L$13:$L$2301," ",0,1)</f>
        <v>100</v>
      </c>
      <c r="Z1526">
        <f>SQRT(($M$1526-$M$1525)^2+($N$1526-$N$1525)^2)</f>
        <v>142.50000414641963</v>
      </c>
    </row>
    <row r="1527" spans="1:30">
      <c r="A1527" t="s">
        <v>797</v>
      </c>
      <c r="B1527" t="s">
        <v>3814</v>
      </c>
      <c r="C1527" t="s">
        <v>1152</v>
      </c>
      <c r="D1527" t="s">
        <v>1152</v>
      </c>
      <c r="E1527" t="s">
        <v>804</v>
      </c>
      <c r="F1527" t="s">
        <v>2150</v>
      </c>
      <c r="G1527" t="s">
        <v>2150</v>
      </c>
      <c r="I1527">
        <f>_xlfn.XLOOKUP($F1527,設計座標!$E$13:$E$2301,設計座標!$G$13:$G$2301,"n/a",0,1)</f>
        <v>412.71224336136908</v>
      </c>
      <c r="J1527">
        <f>_xlfn.XLOOKUP($F1527,設計座標!$E$13:$E$2301,設計座標!$H$13:$H$2301,"n/a",0,1)</f>
        <v>-15000</v>
      </c>
      <c r="K1527">
        <f>_xlfn.XLOOKUP($F1527,設計座標!$E$13:$E$2301,設計座標!$I$13:$I$2301,"n/a",0,1)</f>
        <v>-148235.90249546</v>
      </c>
      <c r="L1527">
        <f>_xlfn.XLOOKUP($F1527,設計座標!$E$13:$E$2301,設計座標!$J$13:$J$2301,"n/a",0,1)</f>
        <v>-270</v>
      </c>
      <c r="M1527" s="2">
        <f t="shared" si="1158"/>
        <v>-14979.632845070346</v>
      </c>
      <c r="N1527" s="2">
        <f t="shared" si="1159"/>
        <v>-148235.90249546</v>
      </c>
      <c r="O1527" s="23">
        <f t="shared" si="1160"/>
        <v>-272.66452713489275</v>
      </c>
      <c r="P1527" s="1">
        <f t="shared" si="1182"/>
        <v>-270.18815408126159</v>
      </c>
      <c r="Q1527" s="1">
        <f t="shared" si="1209"/>
        <v>20.367154929654976</v>
      </c>
      <c r="R1527">
        <f t="shared" si="1205"/>
        <v>0</v>
      </c>
      <c r="S1527" s="23">
        <f t="shared" si="1208"/>
        <v>-2.6645271348927402</v>
      </c>
      <c r="T1527">
        <f>$S1527+測地線補正!$Q$26*(lattice!$N1527/1000)^3+測地線補正!$P$26*(lattice!$N1527/1000)^2+測地線補正!$O$26*(lattice!$N1527/1000)+測地線補正!$N$26</f>
        <v>-0.18815408126160382</v>
      </c>
      <c r="U1527">
        <v>0</v>
      </c>
      <c r="V1527">
        <v>0</v>
      </c>
      <c r="W1527">
        <v>0</v>
      </c>
      <c r="X1527">
        <f>$Z$1527-($Y$1527+$Y$1526)/2</f>
        <v>348.67001160038552</v>
      </c>
      <c r="Y1527">
        <f>_xlfn.XLOOKUP($F1527,設計座標!$E$13:$E$2301,設計座標!$L$13:$L$2301," ",0,1)</f>
        <v>0</v>
      </c>
      <c r="Z1527">
        <f>SQRT(($M$1527-$M$1526)^2+($N$1527-$N$1526)^2)</f>
        <v>398.67001160038552</v>
      </c>
    </row>
    <row r="1528" spans="1:30">
      <c r="A1528" t="s">
        <v>797</v>
      </c>
      <c r="B1528" t="s">
        <v>3814</v>
      </c>
      <c r="C1528" t="s">
        <v>805</v>
      </c>
      <c r="D1528" t="s">
        <v>806</v>
      </c>
      <c r="F1528" t="s">
        <v>404</v>
      </c>
      <c r="G1528" t="s">
        <v>2702</v>
      </c>
      <c r="I1528">
        <f>_xlfn.XLOOKUP($F1528,設計座標!$E$13:$E$2301,設計座標!$G$13:$G$2301,"n/a",0,1)</f>
        <v>412.80771099999993</v>
      </c>
      <c r="J1528">
        <f>_xlfn.XLOOKUP($F1528,設計座標!$E$13:$E$2301,設計座標!$H$13:$H$2301,"n/a",0,1)</f>
        <v>-15000</v>
      </c>
      <c r="K1528">
        <f>_xlfn.XLOOKUP($F1528,設計座標!$E$13:$E$2301,設計座標!$I$13:$I$2301,"n/a",0,1)</f>
        <v>-148443.47881507999</v>
      </c>
      <c r="L1528">
        <f>_xlfn.XLOOKUP($F1528,設計座標!$E$13:$E$2301,設計座標!$J$13:$J$2301,"n/a",0,1)</f>
        <v>-50</v>
      </c>
      <c r="M1528" s="2">
        <f>_xlfn.XLOOKUP($F1528,survey_data!$A$2:$A$833,survey_data!$B$2:$B$833,"n/a",0,1)</f>
        <v>-14979.582769950001</v>
      </c>
      <c r="N1528" s="2">
        <f>_xlfn.XLOOKUP($F1528,survey_data!$A$2:$A$833,survey_data!$C$2:$C$833,"n/a",0,1)</f>
        <v>-148443.47881507999</v>
      </c>
      <c r="O1528" s="23">
        <f>_xlfn.XLOOKUP($F1528,survey_data!$A$2:$A$833,survey_data!$D$2:$D$833,"n/a",0,1)</f>
        <v>-53.117529390000001</v>
      </c>
      <c r="P1528" s="1">
        <f t="shared" si="1182"/>
        <v>-50.639345289274011</v>
      </c>
      <c r="Q1528" s="1">
        <f t="shared" si="1206"/>
        <v>20.417230049999489</v>
      </c>
      <c r="R1528">
        <f t="shared" si="1205"/>
        <v>0</v>
      </c>
      <c r="S1528" s="23">
        <f t="shared" si="1207"/>
        <v>-3.1175293900000014</v>
      </c>
      <c r="T1528">
        <f>$S1528+測地線補正!$Q$26*(lattice!$N1528/1000)^3+測地線補正!$P$26*(lattice!$N1528/1000)^2+測地線補正!$O$26*(lattice!$N1528/1000)+測地線補正!$N$26</f>
        <v>-0.63934528927401257</v>
      </c>
      <c r="U1528">
        <f>-ATAN(($P$1530-$P$1528)/ABS($N$1530-$N$1528))</f>
        <v>3.8146748821383966E-4</v>
      </c>
      <c r="V1528">
        <v>0</v>
      </c>
      <c r="W1528">
        <f>ATAN(($M$1530-$M$1528)/ABS($N$1530-$N$1528))</f>
        <v>3.5091613356711463E-5</v>
      </c>
      <c r="X1528">
        <f>$Z$1529-($Y$1529+$Y$1527)/2</f>
        <v>182.57582453552874</v>
      </c>
      <c r="Y1528">
        <f>_xlfn.XLOOKUP($F1528,設計座標!$E$13:$E$2301,設計座標!$L$13:$L$2301," ",0,1)</f>
        <v>200</v>
      </c>
      <c r="Z1528">
        <f>SQRT(($M$1529-$M$1527)^2+($N$1529-$N$1527)^2)</f>
        <v>282.57582453552874</v>
      </c>
      <c r="AA1528">
        <f>_xlfn.XLOOKUP($G1528,magnet_list!$A$2:$A$592,magnet_list!$AJ$2:$AJ$592,"n/a",0,1)</f>
        <v>0.21244935000000001</v>
      </c>
      <c r="AB1528">
        <f>_xlfn.XLOOKUP($G1528,magnet_list!$A$2:$A$592,magnet_list!$L$2:$L$592,"n/a",0,1)</f>
        <v>20</v>
      </c>
    </row>
    <row r="1529" spans="1:30">
      <c r="A1529" t="s">
        <v>797</v>
      </c>
      <c r="B1529" t="s">
        <v>3814</v>
      </c>
      <c r="C1529" t="s">
        <v>805</v>
      </c>
      <c r="D1529" t="s">
        <v>1152</v>
      </c>
      <c r="E1529" t="s">
        <v>804</v>
      </c>
      <c r="F1529" t="s">
        <v>767</v>
      </c>
      <c r="G1529" t="s">
        <v>2702</v>
      </c>
      <c r="I1529">
        <f>_xlfn.XLOOKUP($F1529,設計座標!$E$13:$E$2301,設計座標!$G$13:$G$2301,"n/a",0,1)</f>
        <v>412.88271049999992</v>
      </c>
      <c r="J1529">
        <f>_xlfn.XLOOKUP($F1529,設計座標!$E$13:$E$2301,設計座標!$H$13:$H$2301,"n/a",0,1)</f>
        <v>-15000</v>
      </c>
      <c r="K1529">
        <f>_xlfn.XLOOKUP($F1529,設計座標!$E$13:$E$2301,設計座標!$I$13:$I$2301,"n/a",0,1)</f>
        <v>-148518.47831507999</v>
      </c>
      <c r="L1529">
        <f>_xlfn.XLOOKUP($F1529,設計座標!$E$13:$E$2301,設計座標!$J$13:$J$2301,"n/a",0,1)</f>
        <v>-50</v>
      </c>
      <c r="M1529" s="2">
        <f t="shared" si="1158"/>
        <v>-14979.580138096544</v>
      </c>
      <c r="N1529" s="2">
        <f t="shared" si="1159"/>
        <v>-148518.47831507999</v>
      </c>
      <c r="O1529" s="23">
        <f t="shared" si="1160"/>
        <v>-53.146790977178625</v>
      </c>
      <c r="P1529" s="1">
        <f t="shared" si="1182"/>
        <v>-50.667954609124884</v>
      </c>
      <c r="Q1529" s="1">
        <f>(Q$1530-Q$1528)/($N$1530-$N$1528)*($N1529-$N$1528)+Q$1528</f>
        <v>20.419861903456518</v>
      </c>
      <c r="R1529">
        <f t="shared" si="1205"/>
        <v>0</v>
      </c>
      <c r="S1529" s="23">
        <f>(S$1530-S$1528)/($N$1530-$N$1528)*($N1529-$N$1528)+S$1528</f>
        <v>-3.1467909771786227</v>
      </c>
      <c r="T1529">
        <f>$S1529+測地線補正!$Q$26*(lattice!$N1529/1000)^3+測地線補正!$P$26*(lattice!$N1529/1000)^2+測地線補正!$O$26*(lattice!$N1529/1000)+測地線補正!$N$26</f>
        <v>-0.66795460912488136</v>
      </c>
      <c r="U1529">
        <f t="shared" ref="U1529:U1530" si="1210">-ATAN(($P$1530-$P$1528)/ABS($N$1530-$N$1528))</f>
        <v>3.8146748821383966E-4</v>
      </c>
      <c r="V1529">
        <v>0</v>
      </c>
      <c r="W1529">
        <f t="shared" ref="W1529:W1530" si="1211">ATAN(($M$1530-$M$1528)/ABS($N$1530-$N$1528))</f>
        <v>3.5091613356711463E-5</v>
      </c>
      <c r="X1529">
        <f>$Z$1529-($Y$1529+$Y$1527)/2</f>
        <v>182.57582453552874</v>
      </c>
      <c r="Y1529">
        <f>_xlfn.XLOOKUP($F1529,設計座標!$E$13:$E$2301,設計座標!$L$13:$L$2301," ",0,1)</f>
        <v>200</v>
      </c>
      <c r="Z1529">
        <f>SQRT(($M$1529-$M$1527)^2+($N$1529-$N$1527)^2)</f>
        <v>282.57582453552874</v>
      </c>
      <c r="AA1529">
        <f>_xlfn.XLOOKUP($G1529,magnet_list!$A$2:$A$592,magnet_list!$AJ$2:$AJ$592,"n/a",0,1)</f>
        <v>0.21244935000000001</v>
      </c>
      <c r="AB1529">
        <f>_xlfn.XLOOKUP($G1529,magnet_list!$A$2:$A$592,magnet_list!$L$2:$L$592,"n/a",0,1)</f>
        <v>20</v>
      </c>
    </row>
    <row r="1530" spans="1:30">
      <c r="A1530" t="s">
        <v>797</v>
      </c>
      <c r="B1530" t="s">
        <v>3814</v>
      </c>
      <c r="C1530" t="s">
        <v>805</v>
      </c>
      <c r="D1530" t="s">
        <v>806</v>
      </c>
      <c r="F1530" t="s">
        <v>405</v>
      </c>
      <c r="G1530" t="s">
        <v>2702</v>
      </c>
      <c r="I1530">
        <f>_xlfn.XLOOKUP($F1530,設計座標!$E$13:$E$2301,設計座標!$G$13:$G$2301,"n/a",0,1)</f>
        <v>412.95770999999996</v>
      </c>
      <c r="J1530">
        <f>_xlfn.XLOOKUP($F1530,設計座標!$E$13:$E$2301,設計座標!$H$13:$H$2301,"n/a",0,1)</f>
        <v>-15000</v>
      </c>
      <c r="K1530">
        <f>_xlfn.XLOOKUP($F1530,設計座標!$E$13:$E$2301,設計座標!$I$13:$I$2301,"n/a",0,1)</f>
        <v>-148593.45653043</v>
      </c>
      <c r="L1530">
        <f>_xlfn.XLOOKUP($F1530,設計座標!$E$13:$E$2301,設計座標!$J$13:$J$2301,"n/a",0,1)</f>
        <v>-50</v>
      </c>
      <c r="M1530" s="2">
        <f>_xlfn.XLOOKUP($F1530,survey_data!$A$2:$A$833,survey_data!$B$2:$B$833,"n/a",0,1)</f>
        <v>-14979.577506989999</v>
      </c>
      <c r="N1530" s="2">
        <f>_xlfn.XLOOKUP($F1530,survey_data!$A$2:$A$833,survey_data!$C$2:$C$833,"n/a",0,1)</f>
        <v>-148593.45653043</v>
      </c>
      <c r="O1530" s="23">
        <f>_xlfn.XLOOKUP($F1530,survey_data!$A$2:$A$833,survey_data!$D$2:$D$833,"n/a",0,1)</f>
        <v>-53.176044259999998</v>
      </c>
      <c r="P1530" s="1">
        <f t="shared" si="1182"/>
        <v>-50.69655691441173</v>
      </c>
      <c r="Q1530" s="1">
        <f t="shared" si="1206"/>
        <v>20.422493010000835</v>
      </c>
      <c r="R1530">
        <f t="shared" si="1205"/>
        <v>0</v>
      </c>
      <c r="S1530" s="23">
        <f t="shared" si="1207"/>
        <v>-3.1760442599999976</v>
      </c>
      <c r="T1530">
        <f>$S1530+測地線補正!$Q$26*(lattice!$N1530/1000)^3+測地線補正!$P$26*(lattice!$N1530/1000)^2+測地線補正!$O$26*(lattice!$N1530/1000)+測地線補正!$N$26</f>
        <v>-0.69655691441172629</v>
      </c>
      <c r="U1530">
        <f t="shared" si="1210"/>
        <v>3.8146748821383966E-4</v>
      </c>
      <c r="V1530">
        <v>0</v>
      </c>
      <c r="W1530">
        <f t="shared" si="1211"/>
        <v>3.5091613356711463E-5</v>
      </c>
      <c r="X1530">
        <f>$Z$1529-($Y$1529+$Y$1527)/2</f>
        <v>182.57582453552874</v>
      </c>
      <c r="Y1530">
        <f>_xlfn.XLOOKUP($F1530,設計座標!$E$13:$E$2301,設計座標!$L$13:$L$2301," ",0,1)</f>
        <v>200</v>
      </c>
      <c r="Z1530">
        <f>SQRT(($M$1529-$M$1527)^2+($N$1529-$N$1527)^2)</f>
        <v>282.57582453552874</v>
      </c>
      <c r="AA1530">
        <f>_xlfn.XLOOKUP($G1530,magnet_list!$A$2:$A$592,magnet_list!$AJ$2:$AJ$592,"n/a",0,1)</f>
        <v>0.21244935000000001</v>
      </c>
      <c r="AB1530">
        <f>_xlfn.XLOOKUP($G1530,magnet_list!$A$2:$A$592,magnet_list!$L$2:$L$592,"n/a",0,1)</f>
        <v>20</v>
      </c>
    </row>
    <row r="1531" spans="1:30">
      <c r="A1531" t="s">
        <v>797</v>
      </c>
      <c r="B1531" t="s">
        <v>3814</v>
      </c>
      <c r="C1531" t="s">
        <v>805</v>
      </c>
      <c r="D1531" t="s">
        <v>806</v>
      </c>
      <c r="F1531" t="s">
        <v>406</v>
      </c>
      <c r="G1531" t="s">
        <v>406</v>
      </c>
      <c r="I1531">
        <f>_xlfn.XLOOKUP($F1531,設計座標!$E$13:$E$2301,設計座標!$G$13:$G$2301,"n/a",0,1)</f>
        <v>413.21270999999996</v>
      </c>
      <c r="J1531">
        <f>_xlfn.XLOOKUP($F1531,設計座標!$E$13:$E$2301,設計座標!$H$13:$H$2301,"n/a",0,1)</f>
        <v>-15000</v>
      </c>
      <c r="K1531">
        <f>_xlfn.XLOOKUP($F1531,設計座標!$E$13:$E$2301,設計座標!$I$13:$I$2301,"n/a",0,1)</f>
        <v>-148848.47195119</v>
      </c>
      <c r="L1531">
        <f>_xlfn.XLOOKUP($F1531,設計座標!$E$13:$E$2301,設計座標!$J$13:$J$2301,"n/a",0,1)</f>
        <v>-90</v>
      </c>
      <c r="M1531" s="2">
        <f>_xlfn.XLOOKUP($F1531,survey_data!$A$2:$A$833,survey_data!$B$2:$B$833,"n/a",0,1)</f>
        <v>-14979.57632756</v>
      </c>
      <c r="N1531" s="2">
        <f>_xlfn.XLOOKUP($F1531,survey_data!$A$2:$A$833,survey_data!$C$2:$C$833,"n/a",0,1)</f>
        <v>-148848.47195119</v>
      </c>
      <c r="O1531" s="23">
        <f>_xlfn.XLOOKUP($F1531,survey_data!$A$2:$A$833,survey_data!$D$2:$D$833,"n/a",0,1)</f>
        <v>-93.193557170000005</v>
      </c>
      <c r="P1531" s="1">
        <f t="shared" si="1182"/>
        <v>-90.711863986198011</v>
      </c>
      <c r="Q1531" s="1">
        <f t="shared" si="1206"/>
        <v>20.423672439999791</v>
      </c>
      <c r="R1531">
        <f t="shared" si="1205"/>
        <v>0</v>
      </c>
      <c r="S1531" s="23">
        <f t="shared" si="1207"/>
        <v>-3.1935571700000054</v>
      </c>
      <c r="T1531">
        <f>$S1531+測地線補正!$Q$26*(lattice!$N1531/1000)^3+測地線補正!$P$26*(lattice!$N1531/1000)^2+測地線補正!$O$26*(lattice!$N1531/1000)+測地線補正!$N$26</f>
        <v>-0.71186398619801694</v>
      </c>
      <c r="U1531">
        <v>0</v>
      </c>
      <c r="V1531">
        <v>0</v>
      </c>
      <c r="W1531">
        <v>0</v>
      </c>
      <c r="X1531">
        <f>$Z$1532-($Y$1532+$Y$1529)/2</f>
        <v>189.99363613201245</v>
      </c>
      <c r="Y1531">
        <f>_xlfn.XLOOKUP($F1531,設計座標!$E$13:$E$2301,設計座標!$L$13:$L$2301," ",0,1)</f>
        <v>80</v>
      </c>
      <c r="Z1531">
        <f>SQRT(($M$1532-$M$1529)^2+($N$1532-$N$1529)^2)</f>
        <v>329.99363613201245</v>
      </c>
      <c r="AA1531">
        <f>_xlfn.XLOOKUP($G1531,magnet_list!$A$2:$A$592,magnet_list!$AJ$2:$AJ$592,"n/a",0,1)</f>
        <v>0.1074008800631841</v>
      </c>
      <c r="AB1531">
        <f>_xlfn.XLOOKUP($G1531,magnet_list!$A$2:$A$592,magnet_list!$L$2:$L$592,"n/a",0,1)</f>
        <v>20</v>
      </c>
    </row>
    <row r="1532" spans="1:30">
      <c r="A1532" t="s">
        <v>797</v>
      </c>
      <c r="B1532" t="s">
        <v>3814</v>
      </c>
      <c r="C1532" t="s">
        <v>805</v>
      </c>
      <c r="D1532" t="s">
        <v>1152</v>
      </c>
      <c r="E1532" t="s">
        <v>804</v>
      </c>
      <c r="F1532" t="s">
        <v>1889</v>
      </c>
      <c r="G1532" t="s">
        <v>406</v>
      </c>
      <c r="I1532">
        <f>_xlfn.XLOOKUP($F1532,設計座標!$E$13:$E$2301,設計座標!$G$13:$G$2301,"n/a",0,1)</f>
        <v>413.21270999999996</v>
      </c>
      <c r="J1532">
        <f>_xlfn.XLOOKUP($F1532,設計座標!$E$13:$E$2301,設計座標!$H$13:$H$2301,"n/a",0,1)</f>
        <v>-15000</v>
      </c>
      <c r="K1532">
        <f>_xlfn.XLOOKUP($F1532,設計座標!$E$13:$E$2301,設計座標!$I$13:$I$2301,"n/a",0,1)</f>
        <v>-148848.47195119</v>
      </c>
      <c r="L1532">
        <f>_xlfn.XLOOKUP($F1532,設計座標!$E$13:$E$2301,設計座標!$J$13:$J$2301,"n/a",0,1)</f>
        <v>-90</v>
      </c>
      <c r="M1532" s="2">
        <f t="shared" ref="M1532:M1553" si="1212">$J1532+$Q1532</f>
        <v>-14979.57632756</v>
      </c>
      <c r="N1532" s="2">
        <f t="shared" ref="N1532:N1553" si="1213">$K1532</f>
        <v>-148848.47195119</v>
      </c>
      <c r="O1532" s="23">
        <f t="shared" ref="O1532:O1553" si="1214">$L1532+$S1532</f>
        <v>-93.193557170000005</v>
      </c>
      <c r="P1532" s="1">
        <f t="shared" si="1182"/>
        <v>-90.711863986198011</v>
      </c>
      <c r="Q1532" s="1">
        <f>(Q$1533-Q$1531)/($N$1533-$N$1531)*($N1532-$N$1531)+Q$1531</f>
        <v>20.423672439999791</v>
      </c>
      <c r="R1532">
        <f t="shared" si="1205"/>
        <v>0</v>
      </c>
      <c r="S1532" s="23">
        <f>(S$1533-S$1531)/($N$1533-$N$1531)*($N1532-$N$1531)+S$1531</f>
        <v>-3.1935571700000054</v>
      </c>
      <c r="T1532">
        <f>$S1532+測地線補正!$Q$26*(lattice!$N1532/1000)^3+測地線補正!$P$26*(lattice!$N1532/1000)^2+測地線補正!$O$26*(lattice!$N1532/1000)+測地線補正!$N$26</f>
        <v>-0.71186398619801694</v>
      </c>
      <c r="U1532">
        <v>0</v>
      </c>
      <c r="V1532">
        <v>0</v>
      </c>
      <c r="W1532">
        <v>0</v>
      </c>
      <c r="X1532">
        <f>$Z$1532-($Y$1532+$Y$1529)/2</f>
        <v>189.99363613201245</v>
      </c>
      <c r="Y1532">
        <f>_xlfn.XLOOKUP($F1532,設計座標!$E$13:$E$2301,設計座標!$L$13:$L$2301," ",0,1)</f>
        <v>80</v>
      </c>
      <c r="Z1532">
        <f>SQRT(($M$1532-$M$1529)^2+($N$1532-$N$1529)^2)</f>
        <v>329.99363613201245</v>
      </c>
      <c r="AA1532">
        <f>_xlfn.XLOOKUP($G1532,magnet_list!$A$2:$A$592,magnet_list!$AJ$2:$AJ$592,"n/a",0,1)</f>
        <v>0.1074008800631841</v>
      </c>
      <c r="AB1532">
        <f>_xlfn.XLOOKUP($G1532,magnet_list!$A$2:$A$592,magnet_list!$L$2:$L$592,"n/a",0,1)</f>
        <v>20</v>
      </c>
    </row>
    <row r="1533" spans="1:30">
      <c r="A1533" t="s">
        <v>797</v>
      </c>
      <c r="B1533" t="s">
        <v>3814</v>
      </c>
      <c r="C1533" t="s">
        <v>805</v>
      </c>
      <c r="D1533" t="s">
        <v>806</v>
      </c>
      <c r="F1533" t="s">
        <v>407</v>
      </c>
      <c r="G1533" t="s">
        <v>407</v>
      </c>
      <c r="I1533">
        <f>_xlfn.XLOOKUP($F1533,設計座標!$E$13:$E$2301,設計座標!$G$13:$G$2301,"n/a",0,1)</f>
        <v>413.41272399999997</v>
      </c>
      <c r="J1533">
        <f>_xlfn.XLOOKUP($F1533,設計座標!$E$13:$E$2301,設計座標!$H$13:$H$2301,"n/a",0,1)</f>
        <v>-15000</v>
      </c>
      <c r="K1533">
        <f>_xlfn.XLOOKUP($F1533,設計座標!$E$13:$E$2301,設計座標!$I$13:$I$2301,"n/a",0,1)</f>
        <v>-149048.47244042001</v>
      </c>
      <c r="L1533">
        <f>_xlfn.XLOOKUP($F1533,設計座標!$E$13:$E$2301,設計座標!$J$13:$J$2301,"n/a",0,1)</f>
        <v>-90</v>
      </c>
      <c r="M1533" s="2">
        <f>_xlfn.XLOOKUP($F1533,survey_data!$A$2:$A$833,survey_data!$B$2:$B$833,"n/a",0,1)</f>
        <v>-14979.59815625</v>
      </c>
      <c r="N1533" s="2">
        <f>_xlfn.XLOOKUP($F1533,survey_data!$A$2:$A$833,survey_data!$C$2:$C$833,"n/a",0,1)</f>
        <v>-149048.47244042001</v>
      </c>
      <c r="O1533" s="23">
        <f>_xlfn.XLOOKUP($F1533,survey_data!$A$2:$A$833,survey_data!$D$2:$D$833,"n/a",0,1)</f>
        <v>-93.216004679999998</v>
      </c>
      <c r="P1533" s="1">
        <f t="shared" si="1182"/>
        <v>-90.732590455756778</v>
      </c>
      <c r="Q1533" s="1">
        <f t="shared" si="1206"/>
        <v>20.401843749999898</v>
      </c>
      <c r="R1533">
        <f t="shared" si="1205"/>
        <v>0</v>
      </c>
      <c r="S1533" s="23">
        <f t="shared" si="1207"/>
        <v>-3.2160046799999975</v>
      </c>
      <c r="T1533">
        <f>$S1533+測地線補正!$Q$26*(lattice!$N1533/1000)^3+測地線補正!$P$26*(lattice!$N1533/1000)^2+測地線補正!$O$26*(lattice!$N1533/1000)+測地線補正!$N$26</f>
        <v>-0.73259045575678194</v>
      </c>
      <c r="U1533">
        <v>0</v>
      </c>
      <c r="V1533">
        <v>0</v>
      </c>
      <c r="W1533">
        <v>0</v>
      </c>
      <c r="X1533">
        <f>$Z$1534-($Y$1534+$Y$1532)/2</f>
        <v>120.00049042123212</v>
      </c>
      <c r="Y1533">
        <f>_xlfn.XLOOKUP($F1533,設計座標!$E$13:$E$2301,設計座標!$L$13:$L$2301," ",0,1)</f>
        <v>80</v>
      </c>
      <c r="Z1533">
        <f>SQRT(($M$1534-$M$1532)^2+($N$1534-$N$1532)^2)</f>
        <v>200.00049042123212</v>
      </c>
      <c r="AA1533">
        <f>_xlfn.XLOOKUP($G1533,magnet_list!$A$2:$A$592,magnet_list!$AJ$2:$AJ$592,"n/a",0,1)</f>
        <v>0.1074008800631841</v>
      </c>
      <c r="AB1533">
        <f>_xlfn.XLOOKUP($G1533,magnet_list!$A$2:$A$592,magnet_list!$L$2:$L$592,"n/a",0,1)</f>
        <v>20</v>
      </c>
    </row>
    <row r="1534" spans="1:30">
      <c r="A1534" t="s">
        <v>797</v>
      </c>
      <c r="B1534" t="s">
        <v>3814</v>
      </c>
      <c r="C1534" t="s">
        <v>805</v>
      </c>
      <c r="D1534" t="s">
        <v>1152</v>
      </c>
      <c r="E1534" t="s">
        <v>804</v>
      </c>
      <c r="F1534" t="s">
        <v>1890</v>
      </c>
      <c r="G1534" t="s">
        <v>407</v>
      </c>
      <c r="I1534">
        <f>_xlfn.XLOOKUP($F1534,設計座標!$E$13:$E$2301,設計座標!$G$13:$G$2301,"n/a",0,1)</f>
        <v>413.41272399999997</v>
      </c>
      <c r="J1534">
        <f>_xlfn.XLOOKUP($F1534,設計座標!$E$13:$E$2301,設計座標!$H$13:$H$2301,"n/a",0,1)</f>
        <v>-15000</v>
      </c>
      <c r="K1534">
        <f>_xlfn.XLOOKUP($F1534,設計座標!$E$13:$E$2301,設計座標!$I$13:$I$2301,"n/a",0,1)</f>
        <v>-149048.47244042001</v>
      </c>
      <c r="L1534">
        <f>_xlfn.XLOOKUP($F1534,設計座標!$E$13:$E$2301,設計座標!$J$13:$J$2301,"n/a",0,1)</f>
        <v>-90</v>
      </c>
      <c r="M1534" s="2">
        <f t="shared" si="1212"/>
        <v>-14979.59815625</v>
      </c>
      <c r="N1534" s="2">
        <f t="shared" si="1213"/>
        <v>-149048.47244042001</v>
      </c>
      <c r="O1534" s="23">
        <f t="shared" si="1214"/>
        <v>-93.216004679999998</v>
      </c>
      <c r="P1534" s="1">
        <f t="shared" si="1182"/>
        <v>-90.732590455756778</v>
      </c>
      <c r="Q1534" s="1">
        <f>(Q$1535-Q$1533)/($N$1535-$N$1533)*($N1534-$N$1533)+Q$1533</f>
        <v>20.401843749999898</v>
      </c>
      <c r="R1534">
        <f t="shared" si="1205"/>
        <v>0</v>
      </c>
      <c r="S1534" s="23">
        <f>(S$1535-S$1533)/($N$1535-$N$1533)*($N1534-$N$1533)+S$1533</f>
        <v>-3.2160046799999975</v>
      </c>
      <c r="T1534">
        <f>$S1534+測地線補正!$Q$26*(lattice!$N1534/1000)^3+測地線補正!$P$26*(lattice!$N1534/1000)^2+測地線補正!$O$26*(lattice!$N1534/1000)+測地線補正!$N$26</f>
        <v>-0.73259045575678194</v>
      </c>
      <c r="U1534">
        <v>0</v>
      </c>
      <c r="V1534">
        <v>0</v>
      </c>
      <c r="W1534">
        <v>0</v>
      </c>
      <c r="X1534">
        <f>$Z$1534-($Y$1534+$Y$1532)/2</f>
        <v>120.00049042123212</v>
      </c>
      <c r="Y1534">
        <f>_xlfn.XLOOKUP($F1534,設計座標!$E$13:$E$2301,設計座標!$L$13:$L$2301," ",0,1)</f>
        <v>80</v>
      </c>
      <c r="Z1534">
        <f>SQRT(($M$1534-$M$1532)^2+($N$1534-$N$1532)^2)</f>
        <v>200.00049042123212</v>
      </c>
      <c r="AA1534">
        <f>_xlfn.XLOOKUP($G1534,magnet_list!$A$2:$A$592,magnet_list!$AJ$2:$AJ$592,"n/a",0,1)</f>
        <v>0.1074008800631841</v>
      </c>
      <c r="AB1534">
        <f>_xlfn.XLOOKUP($G1534,magnet_list!$A$2:$A$592,magnet_list!$L$2:$L$592,"n/a",0,1)</f>
        <v>20</v>
      </c>
    </row>
    <row r="1535" spans="1:30">
      <c r="A1535" t="s">
        <v>797</v>
      </c>
      <c r="B1535" t="s">
        <v>3814</v>
      </c>
      <c r="C1535" t="s">
        <v>805</v>
      </c>
      <c r="D1535" t="s">
        <v>806</v>
      </c>
      <c r="F1535" t="s">
        <v>408</v>
      </c>
      <c r="G1535" t="s">
        <v>2703</v>
      </c>
      <c r="I1535">
        <f>_xlfn.XLOOKUP($F1535,設計座標!$E$13:$E$2301,設計座標!$G$13:$G$2301,"n/a",0,1)</f>
        <v>413.66774499999997</v>
      </c>
      <c r="J1535">
        <f>_xlfn.XLOOKUP($F1535,設計座標!$E$13:$E$2301,設計座標!$H$13:$H$2301,"n/a",0,1)</f>
        <v>-15000</v>
      </c>
      <c r="K1535">
        <f>_xlfn.XLOOKUP($F1535,設計座標!$E$13:$E$2301,設計座標!$I$13:$I$2301,"n/a",0,1)</f>
        <v>-149303.49221105999</v>
      </c>
      <c r="L1535">
        <f>_xlfn.XLOOKUP($F1535,設計座標!$E$13:$E$2301,設計座標!$J$13:$J$2301,"n/a",0,1)</f>
        <v>-50</v>
      </c>
      <c r="M1535" s="2">
        <f>_xlfn.XLOOKUP($F1535,survey_data!$A$2:$A$833,survey_data!$B$2:$B$833,"n/a",0,1)</f>
        <v>-14979.61302038</v>
      </c>
      <c r="N1535" s="2">
        <f>_xlfn.XLOOKUP($F1535,survey_data!$A$2:$A$833,survey_data!$C$2:$C$833,"n/a",0,1)</f>
        <v>-149303.49221105999</v>
      </c>
      <c r="O1535" s="23">
        <f>_xlfn.XLOOKUP($F1535,survey_data!$A$2:$A$833,survey_data!$D$2:$D$833,"n/a",0,1)</f>
        <v>-53.146975869999999</v>
      </c>
      <c r="P1535" s="1">
        <f t="shared" si="1182"/>
        <v>-50.661378527876359</v>
      </c>
      <c r="Q1535" s="1">
        <f t="shared" si="1206"/>
        <v>20.386979619999693</v>
      </c>
      <c r="R1535">
        <f t="shared" si="1205"/>
        <v>0</v>
      </c>
      <c r="S1535" s="23">
        <f t="shared" si="1207"/>
        <v>-3.1469758699999986</v>
      </c>
      <c r="T1535">
        <f>$S1535+測地線補正!$Q$26*(lattice!$N1535/1000)^3+測地線補正!$P$26*(lattice!$N1535/1000)^2+測地線補正!$O$26*(lattice!$N1535/1000)+測地線補正!$N$26</f>
        <v>-0.66137852787636064</v>
      </c>
      <c r="U1535">
        <f>-ATAN(($P$1537-$P$1535)/ABS($N$1537-$N$1535))</f>
        <v>-5.8750967248007483E-4</v>
      </c>
      <c r="V1535">
        <v>0</v>
      </c>
      <c r="W1535">
        <f>ATAN(($M$1537-$M$1535)/ABS($N$1537-$N$1535))</f>
        <v>1.8723215765643826E-4</v>
      </c>
      <c r="X1535">
        <f>$Z$1536-($Y$1536+$Y$1534)/2</f>
        <v>190.02477064100299</v>
      </c>
      <c r="Y1535">
        <f>_xlfn.XLOOKUP($F1535,設計座標!$E$13:$E$2301,設計座標!$L$13:$L$2301," ",0,1)</f>
        <v>200</v>
      </c>
      <c r="Z1535">
        <f>SQRT(($M$1536-$M$1534)^2+($N$1536-$N$1534)^2)</f>
        <v>330.02477064100299</v>
      </c>
      <c r="AA1535">
        <f>_xlfn.XLOOKUP($G1535,magnet_list!$A$2:$A$592,magnet_list!$AJ$2:$AJ$592,"n/a",0,1)</f>
        <v>0.21244935000000001</v>
      </c>
      <c r="AB1535">
        <f>_xlfn.XLOOKUP($G1535,magnet_list!$A$2:$A$592,magnet_list!$L$2:$L$592,"n/a",0,1)</f>
        <v>20</v>
      </c>
    </row>
    <row r="1536" spans="1:30">
      <c r="A1536" t="s">
        <v>797</v>
      </c>
      <c r="B1536" t="s">
        <v>3814</v>
      </c>
      <c r="C1536" t="s">
        <v>805</v>
      </c>
      <c r="D1536" t="s">
        <v>1152</v>
      </c>
      <c r="E1536" t="s">
        <v>804</v>
      </c>
      <c r="F1536" t="s">
        <v>768</v>
      </c>
      <c r="G1536" t="s">
        <v>2703</v>
      </c>
      <c r="I1536">
        <f>_xlfn.XLOOKUP($F1536,設計座標!$E$13:$E$2301,設計座標!$G$13:$G$2301,"n/a",0,1)</f>
        <v>413.74275</v>
      </c>
      <c r="J1536">
        <f>_xlfn.XLOOKUP($F1536,設計座標!$E$13:$E$2301,設計座標!$H$13:$H$2301,"n/a",0,1)</f>
        <v>-15000</v>
      </c>
      <c r="K1536">
        <f>_xlfn.XLOOKUP($F1536,設計座標!$E$13:$E$2301,設計座標!$I$13:$I$2301,"n/a",0,1)</f>
        <v>-149378.49721105999</v>
      </c>
      <c r="L1536">
        <f>_xlfn.XLOOKUP($F1536,設計座標!$E$13:$E$2301,設計座標!$J$13:$J$2301,"n/a",0,1)</f>
        <v>-50</v>
      </c>
      <c r="M1536" s="2">
        <f t="shared" si="1212"/>
        <v>-14979.598977031852</v>
      </c>
      <c r="N1536" s="2">
        <f t="shared" si="1213"/>
        <v>-149378.49721105999</v>
      </c>
      <c r="O1536" s="23">
        <f t="shared" si="1214"/>
        <v>-53.10354881335045</v>
      </c>
      <c r="P1536" s="1">
        <f t="shared" si="1182"/>
        <v>-50.617311809114902</v>
      </c>
      <c r="Q1536" s="1">
        <f>(Q$1537-Q$1535)/($N$1537-$N$1535)*($N1536-$N$1535)+Q$1535</f>
        <v>20.401022968148816</v>
      </c>
      <c r="R1536">
        <f t="shared" si="1205"/>
        <v>0</v>
      </c>
      <c r="S1536" s="23">
        <f>(S$1537-S$1535)/($N$1537-$N$1535)*($N1536-$N$1535)+S$1535</f>
        <v>-3.1035488133504483</v>
      </c>
      <c r="T1536">
        <f>$S1536+測地線補正!$Q$26*(lattice!$N1536/1000)^3+測地線補正!$P$26*(lattice!$N1536/1000)^2+測地線補正!$O$26*(lattice!$N1536/1000)+測地線補正!$N$26</f>
        <v>-0.61731180911490058</v>
      </c>
      <c r="U1536">
        <f t="shared" ref="U1536:U1537" si="1215">-ATAN(($P$1537-$P$1535)/ABS($N$1537-$N$1535))</f>
        <v>-5.8750967248007483E-4</v>
      </c>
      <c r="V1536">
        <v>0</v>
      </c>
      <c r="W1536">
        <f t="shared" ref="W1536:W1537" si="1216">ATAN(($M$1537-$M$1535)/ABS($N$1537-$N$1535))</f>
        <v>1.8723215765643826E-4</v>
      </c>
      <c r="X1536">
        <f>$Z$1536-($Y$1536+$Y$1534)/2</f>
        <v>190.02477064100299</v>
      </c>
      <c r="Y1536">
        <f>_xlfn.XLOOKUP($F1536,設計座標!$E$13:$E$2301,設計座標!$L$13:$L$2301," ",0,1)</f>
        <v>200</v>
      </c>
      <c r="Z1536">
        <f>SQRT(($M$1536-$M$1534)^2+($N$1536-$N$1534)^2)</f>
        <v>330.02477064100299</v>
      </c>
      <c r="AA1536">
        <f>_xlfn.XLOOKUP($G1536,magnet_list!$A$2:$A$592,magnet_list!$AJ$2:$AJ$592,"n/a",0,1)</f>
        <v>0.21244935000000001</v>
      </c>
      <c r="AB1536">
        <f>_xlfn.XLOOKUP($G1536,magnet_list!$A$2:$A$592,magnet_list!$L$2:$L$592,"n/a",0,1)</f>
        <v>20</v>
      </c>
    </row>
    <row r="1537" spans="1:28">
      <c r="A1537" t="s">
        <v>797</v>
      </c>
      <c r="B1537" t="s">
        <v>3814</v>
      </c>
      <c r="C1537" t="s">
        <v>805</v>
      </c>
      <c r="D1537" t="s">
        <v>806</v>
      </c>
      <c r="F1537" t="s">
        <v>409</v>
      </c>
      <c r="G1537" t="s">
        <v>2703</v>
      </c>
      <c r="I1537">
        <f>_xlfn.XLOOKUP($F1537,設計座標!$E$13:$E$2301,設計座標!$G$13:$G$2301,"n/a",0,1)</f>
        <v>413.81775499999998</v>
      </c>
      <c r="J1537">
        <f>_xlfn.XLOOKUP($F1537,設計座標!$E$13:$E$2301,設計座標!$H$13:$H$2301,"n/a",0,1)</f>
        <v>-15000</v>
      </c>
      <c r="K1537">
        <f>_xlfn.XLOOKUP($F1537,設計座標!$E$13:$E$2301,設計座標!$I$13:$I$2301,"n/a",0,1)</f>
        <v>-149453.50484790001</v>
      </c>
      <c r="L1537">
        <f>_xlfn.XLOOKUP($F1537,設計座標!$E$13:$E$2301,設計座標!$J$13:$J$2301,"n/a",0,1)</f>
        <v>-50</v>
      </c>
      <c r="M1537" s="2">
        <f>_xlfn.XLOOKUP($F1537,survey_data!$A$2:$A$833,survey_data!$B$2:$B$833,"n/a",0,1)</f>
        <v>-14979.584933190001</v>
      </c>
      <c r="N1537" s="2">
        <f>_xlfn.XLOOKUP($F1537,survey_data!$A$2:$A$833,survey_data!$C$2:$C$833,"n/a",0,1)</f>
        <v>-149453.50484790001</v>
      </c>
      <c r="O1537" s="23">
        <f>_xlfn.XLOOKUP($F1537,survey_data!$A$2:$A$833,survey_data!$D$2:$D$833,"n/a",0,1)</f>
        <v>-53.060120230000003</v>
      </c>
      <c r="P1537" s="1">
        <f t="shared" si="1182"/>
        <v>-50.573244642598283</v>
      </c>
      <c r="Q1537" s="1">
        <f t="shared" si="1206"/>
        <v>20.415066809999189</v>
      </c>
      <c r="R1537">
        <f t="shared" si="1205"/>
        <v>0</v>
      </c>
      <c r="S1537" s="23">
        <f t="shared" si="1207"/>
        <v>-3.0601202300000026</v>
      </c>
      <c r="T1537">
        <f>$S1537+測地線補正!$Q$26*(lattice!$N1537/1000)^3+測地線補正!$P$26*(lattice!$N1537/1000)^2+測地線補正!$O$26*(lattice!$N1537/1000)+測地線補正!$N$26</f>
        <v>-0.573244642598284</v>
      </c>
      <c r="U1537">
        <f t="shared" si="1215"/>
        <v>-5.8750967248007483E-4</v>
      </c>
      <c r="V1537">
        <v>0</v>
      </c>
      <c r="W1537">
        <f t="shared" si="1216"/>
        <v>1.8723215765643826E-4</v>
      </c>
      <c r="X1537">
        <f>$Z$1536-($Y$1536+$Y$1534)/2</f>
        <v>190.02477064100299</v>
      </c>
      <c r="Y1537">
        <f>_xlfn.XLOOKUP($F1537,設計座標!$E$13:$E$2301,設計座標!$L$13:$L$2301," ",0,1)</f>
        <v>200</v>
      </c>
      <c r="Z1537">
        <f>SQRT(($M$1536-$M$1534)^2+($N$1536-$N$1534)^2)</f>
        <v>330.02477064100299</v>
      </c>
      <c r="AA1537">
        <f>_xlfn.XLOOKUP($G1537,magnet_list!$A$2:$A$592,magnet_list!$AJ$2:$AJ$592,"n/a",0,1)</f>
        <v>0.21244935000000001</v>
      </c>
      <c r="AB1537">
        <f>_xlfn.XLOOKUP($G1537,magnet_list!$A$2:$A$592,magnet_list!$L$2:$L$592,"n/a",0,1)</f>
        <v>20</v>
      </c>
    </row>
    <row r="1538" spans="1:28">
      <c r="A1538" t="s">
        <v>797</v>
      </c>
      <c r="B1538">
        <v>3</v>
      </c>
      <c r="C1538" t="s">
        <v>804</v>
      </c>
      <c r="D1538" t="s">
        <v>1152</v>
      </c>
      <c r="E1538" t="s">
        <v>804</v>
      </c>
      <c r="F1538" t="s">
        <v>1654</v>
      </c>
      <c r="G1538" t="s">
        <v>2704</v>
      </c>
      <c r="I1538">
        <f>_xlfn.XLOOKUP($F1538,設計座標!$E$13:$E$2301,設計座標!$G$13:$G$2301,"n/a",0,1)</f>
        <v>414.25722156136908</v>
      </c>
      <c r="J1538">
        <f>_xlfn.XLOOKUP($F1538,設計座標!$E$13:$E$2301,設計座標!$H$13:$H$2301,"n/a",0,1)</f>
        <v>-15000</v>
      </c>
      <c r="K1538">
        <f>_xlfn.XLOOKUP($F1538,設計座標!$E$13:$E$2301,設計座標!$I$13:$I$2301,"n/a",0,1)</f>
        <v>-149780.88069546001</v>
      </c>
      <c r="L1538">
        <f>_xlfn.XLOOKUP($F1538,設計座標!$E$13:$E$2301,設計座標!$J$13:$J$2301,"n/a",0,1)</f>
        <v>-270</v>
      </c>
      <c r="M1538" s="2">
        <f t="shared" si="1212"/>
        <v>-14979.557013027252</v>
      </c>
      <c r="N1538" s="2">
        <f t="shared" si="1213"/>
        <v>-149780.88069546001</v>
      </c>
      <c r="O1538" s="23">
        <f t="shared" si="1214"/>
        <v>-273.0487008979876</v>
      </c>
      <c r="P1538" s="1">
        <f t="shared" si="1182"/>
        <v>-270.55905105782915</v>
      </c>
      <c r="Q1538" s="1">
        <f>(Q$1552-Q$1537)/($N$1552-$N$1537)*($N1538-$N$1537)+Q$1537</f>
        <v>20.44298697274774</v>
      </c>
      <c r="R1538">
        <f t="shared" si="1205"/>
        <v>0</v>
      </c>
      <c r="S1538" s="23">
        <f t="shared" ref="S1538:S1551" si="1217">(S$1552-S$1537)/($N$1552-$N$1537)*($N1538-$N$1537)+S$1537</f>
        <v>-3.0487008979875747</v>
      </c>
      <c r="T1538">
        <f>$S1538+測地線補正!$Q$26*(lattice!$N1538/1000)^3+測地線補正!$P$26*(lattice!$N1538/1000)^2+測地線補正!$O$26*(lattice!$N1538/1000)+測地線補正!$N$26</f>
        <v>-0.55905105782913389</v>
      </c>
      <c r="U1538">
        <f>-ATAN(($P$1540-$P$1538)/ABS($N$1540-$N$1538))</f>
        <v>-4.3139460476386027E-5</v>
      </c>
      <c r="V1538">
        <v>0</v>
      </c>
      <c r="W1538">
        <f>ATAN(($M$1540-$M$1538)/ABS($N$1540-$N$1538))</f>
        <v>8.5284735843506237E-5</v>
      </c>
      <c r="X1538">
        <f>SQRT(($M$1538-$M$1536)^2+($N$1538-$N$1536)^2)-$Y$1536/2</f>
        <v>302.38348658820632</v>
      </c>
      <c r="Y1538">
        <f>_xlfn.XLOOKUP($F1538,設計座標!$E$13:$E$2301,設計座標!$L$13:$L$2301," ",0,1)</f>
        <v>1889.4492</v>
      </c>
      <c r="Z1538">
        <f>SQRT(($M$1539-$M$1536)^2+($N$1539-$N$1536)^2)</f>
        <v>1347.1080899729577</v>
      </c>
    </row>
    <row r="1539" spans="1:28">
      <c r="A1539" t="s">
        <v>797</v>
      </c>
      <c r="B1539">
        <v>3</v>
      </c>
      <c r="C1539" t="s">
        <v>804</v>
      </c>
      <c r="D1539" t="s">
        <v>1152</v>
      </c>
      <c r="E1539" t="s">
        <v>804</v>
      </c>
      <c r="F1539" t="s">
        <v>1199</v>
      </c>
      <c r="G1539" t="s">
        <v>2704</v>
      </c>
      <c r="I1539">
        <f>_xlfn.XLOOKUP($F1539,設計座標!$E$13:$E$2301,設計座標!$G$13:$G$2301,"n/a",0,1)</f>
        <v>415.20194616136905</v>
      </c>
      <c r="J1539">
        <f>_xlfn.XLOOKUP($F1539,設計座標!$E$13:$E$2301,設計座標!$H$13:$H$2301,"n/a",0,1)</f>
        <v>-15000</v>
      </c>
      <c r="K1539">
        <f>_xlfn.XLOOKUP($F1539,設計座標!$E$13:$E$2301,設計座標!$I$13:$I$2301,"n/a",0,1)</f>
        <v>-150725.60529546</v>
      </c>
      <c r="L1539">
        <f>_xlfn.XLOOKUP($F1539,設計座標!$E$13:$E$2301,設計座標!$J$13:$J$2301,"n/a",0,1)</f>
        <v>-270</v>
      </c>
      <c r="M1539" s="2">
        <f t="shared" si="1212"/>
        <v>-14979.476442439101</v>
      </c>
      <c r="N1539" s="2">
        <f t="shared" si="1213"/>
        <v>-150725.60529546</v>
      </c>
      <c r="O1539" s="23">
        <f t="shared" si="1214"/>
        <v>-273.0157475694262</v>
      </c>
      <c r="P1539" s="1">
        <f t="shared" si="1182"/>
        <v>-270.51820927307148</v>
      </c>
      <c r="Q1539" s="1">
        <f t="shared" ref="Q1539:Q1551" si="1218">(Q$1552-Q$1537)/($N$1552-$N$1537)*($N1539-$N$1537)+Q$1537</f>
        <v>20.523557560899402</v>
      </c>
      <c r="R1539">
        <f t="shared" si="1205"/>
        <v>0</v>
      </c>
      <c r="S1539" s="23">
        <f t="shared" si="1217"/>
        <v>-3.0157475694261868</v>
      </c>
      <c r="T1539">
        <f>$S1539+測地線補正!$Q$26*(lattice!$N1539/1000)^3+測地線補正!$P$26*(lattice!$N1539/1000)^2+測地線補正!$O$26*(lattice!$N1539/1000)+測地線補正!$N$26</f>
        <v>-0.51820927307148446</v>
      </c>
      <c r="U1539">
        <f t="shared" ref="U1539:U1540" si="1219">-ATAN(($P$1540-$P$1538)/ABS($N$1540-$N$1538))</f>
        <v>-4.3139460476386027E-5</v>
      </c>
      <c r="V1539">
        <v>0</v>
      </c>
      <c r="W1539">
        <f t="shared" ref="W1539:W1540" si="1220">ATAN(($M$1540-$M$1538)/ABS($N$1540-$N$1538))</f>
        <v>8.5284735843506237E-5</v>
      </c>
      <c r="X1539" t="s">
        <v>3860</v>
      </c>
      <c r="Y1539">
        <f>_xlfn.XLOOKUP($F1539,設計座標!$E$13:$E$2301,設計座標!$L$13:$L$2301," ",0,1)</f>
        <v>1889.4492</v>
      </c>
      <c r="Z1539">
        <f>SQRT(($M$1539-$M$1536)^2+($N$1539-$N$1536)^2)</f>
        <v>1347.1080899729577</v>
      </c>
    </row>
    <row r="1540" spans="1:28">
      <c r="A1540" t="s">
        <v>797</v>
      </c>
      <c r="B1540">
        <v>3</v>
      </c>
      <c r="C1540" t="s">
        <v>804</v>
      </c>
      <c r="D1540" t="s">
        <v>1152</v>
      </c>
      <c r="E1540" t="s">
        <v>804</v>
      </c>
      <c r="F1540" t="s">
        <v>1655</v>
      </c>
      <c r="G1540" t="s">
        <v>2704</v>
      </c>
      <c r="I1540">
        <f>_xlfn.XLOOKUP($F1540,設計座標!$E$13:$E$2301,設計座標!$G$13:$G$2301,"n/a",0,1)</f>
        <v>416.14667076136902</v>
      </c>
      <c r="J1540">
        <f>_xlfn.XLOOKUP($F1540,設計座標!$E$13:$E$2301,設計座標!$H$13:$H$2301,"n/a",0,1)</f>
        <v>-15000</v>
      </c>
      <c r="K1540">
        <f>_xlfn.XLOOKUP($F1540,設計座標!$E$13:$E$2301,設計座標!$I$13:$I$2301,"n/a",0,1)</f>
        <v>-151670.32989545999</v>
      </c>
      <c r="L1540">
        <f>_xlfn.XLOOKUP($F1540,設計座標!$E$13:$E$2301,設計座標!$J$13:$J$2301,"n/a",0,1)</f>
        <v>-270</v>
      </c>
      <c r="M1540" s="2">
        <f t="shared" si="1212"/>
        <v>-14979.395871850949</v>
      </c>
      <c r="N1540" s="2">
        <f t="shared" si="1213"/>
        <v>-151670.32989545999</v>
      </c>
      <c r="O1540" s="23">
        <f t="shared" si="1214"/>
        <v>-272.98279424086479</v>
      </c>
      <c r="P1540" s="1">
        <f t="shared" si="1182"/>
        <v>-270.47754123869305</v>
      </c>
      <c r="Q1540" s="1">
        <f t="shared" si="1218"/>
        <v>20.604128149051064</v>
      </c>
      <c r="R1540">
        <f t="shared" si="1205"/>
        <v>0</v>
      </c>
      <c r="S1540" s="23">
        <f t="shared" si="1217"/>
        <v>-2.9827942408647985</v>
      </c>
      <c r="T1540">
        <f>$S1540+測地線補正!$Q$26*(lattice!$N1540/1000)^3+測地線補正!$P$26*(lattice!$N1540/1000)^2+測地線補正!$O$26*(lattice!$N1540/1000)+測地線補正!$N$26</f>
        <v>-0.47754123869305176</v>
      </c>
      <c r="U1540">
        <f t="shared" si="1219"/>
        <v>-4.3139460476386027E-5</v>
      </c>
      <c r="V1540">
        <v>0</v>
      </c>
      <c r="W1540">
        <f t="shared" si="1220"/>
        <v>8.5284735843506237E-5</v>
      </c>
      <c r="X1540" t="s">
        <v>3860</v>
      </c>
      <c r="Y1540">
        <f>_xlfn.XLOOKUP($F1540,設計座標!$E$13:$E$2301,設計座標!$L$13:$L$2301," ",0,1)</f>
        <v>1889.4492</v>
      </c>
      <c r="Z1540">
        <f>SQRT(($M$1539-$M$1536)^2+($N$1539-$N$1536)^2)</f>
        <v>1347.1080899729577</v>
      </c>
    </row>
    <row r="1541" spans="1:28">
      <c r="A1541" t="s">
        <v>797</v>
      </c>
      <c r="B1541">
        <v>3</v>
      </c>
      <c r="C1541" t="s">
        <v>804</v>
      </c>
      <c r="D1541" t="s">
        <v>1152</v>
      </c>
      <c r="E1541" t="s">
        <v>804</v>
      </c>
      <c r="F1541" t="s">
        <v>1656</v>
      </c>
      <c r="G1541" t="s">
        <v>2705</v>
      </c>
      <c r="I1541">
        <f>_xlfn.XLOOKUP($F1541,設計座標!$E$13:$E$2301,設計座標!$G$13:$G$2301,"n/a",0,1)</f>
        <v>416.3566125613691</v>
      </c>
      <c r="J1541">
        <f>_xlfn.XLOOKUP($F1541,設計座標!$E$13:$E$2301,設計座標!$H$13:$H$2301,"n/a",0,1)</f>
        <v>-15000</v>
      </c>
      <c r="K1541">
        <f>_xlfn.XLOOKUP($F1541,設計座標!$E$13:$E$2301,設計座標!$I$13:$I$2301,"n/a",0,1)</f>
        <v>-151880.27169546002</v>
      </c>
      <c r="L1541">
        <f>_xlfn.XLOOKUP($F1541,設計座標!$E$13:$E$2301,設計座標!$J$13:$J$2301,"n/a",0,1)</f>
        <v>-270</v>
      </c>
      <c r="M1541" s="2">
        <f t="shared" si="1212"/>
        <v>-14979.377967019949</v>
      </c>
      <c r="N1541" s="2">
        <f t="shared" si="1213"/>
        <v>-151880.27169546002</v>
      </c>
      <c r="O1541" s="23">
        <f t="shared" si="1214"/>
        <v>-272.97547117431805</v>
      </c>
      <c r="P1541" s="1">
        <f t="shared" si="1182"/>
        <v>-270.46852729565643</v>
      </c>
      <c r="Q1541" s="1">
        <f t="shared" si="1218"/>
        <v>20.62203298005009</v>
      </c>
      <c r="R1541">
        <f t="shared" si="1205"/>
        <v>0</v>
      </c>
      <c r="S1541" s="23">
        <f t="shared" si="1217"/>
        <v>-2.9754711743180291</v>
      </c>
      <c r="T1541">
        <f>$S1541+測地線補正!$Q$26*(lattice!$N1541/1000)^3+測地線補正!$P$26*(lattice!$N1541/1000)^2+測地線補正!$O$26*(lattice!$N1541/1000)+測地線補正!$N$26</f>
        <v>-0.46852729565640883</v>
      </c>
      <c r="U1541">
        <f>-ATAN(($P$1543-$P$1541)/ABS($N$1543-$N$1541))</f>
        <v>-4.2732550712618286E-5</v>
      </c>
      <c r="V1541">
        <v>0</v>
      </c>
      <c r="W1541">
        <f>ATAN(($M$1543-$M$1541)/ABS($N$1543-$N$1541))</f>
        <v>8.5284735843506237E-5</v>
      </c>
      <c r="X1541">
        <f>SQRT(($M$1541-$M$1540)^2+($N$1541-$N$1540)^2)</f>
        <v>209.94180076353399</v>
      </c>
      <c r="Y1541">
        <f>_xlfn.XLOOKUP($F1541,設計座標!$E$13:$E$2301,設計座標!$L$13:$L$2301," ",0,1)</f>
        <v>1889.4492</v>
      </c>
      <c r="Z1541">
        <f>SQRT(($M$1542-$M$1539)^2+($N$1542-$N$1539)^2)</f>
        <v>2099.3910076349489</v>
      </c>
    </row>
    <row r="1542" spans="1:28">
      <c r="A1542" t="s">
        <v>797</v>
      </c>
      <c r="B1542">
        <v>3</v>
      </c>
      <c r="C1542" t="s">
        <v>804</v>
      </c>
      <c r="D1542" t="s">
        <v>1152</v>
      </c>
      <c r="E1542" t="s">
        <v>804</v>
      </c>
      <c r="F1542" t="s">
        <v>1255</v>
      </c>
      <c r="G1542" t="s">
        <v>2705</v>
      </c>
      <c r="I1542">
        <f>_xlfn.XLOOKUP($F1542,設計座標!$E$13:$E$2301,設計座標!$G$13:$G$2301,"n/a",0,1)</f>
        <v>417.30133716136908</v>
      </c>
      <c r="J1542">
        <f>_xlfn.XLOOKUP($F1542,設計座標!$E$13:$E$2301,設計座標!$H$13:$H$2301,"n/a",0,1)</f>
        <v>-15000</v>
      </c>
      <c r="K1542">
        <f>_xlfn.XLOOKUP($F1542,設計座標!$E$13:$E$2301,設計座標!$I$13:$I$2301,"n/a",0,1)</f>
        <v>-152824.99629546001</v>
      </c>
      <c r="L1542">
        <f>_xlfn.XLOOKUP($F1542,設計座標!$E$13:$E$2301,設計座標!$J$13:$J$2301,"n/a",0,1)</f>
        <v>-270</v>
      </c>
      <c r="M1542" s="2">
        <f t="shared" si="1212"/>
        <v>-14979.297396431799</v>
      </c>
      <c r="N1542" s="2">
        <f t="shared" si="1213"/>
        <v>-152824.99629546001</v>
      </c>
      <c r="O1542" s="23">
        <f t="shared" si="1214"/>
        <v>-272.94251784575664</v>
      </c>
      <c r="P1542" s="1">
        <f t="shared" si="1182"/>
        <v>-270.42807069124063</v>
      </c>
      <c r="Q1542" s="1">
        <f t="shared" si="1218"/>
        <v>20.702603568201752</v>
      </c>
      <c r="R1542">
        <f t="shared" si="1205"/>
        <v>0</v>
      </c>
      <c r="S1542" s="23">
        <f t="shared" si="1217"/>
        <v>-2.9425178457566408</v>
      </c>
      <c r="T1542">
        <f>$S1542+測地線補正!$Q$26*(lattice!$N1542/1000)^3+測地線補正!$P$26*(lattice!$N1542/1000)^2+測地線補正!$O$26*(lattice!$N1542/1000)+測地線補正!$N$26</f>
        <v>-0.428070691240656</v>
      </c>
      <c r="U1542">
        <f t="shared" ref="U1542:U1543" si="1221">-ATAN(($P$1543-$P$1541)/ABS($N$1543-$N$1541))</f>
        <v>-4.2732550712618286E-5</v>
      </c>
      <c r="V1542">
        <v>0</v>
      </c>
      <c r="W1542">
        <f t="shared" ref="W1542:W1543" si="1222">ATAN(($M$1543-$M$1541)/ABS($N$1543-$N$1541))</f>
        <v>8.5284735843506237E-5</v>
      </c>
      <c r="X1542" t="s">
        <v>3860</v>
      </c>
      <c r="Y1542">
        <f>_xlfn.XLOOKUP($F1542,設計座標!$E$13:$E$2301,設計座標!$L$13:$L$2301," ",0,1)</f>
        <v>1889.4492</v>
      </c>
      <c r="Z1542">
        <f>SQRT(($M$1542-$M$1539)^2+($N$1542-$N$1539)^2)</f>
        <v>2099.3910076349489</v>
      </c>
    </row>
    <row r="1543" spans="1:28">
      <c r="A1543" t="s">
        <v>797</v>
      </c>
      <c r="B1543">
        <v>3</v>
      </c>
      <c r="C1543" t="s">
        <v>804</v>
      </c>
      <c r="D1543" t="s">
        <v>1152</v>
      </c>
      <c r="E1543" t="s">
        <v>804</v>
      </c>
      <c r="F1543" t="s">
        <v>1657</v>
      </c>
      <c r="G1543" t="s">
        <v>2705</v>
      </c>
      <c r="I1543">
        <f>_xlfn.XLOOKUP($F1543,設計座標!$E$13:$E$2301,設計座標!$G$13:$G$2301,"n/a",0,1)</f>
        <v>418.24606176136905</v>
      </c>
      <c r="J1543">
        <f>_xlfn.XLOOKUP($F1543,設計座標!$E$13:$E$2301,設計座標!$H$13:$H$2301,"n/a",0,1)</f>
        <v>-15000</v>
      </c>
      <c r="K1543">
        <f>_xlfn.XLOOKUP($F1543,設計座標!$E$13:$E$2301,設計座標!$I$13:$I$2301,"n/a",0,1)</f>
        <v>-153769.72089545999</v>
      </c>
      <c r="L1543">
        <f>_xlfn.XLOOKUP($F1543,設計座標!$E$13:$E$2301,設計座標!$J$13:$J$2301,"n/a",0,1)</f>
        <v>-270</v>
      </c>
      <c r="M1543" s="2">
        <f t="shared" si="1212"/>
        <v>-14979.216825843647</v>
      </c>
      <c r="N1543" s="2">
        <f t="shared" si="1213"/>
        <v>-153769.72089545999</v>
      </c>
      <c r="O1543" s="23">
        <f t="shared" si="1214"/>
        <v>-272.90956451719524</v>
      </c>
      <c r="P1543" s="1">
        <f t="shared" si="1182"/>
        <v>-270.38778631184937</v>
      </c>
      <c r="Q1543" s="1">
        <f t="shared" si="1218"/>
        <v>20.783174156353414</v>
      </c>
      <c r="R1543">
        <f t="shared" si="1205"/>
        <v>0</v>
      </c>
      <c r="S1543" s="23">
        <f t="shared" si="1217"/>
        <v>-2.9095645171952524</v>
      </c>
      <c r="T1543">
        <f>$S1543+測地線補正!$Q$26*(lattice!$N1543/1000)^3+測地線補正!$P$26*(lattice!$N1543/1000)^2+測地線補正!$O$26*(lattice!$N1543/1000)+測地線補正!$N$26</f>
        <v>-0.38778631184934764</v>
      </c>
      <c r="U1543">
        <f t="shared" si="1221"/>
        <v>-4.2732550712618286E-5</v>
      </c>
      <c r="V1543">
        <v>0</v>
      </c>
      <c r="W1543">
        <f t="shared" si="1222"/>
        <v>8.5284735843506237E-5</v>
      </c>
      <c r="X1543" t="s">
        <v>3860</v>
      </c>
      <c r="Y1543">
        <f>_xlfn.XLOOKUP($F1543,設計座標!$E$13:$E$2301,設計座標!$L$13:$L$2301," ",0,1)</f>
        <v>1889.4492</v>
      </c>
      <c r="Z1543">
        <f>SQRT(($M$1542-$M$1539)^2+($N$1542-$N$1539)^2)</f>
        <v>2099.3910076349489</v>
      </c>
    </row>
    <row r="1544" spans="1:28">
      <c r="A1544" t="s">
        <v>797</v>
      </c>
      <c r="B1544">
        <v>3</v>
      </c>
      <c r="C1544" t="s">
        <v>1152</v>
      </c>
      <c r="D1544" t="s">
        <v>1152</v>
      </c>
      <c r="E1544" t="s">
        <v>804</v>
      </c>
      <c r="F1544" t="s">
        <v>2153</v>
      </c>
      <c r="G1544" t="s">
        <v>2153</v>
      </c>
      <c r="I1544">
        <f>_xlfn.XLOOKUP($F1544,設計座標!$E$13:$E$2301,設計座標!$G$13:$G$2301,"n/a",0,1)</f>
        <v>418.54093436136907</v>
      </c>
      <c r="J1544">
        <f>_xlfn.XLOOKUP($F1544,設計座標!$E$13:$E$2301,設計座標!$H$13:$H$2301,"n/a",0,1)</f>
        <v>-15000</v>
      </c>
      <c r="K1544">
        <f>_xlfn.XLOOKUP($F1544,設計座標!$E$13:$E$2301,設計座標!$I$13:$I$2301,"n/a",0,1)</f>
        <v>-154064.59349545999</v>
      </c>
      <c r="L1544">
        <f>_xlfn.XLOOKUP($F1544,設計座標!$E$13:$E$2301,設計座標!$J$13:$J$2301,"n/a",0,1)</f>
        <v>-270</v>
      </c>
      <c r="M1544" s="2">
        <f t="shared" si="1212"/>
        <v>-14979.191677711788</v>
      </c>
      <c r="N1544" s="2">
        <f t="shared" si="1213"/>
        <v>-154064.59349545999</v>
      </c>
      <c r="O1544" s="23">
        <f t="shared" si="1214"/>
        <v>-272.89927894437164</v>
      </c>
      <c r="P1544" s="1">
        <f t="shared" si="1182"/>
        <v>-270.37524769027289</v>
      </c>
      <c r="Q1544" s="1">
        <f t="shared" si="1218"/>
        <v>20.808322288213017</v>
      </c>
      <c r="R1544">
        <f t="shared" si="1205"/>
        <v>0</v>
      </c>
      <c r="S1544" s="23">
        <f t="shared" si="1217"/>
        <v>-2.8992789443716478</v>
      </c>
      <c r="T1544">
        <f>$S1544+測地線補正!$Q$26*(lattice!$N1544/1000)^3+測地線補正!$P$26*(lattice!$N1544/1000)^2+測地線補正!$O$26*(lattice!$N1544/1000)+測地線補正!$N$26</f>
        <v>-0.37524769027287097</v>
      </c>
      <c r="U1544">
        <v>0</v>
      </c>
      <c r="V1544">
        <v>0</v>
      </c>
      <c r="W1544">
        <v>0</v>
      </c>
      <c r="X1544">
        <f>SQRT(($M$1544-$M$1543)^2+($N$1544-$N$1543)^2)</f>
        <v>294.8726010723783</v>
      </c>
      <c r="Y1544">
        <f>_xlfn.XLOOKUP($F1544,設計座標!$E$13:$E$2301,設計座標!$L$13:$L$2301," ",0,1)</f>
        <v>0</v>
      </c>
      <c r="Z1544">
        <f>SQRT(($M$1544-$M$1542)^2+($N$1544-$N$1542)^2)</f>
        <v>1239.597204508086</v>
      </c>
    </row>
    <row r="1545" spans="1:28">
      <c r="A1545" t="s">
        <v>797</v>
      </c>
      <c r="B1545">
        <v>3</v>
      </c>
      <c r="C1545" t="s">
        <v>804</v>
      </c>
      <c r="D1545" t="s">
        <v>1152</v>
      </c>
      <c r="E1545" t="s">
        <v>804</v>
      </c>
      <c r="F1545" t="s">
        <v>1658</v>
      </c>
      <c r="G1545" t="s">
        <v>2706</v>
      </c>
      <c r="I1545">
        <f>_xlfn.XLOOKUP($F1545,設計座標!$E$13:$E$2301,設計座標!$G$13:$G$2301,"n/a",0,1)</f>
        <v>418.7709035613691</v>
      </c>
      <c r="J1545">
        <f>_xlfn.XLOOKUP($F1545,設計座標!$E$13:$E$2301,設計座標!$H$13:$H$2301,"n/a",0,1)</f>
        <v>-15000</v>
      </c>
      <c r="K1545">
        <f>_xlfn.XLOOKUP($F1545,設計座標!$E$13:$E$2301,設計座標!$I$13:$I$2301,"n/a",0,1)</f>
        <v>-154294.56269546002</v>
      </c>
      <c r="L1545">
        <f>_xlfn.XLOOKUP($F1545,設計座標!$E$13:$E$2301,設計座標!$J$13:$J$2301,"n/a",0,1)</f>
        <v>-270</v>
      </c>
      <c r="M1545" s="2">
        <f t="shared" si="1212"/>
        <v>-14979.172064849265</v>
      </c>
      <c r="N1545" s="2">
        <f t="shared" si="1213"/>
        <v>-154294.56269546002</v>
      </c>
      <c r="O1545" s="23">
        <f t="shared" si="1214"/>
        <v>-272.89125729382226</v>
      </c>
      <c r="P1545" s="1">
        <f t="shared" si="1182"/>
        <v>-270.36548048737927</v>
      </c>
      <c r="Q1545" s="1">
        <f t="shared" si="1218"/>
        <v>20.827935150734824</v>
      </c>
      <c r="R1545">
        <f t="shared" si="1205"/>
        <v>0</v>
      </c>
      <c r="S1545" s="23">
        <f t="shared" si="1217"/>
        <v>-2.8912572938222705</v>
      </c>
      <c r="T1545">
        <f>$S1545+測地線補正!$Q$26*(lattice!$N1545/1000)^3+測地線補正!$P$26*(lattice!$N1545/1000)^2+測地線補正!$O$26*(lattice!$N1545/1000)+測地線補正!$N$26</f>
        <v>-0.36548048737928895</v>
      </c>
      <c r="U1545">
        <f>-ATAN(($P$1547-$P$1545)/ABS($N$1547-$N$1545))</f>
        <v>-4.2269041814851811E-5</v>
      </c>
      <c r="V1545">
        <v>0</v>
      </c>
      <c r="W1545">
        <f>ATAN(($M$1547-$M$1545)/ABS($N$1547-$N$1545))</f>
        <v>8.5284735843506237E-5</v>
      </c>
      <c r="X1545">
        <f>SQRT(($M$1545-$M$1544)^2+($N$1545-$N$1544)^2)</f>
        <v>229.96920083636027</v>
      </c>
      <c r="Y1545">
        <f>_xlfn.XLOOKUP($F1545,設計座標!$E$13:$E$2301,設計座標!$L$13:$L$2301," ",0,1)</f>
        <v>1889.4492</v>
      </c>
      <c r="Z1545">
        <f>SQRT(($M$1546-$M$1544)^2+($N$1546-$N$1544)^2)</f>
        <v>1174.6938042720678</v>
      </c>
    </row>
    <row r="1546" spans="1:28">
      <c r="A1546" t="s">
        <v>797</v>
      </c>
      <c r="B1546">
        <v>3</v>
      </c>
      <c r="C1546" t="s">
        <v>804</v>
      </c>
      <c r="D1546" t="s">
        <v>1152</v>
      </c>
      <c r="E1546" t="s">
        <v>804</v>
      </c>
      <c r="F1546" t="s">
        <v>1309</v>
      </c>
      <c r="G1546" t="s">
        <v>2706</v>
      </c>
      <c r="I1546">
        <f>_xlfn.XLOOKUP($F1546,設計座標!$E$13:$E$2301,設計座標!$G$13:$G$2301,"n/a",0,1)</f>
        <v>419.71562816136907</v>
      </c>
      <c r="J1546">
        <f>_xlfn.XLOOKUP($F1546,設計座標!$E$13:$E$2301,設計座標!$H$13:$H$2301,"n/a",0,1)</f>
        <v>-15000</v>
      </c>
      <c r="K1546">
        <f>_xlfn.XLOOKUP($F1546,設計座標!$E$13:$E$2301,設計座標!$I$13:$I$2301,"n/a",0,1)</f>
        <v>-155239.28729546</v>
      </c>
      <c r="L1546">
        <f>_xlfn.XLOOKUP($F1546,設計座標!$E$13:$E$2301,設計座標!$J$13:$J$2301,"n/a",0,1)</f>
        <v>-270</v>
      </c>
      <c r="M1546" s="2">
        <f t="shared" si="1212"/>
        <v>-14979.091494261114</v>
      </c>
      <c r="N1546" s="2">
        <f t="shared" si="1213"/>
        <v>-155239.28729546</v>
      </c>
      <c r="O1546" s="23">
        <f t="shared" si="1214"/>
        <v>-272.85830396526086</v>
      </c>
      <c r="P1546" s="1">
        <f t="shared" si="1182"/>
        <v>-270.32546264829818</v>
      </c>
      <c r="Q1546" s="1">
        <f t="shared" si="1218"/>
        <v>20.908505738886486</v>
      </c>
      <c r="R1546">
        <f t="shared" si="1205"/>
        <v>0</v>
      </c>
      <c r="S1546" s="23">
        <f t="shared" si="1217"/>
        <v>-2.8583039652608822</v>
      </c>
      <c r="T1546">
        <f>$S1546+測地線補正!$Q$26*(lattice!$N1546/1000)^3+測地線補正!$P$26*(lattice!$N1546/1000)^2+測地線補正!$O$26*(lattice!$N1546/1000)+測地線補正!$N$26</f>
        <v>-0.32546264829820992</v>
      </c>
      <c r="U1546">
        <f t="shared" ref="U1546:U1547" si="1223">-ATAN(($P$1547-$P$1545)/ABS($N$1547-$N$1545))</f>
        <v>-4.2269041814851811E-5</v>
      </c>
      <c r="V1546">
        <v>0</v>
      </c>
      <c r="W1546">
        <f t="shared" ref="W1546:W1547" si="1224">ATAN(($M$1547-$M$1545)/ABS($N$1547-$N$1545))</f>
        <v>8.5284735843506237E-5</v>
      </c>
      <c r="X1546" t="s">
        <v>3860</v>
      </c>
      <c r="Y1546">
        <f>_xlfn.XLOOKUP($F1546,設計座標!$E$13:$E$2301,設計座標!$L$13:$L$2301," ",0,1)</f>
        <v>1889.4492</v>
      </c>
      <c r="Z1546">
        <f>SQRT(($M$1546-$M$1544)^2+($N$1546-$N$1544)^2)</f>
        <v>1174.6938042720678</v>
      </c>
    </row>
    <row r="1547" spans="1:28">
      <c r="A1547" t="s">
        <v>797</v>
      </c>
      <c r="B1547">
        <v>3</v>
      </c>
      <c r="C1547" t="s">
        <v>804</v>
      </c>
      <c r="D1547" t="s">
        <v>1152</v>
      </c>
      <c r="E1547" t="s">
        <v>804</v>
      </c>
      <c r="F1547" t="s">
        <v>1659</v>
      </c>
      <c r="G1547" t="s">
        <v>2706</v>
      </c>
      <c r="I1547">
        <f>_xlfn.XLOOKUP($F1547,設計座標!$E$13:$E$2301,設計座標!$G$13:$G$2301,"n/a",0,1)</f>
        <v>420.66035276136904</v>
      </c>
      <c r="J1547">
        <f>_xlfn.XLOOKUP($F1547,設計座標!$E$13:$E$2301,設計座標!$H$13:$H$2301,"n/a",0,1)</f>
        <v>-15000</v>
      </c>
      <c r="K1547">
        <f>_xlfn.XLOOKUP($F1547,設計座標!$E$13:$E$2301,設計座標!$I$13:$I$2301,"n/a",0,1)</f>
        <v>-156184.01189545999</v>
      </c>
      <c r="L1547">
        <f>_xlfn.XLOOKUP($F1547,設計座標!$E$13:$E$2301,設計座標!$J$13:$J$2301,"n/a",0,1)</f>
        <v>-270</v>
      </c>
      <c r="M1547" s="2">
        <f t="shared" si="1212"/>
        <v>-14979.010923672962</v>
      </c>
      <c r="N1547" s="2">
        <f t="shared" si="1213"/>
        <v>-156184.01189545999</v>
      </c>
      <c r="O1547" s="23">
        <f t="shared" si="1214"/>
        <v>-272.82535063669951</v>
      </c>
      <c r="P1547" s="1">
        <f t="shared" si="1182"/>
        <v>-270.28561528008987</v>
      </c>
      <c r="Q1547" s="1">
        <f t="shared" si="1218"/>
        <v>20.989076327038148</v>
      </c>
      <c r="R1547">
        <f t="shared" si="1205"/>
        <v>0</v>
      </c>
      <c r="S1547" s="23">
        <f t="shared" si="1217"/>
        <v>-2.8253506366994938</v>
      </c>
      <c r="T1547">
        <f>$S1547+測地線補正!$Q$26*(lattice!$N1547/1000)^3+測地線補正!$P$26*(lattice!$N1547/1000)^2+測地線補正!$O$26*(lattice!$N1547/1000)+測地線補正!$N$26</f>
        <v>-0.28561528008987502</v>
      </c>
      <c r="U1547">
        <f t="shared" si="1223"/>
        <v>-4.2269041814851811E-5</v>
      </c>
      <c r="V1547">
        <v>0</v>
      </c>
      <c r="W1547">
        <f t="shared" si="1224"/>
        <v>8.5284735843506237E-5</v>
      </c>
      <c r="X1547" t="s">
        <v>3860</v>
      </c>
      <c r="Y1547">
        <f>_xlfn.XLOOKUP($F1547,設計座標!$E$13:$E$2301,設計座標!$L$13:$L$2301," ",0,1)</f>
        <v>1889.4492</v>
      </c>
      <c r="Z1547">
        <f>SQRT(($M$1546-$M$1544)^2+($N$1546-$N$1544)^2)</f>
        <v>1174.6938042720678</v>
      </c>
    </row>
    <row r="1548" spans="1:28">
      <c r="A1548" t="s">
        <v>797</v>
      </c>
      <c r="B1548">
        <v>3</v>
      </c>
      <c r="C1548" t="s">
        <v>804</v>
      </c>
      <c r="D1548" t="s">
        <v>1152</v>
      </c>
      <c r="E1548" t="s">
        <v>804</v>
      </c>
      <c r="F1548" t="s">
        <v>1660</v>
      </c>
      <c r="G1548" t="s">
        <v>2707</v>
      </c>
      <c r="I1548">
        <f>_xlfn.XLOOKUP($F1548,設計座標!$E$13:$E$2301,設計座標!$G$13:$G$2301,"n/a",0,1)</f>
        <v>420.87029456136912</v>
      </c>
      <c r="J1548">
        <f>_xlfn.XLOOKUP($F1548,設計座標!$E$13:$E$2301,設計座標!$H$13:$H$2301,"n/a",0,1)</f>
        <v>-15000</v>
      </c>
      <c r="K1548">
        <f>_xlfn.XLOOKUP($F1548,設計座標!$E$13:$E$2301,設計座標!$I$13:$I$2301,"n/a",0,1)</f>
        <v>-156393.95369546002</v>
      </c>
      <c r="L1548">
        <f>_xlfn.XLOOKUP($F1548,設計座標!$E$13:$E$2301,設計座標!$J$13:$J$2301,"n/a",0,1)</f>
        <v>-270</v>
      </c>
      <c r="M1548" s="2">
        <f t="shared" si="1212"/>
        <v>-14978.993018841962</v>
      </c>
      <c r="N1548" s="2">
        <f t="shared" si="1213"/>
        <v>-156393.95369546002</v>
      </c>
      <c r="O1548" s="23">
        <f t="shared" si="1214"/>
        <v>-272.81802757015271</v>
      </c>
      <c r="P1548" s="1">
        <f t="shared" si="1182"/>
        <v>-270.27678326454668</v>
      </c>
      <c r="Q1548" s="1">
        <f t="shared" si="1218"/>
        <v>21.006981158037174</v>
      </c>
      <c r="R1548">
        <f t="shared" si="1205"/>
        <v>0</v>
      </c>
      <c r="S1548" s="23">
        <f t="shared" si="1217"/>
        <v>-2.8180275701527244</v>
      </c>
      <c r="T1548">
        <f>$S1548+測地線補正!$Q$26*(lattice!$N1548/1000)^3+測地線補正!$P$26*(lattice!$N1548/1000)^2+測地線補正!$O$26*(lattice!$N1548/1000)+測地線補正!$N$26</f>
        <v>-0.27678326454670565</v>
      </c>
      <c r="U1548">
        <f>-ATAN(($P$1550-$P$1548)/ABS($N$1550-$N$1548))</f>
        <v>-4.1869846259592826E-5</v>
      </c>
      <c r="V1548">
        <v>0</v>
      </c>
      <c r="W1548">
        <f>ATAN(($M$1550-$M$1548)/ABS($N$1550-$N$1548))</f>
        <v>8.5284735843506237E-5</v>
      </c>
      <c r="X1548">
        <f>SQRT(($M$1548-$M$1547)^2+($N$1548-$N$1547)^2)</f>
        <v>209.94180076353399</v>
      </c>
      <c r="Y1548">
        <f>_xlfn.XLOOKUP($F1548,設計座標!$E$13:$E$2301,設計座標!$L$13:$L$2301," ",0,1)</f>
        <v>1889.4492</v>
      </c>
      <c r="Z1548">
        <f>SQRT(($M$1549-$M$1546)^2+($N$1549-$N$1546)^2)</f>
        <v>2099.3910076349489</v>
      </c>
    </row>
    <row r="1549" spans="1:28">
      <c r="A1549" t="s">
        <v>797</v>
      </c>
      <c r="B1549">
        <v>3</v>
      </c>
      <c r="C1549" t="s">
        <v>804</v>
      </c>
      <c r="D1549" t="s">
        <v>1152</v>
      </c>
      <c r="E1549" t="s">
        <v>804</v>
      </c>
      <c r="F1549" t="s">
        <v>1363</v>
      </c>
      <c r="G1549" t="s">
        <v>2707</v>
      </c>
      <c r="I1549">
        <f>_xlfn.XLOOKUP($F1549,設計座標!$E$13:$E$2301,設計座標!$G$13:$G$2301,"n/a",0,1)</f>
        <v>421.81501916136909</v>
      </c>
      <c r="J1549">
        <f>_xlfn.XLOOKUP($F1549,設計座標!$E$13:$E$2301,設計座標!$H$13:$H$2301,"n/a",0,1)</f>
        <v>-15000</v>
      </c>
      <c r="K1549">
        <f>_xlfn.XLOOKUP($F1549,設計座標!$E$13:$E$2301,設計座標!$I$13:$I$2301,"n/a",0,1)</f>
        <v>-157338.67829546001</v>
      </c>
      <c r="L1549">
        <f>_xlfn.XLOOKUP($F1549,設計座標!$E$13:$E$2301,設計座標!$J$13:$J$2301,"n/a",0,1)</f>
        <v>-270</v>
      </c>
      <c r="M1549" s="2">
        <f t="shared" si="1212"/>
        <v>-14978.912448253812</v>
      </c>
      <c r="N1549" s="2">
        <f t="shared" si="1213"/>
        <v>-157338.67829546001</v>
      </c>
      <c r="O1549" s="23">
        <f t="shared" si="1214"/>
        <v>-272.78507424159136</v>
      </c>
      <c r="P1549" s="1">
        <f t="shared" si="1182"/>
        <v>-270.23714331800494</v>
      </c>
      <c r="Q1549" s="1">
        <f t="shared" si="1218"/>
        <v>21.087551746188836</v>
      </c>
      <c r="R1549">
        <f t="shared" si="1205"/>
        <v>0</v>
      </c>
      <c r="S1549" s="23">
        <f t="shared" si="1217"/>
        <v>-2.7850742415913361</v>
      </c>
      <c r="T1549">
        <f>$S1549+測地線補正!$Q$26*(lattice!$N1549/1000)^3+測地線補正!$P$26*(lattice!$N1549/1000)^2+測地線補正!$O$26*(lattice!$N1549/1000)+測地線補正!$N$26</f>
        <v>-0.23714331800494493</v>
      </c>
      <c r="U1549">
        <f t="shared" ref="U1549:U1550" si="1225">-ATAN(($P$1550-$P$1548)/ABS($N$1550-$N$1548))</f>
        <v>-4.1869846259592826E-5</v>
      </c>
      <c r="V1549">
        <v>0</v>
      </c>
      <c r="W1549">
        <f t="shared" ref="W1549:W1550" si="1226">ATAN(($M$1550-$M$1548)/ABS($N$1550-$N$1548))</f>
        <v>8.5284735843506237E-5</v>
      </c>
      <c r="X1549" t="s">
        <v>3860</v>
      </c>
      <c r="Y1549">
        <f>_xlfn.XLOOKUP($F1549,設計座標!$E$13:$E$2301,設計座標!$L$13:$L$2301," ",0,1)</f>
        <v>1889.4492</v>
      </c>
      <c r="Z1549">
        <f>SQRT(($M$1549-$M$1546)^2+($N$1549-$N$1546)^2)</f>
        <v>2099.3910076349489</v>
      </c>
    </row>
    <row r="1550" spans="1:28">
      <c r="A1550" t="s">
        <v>797</v>
      </c>
      <c r="B1550">
        <v>3</v>
      </c>
      <c r="C1550" t="s">
        <v>804</v>
      </c>
      <c r="D1550" t="s">
        <v>1152</v>
      </c>
      <c r="E1550" t="s">
        <v>804</v>
      </c>
      <c r="F1550" t="s">
        <v>1661</v>
      </c>
      <c r="G1550" t="s">
        <v>2707</v>
      </c>
      <c r="I1550">
        <f>_xlfn.XLOOKUP($F1550,設計座標!$E$13:$E$2301,設計座標!$G$13:$G$2301,"n/a",0,1)</f>
        <v>422.75974376136907</v>
      </c>
      <c r="J1550">
        <f>_xlfn.XLOOKUP($F1550,設計座標!$E$13:$E$2301,設計座標!$H$13:$H$2301,"n/a",0,1)</f>
        <v>-15000</v>
      </c>
      <c r="K1550">
        <f>_xlfn.XLOOKUP($F1550,設計座標!$E$13:$E$2301,設計座標!$I$13:$I$2301,"n/a",0,1)</f>
        <v>-158283.40289545999</v>
      </c>
      <c r="L1550">
        <f>_xlfn.XLOOKUP($F1550,設計座標!$E$13:$E$2301,設計座標!$J$13:$J$2301,"n/a",0,1)</f>
        <v>-270</v>
      </c>
      <c r="M1550" s="2">
        <f t="shared" si="1212"/>
        <v>-14978.83187766566</v>
      </c>
      <c r="N1550" s="2">
        <f t="shared" si="1213"/>
        <v>-158283.40289545999</v>
      </c>
      <c r="O1550" s="23">
        <f t="shared" si="1214"/>
        <v>-272.75212091302996</v>
      </c>
      <c r="P1550" s="1">
        <f t="shared" si="1182"/>
        <v>-270.19767231698114</v>
      </c>
      <c r="Q1550" s="1">
        <f t="shared" si="1218"/>
        <v>21.168122334340499</v>
      </c>
      <c r="R1550">
        <f t="shared" si="1205"/>
        <v>0</v>
      </c>
      <c r="S1550" s="23">
        <f t="shared" si="1217"/>
        <v>-2.7521209130299482</v>
      </c>
      <c r="T1550">
        <f>$S1550+測地線補正!$Q$26*(lattice!$N1550/1000)^3+測地線補正!$P$26*(lattice!$N1550/1000)^2+測地線補正!$O$26*(lattice!$N1550/1000)+測地線補正!$N$26</f>
        <v>-0.19767231698115784</v>
      </c>
      <c r="U1550">
        <f t="shared" si="1225"/>
        <v>-4.1869846259592826E-5</v>
      </c>
      <c r="V1550">
        <v>0</v>
      </c>
      <c r="W1550">
        <f t="shared" si="1226"/>
        <v>8.5284735843506237E-5</v>
      </c>
      <c r="X1550" t="s">
        <v>3860</v>
      </c>
      <c r="Y1550">
        <f>_xlfn.XLOOKUP($F1550,設計座標!$E$13:$E$2301,設計座標!$L$13:$L$2301," ",0,1)</f>
        <v>1889.4492</v>
      </c>
      <c r="Z1550">
        <f>SQRT(($M$1549-$M$1546)^2+($N$1549-$N$1546)^2)</f>
        <v>2099.3910076349489</v>
      </c>
    </row>
    <row r="1551" spans="1:28">
      <c r="A1551" t="s">
        <v>797</v>
      </c>
      <c r="B1551">
        <v>3</v>
      </c>
      <c r="C1551" t="s">
        <v>1152</v>
      </c>
      <c r="D1551" t="s">
        <v>1152</v>
      </c>
      <c r="E1551" t="s">
        <v>804</v>
      </c>
      <c r="F1551" t="s">
        <v>2154</v>
      </c>
      <c r="G1551" t="s">
        <v>2154</v>
      </c>
      <c r="I1551">
        <f>_xlfn.XLOOKUP($F1551,設計座標!$E$13:$E$2301,設計座標!$G$13:$G$2301,"n/a",0,1)</f>
        <v>422.91223966136909</v>
      </c>
      <c r="J1551">
        <f>_xlfn.XLOOKUP($F1551,設計座標!$E$13:$E$2301,設計座標!$H$13:$H$2301,"n/a",0,1)</f>
        <v>-15000</v>
      </c>
      <c r="K1551">
        <f>_xlfn.XLOOKUP($F1551,設計座標!$E$13:$E$2301,設計座標!$I$13:$I$2301,"n/a",0,1)</f>
        <v>-158435.89879546</v>
      </c>
      <c r="L1551">
        <f>_xlfn.XLOOKUP($F1551,設計座標!$E$13:$E$2301,設計座標!$J$13:$J$2301,"n/a",0,1)</f>
        <v>-270</v>
      </c>
      <c r="M1551" s="2">
        <f t="shared" si="1212"/>
        <v>-14978.818872093079</v>
      </c>
      <c r="N1551" s="2">
        <f t="shared" si="1213"/>
        <v>-158435.89879546</v>
      </c>
      <c r="O1551" s="23">
        <f t="shared" si="1214"/>
        <v>-272.746801640623</v>
      </c>
      <c r="P1551" s="1">
        <f t="shared" si="1182"/>
        <v>-270.19131676265459</v>
      </c>
      <c r="Q1551" s="1">
        <f t="shared" si="1218"/>
        <v>21.181127906920825</v>
      </c>
      <c r="R1551">
        <f t="shared" si="1205"/>
        <v>0</v>
      </c>
      <c r="S1551" s="23">
        <f t="shared" si="1217"/>
        <v>-2.7468016406229787</v>
      </c>
      <c r="T1551">
        <f>$S1551+測地線補正!$Q$26*(lattice!$N1551/1000)^3+測地線補正!$P$26*(lattice!$N1551/1000)^2+測地線補正!$O$26*(lattice!$N1551/1000)+測地線補正!$N$26</f>
        <v>-0.1913167626545802</v>
      </c>
      <c r="U1551">
        <v>0</v>
      </c>
      <c r="V1551">
        <v>0</v>
      </c>
      <c r="W1551">
        <v>0</v>
      </c>
      <c r="X1551">
        <f>SQRT(($M$1551-$M$1550)^2+($N$1551-$N$1550)^2)</f>
        <v>152.4959005545974</v>
      </c>
      <c r="Y1551">
        <f>_xlfn.XLOOKUP($F1551,設計座標!$E$13:$E$2301,設計座標!$L$13:$L$2301," ",0,1)</f>
        <v>0</v>
      </c>
      <c r="Z1551">
        <f>SQRT(($M$1551-$M$1549)^2+($N$1551-$N$1549)^2)</f>
        <v>1097.2205039903049</v>
      </c>
    </row>
    <row r="1552" spans="1:28">
      <c r="A1552" t="s">
        <v>797</v>
      </c>
      <c r="B1552">
        <v>3</v>
      </c>
      <c r="C1552" t="s">
        <v>805</v>
      </c>
      <c r="D1552" t="s">
        <v>806</v>
      </c>
      <c r="F1552" t="s">
        <v>410</v>
      </c>
      <c r="G1552" t="s">
        <v>2708</v>
      </c>
      <c r="I1552">
        <f>_xlfn.XLOOKUP($F1552,設計座標!$E$13:$E$2301,設計座標!$G$13:$G$2301,"n/a",0,1)</f>
        <v>423.008195</v>
      </c>
      <c r="J1552">
        <f>_xlfn.XLOOKUP($F1552,設計座標!$E$13:$E$2301,設計座標!$H$13:$H$2301,"n/a",0,1)</f>
        <v>-15000</v>
      </c>
      <c r="K1552">
        <f>_xlfn.XLOOKUP($F1552,設計座標!$E$13:$E$2301,設計座標!$I$13:$I$2301,"n/a",0,1)</f>
        <v>-158643.91131798</v>
      </c>
      <c r="L1552">
        <f>_xlfn.XLOOKUP($F1552,設計座標!$E$13:$E$2301,設計座標!$J$13:$J$2301,"n/a",0,1)</f>
        <v>-50</v>
      </c>
      <c r="M1552" s="2">
        <f>_xlfn.XLOOKUP($F1552,survey_data!$A$2:$A$833,survey_data!$B$2:$B$833,"n/a",0,1)</f>
        <v>-14978.801131800001</v>
      </c>
      <c r="N1552" s="2">
        <f>_xlfn.XLOOKUP($F1552,survey_data!$A$2:$A$833,survey_data!$C$2:$C$833,"n/a",0,1)</f>
        <v>-158643.91131798</v>
      </c>
      <c r="O1552" s="23">
        <f>_xlfn.XLOOKUP($F1552,survey_data!$A$2:$A$833,survey_data!$D$2:$D$833,"n/a",0,1)</f>
        <v>-52.739545870000001</v>
      </c>
      <c r="P1552" s="1">
        <f t="shared" si="1182"/>
        <v>-50.182654511885637</v>
      </c>
      <c r="Q1552" s="1">
        <f t="shared" si="1206"/>
        <v>21.198868199999197</v>
      </c>
      <c r="R1552">
        <f t="shared" si="1205"/>
        <v>0</v>
      </c>
      <c r="S1552" s="23">
        <f t="shared" si="1207"/>
        <v>-2.7395458700000006</v>
      </c>
      <c r="T1552">
        <f>$S1552+測地線補正!$Q$26*(lattice!$N1552/1000)^3+測地線補正!$P$26*(lattice!$N1552/1000)^2+測地線補正!$O$26*(lattice!$N1552/1000)+測地線補正!$N$26</f>
        <v>-0.18265451188563486</v>
      </c>
      <c r="U1552">
        <f>-ATAN(($P$1554-$P$1552)/ABS($N$1554-$N$1552))</f>
        <v>5.4603279061495041E-6</v>
      </c>
      <c r="V1552">
        <v>0</v>
      </c>
      <c r="W1552">
        <f>ATAN(($M$1554-$M$1552)/ABS($N$1554-$N$1552))</f>
        <v>3.7495854358981622E-4</v>
      </c>
      <c r="X1552">
        <f>$Z$1553-($Y$1553+$Y$1551)/2</f>
        <v>183.00002623540877</v>
      </c>
      <c r="Y1552">
        <f>_xlfn.XLOOKUP($F1552,設計座標!$E$13:$E$2301,設計座標!$L$13:$L$2301," ",0,1)</f>
        <v>200</v>
      </c>
      <c r="Z1552">
        <f>SQRT(($M$1553-$M$1551)^2+($N$1553-$N$1551)^2)</f>
        <v>283.00002623540877</v>
      </c>
      <c r="AA1552">
        <f>_xlfn.XLOOKUP($G1552,magnet_list!$A$2:$A$592,magnet_list!$AJ$2:$AJ$592,"n/a",0,1)</f>
        <v>0.21244935000000001</v>
      </c>
      <c r="AB1552">
        <f>_xlfn.XLOOKUP($G1552,magnet_list!$A$2:$A$592,magnet_list!$L$2:$L$592,"n/a",0,1)</f>
        <v>20</v>
      </c>
    </row>
    <row r="1553" spans="1:28">
      <c r="A1553" t="s">
        <v>797</v>
      </c>
      <c r="B1553">
        <v>3</v>
      </c>
      <c r="C1553" t="s">
        <v>805</v>
      </c>
      <c r="D1553" t="s">
        <v>1152</v>
      </c>
      <c r="E1553" t="s">
        <v>804</v>
      </c>
      <c r="F1553" t="s">
        <v>769</v>
      </c>
      <c r="G1553" t="s">
        <v>2708</v>
      </c>
      <c r="I1553">
        <f>_xlfn.XLOOKUP($F1553,設計座標!$E$13:$E$2301,設計座標!$G$13:$G$2301,"n/a",0,1)</f>
        <v>423.08318250000002</v>
      </c>
      <c r="J1553">
        <f>_xlfn.XLOOKUP($F1553,設計座標!$E$13:$E$2301,設計座標!$H$13:$H$2301,"n/a",0,1)</f>
        <v>-15000</v>
      </c>
      <c r="K1553">
        <f>_xlfn.XLOOKUP($F1553,設計座標!$E$13:$E$2301,設計座標!$I$13:$I$2301,"n/a",0,1)</f>
        <v>-158718.89881798002</v>
      </c>
      <c r="L1553">
        <f>_xlfn.XLOOKUP($F1553,設計座標!$E$13:$E$2301,設計座標!$J$13:$J$2301,"n/a",0,1)</f>
        <v>-50</v>
      </c>
      <c r="M1553" s="2">
        <f t="shared" si="1212"/>
        <v>-14978.773014594895</v>
      </c>
      <c r="N1553" s="2">
        <f t="shared" si="1213"/>
        <v>-158718.89881798002</v>
      </c>
      <c r="O1553" s="23">
        <f t="shared" si="1214"/>
        <v>-52.74045982892391</v>
      </c>
      <c r="P1553" s="1">
        <f t="shared" si="1182"/>
        <v>-50.183063439229073</v>
      </c>
      <c r="Q1553" s="1">
        <f>(Q$1554-Q$1552)/($N$1554-$N$1552)*($N1553-$N$1552)+Q$1552</f>
        <v>21.226985405104347</v>
      </c>
      <c r="R1553">
        <f t="shared" si="1205"/>
        <v>0</v>
      </c>
      <c r="S1553" s="23">
        <f>(S$1554-S$1552)/($N$1554-$N$1552)*($N1553-$N$1552)+S$1552</f>
        <v>-2.7404598289239082</v>
      </c>
      <c r="T1553">
        <f>$S1553+測地線補正!$Q$26*(lattice!$N1553/1000)^3+測地線補正!$P$26*(lattice!$N1553/1000)^2+測地線補正!$O$26*(lattice!$N1553/1000)+測地線補正!$N$26</f>
        <v>-0.18306343922907353</v>
      </c>
      <c r="U1553">
        <f t="shared" ref="U1553:U1554" si="1227">-ATAN(($P$1554-$P$1552)/ABS($N$1554-$N$1552))</f>
        <v>5.4603279061495041E-6</v>
      </c>
      <c r="V1553">
        <v>0</v>
      </c>
      <c r="W1553">
        <f t="shared" ref="W1553:W1554" si="1228">ATAN(($M$1554-$M$1552)/ABS($N$1554-$N$1552))</f>
        <v>3.7495854358981622E-4</v>
      </c>
      <c r="X1553">
        <f>$Z$1553-($Y$1553+$Y$1551)/2</f>
        <v>183.00002623540877</v>
      </c>
      <c r="Y1553">
        <f>_xlfn.XLOOKUP($F1553,設計座標!$E$13:$E$2301,設計座標!$L$13:$L$2301," ",0,1)</f>
        <v>200</v>
      </c>
      <c r="Z1553">
        <f>SQRT(($M$1553-$M$1551)^2+($N$1553-$N$1551)^2)</f>
        <v>283.00002623540877</v>
      </c>
      <c r="AA1553">
        <f>_xlfn.XLOOKUP($G1553,magnet_list!$A$2:$A$592,magnet_list!$AJ$2:$AJ$592,"n/a",0,1)</f>
        <v>0.21244935000000001</v>
      </c>
      <c r="AB1553">
        <f>_xlfn.XLOOKUP($G1553,magnet_list!$A$2:$A$592,magnet_list!$L$2:$L$592,"n/a",0,1)</f>
        <v>20</v>
      </c>
    </row>
    <row r="1554" spans="1:28">
      <c r="A1554" t="s">
        <v>797</v>
      </c>
      <c r="B1554">
        <v>3</v>
      </c>
      <c r="C1554" t="s">
        <v>805</v>
      </c>
      <c r="D1554" t="s">
        <v>806</v>
      </c>
      <c r="F1554" t="s">
        <v>411</v>
      </c>
      <c r="G1554" t="s">
        <v>2708</v>
      </c>
      <c r="I1554">
        <f>_xlfn.XLOOKUP($F1554,設計座標!$E$13:$E$2301,設計座標!$G$13:$G$2301,"n/a",0,1)</f>
        <v>423.15816999999998</v>
      </c>
      <c r="J1554">
        <f>_xlfn.XLOOKUP($F1554,設計座標!$E$13:$E$2301,設計座標!$H$13:$H$2301,"n/a",0,1)</f>
        <v>-15000</v>
      </c>
      <c r="K1554">
        <f>_xlfn.XLOOKUP($F1554,設計座標!$E$13:$E$2301,設計座標!$I$13:$I$2301,"n/a",0,1)</f>
        <v>-158793.87828986999</v>
      </c>
      <c r="L1554">
        <f>_xlfn.XLOOKUP($F1554,設計座標!$E$13:$E$2301,設計座標!$J$13:$J$2301,"n/a",0,1)</f>
        <v>-50</v>
      </c>
      <c r="M1554" s="2">
        <f>_xlfn.XLOOKUP($F1554,survey_data!$A$2:$A$833,survey_data!$B$2:$B$833,"n/a",0,1)</f>
        <v>-14978.744900399999</v>
      </c>
      <c r="N1554" s="2">
        <f>_xlfn.XLOOKUP($F1554,survey_data!$A$2:$A$833,survey_data!$C$2:$C$833,"n/a",0,1)</f>
        <v>-158793.87828986999</v>
      </c>
      <c r="O1554" s="23">
        <f>_xlfn.XLOOKUP($F1554,survey_data!$A$2:$A$833,survey_data!$D$2:$D$833,"n/a",0,1)</f>
        <v>-52.741373690000003</v>
      </c>
      <c r="P1554" s="1">
        <f t="shared" si="1182"/>
        <v>-50.183473380727257</v>
      </c>
      <c r="Q1554" s="1">
        <f t="shared" si="1206"/>
        <v>21.255099600000904</v>
      </c>
      <c r="R1554">
        <f t="shared" si="1205"/>
        <v>0</v>
      </c>
      <c r="S1554" s="23">
        <f t="shared" si="1207"/>
        <v>-2.7413736900000032</v>
      </c>
      <c r="T1554">
        <f>$S1554+測地線補正!$Q$26*(lattice!$N1554/1000)^3+測地線補正!$P$26*(lattice!$N1554/1000)^2+測地線補正!$O$26*(lattice!$N1554/1000)+測地線補正!$N$26</f>
        <v>-0.18347338072725905</v>
      </c>
      <c r="U1554">
        <f t="shared" si="1227"/>
        <v>5.4603279061495041E-6</v>
      </c>
      <c r="V1554">
        <v>0</v>
      </c>
      <c r="W1554">
        <f t="shared" si="1228"/>
        <v>3.7495854358981622E-4</v>
      </c>
      <c r="X1554">
        <f>$Z$1553-($Y$1553+$Y$1551)/2</f>
        <v>183.00002623540877</v>
      </c>
      <c r="Y1554">
        <f>_xlfn.XLOOKUP($F1554,設計座標!$E$13:$E$2301,設計座標!$L$13:$L$2301," ",0,1)</f>
        <v>200</v>
      </c>
      <c r="Z1554">
        <f>SQRT(($M$1553-$M$1551)^2+($N$1553-$N$1551)^2)</f>
        <v>283.00002623540877</v>
      </c>
      <c r="AA1554">
        <f>_xlfn.XLOOKUP($G1554,magnet_list!$A$2:$A$592,magnet_list!$AJ$2:$AJ$592,"n/a",0,1)</f>
        <v>0.21244935000000001</v>
      </c>
      <c r="AB1554">
        <f>_xlfn.XLOOKUP($G1554,magnet_list!$A$2:$A$592,magnet_list!$L$2:$L$592,"n/a",0,1)</f>
        <v>20</v>
      </c>
    </row>
    <row r="1555" spans="1:28">
      <c r="A1555" t="s">
        <v>797</v>
      </c>
      <c r="B1555">
        <v>3</v>
      </c>
      <c r="C1555" t="s">
        <v>805</v>
      </c>
      <c r="D1555" t="s">
        <v>806</v>
      </c>
      <c r="F1555" t="s">
        <v>412</v>
      </c>
      <c r="G1555" t="s">
        <v>412</v>
      </c>
      <c r="I1555">
        <f>_xlfn.XLOOKUP($F1555,設計座標!$E$13:$E$2301,設計座標!$G$13:$G$2301,"n/a",0,1)</f>
        <v>423.41319199999998</v>
      </c>
      <c r="J1555">
        <f>_xlfn.XLOOKUP($F1555,設計座標!$E$13:$E$2301,設計座標!$H$13:$H$2301,"n/a",0,1)</f>
        <v>-15000</v>
      </c>
      <c r="K1555">
        <f>_xlfn.XLOOKUP($F1555,設計座標!$E$13:$E$2301,設計座標!$I$13:$I$2301,"n/a",0,1)</f>
        <v>-159048.89270965999</v>
      </c>
      <c r="L1555">
        <f>_xlfn.XLOOKUP($F1555,設計座標!$E$13:$E$2301,設計座標!$J$13:$J$2301,"n/a",0,1)</f>
        <v>-90</v>
      </c>
      <c r="M1555" s="2">
        <f>_xlfn.XLOOKUP($F1555,survey_data!$A$2:$A$833,survey_data!$B$2:$B$833,"n/a",0,1)</f>
        <v>-14978.65759436</v>
      </c>
      <c r="N1555" s="2">
        <f>_xlfn.XLOOKUP($F1555,survey_data!$A$2:$A$833,survey_data!$C$2:$C$833,"n/a",0,1)</f>
        <v>-159048.89270965999</v>
      </c>
      <c r="O1555" s="23">
        <f>_xlfn.XLOOKUP($F1555,survey_data!$A$2:$A$833,survey_data!$D$2:$D$833,"n/a",0,1)</f>
        <v>-92.778703530000001</v>
      </c>
      <c r="P1555" s="1">
        <f t="shared" si="1182"/>
        <v>-90.219097241105459</v>
      </c>
      <c r="Q1555" s="1">
        <f t="shared" si="1206"/>
        <v>21.342405639999924</v>
      </c>
      <c r="R1555">
        <f t="shared" si="1205"/>
        <v>0</v>
      </c>
      <c r="S1555" s="23">
        <f t="shared" si="1207"/>
        <v>-2.7787035300000014</v>
      </c>
      <c r="T1555">
        <f>$S1555+測地線補正!$Q$26*(lattice!$N1555/1000)^3+測地線補正!$P$26*(lattice!$N1555/1000)^2+測地線補正!$O$26*(lattice!$N1555/1000)+測地線補正!$N$26</f>
        <v>-0.2190972411054608</v>
      </c>
      <c r="U1555">
        <v>0</v>
      </c>
      <c r="V1555">
        <v>0</v>
      </c>
      <c r="W1555">
        <v>0</v>
      </c>
      <c r="X1555">
        <f>$Z$1556-($Y$1556+$Y$1553)/2</f>
        <v>189.99391186493773</v>
      </c>
      <c r="Y1555">
        <f>_xlfn.XLOOKUP($F1555,設計座標!$E$13:$E$2301,設計座標!$L$13:$L$2301," ",0,1)</f>
        <v>80</v>
      </c>
      <c r="Z1555">
        <f>SQRT(($M$1556-$M$1553)^2+($N$1556-$N$1553)^2)</f>
        <v>329.99391186493773</v>
      </c>
      <c r="AA1555">
        <f>_xlfn.XLOOKUP($G1555,magnet_list!$A$2:$A$592,magnet_list!$AJ$2:$AJ$592,"n/a",0,1)</f>
        <v>0.1074008800631841</v>
      </c>
      <c r="AB1555">
        <f>_xlfn.XLOOKUP($G1555,magnet_list!$A$2:$A$592,magnet_list!$L$2:$L$592,"n/a",0,1)</f>
        <v>20</v>
      </c>
    </row>
    <row r="1556" spans="1:28">
      <c r="A1556" t="s">
        <v>797</v>
      </c>
      <c r="B1556">
        <v>3</v>
      </c>
      <c r="C1556" t="s">
        <v>805</v>
      </c>
      <c r="D1556" t="s">
        <v>1152</v>
      </c>
      <c r="E1556" t="s">
        <v>804</v>
      </c>
      <c r="F1556" t="s">
        <v>1891</v>
      </c>
      <c r="G1556" t="s">
        <v>412</v>
      </c>
      <c r="I1556">
        <f>_xlfn.XLOOKUP($F1556,設計座標!$E$13:$E$2301,設計座標!$G$13:$G$2301,"n/a",0,1)</f>
        <v>423.41319199999998</v>
      </c>
      <c r="J1556">
        <f>_xlfn.XLOOKUP($F1556,設計座標!$E$13:$E$2301,設計座標!$H$13:$H$2301,"n/a",0,1)</f>
        <v>-15000</v>
      </c>
      <c r="K1556">
        <f>_xlfn.XLOOKUP($F1556,設計座標!$E$13:$E$2301,設計座標!$I$13:$I$2301,"n/a",0,1)</f>
        <v>-159048.89270965999</v>
      </c>
      <c r="L1556">
        <f>_xlfn.XLOOKUP($F1556,設計座標!$E$13:$E$2301,設計座標!$J$13:$J$2301,"n/a",0,1)</f>
        <v>-90</v>
      </c>
      <c r="M1556" s="2">
        <f t="shared" ref="M1556:M1592" si="1229">$J1556+$Q1556</f>
        <v>-14978.65759436</v>
      </c>
      <c r="N1556" s="2">
        <f t="shared" ref="N1556:N1592" si="1230">$K1556</f>
        <v>-159048.89270965999</v>
      </c>
      <c r="O1556" s="23">
        <f t="shared" ref="O1556:O1592" si="1231">$L1556+$S1556</f>
        <v>-92.778703530000001</v>
      </c>
      <c r="P1556" s="1">
        <f t="shared" si="1182"/>
        <v>-90.219097241105459</v>
      </c>
      <c r="Q1556" s="1">
        <f>(Q$1557-Q$1555)/($N$1557-$N$1555)*($N1556-$N$1555)+Q$1555</f>
        <v>21.342405639999924</v>
      </c>
      <c r="R1556">
        <f t="shared" si="1205"/>
        <v>0</v>
      </c>
      <c r="S1556" s="23">
        <f>(S$1557-S$1555)/($N$1557-$N$1555)*($N1556-$N$1555)+S$1555</f>
        <v>-2.7787035300000014</v>
      </c>
      <c r="T1556">
        <f>$S1556+測地線補正!$Q$26*(lattice!$N1556/1000)^3+測地線補正!$P$26*(lattice!$N1556/1000)^2+測地線補正!$O$26*(lattice!$N1556/1000)+測地線補正!$N$26</f>
        <v>-0.2190972411054608</v>
      </c>
      <c r="U1556">
        <v>0</v>
      </c>
      <c r="V1556">
        <v>0</v>
      </c>
      <c r="W1556">
        <v>0</v>
      </c>
      <c r="X1556">
        <f>$Z$1556-($Y$1556+$Y$1553)/2</f>
        <v>189.99391186493773</v>
      </c>
      <c r="Y1556">
        <f>_xlfn.XLOOKUP($F1556,設計座標!$E$13:$E$2301,設計座標!$L$13:$L$2301," ",0,1)</f>
        <v>80</v>
      </c>
      <c r="Z1556">
        <f>SQRT(($M$1556-$M$1553)^2+($N$1556-$N$1553)^2)</f>
        <v>329.99391186493773</v>
      </c>
      <c r="AA1556">
        <f>_xlfn.XLOOKUP($G1556,magnet_list!$A$2:$A$592,magnet_list!$AJ$2:$AJ$592,"n/a",0,1)</f>
        <v>0.1074008800631841</v>
      </c>
      <c r="AB1556">
        <f>_xlfn.XLOOKUP($G1556,magnet_list!$A$2:$A$592,magnet_list!$L$2:$L$592,"n/a",0,1)</f>
        <v>20</v>
      </c>
    </row>
    <row r="1557" spans="1:28">
      <c r="A1557" t="s">
        <v>797</v>
      </c>
      <c r="B1557">
        <v>3</v>
      </c>
      <c r="C1557" t="s">
        <v>805</v>
      </c>
      <c r="D1557" t="s">
        <v>806</v>
      </c>
      <c r="F1557" t="s">
        <v>413</v>
      </c>
      <c r="G1557" t="s">
        <v>413</v>
      </c>
      <c r="I1557">
        <f>_xlfn.XLOOKUP($F1557,設計座標!$E$13:$E$2301,設計座標!$G$13:$G$2301,"n/a",0,1)</f>
        <v>423.61316299999999</v>
      </c>
      <c r="J1557">
        <f>_xlfn.XLOOKUP($F1557,設計座標!$E$13:$E$2301,設計座標!$H$13:$H$2301,"n/a",0,1)</f>
        <v>-15000</v>
      </c>
      <c r="K1557">
        <f>_xlfn.XLOOKUP($F1557,設計座標!$E$13:$E$2301,設計座標!$I$13:$I$2301,"n/a",0,1)</f>
        <v>-159248.8745679</v>
      </c>
      <c r="L1557">
        <f>_xlfn.XLOOKUP($F1557,設計座標!$E$13:$E$2301,設計座標!$J$13:$J$2301,"n/a",0,1)</f>
        <v>-90</v>
      </c>
      <c r="M1557" s="2">
        <f>_xlfn.XLOOKUP($F1557,survey_data!$A$2:$A$833,survey_data!$B$2:$B$833,"n/a",0,1)</f>
        <v>-14978.54270962</v>
      </c>
      <c r="N1557" s="2">
        <f>_xlfn.XLOOKUP($F1557,survey_data!$A$2:$A$833,survey_data!$C$2:$C$833,"n/a",0,1)</f>
        <v>-159248.8745679</v>
      </c>
      <c r="O1557" s="23">
        <f>_xlfn.XLOOKUP($F1557,survey_data!$A$2:$A$833,survey_data!$D$2:$D$833,"n/a",0,1)</f>
        <v>-92.77208718</v>
      </c>
      <c r="P1557" s="1">
        <f t="shared" si="1182"/>
        <v>-90.211151614246006</v>
      </c>
      <c r="Q1557" s="1">
        <f t="shared" si="1206"/>
        <v>21.457290379999904</v>
      </c>
      <c r="R1557">
        <f t="shared" si="1205"/>
        <v>0</v>
      </c>
      <c r="S1557" s="23">
        <f t="shared" si="1207"/>
        <v>-2.7720871799999998</v>
      </c>
      <c r="T1557">
        <f>$S1557+測地線補正!$Q$26*(lattice!$N1557/1000)^3+測地線補正!$P$26*(lattice!$N1557/1000)^2+測地線補正!$O$26*(lattice!$N1557/1000)+測地線補正!$N$26</f>
        <v>-0.21115161424600726</v>
      </c>
      <c r="U1557">
        <v>0</v>
      </c>
      <c r="V1557">
        <v>0</v>
      </c>
      <c r="W1557">
        <v>0</v>
      </c>
      <c r="X1557">
        <f>$Z$1558-($Y$1558+$Y$1556)/2</f>
        <v>119.98189123925323</v>
      </c>
      <c r="Y1557">
        <f>_xlfn.XLOOKUP($F1557,設計座標!$E$13:$E$2301,設計座標!$L$13:$L$2301," ",0,1)</f>
        <v>80</v>
      </c>
      <c r="Z1557">
        <f>SQRT(($M$1558-$M$1556)^2+($N$1558-$N$1556)^2)</f>
        <v>199.98189123925323</v>
      </c>
      <c r="AA1557">
        <f>_xlfn.XLOOKUP($G1557,magnet_list!$A$2:$A$592,magnet_list!$AJ$2:$AJ$592,"n/a",0,1)</f>
        <v>0.1074008800631841</v>
      </c>
      <c r="AB1557">
        <f>_xlfn.XLOOKUP($G1557,magnet_list!$A$2:$A$592,magnet_list!$L$2:$L$592,"n/a",0,1)</f>
        <v>20</v>
      </c>
    </row>
    <row r="1558" spans="1:28">
      <c r="A1558" t="s">
        <v>797</v>
      </c>
      <c r="B1558">
        <v>3</v>
      </c>
      <c r="C1558" t="s">
        <v>805</v>
      </c>
      <c r="D1558" t="s">
        <v>1152</v>
      </c>
      <c r="E1558" t="s">
        <v>804</v>
      </c>
      <c r="F1558" t="s">
        <v>1892</v>
      </c>
      <c r="G1558" t="s">
        <v>413</v>
      </c>
      <c r="I1558">
        <f>_xlfn.XLOOKUP($F1558,設計座標!$E$13:$E$2301,設計座標!$G$13:$G$2301,"n/a",0,1)</f>
        <v>423.61316299999999</v>
      </c>
      <c r="J1558">
        <f>_xlfn.XLOOKUP($F1558,設計座標!$E$13:$E$2301,設計座標!$H$13:$H$2301,"n/a",0,1)</f>
        <v>-15000</v>
      </c>
      <c r="K1558">
        <f>_xlfn.XLOOKUP($F1558,設計座標!$E$13:$E$2301,設計座標!$I$13:$I$2301,"n/a",0,1)</f>
        <v>-159248.8745679</v>
      </c>
      <c r="L1558">
        <f>_xlfn.XLOOKUP($F1558,設計座標!$E$13:$E$2301,設計座標!$J$13:$J$2301,"n/a",0,1)</f>
        <v>-90</v>
      </c>
      <c r="M1558" s="2">
        <f t="shared" si="1229"/>
        <v>-14978.54270962</v>
      </c>
      <c r="N1558" s="2">
        <f t="shared" si="1230"/>
        <v>-159248.8745679</v>
      </c>
      <c r="O1558" s="23">
        <f t="shared" si="1231"/>
        <v>-92.77208718</v>
      </c>
      <c r="P1558" s="1">
        <f t="shared" si="1182"/>
        <v>-90.211151614246006</v>
      </c>
      <c r="Q1558" s="1">
        <f>(Q$1559-Q$1557)/($N$1559-$N$1557)*($N1558-$N$1557)+Q$1557</f>
        <v>21.457290379999904</v>
      </c>
      <c r="R1558">
        <f t="shared" si="1205"/>
        <v>0</v>
      </c>
      <c r="S1558" s="23">
        <f>(S$1559-S$1557)/($N$1559-$N$1557)*($N1558-$N$1557)+S$1557</f>
        <v>-2.7720871799999998</v>
      </c>
      <c r="T1558">
        <f>$S1558+測地線補正!$Q$26*(lattice!$N1558/1000)^3+測地線補正!$P$26*(lattice!$N1558/1000)^2+測地線補正!$O$26*(lattice!$N1558/1000)+測地線補正!$N$26</f>
        <v>-0.21115161424600726</v>
      </c>
      <c r="U1558">
        <v>0</v>
      </c>
      <c r="V1558">
        <v>0</v>
      </c>
      <c r="W1558">
        <v>0</v>
      </c>
      <c r="X1558">
        <f>$Z$1558-($Y$1558+$Y$1556)/2</f>
        <v>119.98189123925323</v>
      </c>
      <c r="Y1558">
        <f>_xlfn.XLOOKUP($F1558,設計座標!$E$13:$E$2301,設計座標!$L$13:$L$2301," ",0,1)</f>
        <v>80</v>
      </c>
      <c r="Z1558">
        <f>SQRT(($M$1558-$M$1556)^2+($N$1558-$N$1556)^2)</f>
        <v>199.98189123925323</v>
      </c>
      <c r="AA1558">
        <f>_xlfn.XLOOKUP($G1558,magnet_list!$A$2:$A$592,magnet_list!$AJ$2:$AJ$592,"n/a",0,1)</f>
        <v>0.1074008800631841</v>
      </c>
      <c r="AB1558">
        <f>_xlfn.XLOOKUP($G1558,magnet_list!$A$2:$A$592,magnet_list!$L$2:$L$592,"n/a",0,1)</f>
        <v>20</v>
      </c>
    </row>
    <row r="1559" spans="1:28">
      <c r="A1559" t="s">
        <v>797</v>
      </c>
      <c r="B1559">
        <v>3</v>
      </c>
      <c r="C1559" t="s">
        <v>805</v>
      </c>
      <c r="D1559" t="s">
        <v>806</v>
      </c>
      <c r="F1559" t="s">
        <v>414</v>
      </c>
      <c r="G1559" t="s">
        <v>2709</v>
      </c>
      <c r="I1559">
        <f>_xlfn.XLOOKUP($F1559,設計座標!$E$13:$E$2301,設計座標!$G$13:$G$2301,"n/a",0,1)</f>
        <v>423.86814199999998</v>
      </c>
      <c r="J1559">
        <f>_xlfn.XLOOKUP($F1559,設計座標!$E$13:$E$2301,設計座標!$H$13:$H$2301,"n/a",0,1)</f>
        <v>-15000</v>
      </c>
      <c r="K1559">
        <f>_xlfn.XLOOKUP($F1559,設計座標!$E$13:$E$2301,設計座標!$I$13:$I$2301,"n/a",0,1)</f>
        <v>-159503.83450823001</v>
      </c>
      <c r="L1559">
        <f>_xlfn.XLOOKUP($F1559,設計座標!$E$13:$E$2301,設計座標!$J$13:$J$2301,"n/a",0,1)</f>
        <v>-50</v>
      </c>
      <c r="M1559" s="2">
        <f>_xlfn.XLOOKUP($F1559,survey_data!$A$2:$A$833,survey_data!$B$2:$B$833,"n/a",0,1)</f>
        <v>-14978.52602514</v>
      </c>
      <c r="N1559" s="2">
        <f>_xlfn.XLOOKUP($F1559,survey_data!$A$2:$A$833,survey_data!$C$2:$C$833,"n/a",0,1)</f>
        <v>-159503.83450823001</v>
      </c>
      <c r="O1559" s="23">
        <f>_xlfn.XLOOKUP($F1559,survey_data!$A$2:$A$833,survey_data!$D$2:$D$833,"n/a",0,1)</f>
        <v>-52.638050730000003</v>
      </c>
      <c r="P1559" s="1">
        <f t="shared" si="1182"/>
        <v>-50.075431335997379</v>
      </c>
      <c r="Q1559" s="1">
        <f t="shared" si="1206"/>
        <v>21.473974860000453</v>
      </c>
      <c r="R1559">
        <f t="shared" si="1205"/>
        <v>0</v>
      </c>
      <c r="S1559" s="23">
        <f t="shared" si="1207"/>
        <v>-2.6380507300000033</v>
      </c>
      <c r="T1559">
        <f>$S1559+測地線補正!$Q$26*(lattice!$N1559/1000)^3+測地線補正!$P$26*(lattice!$N1559/1000)^2+測地線補正!$O$26*(lattice!$N1559/1000)+測地線補正!$N$26</f>
        <v>-7.5431335997382165E-2</v>
      </c>
      <c r="U1559">
        <f>-ATAN(($P$1561-$P$1559)/ABS($N$1561-$N$1559))</f>
        <v>-5.6153666737210827E-4</v>
      </c>
      <c r="V1559">
        <v>0</v>
      </c>
      <c r="W1559">
        <f>ATAN(($M$1561-$M$1559)/ABS($N$1561-$N$1559))</f>
        <v>6.1628969699345645E-4</v>
      </c>
      <c r="X1559">
        <f>$Z$1560-($Y$1560+$Y$1558)/2</f>
        <v>189.94894632539069</v>
      </c>
      <c r="Y1559">
        <f>_xlfn.XLOOKUP($F1559,設計座標!$E$13:$E$2301,設計座標!$L$13:$L$2301," ",0,1)</f>
        <v>200</v>
      </c>
      <c r="Z1559">
        <f>SQRT(($M$1560-$M$1558)^2+($N$1560-$N$1558)^2)</f>
        <v>329.94894632539069</v>
      </c>
      <c r="AA1559">
        <f>_xlfn.XLOOKUP($G1559,magnet_list!$A$2:$A$592,magnet_list!$AJ$2:$AJ$592,"n/a",0,1)</f>
        <v>0.21244935000000001</v>
      </c>
      <c r="AB1559">
        <f>_xlfn.XLOOKUP($G1559,magnet_list!$A$2:$A$592,magnet_list!$L$2:$L$592,"n/a",0,1)</f>
        <v>20</v>
      </c>
    </row>
    <row r="1560" spans="1:28">
      <c r="A1560" t="s">
        <v>797</v>
      </c>
      <c r="B1560">
        <v>3</v>
      </c>
      <c r="C1560" t="s">
        <v>805</v>
      </c>
      <c r="D1560" t="s">
        <v>1152</v>
      </c>
      <c r="E1560" t="s">
        <v>804</v>
      </c>
      <c r="F1560" t="s">
        <v>770</v>
      </c>
      <c r="G1560" t="s">
        <v>2709</v>
      </c>
      <c r="I1560">
        <f>_xlfn.XLOOKUP($F1560,設計座標!$E$13:$E$2301,設計座標!$G$13:$G$2301,"n/a",0,1)</f>
        <v>423.94313099999999</v>
      </c>
      <c r="J1560">
        <f>_xlfn.XLOOKUP($F1560,設計座標!$E$13:$E$2301,設計座標!$H$13:$H$2301,"n/a",0,1)</f>
        <v>-15000</v>
      </c>
      <c r="K1560">
        <f>_xlfn.XLOOKUP($F1560,設計座標!$E$13:$E$2301,設計座標!$I$13:$I$2301,"n/a",0,1)</f>
        <v>-159578.82350823001</v>
      </c>
      <c r="L1560">
        <f>_xlfn.XLOOKUP($F1560,設計座標!$E$13:$E$2301,設計座標!$J$13:$J$2301,"n/a",0,1)</f>
        <v>-50</v>
      </c>
      <c r="M1560" s="2">
        <f t="shared" si="1229"/>
        <v>-14978.479810186062</v>
      </c>
      <c r="N1560" s="2">
        <f t="shared" si="1230"/>
        <v>-159578.82350823001</v>
      </c>
      <c r="O1560" s="23">
        <f t="shared" si="1231"/>
        <v>-52.596434053245723</v>
      </c>
      <c r="P1560" s="1">
        <f t="shared" si="1182"/>
        <v>-50.033321731076697</v>
      </c>
      <c r="Q1560" s="1">
        <f>(Q$1561-Q$1559)/($N$1561-$N$1559)*($N1560-$N$1559)+Q$1559</f>
        <v>21.520189813939311</v>
      </c>
      <c r="R1560">
        <f t="shared" si="1205"/>
        <v>0</v>
      </c>
      <c r="S1560" s="23">
        <f>(S$1561-S$1559)/($N$1561-$N$1559)*($N1560-$N$1559)+S$1559</f>
        <v>-2.5964340532457224</v>
      </c>
      <c r="T1560">
        <f>$S1560+測地線補正!$Q$26*(lattice!$N1560/1000)^3+測地線補正!$P$26*(lattice!$N1560/1000)^2+測地線補正!$O$26*(lattice!$N1560/1000)+測地線補正!$N$26</f>
        <v>-3.3321731076698002E-2</v>
      </c>
      <c r="U1560">
        <f t="shared" ref="U1560:U1561" si="1232">-ATAN(($P$1561-$P$1559)/ABS($N$1561-$N$1559))</f>
        <v>-5.6153666737210827E-4</v>
      </c>
      <c r="V1560">
        <v>0</v>
      </c>
      <c r="W1560">
        <f t="shared" ref="W1560:W1561" si="1233">ATAN(($M$1561-$M$1559)/ABS($N$1561-$N$1559))</f>
        <v>6.1628969699345645E-4</v>
      </c>
      <c r="X1560">
        <f>$Z$1560-($Y$1560+$Y$1558)/2</f>
        <v>189.94894632539069</v>
      </c>
      <c r="Y1560">
        <f>_xlfn.XLOOKUP($F1560,設計座標!$E$13:$E$2301,設計座標!$L$13:$L$2301," ",0,1)</f>
        <v>200</v>
      </c>
      <c r="Z1560">
        <f>SQRT(($M$1560-$M$1558)^2+($N$1560-$N$1558)^2)</f>
        <v>329.94894632539069</v>
      </c>
      <c r="AA1560">
        <f>_xlfn.XLOOKUP($G1560,magnet_list!$A$2:$A$592,magnet_list!$AJ$2:$AJ$592,"n/a",0,1)</f>
        <v>0.21244935000000001</v>
      </c>
      <c r="AB1560">
        <f>_xlfn.XLOOKUP($G1560,magnet_list!$A$2:$A$592,magnet_list!$L$2:$L$592,"n/a",0,1)</f>
        <v>20</v>
      </c>
    </row>
    <row r="1561" spans="1:28">
      <c r="A1561" t="s">
        <v>797</v>
      </c>
      <c r="B1561">
        <v>3</v>
      </c>
      <c r="C1561" t="s">
        <v>805</v>
      </c>
      <c r="D1561" t="s">
        <v>806</v>
      </c>
      <c r="F1561" t="s">
        <v>415</v>
      </c>
      <c r="G1561" t="s">
        <v>2709</v>
      </c>
      <c r="I1561">
        <f>_xlfn.XLOOKUP($F1561,設計座標!$E$13:$E$2301,設計座標!$G$13:$G$2301,"n/a",0,1)</f>
        <v>424.01812000000001</v>
      </c>
      <c r="J1561">
        <f>_xlfn.XLOOKUP($F1561,設計座標!$E$13:$E$2301,設計座標!$H$13:$H$2301,"n/a",0,1)</f>
        <v>-15000</v>
      </c>
      <c r="K1561">
        <f>_xlfn.XLOOKUP($F1561,設計座標!$E$13:$E$2301,設計座標!$I$13:$I$2301,"n/a",0,1)</f>
        <v>-159653.84668391</v>
      </c>
      <c r="L1561">
        <f>_xlfn.XLOOKUP($F1561,設計座標!$E$13:$E$2301,設計座標!$J$13:$J$2301,"n/a",0,1)</f>
        <v>-50</v>
      </c>
      <c r="M1561" s="2">
        <f>_xlfn.XLOOKUP($F1561,survey_data!$A$2:$A$833,survey_data!$B$2:$B$833,"n/a",0,1)</f>
        <v>-14978.43357417</v>
      </c>
      <c r="N1561" s="2">
        <f>_xlfn.XLOOKUP($F1561,survey_data!$A$2:$A$833,survey_data!$C$2:$C$833,"n/a",0,1)</f>
        <v>-159653.84668391</v>
      </c>
      <c r="O1561" s="23">
        <f>_xlfn.XLOOKUP($F1561,survey_data!$A$2:$A$833,survey_data!$D$2:$D$833,"n/a",0,1)</f>
        <v>-52.554798409999997</v>
      </c>
      <c r="P1561" s="1">
        <f t="shared" si="1182"/>
        <v>-49.991193989946794</v>
      </c>
      <c r="Q1561" s="1">
        <f t="shared" si="1206"/>
        <v>21.566425830000298</v>
      </c>
      <c r="R1561">
        <f t="shared" si="1205"/>
        <v>0</v>
      </c>
      <c r="S1561" s="23">
        <f t="shared" si="1207"/>
        <v>-2.5547984099999965</v>
      </c>
      <c r="T1561">
        <f>$S1561+測地線補正!$Q$26*(lattice!$N1561/1000)^3+測地線補正!$P$26*(lattice!$N1561/1000)^2+測地線補正!$O$26*(lattice!$N1561/1000)+測地線補正!$N$26</f>
        <v>8.8060100532041385E-3</v>
      </c>
      <c r="U1561">
        <f t="shared" si="1232"/>
        <v>-5.6153666737210827E-4</v>
      </c>
      <c r="V1561">
        <v>0</v>
      </c>
      <c r="W1561">
        <f t="shared" si="1233"/>
        <v>6.1628969699345645E-4</v>
      </c>
      <c r="X1561">
        <f>$Z$1560-($Y$1560+$Y$1558)/2</f>
        <v>189.94894632539069</v>
      </c>
      <c r="Y1561">
        <f>_xlfn.XLOOKUP($F1561,設計座標!$E$13:$E$2301,設計座標!$L$13:$L$2301," ",0,1)</f>
        <v>200</v>
      </c>
      <c r="Z1561">
        <f>SQRT(($M$1560-$M$1558)^2+($N$1560-$N$1558)^2)</f>
        <v>329.94894632539069</v>
      </c>
      <c r="AA1561">
        <f>_xlfn.XLOOKUP($G1561,magnet_list!$A$2:$A$592,magnet_list!$AJ$2:$AJ$592,"n/a",0,1)</f>
        <v>0.21244935000000001</v>
      </c>
      <c r="AB1561">
        <f>_xlfn.XLOOKUP($G1561,magnet_list!$A$2:$A$592,magnet_list!$L$2:$L$592,"n/a",0,1)</f>
        <v>20</v>
      </c>
    </row>
    <row r="1562" spans="1:28">
      <c r="A1562" t="s">
        <v>797</v>
      </c>
      <c r="B1562">
        <v>3</v>
      </c>
      <c r="C1562" t="s">
        <v>2288</v>
      </c>
      <c r="D1562" t="s">
        <v>1152</v>
      </c>
      <c r="E1562" t="s">
        <v>804</v>
      </c>
      <c r="F1562" t="s">
        <v>2287</v>
      </c>
      <c r="G1562" t="s">
        <v>2287</v>
      </c>
      <c r="I1562">
        <f>_xlfn.XLOOKUP($F1562,設計座標!$E$13:$E$2301,設計座標!$G$13:$G$2301,"n/a",0,1)</f>
        <v>424.27675236136906</v>
      </c>
      <c r="J1562">
        <f>_xlfn.XLOOKUP($F1562,設計座標!$E$13:$E$2301,設計座標!$H$13:$H$2301,"n/a",0,1)</f>
        <v>-15000</v>
      </c>
      <c r="K1562">
        <f>_xlfn.XLOOKUP($F1562,設計座標!$E$13:$E$2301,設計座標!$I$13:$I$2301,"n/a",0,1)</f>
        <v>-159800.41149545999</v>
      </c>
      <c r="L1562">
        <f>_xlfn.XLOOKUP($F1562,設計座標!$E$13:$E$2301,設計座標!$J$13:$J$2301,"n/a",0,1)</f>
        <v>-270</v>
      </c>
      <c r="M1562" s="2">
        <f t="shared" si="1229"/>
        <v>-14978.414284217641</v>
      </c>
      <c r="N1562" s="2">
        <f t="shared" si="1230"/>
        <v>-159800.41149545999</v>
      </c>
      <c r="O1562" s="23">
        <f t="shared" si="1231"/>
        <v>-272.55786118216031</v>
      </c>
      <c r="P1562" s="1">
        <f t="shared" si="1182"/>
        <v>-269.99329844565295</v>
      </c>
      <c r="Q1562" s="1">
        <f>(Q$1591-Q$1561)/($N$1591-$N$1561)*($N1562-$N$1561)+Q$1561</f>
        <v>21.585715782358708</v>
      </c>
      <c r="R1562">
        <f t="shared" si="1205"/>
        <v>0</v>
      </c>
      <c r="S1562" s="23">
        <f t="shared" ref="S1562:S1590" si="1234">(S$1591-S$1561)/($N$1591-$N$1561)*($N1562-$N$1561)+S$1561</f>
        <v>-2.5578611821603068</v>
      </c>
      <c r="T1562">
        <f>$S1562+測地線補正!$Q$26*(lattice!$N1562/1000)^3+測地線補正!$P$26*(lattice!$N1562/1000)^2+測地線補正!$O$26*(lattice!$N1562/1000)+測地線補正!$N$26</f>
        <v>6.7015543470183569E-3</v>
      </c>
      <c r="U1562">
        <v>0</v>
      </c>
      <c r="V1562">
        <v>0</v>
      </c>
      <c r="W1562">
        <v>0</v>
      </c>
      <c r="X1562">
        <f>$Z$1562-($Y$1562+$Y$1560)/2</f>
        <v>121.58799691835387</v>
      </c>
      <c r="Y1562">
        <f>_xlfn.XLOOKUP($F1562,設計座標!$E$13:$E$2301,設計座標!$L$13:$L$2301," ",0,1)</f>
        <v>0</v>
      </c>
      <c r="Z1562">
        <f>SQRT(($M$1562-$M$1560)^2+($N$1562-$N$1560)^2)</f>
        <v>221.58799691835387</v>
      </c>
    </row>
    <row r="1563" spans="1:28">
      <c r="A1563" t="s">
        <v>797</v>
      </c>
      <c r="B1563">
        <v>3</v>
      </c>
      <c r="C1563" t="s">
        <v>804</v>
      </c>
      <c r="D1563" t="s">
        <v>1152</v>
      </c>
      <c r="E1563" t="s">
        <v>804</v>
      </c>
      <c r="F1563" t="s">
        <v>1662</v>
      </c>
      <c r="G1563" t="s">
        <v>2710</v>
      </c>
      <c r="I1563">
        <f>_xlfn.XLOOKUP($F1563,設計座標!$E$13:$E$2301,設計座標!$G$13:$G$2301,"n/a",0,1)</f>
        <v>424.45722156136912</v>
      </c>
      <c r="J1563">
        <f>_xlfn.XLOOKUP($F1563,設計座標!$E$13:$E$2301,設計座標!$H$13:$H$2301,"n/a",0,1)</f>
        <v>-15000</v>
      </c>
      <c r="K1563">
        <f>_xlfn.XLOOKUP($F1563,設計座標!$E$13:$E$2301,設計座標!$I$13:$I$2301,"n/a",0,1)</f>
        <v>-159980.88069546001</v>
      </c>
      <c r="L1563">
        <f>_xlfn.XLOOKUP($F1563,設計座標!$E$13:$E$2301,設計座標!$J$13:$J$2301,"n/a",0,1)</f>
        <v>-270</v>
      </c>
      <c r="M1563" s="2">
        <f t="shared" si="1229"/>
        <v>-14978.390531979752</v>
      </c>
      <c r="N1563" s="2">
        <f t="shared" si="1230"/>
        <v>-159980.88069546001</v>
      </c>
      <c r="O1563" s="23">
        <f t="shared" si="1231"/>
        <v>-272.56163245601323</v>
      </c>
      <c r="P1563" s="1">
        <f t="shared" ref="P1563:P1626" si="1235">$L1563+$T1563</f>
        <v>-269.99589524525123</v>
      </c>
      <c r="Q1563" s="1">
        <f t="shared" ref="Q1563:Q1590" si="1236">(Q$1591-Q$1561)/($N$1591-$N$1561)*($N1563-$N$1561)+Q$1561</f>
        <v>21.60946802024818</v>
      </c>
      <c r="R1563">
        <f t="shared" si="1205"/>
        <v>0</v>
      </c>
      <c r="S1563" s="23">
        <f t="shared" si="1234"/>
        <v>-2.5616324560132053</v>
      </c>
      <c r="T1563">
        <f>$S1563+測地線補正!$Q$26*(lattice!$N1563/1000)^3+測地線補正!$P$26*(lattice!$N1563/1000)^2+測地線補正!$O$26*(lattice!$N1563/1000)+測地線補正!$N$26</f>
        <v>4.1047547487413905E-3</v>
      </c>
      <c r="U1563">
        <f>-ATAN(($P$1565-$P$1563)/ABS($N$1565-$N$1563))</f>
        <v>1.4582361863590686E-5</v>
      </c>
      <c r="V1563">
        <v>0</v>
      </c>
      <c r="W1563">
        <f>ATAN(($M$1565-$M$1563)/ABS($N$1565-$N$1563))</f>
        <v>1.3161380308819541E-4</v>
      </c>
      <c r="X1563">
        <f>SQRT(($M$1563-$M$1562)^2+($N$1563-$N$1562)^2)</f>
        <v>180.46920156308255</v>
      </c>
      <c r="Y1563">
        <f>_xlfn.XLOOKUP($F1563,設計座標!$E$13:$E$2301,設計座標!$L$13:$L$2301," ",0,1)</f>
        <v>1889.4492</v>
      </c>
      <c r="Z1563">
        <f>SQRT(($M$1564-$M$1562)^2+($N$1564-$N$1562)^2)</f>
        <v>1125.1938097454204</v>
      </c>
    </row>
    <row r="1564" spans="1:28">
      <c r="A1564" t="s">
        <v>797</v>
      </c>
      <c r="B1564">
        <v>3</v>
      </c>
      <c r="C1564" t="s">
        <v>804</v>
      </c>
      <c r="D1564" t="s">
        <v>1152</v>
      </c>
      <c r="E1564" t="s">
        <v>804</v>
      </c>
      <c r="F1564" t="s">
        <v>1200</v>
      </c>
      <c r="G1564" t="s">
        <v>2710</v>
      </c>
      <c r="I1564">
        <f>_xlfn.XLOOKUP($F1564,設計座標!$E$13:$E$2301,設計座標!$G$13:$G$2301,"n/a",0,1)</f>
        <v>425.4019461613691</v>
      </c>
      <c r="J1564">
        <f>_xlfn.XLOOKUP($F1564,設計座標!$E$13:$E$2301,設計座標!$H$13:$H$2301,"n/a",0,1)</f>
        <v>-15000</v>
      </c>
      <c r="K1564">
        <f>_xlfn.XLOOKUP($F1564,設計座標!$E$13:$E$2301,設計座標!$I$13:$I$2301,"n/a",0,1)</f>
        <v>-160925.60529546</v>
      </c>
      <c r="L1564">
        <f>_xlfn.XLOOKUP($F1564,設計座標!$E$13:$E$2301,設計座標!$J$13:$J$2301,"n/a",0,1)</f>
        <v>-270</v>
      </c>
      <c r="M1564" s="2">
        <f t="shared" si="1229"/>
        <v>-14978.266193181556</v>
      </c>
      <c r="N1564" s="2">
        <f t="shared" si="1230"/>
        <v>-160925.60529546</v>
      </c>
      <c r="O1564" s="23">
        <f t="shared" si="1231"/>
        <v>-272.58137441299073</v>
      </c>
      <c r="P1564" s="1">
        <f t="shared" si="1235"/>
        <v>-270.00958839154885</v>
      </c>
      <c r="Q1564" s="1">
        <f t="shared" si="1236"/>
        <v>21.733806818443281</v>
      </c>
      <c r="R1564">
        <f t="shared" si="1205"/>
        <v>0</v>
      </c>
      <c r="S1564" s="23">
        <f t="shared" si="1234"/>
        <v>-2.581374412990737</v>
      </c>
      <c r="T1564">
        <f>$S1564+測地線補正!$Q$26*(lattice!$N1564/1000)^3+測地線補正!$P$26*(lattice!$N1564/1000)^2+測地線補正!$O$26*(lattice!$N1564/1000)+測地線補正!$N$26</f>
        <v>-9.5883915488672589E-3</v>
      </c>
      <c r="U1564">
        <f t="shared" ref="U1564:U1565" si="1237">-ATAN(($P$1565-$P$1563)/ABS($N$1565-$N$1563))</f>
        <v>1.4582361863590686E-5</v>
      </c>
      <c r="V1564">
        <v>0</v>
      </c>
      <c r="W1564">
        <f t="shared" ref="W1564:W1565" si="1238">ATAN(($M$1565-$M$1563)/ABS($N$1565-$N$1563))</f>
        <v>1.3161380308819541E-4</v>
      </c>
      <c r="X1564" t="s">
        <v>3860</v>
      </c>
      <c r="Y1564">
        <f>_xlfn.XLOOKUP($F1564,設計座標!$E$13:$E$2301,設計座標!$L$13:$L$2301," ",0,1)</f>
        <v>1889.4492</v>
      </c>
      <c r="Z1564">
        <f>SQRT(($M$1564-$M$1562)^2+($N$1564-$N$1562)^2)</f>
        <v>1125.1938097454204</v>
      </c>
    </row>
    <row r="1565" spans="1:28">
      <c r="A1565" t="s">
        <v>797</v>
      </c>
      <c r="B1565">
        <v>3</v>
      </c>
      <c r="C1565" t="s">
        <v>804</v>
      </c>
      <c r="D1565" t="s">
        <v>1152</v>
      </c>
      <c r="E1565" t="s">
        <v>804</v>
      </c>
      <c r="F1565" t="s">
        <v>1663</v>
      </c>
      <c r="G1565" t="s">
        <v>2710</v>
      </c>
      <c r="I1565">
        <f>_xlfn.XLOOKUP($F1565,設計座標!$E$13:$E$2301,設計座標!$G$13:$G$2301,"n/a",0,1)</f>
        <v>426.34667076136907</v>
      </c>
      <c r="J1565">
        <f>_xlfn.XLOOKUP($F1565,設計座標!$E$13:$E$2301,設計座標!$H$13:$H$2301,"n/a",0,1)</f>
        <v>-15000</v>
      </c>
      <c r="K1565">
        <f>_xlfn.XLOOKUP($F1565,設計座標!$E$13:$E$2301,設計座標!$I$13:$I$2301,"n/a",0,1)</f>
        <v>-161870.32989545999</v>
      </c>
      <c r="L1565">
        <f>_xlfn.XLOOKUP($F1565,設計座標!$E$13:$E$2301,設計座標!$J$13:$J$2301,"n/a",0,1)</f>
        <v>-270</v>
      </c>
      <c r="M1565" s="2">
        <f t="shared" si="1229"/>
        <v>-14978.141854383362</v>
      </c>
      <c r="N1565" s="2">
        <f t="shared" si="1230"/>
        <v>-161870.32989545999</v>
      </c>
      <c r="O1565" s="23">
        <f t="shared" si="1231"/>
        <v>-272.60111636996828</v>
      </c>
      <c r="P1565" s="1">
        <f t="shared" si="1235"/>
        <v>-270.02344787721046</v>
      </c>
      <c r="Q1565" s="1">
        <f t="shared" si="1236"/>
        <v>21.858145616638385</v>
      </c>
      <c r="R1565">
        <f t="shared" si="1205"/>
        <v>0</v>
      </c>
      <c r="S1565" s="23">
        <f t="shared" si="1234"/>
        <v>-2.6011163699682687</v>
      </c>
      <c r="T1565">
        <f>$S1565+測地線補正!$Q$26*(lattice!$N1565/1000)^3+測地線補正!$P$26*(lattice!$N1565/1000)^2+測地線補正!$O$26*(lattice!$N1565/1000)+測地線補正!$N$26</f>
        <v>-2.3447877210468926E-2</v>
      </c>
      <c r="U1565">
        <f t="shared" si="1237"/>
        <v>1.4582361863590686E-5</v>
      </c>
      <c r="V1565">
        <v>0</v>
      </c>
      <c r="W1565">
        <f t="shared" si="1238"/>
        <v>1.3161380308819541E-4</v>
      </c>
      <c r="X1565" t="s">
        <v>3860</v>
      </c>
      <c r="Y1565">
        <f>_xlfn.XLOOKUP($F1565,設計座標!$E$13:$E$2301,設計座標!$L$13:$L$2301," ",0,1)</f>
        <v>1889.4492</v>
      </c>
      <c r="Z1565">
        <f>SQRT(($M$1564-$M$1562)^2+($N$1564-$N$1562)^2)</f>
        <v>1125.1938097454204</v>
      </c>
    </row>
    <row r="1566" spans="1:28">
      <c r="A1566" t="s">
        <v>797</v>
      </c>
      <c r="B1566">
        <v>3</v>
      </c>
      <c r="C1566" t="s">
        <v>804</v>
      </c>
      <c r="D1566" t="s">
        <v>1152</v>
      </c>
      <c r="E1566" t="s">
        <v>804</v>
      </c>
      <c r="F1566" t="s">
        <v>1664</v>
      </c>
      <c r="G1566" t="s">
        <v>2711</v>
      </c>
      <c r="I1566">
        <f>_xlfn.XLOOKUP($F1566,設計座標!$E$13:$E$2301,設計座標!$G$13:$G$2301,"n/a",0,1)</f>
        <v>426.55661256136915</v>
      </c>
      <c r="J1566">
        <f>_xlfn.XLOOKUP($F1566,設計座標!$E$13:$E$2301,設計座標!$H$13:$H$2301,"n/a",0,1)</f>
        <v>-15000</v>
      </c>
      <c r="K1566">
        <f>_xlfn.XLOOKUP($F1566,設計座標!$E$13:$E$2301,設計座標!$I$13:$I$2301,"n/a",0,1)</f>
        <v>-162080.27169546002</v>
      </c>
      <c r="L1566">
        <f>_xlfn.XLOOKUP($F1566,設計座標!$E$13:$E$2301,設計座標!$J$13:$J$2301,"n/a",0,1)</f>
        <v>-270</v>
      </c>
      <c r="M1566" s="2">
        <f t="shared" si="1229"/>
        <v>-14978.114223144477</v>
      </c>
      <c r="N1566" s="2">
        <f t="shared" si="1230"/>
        <v>-162080.27169546002</v>
      </c>
      <c r="O1566" s="23">
        <f t="shared" si="1231"/>
        <v>-272.60550353420996</v>
      </c>
      <c r="P1566" s="1">
        <f t="shared" si="1235"/>
        <v>-270.02655032755194</v>
      </c>
      <c r="Q1566" s="1">
        <f t="shared" si="1236"/>
        <v>21.885776855523154</v>
      </c>
      <c r="R1566">
        <f t="shared" si="1205"/>
        <v>0</v>
      </c>
      <c r="S1566" s="23">
        <f t="shared" si="1234"/>
        <v>-2.6055035342099813</v>
      </c>
      <c r="T1566">
        <f>$S1566+測地線補正!$Q$26*(lattice!$N1566/1000)^3+測地線補正!$P$26*(lattice!$N1566/1000)^2+測地線補正!$O$26*(lattice!$N1566/1000)+測地線補正!$N$26</f>
        <v>-2.6550327551926545E-2</v>
      </c>
      <c r="U1566">
        <f>-ATAN(($P$1568-$P$1566)/ABS($N$1568-$N$1566))</f>
        <v>1.4971839091298069E-5</v>
      </c>
      <c r="V1566">
        <v>0</v>
      </c>
      <c r="W1566">
        <f>ATAN(($M$1568-$M$1566)/ABS($N$1568-$N$1566))</f>
        <v>1.3161380308819541E-4</v>
      </c>
      <c r="X1566">
        <f>SQRT(($M$1566-$M$1565)^2+($N$1566-$N$1565)^2)</f>
        <v>209.94180181835583</v>
      </c>
      <c r="Y1566">
        <f>_xlfn.XLOOKUP($F1566,設計座標!$E$13:$E$2301,設計座標!$L$13:$L$2301," ",0,1)</f>
        <v>1889.4492</v>
      </c>
      <c r="Z1566">
        <f>SQRT(($M$1567-$M$1564)^2+($N$1567-$N$1564)^2)</f>
        <v>2099.3910181830315</v>
      </c>
    </row>
    <row r="1567" spans="1:28">
      <c r="A1567" t="s">
        <v>797</v>
      </c>
      <c r="B1567">
        <v>3</v>
      </c>
      <c r="C1567" t="s">
        <v>804</v>
      </c>
      <c r="D1567" t="s">
        <v>1152</v>
      </c>
      <c r="E1567" t="s">
        <v>804</v>
      </c>
      <c r="F1567" t="s">
        <v>1256</v>
      </c>
      <c r="G1567" t="s">
        <v>2711</v>
      </c>
      <c r="I1567">
        <f>_xlfn.XLOOKUP($F1567,設計座標!$E$13:$E$2301,設計座標!$G$13:$G$2301,"n/a",0,1)</f>
        <v>427.50133716136912</v>
      </c>
      <c r="J1567">
        <f>_xlfn.XLOOKUP($F1567,設計座標!$E$13:$E$2301,設計座標!$H$13:$H$2301,"n/a",0,1)</f>
        <v>-15000</v>
      </c>
      <c r="K1567">
        <f>_xlfn.XLOOKUP($F1567,設計座標!$E$13:$E$2301,設計座標!$I$13:$I$2301,"n/a",0,1)</f>
        <v>-163024.99629546001</v>
      </c>
      <c r="L1567">
        <f>_xlfn.XLOOKUP($F1567,設計座標!$E$13:$E$2301,設計座標!$J$13:$J$2301,"n/a",0,1)</f>
        <v>-270</v>
      </c>
      <c r="M1567" s="2">
        <f t="shared" si="1229"/>
        <v>-14977.989884346282</v>
      </c>
      <c r="N1567" s="2">
        <f t="shared" si="1230"/>
        <v>-163024.99629546001</v>
      </c>
      <c r="O1567" s="23">
        <f t="shared" si="1231"/>
        <v>-272.62524549118751</v>
      </c>
      <c r="P1567" s="1">
        <f t="shared" si="1235"/>
        <v>-270.04061218524515</v>
      </c>
      <c r="Q1567" s="1">
        <f t="shared" si="1236"/>
        <v>22.010115653718259</v>
      </c>
      <c r="R1567">
        <f t="shared" si="1205"/>
        <v>0</v>
      </c>
      <c r="S1567" s="23">
        <f t="shared" si="1234"/>
        <v>-2.6252454911875129</v>
      </c>
      <c r="T1567">
        <f>$S1567+測地線補正!$Q$26*(lattice!$N1567/1000)^3+測地線補正!$P$26*(lattice!$N1567/1000)^2+測地線補正!$O$26*(lattice!$N1567/1000)+測地線補正!$N$26</f>
        <v>-4.0612185245172627E-2</v>
      </c>
      <c r="U1567">
        <f t="shared" ref="U1567:U1568" si="1239">-ATAN(($P$1568-$P$1566)/ABS($N$1568-$N$1566))</f>
        <v>1.4971839091298069E-5</v>
      </c>
      <c r="V1567">
        <v>0</v>
      </c>
      <c r="W1567">
        <f t="shared" ref="W1567:W1568" si="1240">ATAN(($M$1568-$M$1566)/ABS($N$1568-$N$1566))</f>
        <v>1.3161380308819541E-4</v>
      </c>
      <c r="X1567" t="s">
        <v>3860</v>
      </c>
      <c r="Y1567">
        <f>_xlfn.XLOOKUP($F1567,設計座標!$E$13:$E$2301,設計座標!$L$13:$L$2301," ",0,1)</f>
        <v>1889.4492</v>
      </c>
      <c r="Z1567">
        <f>SQRT(($M$1567-$M$1564)^2+($N$1567-$N$1564)^2)</f>
        <v>2099.3910181830315</v>
      </c>
    </row>
    <row r="1568" spans="1:28">
      <c r="A1568" t="s">
        <v>797</v>
      </c>
      <c r="B1568">
        <v>3</v>
      </c>
      <c r="C1568" t="s">
        <v>804</v>
      </c>
      <c r="D1568" t="s">
        <v>1152</v>
      </c>
      <c r="E1568" t="s">
        <v>804</v>
      </c>
      <c r="F1568" t="s">
        <v>1665</v>
      </c>
      <c r="G1568" t="s">
        <v>2711</v>
      </c>
      <c r="I1568">
        <f>_xlfn.XLOOKUP($F1568,設計座標!$E$13:$E$2301,設計座標!$G$13:$G$2301,"n/a",0,1)</f>
        <v>428.44606176136909</v>
      </c>
      <c r="J1568">
        <f>_xlfn.XLOOKUP($F1568,設計座標!$E$13:$E$2301,設計座標!$H$13:$H$2301,"n/a",0,1)</f>
        <v>-15000</v>
      </c>
      <c r="K1568">
        <f>_xlfn.XLOOKUP($F1568,設計座標!$E$13:$E$2301,設計座標!$I$13:$I$2301,"n/a",0,1)</f>
        <v>-163969.72089545999</v>
      </c>
      <c r="L1568">
        <f>_xlfn.XLOOKUP($F1568,設計座標!$E$13:$E$2301,設計座標!$J$13:$J$2301,"n/a",0,1)</f>
        <v>-270</v>
      </c>
      <c r="M1568" s="2">
        <f t="shared" si="1229"/>
        <v>-14977.865545548088</v>
      </c>
      <c r="N1568" s="2">
        <f t="shared" si="1230"/>
        <v>-163969.72089545999</v>
      </c>
      <c r="O1568" s="23">
        <f t="shared" si="1231"/>
        <v>-272.64498744816507</v>
      </c>
      <c r="P1568" s="1">
        <f t="shared" si="1235"/>
        <v>-270.05483885694764</v>
      </c>
      <c r="Q1568" s="1">
        <f t="shared" si="1236"/>
        <v>22.13445445191336</v>
      </c>
      <c r="R1568">
        <f t="shared" si="1205"/>
        <v>0</v>
      </c>
      <c r="S1568" s="23">
        <f t="shared" si="1234"/>
        <v>-2.6449874481650446</v>
      </c>
      <c r="T1568">
        <f>$S1568+測地線補正!$Q$26*(lattice!$N1568/1000)^3+測地線補正!$P$26*(lattice!$N1568/1000)^2+測地線補正!$O$26*(lattice!$N1568/1000)+測地線補正!$N$26</f>
        <v>-5.4838856947639458E-2</v>
      </c>
      <c r="U1568">
        <f t="shared" si="1239"/>
        <v>1.4971839091298069E-5</v>
      </c>
      <c r="V1568">
        <v>0</v>
      </c>
      <c r="W1568">
        <f t="shared" si="1240"/>
        <v>1.3161380308819541E-4</v>
      </c>
      <c r="X1568" t="s">
        <v>3860</v>
      </c>
      <c r="Y1568">
        <f>_xlfn.XLOOKUP($F1568,設計座標!$E$13:$E$2301,設計座標!$L$13:$L$2301," ",0,1)</f>
        <v>1889.4492</v>
      </c>
      <c r="Z1568">
        <f>SQRT(($M$1567-$M$1564)^2+($N$1567-$N$1564)^2)</f>
        <v>2099.3910181830315</v>
      </c>
    </row>
    <row r="1569" spans="1:26">
      <c r="A1569" t="s">
        <v>797</v>
      </c>
      <c r="B1569">
        <v>3</v>
      </c>
      <c r="C1569" t="s">
        <v>1152</v>
      </c>
      <c r="D1569" t="s">
        <v>1152</v>
      </c>
      <c r="E1569" t="s">
        <v>804</v>
      </c>
      <c r="F1569" t="s">
        <v>2155</v>
      </c>
      <c r="G1569" t="s">
        <v>2155</v>
      </c>
      <c r="I1569">
        <f>_xlfn.XLOOKUP($F1569,設計座標!$E$13:$E$2301,設計座標!$G$13:$G$2301,"n/a",0,1)</f>
        <v>428.74093436136911</v>
      </c>
      <c r="J1569">
        <f>_xlfn.XLOOKUP($F1569,設計座標!$E$13:$E$2301,設計座標!$H$13:$H$2301,"n/a",0,1)</f>
        <v>-15000</v>
      </c>
      <c r="K1569">
        <f>_xlfn.XLOOKUP($F1569,設計座標!$E$13:$E$2301,設計座標!$I$13:$I$2301,"n/a",0,1)</f>
        <v>-164264.59349545999</v>
      </c>
      <c r="L1569">
        <f>_xlfn.XLOOKUP($F1569,設計座標!$E$13:$E$2301,設計座標!$J$13:$J$2301,"n/a",0,1)</f>
        <v>-270</v>
      </c>
      <c r="M1569" s="2">
        <f t="shared" si="1229"/>
        <v>-14977.826736243551</v>
      </c>
      <c r="N1569" s="2">
        <f t="shared" si="1230"/>
        <v>-164264.59349545999</v>
      </c>
      <c r="O1569" s="23">
        <f t="shared" si="1231"/>
        <v>-272.65114941556067</v>
      </c>
      <c r="P1569" s="1">
        <f t="shared" si="1235"/>
        <v>-270.05931300466642</v>
      </c>
      <c r="Q1569" s="1">
        <f t="shared" si="1236"/>
        <v>22.173263756450012</v>
      </c>
      <c r="R1569">
        <f t="shared" si="1205"/>
        <v>0</v>
      </c>
      <c r="S1569" s="23">
        <f t="shared" si="1234"/>
        <v>-2.6511494155606781</v>
      </c>
      <c r="T1569">
        <f>$S1569+測地線補正!$Q$26*(lattice!$N1569/1000)^3+測地線補正!$P$26*(lattice!$N1569/1000)^2+測地線補正!$O$26*(lattice!$N1569/1000)+測地線補正!$N$26</f>
        <v>-5.9313004666440294E-2</v>
      </c>
      <c r="U1569">
        <v>0</v>
      </c>
      <c r="V1569">
        <v>0</v>
      </c>
      <c r="W1569">
        <v>0</v>
      </c>
      <c r="X1569">
        <f>SQRT(($M$1569-$M$1568)^2+($N$1569-$N$1568)^2)</f>
        <v>294.87260255392249</v>
      </c>
      <c r="Y1569">
        <f>_xlfn.XLOOKUP($F1569,設計座標!$E$13:$E$2301,設計座標!$L$13:$L$2301," ",0,1)</f>
        <v>0</v>
      </c>
      <c r="Z1569">
        <f>SQRT(($M$1569-$M$1567)^2+($N$1569-$N$1567)^2)</f>
        <v>1239.5972107362604</v>
      </c>
    </row>
    <row r="1570" spans="1:26">
      <c r="A1570" t="s">
        <v>797</v>
      </c>
      <c r="B1570">
        <v>3</v>
      </c>
      <c r="C1570" t="s">
        <v>804</v>
      </c>
      <c r="D1570" t="s">
        <v>1152</v>
      </c>
      <c r="E1570" t="s">
        <v>804</v>
      </c>
      <c r="F1570" t="s">
        <v>1666</v>
      </c>
      <c r="G1570" t="s">
        <v>2712</v>
      </c>
      <c r="I1570">
        <f>_xlfn.XLOOKUP($F1570,設計座標!$E$13:$E$2301,設計座標!$G$13:$G$2301,"n/a",0,1)</f>
        <v>428.97090356136914</v>
      </c>
      <c r="J1570">
        <f>_xlfn.XLOOKUP($F1570,設計座標!$E$13:$E$2301,設計座標!$H$13:$H$2301,"n/a",0,1)</f>
        <v>-15000</v>
      </c>
      <c r="K1570">
        <f>_xlfn.XLOOKUP($F1570,設計座標!$E$13:$E$2301,設計座標!$I$13:$I$2301,"n/a",0,1)</f>
        <v>-164494.56269546002</v>
      </c>
      <c r="L1570">
        <f>_xlfn.XLOOKUP($F1570,設計座標!$E$13:$E$2301,設計座標!$J$13:$J$2301,"n/a",0,1)</f>
        <v>-270</v>
      </c>
      <c r="M1570" s="2">
        <f t="shared" si="1229"/>
        <v>-14977.79646912237</v>
      </c>
      <c r="N1570" s="2">
        <f t="shared" si="1230"/>
        <v>-164494.56269546002</v>
      </c>
      <c r="O1570" s="23">
        <f t="shared" si="1231"/>
        <v>-272.6559550933768</v>
      </c>
      <c r="P1570" s="1">
        <f t="shared" si="1235"/>
        <v>-270.06281344746202</v>
      </c>
      <c r="Q1570" s="1">
        <f t="shared" si="1236"/>
        <v>22.203530877629973</v>
      </c>
      <c r="R1570">
        <f t="shared" si="1205"/>
        <v>0</v>
      </c>
      <c r="S1570" s="23">
        <f t="shared" si="1234"/>
        <v>-2.655955093376793</v>
      </c>
      <c r="T1570">
        <f>$S1570+測地線補正!$Q$26*(lattice!$N1570/1000)^3+測地線補正!$P$26*(lattice!$N1570/1000)^2+測地線補正!$O$26*(lattice!$N1570/1000)+測地線補正!$N$26</f>
        <v>-6.2813447461996796E-2</v>
      </c>
      <c r="U1570">
        <f>-ATAN(($P$1572-$P$1570)/ABS($N$1572-$N$1570))</f>
        <v>1.5415300644410314E-5</v>
      </c>
      <c r="V1570">
        <v>0</v>
      </c>
      <c r="W1570">
        <f>ATAN(($M$1572-$M$1570)/ABS($N$1572-$N$1570))</f>
        <v>1.3161380308819541E-4</v>
      </c>
      <c r="X1570">
        <f>SQRT(($M$1570-$M$1569)^2+($N$1570-$N$1569)^2)</f>
        <v>229.96920199180684</v>
      </c>
      <c r="Y1570">
        <f>_xlfn.XLOOKUP($F1570,設計座標!$E$13:$E$2301,設計座標!$L$13:$L$2301," ",0,1)</f>
        <v>1889.4492</v>
      </c>
      <c r="Z1570">
        <f>SQRT(($M$1571-$M$1569)^2+($N$1571-$N$1569)^2)</f>
        <v>1174.6938101741448</v>
      </c>
    </row>
    <row r="1571" spans="1:26">
      <c r="A1571" t="s">
        <v>797</v>
      </c>
      <c r="B1571">
        <v>3</v>
      </c>
      <c r="C1571" t="s">
        <v>804</v>
      </c>
      <c r="D1571" t="s">
        <v>1152</v>
      </c>
      <c r="E1571" t="s">
        <v>804</v>
      </c>
      <c r="F1571" t="s">
        <v>1310</v>
      </c>
      <c r="G1571" t="s">
        <v>2712</v>
      </c>
      <c r="I1571">
        <f>_xlfn.XLOOKUP($F1571,設計座標!$E$13:$E$2301,設計座標!$G$13:$G$2301,"n/a",0,1)</f>
        <v>429.91562816136911</v>
      </c>
      <c r="J1571">
        <f>_xlfn.XLOOKUP($F1571,設計座標!$E$13:$E$2301,設計座標!$H$13:$H$2301,"n/a",0,1)</f>
        <v>-15000</v>
      </c>
      <c r="K1571">
        <f>_xlfn.XLOOKUP($F1571,設計座標!$E$13:$E$2301,設計座標!$I$13:$I$2301,"n/a",0,1)</f>
        <v>-165439.28729546</v>
      </c>
      <c r="L1571">
        <f>_xlfn.XLOOKUP($F1571,設計座標!$E$13:$E$2301,設計座標!$J$13:$J$2301,"n/a",0,1)</f>
        <v>-270</v>
      </c>
      <c r="M1571" s="2">
        <f t="shared" si="1229"/>
        <v>-14977.672130324176</v>
      </c>
      <c r="N1571" s="2">
        <f t="shared" si="1230"/>
        <v>-165439.28729546</v>
      </c>
      <c r="O1571" s="23">
        <f t="shared" si="1231"/>
        <v>-272.6756970503543</v>
      </c>
      <c r="P1571" s="1">
        <f t="shared" si="1235"/>
        <v>-270.07729513126958</v>
      </c>
      <c r="Q1571" s="1">
        <f t="shared" si="1236"/>
        <v>22.327869675825077</v>
      </c>
      <c r="R1571">
        <f t="shared" si="1205"/>
        <v>0</v>
      </c>
      <c r="S1571" s="23">
        <f t="shared" si="1234"/>
        <v>-2.6756970503543247</v>
      </c>
      <c r="T1571">
        <f>$S1571+測地線補正!$Q$26*(lattice!$N1571/1000)^3+測地線補正!$P$26*(lattice!$N1571/1000)^2+測地線補正!$O$26*(lattice!$N1571/1000)+測地線補正!$N$26</f>
        <v>-7.7295131269576212E-2</v>
      </c>
      <c r="U1571">
        <f t="shared" ref="U1571:U1572" si="1241">-ATAN(($P$1572-$P$1570)/ABS($N$1572-$N$1570))</f>
        <v>1.5415300644410314E-5</v>
      </c>
      <c r="V1571">
        <v>0</v>
      </c>
      <c r="W1571">
        <f t="shared" ref="W1571:W1572" si="1242">ATAN(($M$1572-$M$1570)/ABS($N$1572-$N$1570))</f>
        <v>1.3161380308819541E-4</v>
      </c>
      <c r="X1571" t="s">
        <v>3860</v>
      </c>
      <c r="Y1571">
        <f>_xlfn.XLOOKUP($F1571,設計座標!$E$13:$E$2301,設計座標!$L$13:$L$2301," ",0,1)</f>
        <v>1889.4492</v>
      </c>
      <c r="Z1571">
        <f>SQRT(($M$1571-$M$1569)^2+($N$1571-$N$1569)^2)</f>
        <v>1174.6938101741448</v>
      </c>
    </row>
    <row r="1572" spans="1:26">
      <c r="A1572" t="s">
        <v>797</v>
      </c>
      <c r="B1572">
        <v>3</v>
      </c>
      <c r="C1572" t="s">
        <v>804</v>
      </c>
      <c r="D1572" t="s">
        <v>1152</v>
      </c>
      <c r="E1572" t="s">
        <v>804</v>
      </c>
      <c r="F1572" t="s">
        <v>1667</v>
      </c>
      <c r="G1572" t="s">
        <v>2712</v>
      </c>
      <c r="I1572">
        <f>_xlfn.XLOOKUP($F1572,設計座標!$E$13:$E$2301,設計座標!$G$13:$G$2301,"n/a",0,1)</f>
        <v>430.86035276136909</v>
      </c>
      <c r="J1572">
        <f>_xlfn.XLOOKUP($F1572,設計座標!$E$13:$E$2301,設計座標!$H$13:$H$2301,"n/a",0,1)</f>
        <v>-15000</v>
      </c>
      <c r="K1572">
        <f>_xlfn.XLOOKUP($F1572,設計座標!$E$13:$E$2301,設計座標!$I$13:$I$2301,"n/a",0,1)</f>
        <v>-166384.01189545999</v>
      </c>
      <c r="L1572">
        <f>_xlfn.XLOOKUP($F1572,設計座標!$E$13:$E$2301,設計座標!$J$13:$J$2301,"n/a",0,1)</f>
        <v>-270</v>
      </c>
      <c r="M1572" s="2">
        <f t="shared" si="1229"/>
        <v>-14977.54779152598</v>
      </c>
      <c r="N1572" s="2">
        <f t="shared" si="1230"/>
        <v>-166384.01189545999</v>
      </c>
      <c r="O1572" s="23">
        <f t="shared" si="1231"/>
        <v>-272.69543900733186</v>
      </c>
      <c r="P1572" s="1">
        <f t="shared" si="1235"/>
        <v>-270.09193987493467</v>
      </c>
      <c r="Q1572" s="1">
        <f t="shared" si="1236"/>
        <v>22.452208474020178</v>
      </c>
      <c r="R1572">
        <f t="shared" si="1205"/>
        <v>0</v>
      </c>
      <c r="S1572" s="23">
        <f t="shared" si="1234"/>
        <v>-2.6954390073318564</v>
      </c>
      <c r="T1572">
        <f>$S1572+測地線補正!$Q$26*(lattice!$N1572/1000)^3+測地線補正!$P$26*(lattice!$N1572/1000)^2+測地線補正!$O$26*(lattice!$N1572/1000)+測地線補正!$N$26</f>
        <v>-9.1939874934673371E-2</v>
      </c>
      <c r="U1572">
        <f t="shared" si="1241"/>
        <v>1.5415300644410314E-5</v>
      </c>
      <c r="V1572">
        <v>0</v>
      </c>
      <c r="W1572">
        <f t="shared" si="1242"/>
        <v>1.3161380308819541E-4</v>
      </c>
      <c r="X1572" t="s">
        <v>3860</v>
      </c>
      <c r="Y1572">
        <f>_xlfn.XLOOKUP($F1572,設計座標!$E$13:$E$2301,設計座標!$L$13:$L$2301," ",0,1)</f>
        <v>1889.4492</v>
      </c>
      <c r="Z1572">
        <f>SQRT(($M$1571-$M$1569)^2+($N$1571-$N$1569)^2)</f>
        <v>1174.6938101741448</v>
      </c>
    </row>
    <row r="1573" spans="1:26">
      <c r="A1573" t="s">
        <v>797</v>
      </c>
      <c r="B1573">
        <v>3</v>
      </c>
      <c r="C1573" t="s">
        <v>804</v>
      </c>
      <c r="D1573" t="s">
        <v>1152</v>
      </c>
      <c r="E1573" t="s">
        <v>804</v>
      </c>
      <c r="F1573" t="s">
        <v>1668</v>
      </c>
      <c r="G1573" t="s">
        <v>2713</v>
      </c>
      <c r="I1573">
        <f>_xlfn.XLOOKUP($F1573,設計座標!$E$13:$E$2301,設計座標!$G$13:$G$2301,"n/a",0,1)</f>
        <v>431.07029456136917</v>
      </c>
      <c r="J1573">
        <f>_xlfn.XLOOKUP($F1573,設計座標!$E$13:$E$2301,設計座標!$H$13:$H$2301,"n/a",0,1)</f>
        <v>-15000</v>
      </c>
      <c r="K1573">
        <f>_xlfn.XLOOKUP($F1573,設計座標!$E$13:$E$2301,設計座標!$I$13:$I$2301,"n/a",0,1)</f>
        <v>-166593.95369546002</v>
      </c>
      <c r="L1573">
        <f>_xlfn.XLOOKUP($F1573,設計座標!$E$13:$E$2301,設計座標!$J$13:$J$2301,"n/a",0,1)</f>
        <v>-270</v>
      </c>
      <c r="M1573" s="2">
        <f t="shared" si="1229"/>
        <v>-14977.520160287095</v>
      </c>
      <c r="N1573" s="2">
        <f t="shared" si="1230"/>
        <v>-166593.95369546002</v>
      </c>
      <c r="O1573" s="23">
        <f t="shared" si="1231"/>
        <v>-272.69982617157359</v>
      </c>
      <c r="P1573" s="1">
        <f t="shared" si="1235"/>
        <v>-270.09521638417567</v>
      </c>
      <c r="Q1573" s="1">
        <f t="shared" si="1236"/>
        <v>22.479839712904951</v>
      </c>
      <c r="R1573">
        <f t="shared" si="1205"/>
        <v>0</v>
      </c>
      <c r="S1573" s="23">
        <f t="shared" si="1234"/>
        <v>-2.699826171573569</v>
      </c>
      <c r="T1573">
        <f>$S1573+測地線補正!$Q$26*(lattice!$N1573/1000)^3+測地線補正!$P$26*(lattice!$N1573/1000)^2+測地線補正!$O$26*(lattice!$N1573/1000)+測地線補正!$N$26</f>
        <v>-9.5216384175698332E-2</v>
      </c>
      <c r="U1573">
        <f>-ATAN(($P$1575-$P$1573)/ABS($N$1575-$N$1573))</f>
        <v>1.5797063663617558E-5</v>
      </c>
      <c r="V1573">
        <v>0</v>
      </c>
      <c r="W1573">
        <f>ATAN(($M$1575-$M$1573)/ABS($N$1575-$N$1573))</f>
        <v>1.3161380308819541E-4</v>
      </c>
      <c r="X1573">
        <f>SQRT(($M$1573-$M$1572)^2+($N$1573-$N$1572)^2)</f>
        <v>209.94180181835583</v>
      </c>
      <c r="Y1573">
        <f>_xlfn.XLOOKUP($F1573,設計座標!$E$13:$E$2301,設計座標!$L$13:$L$2301," ",0,1)</f>
        <v>1889.4492</v>
      </c>
      <c r="Z1573">
        <f>SQRT(($M$1574-$M$1571)^2+($N$1574-$N$1571)^2)</f>
        <v>2099.3910181830315</v>
      </c>
    </row>
    <row r="1574" spans="1:26">
      <c r="A1574" t="s">
        <v>797</v>
      </c>
      <c r="B1574">
        <v>3</v>
      </c>
      <c r="C1574" t="s">
        <v>804</v>
      </c>
      <c r="D1574" t="s">
        <v>1152</v>
      </c>
      <c r="E1574" t="s">
        <v>804</v>
      </c>
      <c r="F1574" t="s">
        <v>1364</v>
      </c>
      <c r="G1574" t="s">
        <v>2713</v>
      </c>
      <c r="I1574">
        <f>_xlfn.XLOOKUP($F1574,設計座標!$E$13:$E$2301,設計座標!$G$13:$G$2301,"n/a",0,1)</f>
        <v>432.01501916136914</v>
      </c>
      <c r="J1574">
        <f>_xlfn.XLOOKUP($F1574,設計座標!$E$13:$E$2301,設計座標!$H$13:$H$2301,"n/a",0,1)</f>
        <v>-15000</v>
      </c>
      <c r="K1574">
        <f>_xlfn.XLOOKUP($F1574,設計座標!$E$13:$E$2301,設計座標!$I$13:$I$2301,"n/a",0,1)</f>
        <v>-167538.67829546001</v>
      </c>
      <c r="L1574">
        <f>_xlfn.XLOOKUP($F1574,設計座標!$E$13:$E$2301,設計座標!$J$13:$J$2301,"n/a",0,1)</f>
        <v>-270</v>
      </c>
      <c r="M1574" s="2">
        <f t="shared" si="1229"/>
        <v>-14977.395821488901</v>
      </c>
      <c r="N1574" s="2">
        <f t="shared" si="1230"/>
        <v>-167538.67829546001</v>
      </c>
      <c r="O1574" s="23">
        <f t="shared" si="1231"/>
        <v>-272.71956812855109</v>
      </c>
      <c r="P1574" s="1">
        <f t="shared" si="1235"/>
        <v>-270.11005949157635</v>
      </c>
      <c r="Q1574" s="1">
        <f t="shared" si="1236"/>
        <v>22.604178511100052</v>
      </c>
      <c r="R1574">
        <f t="shared" si="1205"/>
        <v>0</v>
      </c>
      <c r="S1574" s="23">
        <f t="shared" si="1234"/>
        <v>-2.7195681285511006</v>
      </c>
      <c r="T1574">
        <f>$S1574+測地線補正!$Q$26*(lattice!$N1574/1000)^3+測地線補正!$P$26*(lattice!$N1574/1000)^2+測地線補正!$O$26*(lattice!$N1574/1000)+測地線補正!$N$26</f>
        <v>-0.11005949157633776</v>
      </c>
      <c r="U1574">
        <f t="shared" ref="U1574:U1575" si="1243">-ATAN(($P$1575-$P$1573)/ABS($N$1575-$N$1573))</f>
        <v>1.5797063663617558E-5</v>
      </c>
      <c r="V1574">
        <v>0</v>
      </c>
      <c r="W1574">
        <f t="shared" ref="W1574:W1575" si="1244">ATAN(($M$1575-$M$1573)/ABS($N$1575-$N$1573))</f>
        <v>1.3161380308819541E-4</v>
      </c>
      <c r="X1574" t="s">
        <v>3860</v>
      </c>
      <c r="Y1574">
        <f>_xlfn.XLOOKUP($F1574,設計座標!$E$13:$E$2301,設計座標!$L$13:$L$2301," ",0,1)</f>
        <v>1889.4492</v>
      </c>
      <c r="Z1574">
        <f>SQRT(($M$1574-$M$1571)^2+($N$1574-$N$1571)^2)</f>
        <v>2099.3910181830315</v>
      </c>
    </row>
    <row r="1575" spans="1:26">
      <c r="A1575" t="s">
        <v>797</v>
      </c>
      <c r="B1575">
        <v>3</v>
      </c>
      <c r="C1575" t="s">
        <v>804</v>
      </c>
      <c r="D1575" t="s">
        <v>1152</v>
      </c>
      <c r="E1575" t="s">
        <v>804</v>
      </c>
      <c r="F1575" t="s">
        <v>1669</v>
      </c>
      <c r="G1575" t="s">
        <v>2713</v>
      </c>
      <c r="I1575">
        <f>_xlfn.XLOOKUP($F1575,設計座標!$E$13:$E$2301,設計座標!$G$13:$G$2301,"n/a",0,1)</f>
        <v>432.95974376136911</v>
      </c>
      <c r="J1575">
        <f>_xlfn.XLOOKUP($F1575,設計座標!$E$13:$E$2301,設計座標!$H$13:$H$2301,"n/a",0,1)</f>
        <v>-15000</v>
      </c>
      <c r="K1575">
        <f>_xlfn.XLOOKUP($F1575,設計座標!$E$13:$E$2301,設計座標!$I$13:$I$2301,"n/a",0,1)</f>
        <v>-168483.40289545999</v>
      </c>
      <c r="L1575">
        <f>_xlfn.XLOOKUP($F1575,設計座標!$E$13:$E$2301,設計座標!$J$13:$J$2301,"n/a",0,1)</f>
        <v>-270</v>
      </c>
      <c r="M1575" s="2">
        <f t="shared" si="1229"/>
        <v>-14977.271482690705</v>
      </c>
      <c r="N1575" s="2">
        <f t="shared" si="1230"/>
        <v>-168483.40289545999</v>
      </c>
      <c r="O1575" s="23">
        <f t="shared" si="1231"/>
        <v>-272.73931008552864</v>
      </c>
      <c r="P1575" s="1">
        <f t="shared" si="1235"/>
        <v>-270.12506413347973</v>
      </c>
      <c r="Q1575" s="1">
        <f t="shared" si="1236"/>
        <v>22.728517309295157</v>
      </c>
      <c r="R1575">
        <f t="shared" si="1205"/>
        <v>0</v>
      </c>
      <c r="S1575" s="23">
        <f t="shared" si="1234"/>
        <v>-2.7393100855286323</v>
      </c>
      <c r="T1575">
        <f>$S1575+測地線補正!$Q$26*(lattice!$N1575/1000)^3+測地線補正!$P$26*(lattice!$N1575/1000)^2+測地線補正!$O$26*(lattice!$N1575/1000)+測地線補正!$N$26</f>
        <v>-0.12506413347972356</v>
      </c>
      <c r="U1575">
        <f t="shared" si="1243"/>
        <v>1.5797063663617558E-5</v>
      </c>
      <c r="V1575">
        <v>0</v>
      </c>
      <c r="W1575">
        <f t="shared" si="1244"/>
        <v>1.3161380308819541E-4</v>
      </c>
      <c r="X1575" t="s">
        <v>3860</v>
      </c>
      <c r="Y1575">
        <f>_xlfn.XLOOKUP($F1575,設計座標!$E$13:$E$2301,設計座標!$L$13:$L$2301," ",0,1)</f>
        <v>1889.4492</v>
      </c>
      <c r="Z1575">
        <f>SQRT(($M$1574-$M$1571)^2+($N$1574-$N$1571)^2)</f>
        <v>2099.3910181830315</v>
      </c>
    </row>
    <row r="1576" spans="1:26">
      <c r="A1576" t="s">
        <v>797</v>
      </c>
      <c r="B1576">
        <v>3</v>
      </c>
      <c r="C1576" t="s">
        <v>2288</v>
      </c>
      <c r="D1576" t="s">
        <v>1152</v>
      </c>
      <c r="E1576" t="s">
        <v>804</v>
      </c>
      <c r="F1576" t="s">
        <v>2289</v>
      </c>
      <c r="G1576" t="s">
        <v>2289</v>
      </c>
      <c r="I1576">
        <f>_xlfn.XLOOKUP($F1576,設計座標!$E$13:$E$2301,設計座標!$G$13:$G$2301,"n/a",0,1)</f>
        <v>433.12324016136915</v>
      </c>
      <c r="J1576">
        <f>_xlfn.XLOOKUP($F1576,設計座標!$E$13:$E$2301,設計座標!$H$13:$H$2301,"n/a",0,1)</f>
        <v>-15000</v>
      </c>
      <c r="K1576">
        <f>_xlfn.XLOOKUP($F1576,設計座標!$E$13:$E$2301,設計座標!$I$13:$I$2301,"n/a",0,1)</f>
        <v>-168646.89929546</v>
      </c>
      <c r="L1576">
        <f>_xlfn.XLOOKUP($F1576,設計座標!$E$13:$E$2301,設計座標!$J$13:$J$2301,"n/a",0,1)</f>
        <v>-270</v>
      </c>
      <c r="M1576" s="2">
        <f t="shared" si="1229"/>
        <v>-14977.249964307586</v>
      </c>
      <c r="N1576" s="2">
        <f t="shared" si="1230"/>
        <v>-168646.89929546</v>
      </c>
      <c r="O1576" s="23">
        <f t="shared" si="1231"/>
        <v>-272.74272667793531</v>
      </c>
      <c r="P1576" s="1">
        <f t="shared" si="1235"/>
        <v>-270.12767722064478</v>
      </c>
      <c r="Q1576" s="1">
        <f t="shared" si="1236"/>
        <v>22.750035692414666</v>
      </c>
      <c r="R1576">
        <f t="shared" si="1205"/>
        <v>0</v>
      </c>
      <c r="S1576" s="23">
        <f t="shared" si="1234"/>
        <v>-2.7427266779353308</v>
      </c>
      <c r="T1576">
        <f>$S1576+測地線補正!$Q$26*(lattice!$N1576/1000)^3+測地線補正!$P$26*(lattice!$N1576/1000)^2+測地線補正!$O$26*(lattice!$N1576/1000)+測地線補正!$N$26</f>
        <v>-0.12767722064477938</v>
      </c>
      <c r="U1576">
        <v>0</v>
      </c>
      <c r="V1576">
        <v>0</v>
      </c>
      <c r="W1576">
        <v>0</v>
      </c>
      <c r="X1576">
        <f>SQRT(($M$1576-$M$1575)^2+($N$1576-$N$1575)^2)</f>
        <v>163.49640141606176</v>
      </c>
      <c r="Y1576">
        <f>_xlfn.XLOOKUP($F1576,設計座標!$E$13:$E$2301,設計座標!$L$13:$L$2301," ",0,1)</f>
        <v>0</v>
      </c>
      <c r="Z1576">
        <f>SQRT(($M$1576-$M$1574)^2+($N$1576-$N$1574)^2)</f>
        <v>1108.2210095983996</v>
      </c>
    </row>
    <row r="1577" spans="1:26">
      <c r="A1577" t="s">
        <v>797</v>
      </c>
      <c r="B1577">
        <v>3</v>
      </c>
      <c r="C1577" t="s">
        <v>804</v>
      </c>
      <c r="D1577" t="s">
        <v>1152</v>
      </c>
      <c r="E1577" t="s">
        <v>804</v>
      </c>
      <c r="F1577" t="s">
        <v>1670</v>
      </c>
      <c r="G1577" t="s">
        <v>2714</v>
      </c>
      <c r="I1577">
        <f>_xlfn.XLOOKUP($F1577,設計座標!$E$13:$E$2301,設計座標!$G$13:$G$2301,"n/a",0,1)</f>
        <v>433.45722146136916</v>
      </c>
      <c r="J1577">
        <f>_xlfn.XLOOKUP($F1577,設計座標!$E$13:$E$2301,設計座標!$H$13:$H$2301,"n/a",0,1)</f>
        <v>-15000</v>
      </c>
      <c r="K1577">
        <f>_xlfn.XLOOKUP($F1577,設計座標!$E$13:$E$2301,設計座標!$I$13:$I$2301,"n/a",0,1)</f>
        <v>-168980.88059546001</v>
      </c>
      <c r="L1577">
        <f>_xlfn.XLOOKUP($F1577,設計座標!$E$13:$E$2301,設計座標!$J$13:$J$2301,"n/a",0,1)</f>
        <v>-270</v>
      </c>
      <c r="M1577" s="2">
        <f t="shared" si="1229"/>
        <v>-14977.206007758277</v>
      </c>
      <c r="N1577" s="2">
        <f t="shared" si="1230"/>
        <v>-168980.88059546001</v>
      </c>
      <c r="O1577" s="23">
        <f t="shared" si="1231"/>
        <v>-272.749705901781</v>
      </c>
      <c r="P1577" s="1">
        <f t="shared" si="1235"/>
        <v>-270.13303004573464</v>
      </c>
      <c r="Q1577" s="1">
        <f t="shared" si="1236"/>
        <v>22.793992241721885</v>
      </c>
      <c r="R1577">
        <f t="shared" si="1205"/>
        <v>0</v>
      </c>
      <c r="S1577" s="23">
        <f t="shared" si="1234"/>
        <v>-2.7497059017809895</v>
      </c>
      <c r="T1577">
        <f>$S1577+測地線補正!$Q$26*(lattice!$N1577/1000)^3+測地線補正!$P$26*(lattice!$N1577/1000)^2+測地線補正!$O$26*(lattice!$N1577/1000)+測地線補正!$N$26</f>
        <v>-0.13303004573461519</v>
      </c>
      <c r="U1577">
        <f>-ATAN(($P$1579-$P$1577)/ABS($N$1579-$N$1577))</f>
        <v>1.6226754754448644E-5</v>
      </c>
      <c r="V1577">
        <v>0</v>
      </c>
      <c r="W1577">
        <f>ATAN(($M$1579-$M$1577)/ABS($N$1579-$N$1577))</f>
        <v>1.3161380308819541E-4</v>
      </c>
      <c r="X1577">
        <f>SQRT(($M$1577-$M$1576)^2+($N$1577-$N$1576)^2)</f>
        <v>333.98130289265833</v>
      </c>
      <c r="Y1577">
        <f>_xlfn.XLOOKUP($F1577,設計座標!$E$13:$E$2301,設計座標!$L$13:$L$2301," ",0,1)</f>
        <v>1889.4492</v>
      </c>
      <c r="Z1577">
        <f>SQRT(($M$1578-$M$1576)^2+($N$1578-$N$1576)^2)</f>
        <v>1278.7059110749963</v>
      </c>
    </row>
    <row r="1578" spans="1:26">
      <c r="A1578" t="s">
        <v>797</v>
      </c>
      <c r="B1578">
        <v>3</v>
      </c>
      <c r="C1578" t="s">
        <v>804</v>
      </c>
      <c r="D1578" t="s">
        <v>1152</v>
      </c>
      <c r="E1578" t="s">
        <v>804</v>
      </c>
      <c r="F1578" t="s">
        <v>1201</v>
      </c>
      <c r="G1578" t="s">
        <v>2714</v>
      </c>
      <c r="I1578">
        <f>_xlfn.XLOOKUP($F1578,設計座標!$E$13:$E$2301,設計座標!$G$13:$G$2301,"n/a",0,1)</f>
        <v>434.40194606136913</v>
      </c>
      <c r="J1578">
        <f>_xlfn.XLOOKUP($F1578,設計座標!$E$13:$E$2301,設計座標!$H$13:$H$2301,"n/a",0,1)</f>
        <v>-15000</v>
      </c>
      <c r="K1578">
        <f>_xlfn.XLOOKUP($F1578,設計座標!$E$13:$E$2301,設計座標!$I$13:$I$2301,"n/a",0,1)</f>
        <v>-169925.60519546</v>
      </c>
      <c r="L1578">
        <f>_xlfn.XLOOKUP($F1578,設計座標!$E$13:$E$2301,設計座標!$J$13:$J$2301,"n/a",0,1)</f>
        <v>-270</v>
      </c>
      <c r="M1578" s="2">
        <f t="shared" si="1229"/>
        <v>-14977.081668960083</v>
      </c>
      <c r="N1578" s="2">
        <f t="shared" si="1230"/>
        <v>-169925.60519546</v>
      </c>
      <c r="O1578" s="23">
        <f t="shared" si="1231"/>
        <v>-272.7694478587585</v>
      </c>
      <c r="P1578" s="1">
        <f t="shared" si="1235"/>
        <v>-270.14827996001418</v>
      </c>
      <c r="Q1578" s="1">
        <f t="shared" si="1236"/>
        <v>22.918331039916986</v>
      </c>
      <c r="R1578">
        <f t="shared" si="1205"/>
        <v>0</v>
      </c>
      <c r="S1578" s="23">
        <f t="shared" si="1234"/>
        <v>-2.7694478587585216</v>
      </c>
      <c r="T1578">
        <f>$S1578+測地線補正!$Q$26*(lattice!$N1578/1000)^3+測地線補正!$P$26*(lattice!$N1578/1000)^2+測地線補正!$O$26*(lattice!$N1578/1000)+測地線補正!$N$26</f>
        <v>-0.14827996001417287</v>
      </c>
      <c r="U1578">
        <f t="shared" ref="U1578:U1579" si="1245">-ATAN(($P$1579-$P$1577)/ABS($N$1579-$N$1577))</f>
        <v>1.6226754754448644E-5</v>
      </c>
      <c r="V1578">
        <v>0</v>
      </c>
      <c r="W1578">
        <f t="shared" ref="W1578:W1579" si="1246">ATAN(($M$1579-$M$1577)/ABS($N$1579-$N$1577))</f>
        <v>1.3161380308819541E-4</v>
      </c>
      <c r="X1578" t="s">
        <v>3860</v>
      </c>
      <c r="Y1578">
        <f>_xlfn.XLOOKUP($F1578,設計座標!$E$13:$E$2301,設計座標!$L$13:$L$2301," ",0,1)</f>
        <v>1889.4492</v>
      </c>
      <c r="Z1578">
        <f>SQRT(($M$1578-$M$1576)^2+($N$1578-$N$1576)^2)</f>
        <v>1278.7059110749963</v>
      </c>
    </row>
    <row r="1579" spans="1:26">
      <c r="A1579" t="s">
        <v>797</v>
      </c>
      <c r="B1579">
        <v>3</v>
      </c>
      <c r="C1579" t="s">
        <v>804</v>
      </c>
      <c r="D1579" t="s">
        <v>1152</v>
      </c>
      <c r="E1579" t="s">
        <v>804</v>
      </c>
      <c r="F1579" t="s">
        <v>1671</v>
      </c>
      <c r="G1579" t="s">
        <v>2714</v>
      </c>
      <c r="I1579">
        <f>_xlfn.XLOOKUP($F1579,設計座標!$E$13:$E$2301,設計座標!$G$13:$G$2301,"n/a",0,1)</f>
        <v>435.3466706613691</v>
      </c>
      <c r="J1579">
        <f>_xlfn.XLOOKUP($F1579,設計座標!$E$13:$E$2301,設計座標!$H$13:$H$2301,"n/a",0,1)</f>
        <v>-15000</v>
      </c>
      <c r="K1579">
        <f>_xlfn.XLOOKUP($F1579,設計座標!$E$13:$E$2301,設計座標!$I$13:$I$2301,"n/a",0,1)</f>
        <v>-170870.32979545998</v>
      </c>
      <c r="L1579">
        <f>_xlfn.XLOOKUP($F1579,設計座標!$E$13:$E$2301,設計座標!$J$13:$J$2301,"n/a",0,1)</f>
        <v>-270</v>
      </c>
      <c r="M1579" s="2">
        <f t="shared" si="1229"/>
        <v>-14976.957330161888</v>
      </c>
      <c r="N1579" s="2">
        <f t="shared" si="1230"/>
        <v>-170870.32979545998</v>
      </c>
      <c r="O1579" s="23">
        <f t="shared" si="1231"/>
        <v>-272.78918981573605</v>
      </c>
      <c r="P1579" s="1">
        <f t="shared" si="1235"/>
        <v>-270.16368967452672</v>
      </c>
      <c r="Q1579" s="1">
        <f t="shared" si="1236"/>
        <v>23.042669838112086</v>
      </c>
      <c r="R1579">
        <f t="shared" si="1205"/>
        <v>0</v>
      </c>
      <c r="S1579" s="23">
        <f t="shared" si="1234"/>
        <v>-2.7891898157360533</v>
      </c>
      <c r="T1579">
        <f>$S1579+測地線補正!$Q$26*(lattice!$N1579/1000)^3+測地線補正!$P$26*(lattice!$N1579/1000)^2+測地線補正!$O$26*(lattice!$N1579/1000)+測地線補正!$N$26</f>
        <v>-0.16368967452671357</v>
      </c>
      <c r="U1579">
        <f t="shared" si="1245"/>
        <v>1.6226754754448644E-5</v>
      </c>
      <c r="V1579">
        <v>0</v>
      </c>
      <c r="W1579">
        <f t="shared" si="1246"/>
        <v>1.3161380308819541E-4</v>
      </c>
      <c r="X1579" t="s">
        <v>3860</v>
      </c>
      <c r="Y1579">
        <f>_xlfn.XLOOKUP($F1579,設計座標!$E$13:$E$2301,設計座標!$L$13:$L$2301," ",0,1)</f>
        <v>1889.4492</v>
      </c>
      <c r="Z1579">
        <f>SQRT(($M$1578-$M$1576)^2+($N$1578-$N$1576)^2)</f>
        <v>1278.7059110749963</v>
      </c>
    </row>
    <row r="1580" spans="1:26">
      <c r="A1580" t="s">
        <v>797</v>
      </c>
      <c r="B1580">
        <v>3</v>
      </c>
      <c r="C1580" t="s">
        <v>804</v>
      </c>
      <c r="D1580" t="s">
        <v>1152</v>
      </c>
      <c r="E1580" t="s">
        <v>804</v>
      </c>
      <c r="F1580" t="s">
        <v>1672</v>
      </c>
      <c r="G1580" t="s">
        <v>2715</v>
      </c>
      <c r="I1580">
        <f>_xlfn.XLOOKUP($F1580,設計座標!$E$13:$E$2301,設計座標!$G$13:$G$2301,"n/a",0,1)</f>
        <v>435.55661246136918</v>
      </c>
      <c r="J1580">
        <f>_xlfn.XLOOKUP($F1580,設計座標!$E$13:$E$2301,設計座標!$H$13:$H$2301,"n/a",0,1)</f>
        <v>-15000</v>
      </c>
      <c r="K1580">
        <f>_xlfn.XLOOKUP($F1580,設計座標!$E$13:$E$2301,設計座標!$I$13:$I$2301,"n/a",0,1)</f>
        <v>-171080.27159546001</v>
      </c>
      <c r="L1580">
        <f>_xlfn.XLOOKUP($F1580,設計座標!$E$13:$E$2301,設計座標!$J$13:$J$2301,"n/a",0,1)</f>
        <v>-270</v>
      </c>
      <c r="M1580" s="2">
        <f t="shared" si="1229"/>
        <v>-14976.929698923002</v>
      </c>
      <c r="N1580" s="2">
        <f t="shared" si="1230"/>
        <v>-171080.27159546001</v>
      </c>
      <c r="O1580" s="23">
        <f t="shared" si="1231"/>
        <v>-272.79357697997779</v>
      </c>
      <c r="P1580" s="1">
        <f t="shared" si="1235"/>
        <v>-270.16713573704607</v>
      </c>
      <c r="Q1580" s="1">
        <f t="shared" si="1236"/>
        <v>23.070301076996859</v>
      </c>
      <c r="R1580">
        <f t="shared" si="1205"/>
        <v>0</v>
      </c>
      <c r="S1580" s="23">
        <f t="shared" si="1234"/>
        <v>-2.7935769799777654</v>
      </c>
      <c r="T1580">
        <f>$S1580+測地線補正!$Q$26*(lattice!$N1580/1000)^3+測地線補正!$P$26*(lattice!$N1580/1000)^2+測地線補正!$O$26*(lattice!$N1580/1000)+測地線補正!$N$26</f>
        <v>-0.16713573704604046</v>
      </c>
      <c r="U1580">
        <f>-ATAN(($P$1582-$P$1580)/ABS($N$1582-$N$1580))</f>
        <v>1.660085033228663E-5</v>
      </c>
      <c r="V1580">
        <v>0</v>
      </c>
      <c r="W1580">
        <f>ATAN(($M$1582-$M$1580)/ABS($N$1582-$N$1580))</f>
        <v>1.3161380308819541E-4</v>
      </c>
      <c r="X1580">
        <f>SQRT(($M$1580-$M$1579)^2+($N$1580-$N$1579)^2)</f>
        <v>209.94180181835583</v>
      </c>
      <c r="Y1580">
        <f>_xlfn.XLOOKUP($F1580,設計座標!$E$13:$E$2301,設計座標!$L$13:$L$2301," ",0,1)</f>
        <v>1889.4492</v>
      </c>
      <c r="Z1580">
        <f>SQRT(($M$1581-$M$1578)^2+($N$1581-$N$1578)^2)</f>
        <v>2099.3910181830315</v>
      </c>
    </row>
    <row r="1581" spans="1:26">
      <c r="A1581" t="s">
        <v>797</v>
      </c>
      <c r="B1581">
        <v>3</v>
      </c>
      <c r="C1581" t="s">
        <v>804</v>
      </c>
      <c r="D1581" t="s">
        <v>1152</v>
      </c>
      <c r="E1581" t="s">
        <v>804</v>
      </c>
      <c r="F1581" t="s">
        <v>1257</v>
      </c>
      <c r="G1581" t="s">
        <v>2715</v>
      </c>
      <c r="I1581">
        <f>_xlfn.XLOOKUP($F1581,設計座標!$E$13:$E$2301,設計座標!$G$13:$G$2301,"n/a",0,1)</f>
        <v>436.50133706136916</v>
      </c>
      <c r="J1581">
        <f>_xlfn.XLOOKUP($F1581,設計座標!$E$13:$E$2301,設計座標!$H$13:$H$2301,"n/a",0,1)</f>
        <v>-15000</v>
      </c>
      <c r="K1581">
        <f>_xlfn.XLOOKUP($F1581,設計座標!$E$13:$E$2301,設計座標!$I$13:$I$2301,"n/a",0,1)</f>
        <v>-172024.99619546</v>
      </c>
      <c r="L1581">
        <f>_xlfn.XLOOKUP($F1581,設計座標!$E$13:$E$2301,設計座標!$J$13:$J$2301,"n/a",0,1)</f>
        <v>-270</v>
      </c>
      <c r="M1581" s="2">
        <f t="shared" si="1229"/>
        <v>-14976.805360124808</v>
      </c>
      <c r="N1581" s="2">
        <f t="shared" si="1230"/>
        <v>-172024.99619546</v>
      </c>
      <c r="O1581" s="23">
        <f t="shared" si="1231"/>
        <v>-272.81331893695528</v>
      </c>
      <c r="P1581" s="1">
        <f t="shared" si="1235"/>
        <v>-270.18273983129825</v>
      </c>
      <c r="Q1581" s="1">
        <f t="shared" si="1236"/>
        <v>23.19463987519196</v>
      </c>
      <c r="R1581">
        <f t="shared" si="1205"/>
        <v>0</v>
      </c>
      <c r="S1581" s="23">
        <f t="shared" si="1234"/>
        <v>-2.8133189369552971</v>
      </c>
      <c r="T1581">
        <f>$S1581+測地線補正!$Q$26*(lattice!$N1581/1000)^3+測地線補正!$P$26*(lattice!$N1581/1000)^2+測地線補正!$O$26*(lattice!$N1581/1000)+測地線補正!$N$26</f>
        <v>-0.18273983129822668</v>
      </c>
      <c r="U1581">
        <f t="shared" ref="U1581:U1582" si="1247">-ATAN(($P$1582-$P$1580)/ABS($N$1582-$N$1580))</f>
        <v>1.660085033228663E-5</v>
      </c>
      <c r="V1581">
        <v>0</v>
      </c>
      <c r="W1581">
        <f t="shared" ref="W1581:W1582" si="1248">ATAN(($M$1582-$M$1580)/ABS($N$1582-$N$1580))</f>
        <v>1.3161380308819541E-4</v>
      </c>
      <c r="X1581" t="s">
        <v>3860</v>
      </c>
      <c r="Y1581">
        <f>_xlfn.XLOOKUP($F1581,設計座標!$E$13:$E$2301,設計座標!$L$13:$L$2301," ",0,1)</f>
        <v>1889.4492</v>
      </c>
      <c r="Z1581">
        <f>SQRT(($M$1581-$M$1578)^2+($N$1581-$N$1578)^2)</f>
        <v>2099.3910181830315</v>
      </c>
    </row>
    <row r="1582" spans="1:26">
      <c r="A1582" t="s">
        <v>797</v>
      </c>
      <c r="B1582">
        <v>3</v>
      </c>
      <c r="C1582" t="s">
        <v>804</v>
      </c>
      <c r="D1582" t="s">
        <v>1152</v>
      </c>
      <c r="E1582" t="s">
        <v>804</v>
      </c>
      <c r="F1582" t="s">
        <v>1673</v>
      </c>
      <c r="G1582" t="s">
        <v>2715</v>
      </c>
      <c r="I1582">
        <f>_xlfn.XLOOKUP($F1582,設計座標!$E$13:$E$2301,設計座標!$G$13:$G$2301,"n/a",0,1)</f>
        <v>437.44606166136913</v>
      </c>
      <c r="J1582">
        <f>_xlfn.XLOOKUP($F1582,設計座標!$E$13:$E$2301,設計座標!$H$13:$H$2301,"n/a",0,1)</f>
        <v>-15000</v>
      </c>
      <c r="K1582">
        <f>_xlfn.XLOOKUP($F1582,設計座標!$E$13:$E$2301,設計座標!$I$13:$I$2301,"n/a",0,1)</f>
        <v>-172969.72079545999</v>
      </c>
      <c r="L1582">
        <f>_xlfn.XLOOKUP($F1582,設計座標!$E$13:$E$2301,設計座標!$J$13:$J$2301,"n/a",0,1)</f>
        <v>-270</v>
      </c>
      <c r="M1582" s="2">
        <f t="shared" si="1229"/>
        <v>-14976.681021326613</v>
      </c>
      <c r="N1582" s="2">
        <f t="shared" si="1230"/>
        <v>-172969.72079545999</v>
      </c>
      <c r="O1582" s="23">
        <f t="shared" si="1231"/>
        <v>-272.83306089393284</v>
      </c>
      <c r="P1582" s="1">
        <f t="shared" si="1235"/>
        <v>-270.19850220042861</v>
      </c>
      <c r="Q1582" s="1">
        <f t="shared" si="1236"/>
        <v>23.318978673387065</v>
      </c>
      <c r="R1582">
        <f t="shared" si="1205"/>
        <v>0</v>
      </c>
      <c r="S1582" s="23">
        <f t="shared" si="1234"/>
        <v>-2.8330608939328292</v>
      </c>
      <c r="T1582">
        <f>$S1582+測地線補正!$Q$26*(lattice!$N1582/1000)^3+測地線補正!$P$26*(lattice!$N1582/1000)^2+測地線補正!$O$26*(lattice!$N1582/1000)+測地線補正!$N$26</f>
        <v>-0.19850220042862365</v>
      </c>
      <c r="U1582">
        <f t="shared" si="1247"/>
        <v>1.660085033228663E-5</v>
      </c>
      <c r="V1582">
        <v>0</v>
      </c>
      <c r="W1582">
        <f t="shared" si="1248"/>
        <v>1.3161380308819541E-4</v>
      </c>
      <c r="X1582" t="s">
        <v>3860</v>
      </c>
      <c r="Y1582">
        <f>_xlfn.XLOOKUP($F1582,設計座標!$E$13:$E$2301,設計座標!$L$13:$L$2301," ",0,1)</f>
        <v>1889.4492</v>
      </c>
      <c r="Z1582">
        <f>SQRT(($M$1581-$M$1578)^2+($N$1581-$N$1578)^2)</f>
        <v>2099.3910181830315</v>
      </c>
    </row>
    <row r="1583" spans="1:26">
      <c r="A1583" t="s">
        <v>797</v>
      </c>
      <c r="B1583">
        <v>3</v>
      </c>
      <c r="C1583" t="s">
        <v>1152</v>
      </c>
      <c r="D1583" t="s">
        <v>1152</v>
      </c>
      <c r="E1583" t="s">
        <v>804</v>
      </c>
      <c r="F1583" t="s">
        <v>2156</v>
      </c>
      <c r="G1583" t="s">
        <v>2156</v>
      </c>
      <c r="I1583">
        <f>_xlfn.XLOOKUP($F1583,設計座標!$E$13:$E$2301,設計座標!$G$13:$G$2301,"n/a",0,1)</f>
        <v>437.60515756136914</v>
      </c>
      <c r="J1583">
        <f>_xlfn.XLOOKUP($F1583,設計座標!$E$13:$E$2301,設計座標!$H$13:$H$2301,"n/a",0,1)</f>
        <v>-15000</v>
      </c>
      <c r="K1583">
        <f>_xlfn.XLOOKUP($F1583,設計座標!$E$13:$E$2301,設計座標!$I$13:$I$2301,"n/a",0,1)</f>
        <v>-173128.81669546</v>
      </c>
      <c r="L1583">
        <f>_xlfn.XLOOKUP($F1583,設計座標!$E$13:$E$2301,設計座標!$J$13:$J$2301,"n/a",0,1)</f>
        <v>-270</v>
      </c>
      <c r="M1583" s="2">
        <f t="shared" si="1229"/>
        <v>-14976.660082110036</v>
      </c>
      <c r="N1583" s="2">
        <f t="shared" si="1230"/>
        <v>-173128.81669546</v>
      </c>
      <c r="O1583" s="23">
        <f t="shared" si="1231"/>
        <v>-272.83638552887203</v>
      </c>
      <c r="P1583" s="1">
        <f t="shared" si="1235"/>
        <v>-270.20117217739272</v>
      </c>
      <c r="Q1583" s="1">
        <f t="shared" si="1236"/>
        <v>23.339917889962742</v>
      </c>
      <c r="R1583">
        <f t="shared" si="1205"/>
        <v>0</v>
      </c>
      <c r="S1583" s="23">
        <f t="shared" si="1234"/>
        <v>-2.8363855288720505</v>
      </c>
      <c r="T1583">
        <f>$S1583+測地線補正!$Q$26*(lattice!$N1583/1000)^3+測地線補正!$P$26*(lattice!$N1583/1000)^2+測地線補正!$O$26*(lattice!$N1583/1000)+測地線補正!$N$26</f>
        <v>-0.20117217739272175</v>
      </c>
      <c r="U1583">
        <v>0</v>
      </c>
      <c r="V1583">
        <v>0</v>
      </c>
      <c r="W1583">
        <v>0</v>
      </c>
      <c r="X1583">
        <f>SQRT(($M$1583-$M$1582)^2+($N$1583-$N$1582)^2)</f>
        <v>159.09590137795976</v>
      </c>
      <c r="Y1583">
        <f>_xlfn.XLOOKUP($F1583,設計座標!$E$13:$E$2301,設計座標!$L$13:$L$2301," ",0,1)</f>
        <v>0</v>
      </c>
      <c r="Z1583">
        <f>SQRT(($M$1583-$M$1581)^2+($N$1583-$N$1581)^2)</f>
        <v>1103.8205095602978</v>
      </c>
    </row>
    <row r="1584" spans="1:26">
      <c r="A1584" t="s">
        <v>797</v>
      </c>
      <c r="B1584">
        <v>3</v>
      </c>
      <c r="C1584" t="s">
        <v>804</v>
      </c>
      <c r="D1584" t="s">
        <v>1152</v>
      </c>
      <c r="E1584" t="s">
        <v>804</v>
      </c>
      <c r="F1584" t="s">
        <v>1674</v>
      </c>
      <c r="G1584" t="s">
        <v>2716</v>
      </c>
      <c r="I1584">
        <f>_xlfn.XLOOKUP($F1584,設計座標!$E$13:$E$2301,設計座標!$G$13:$G$2301,"n/a",0,1)</f>
        <v>437.97090346136918</v>
      </c>
      <c r="J1584">
        <f>_xlfn.XLOOKUP($F1584,設計座標!$E$13:$E$2301,設計座標!$H$13:$H$2301,"n/a",0,1)</f>
        <v>-15000</v>
      </c>
      <c r="K1584">
        <f>_xlfn.XLOOKUP($F1584,設計座標!$E$13:$E$2301,設計座標!$I$13:$I$2301,"n/a",0,1)</f>
        <v>-173494.56259546001</v>
      </c>
      <c r="L1584">
        <f>_xlfn.XLOOKUP($F1584,設計座標!$E$13:$E$2301,設計座標!$J$13:$J$2301,"n/a",0,1)</f>
        <v>-270</v>
      </c>
      <c r="M1584" s="2">
        <f t="shared" si="1229"/>
        <v>-14976.611944900897</v>
      </c>
      <c r="N1584" s="2">
        <f t="shared" si="1230"/>
        <v>-173494.56259546001</v>
      </c>
      <c r="O1584" s="23">
        <f t="shared" si="1231"/>
        <v>-272.84402853914457</v>
      </c>
      <c r="P1584" s="1">
        <f t="shared" si="1235"/>
        <v>-270.20732712221542</v>
      </c>
      <c r="Q1584" s="1">
        <f t="shared" si="1236"/>
        <v>23.388055099103678</v>
      </c>
      <c r="R1584">
        <f t="shared" si="1205"/>
        <v>0</v>
      </c>
      <c r="S1584" s="23">
        <f t="shared" si="1234"/>
        <v>-2.8440285391445776</v>
      </c>
      <c r="T1584">
        <f>$S1584+測地線補正!$Q$26*(lattice!$N1584/1000)^3+測地線補正!$P$26*(lattice!$N1584/1000)^2+測地線補正!$O$26*(lattice!$N1584/1000)+測地線補正!$N$26</f>
        <v>-0.20732712221541427</v>
      </c>
      <c r="U1584">
        <f>-ATAN(($P$1586-$P$1584)/ABS($N$1586-$N$1584))</f>
        <v>1.7026623051440541E-5</v>
      </c>
      <c r="V1584">
        <v>0</v>
      </c>
      <c r="W1584">
        <f>ATAN(($M$1586-$M$1584)/ABS($N$1586-$N$1584))</f>
        <v>1.3161380308819541E-4</v>
      </c>
      <c r="X1584">
        <f>SQRT(($M$1584-$M$1583)^2+($N$1584-$N$1583)^2)</f>
        <v>365.7459031677696</v>
      </c>
      <c r="Y1584">
        <f>_xlfn.XLOOKUP($F1584,設計座標!$E$13:$E$2301,設計座標!$L$13:$L$2301," ",0,1)</f>
        <v>1889.4492</v>
      </c>
      <c r="Z1584">
        <f>SQRT(($M$1585-$M$1583)^2+($N$1585-$N$1583)^2)</f>
        <v>1310.4705113501075</v>
      </c>
    </row>
    <row r="1585" spans="1:28">
      <c r="A1585" t="s">
        <v>797</v>
      </c>
      <c r="B1585">
        <v>3</v>
      </c>
      <c r="C1585" t="s">
        <v>804</v>
      </c>
      <c r="D1585" t="s">
        <v>1152</v>
      </c>
      <c r="E1585" t="s">
        <v>804</v>
      </c>
      <c r="F1585" t="s">
        <v>1311</v>
      </c>
      <c r="G1585" t="s">
        <v>2716</v>
      </c>
      <c r="I1585">
        <f>_xlfn.XLOOKUP($F1585,設計座標!$E$13:$E$2301,設計座標!$G$13:$G$2301,"n/a",0,1)</f>
        <v>438.91562806136915</v>
      </c>
      <c r="J1585">
        <f>_xlfn.XLOOKUP($F1585,設計座標!$E$13:$E$2301,設計座標!$H$13:$H$2301,"n/a",0,1)</f>
        <v>-15000</v>
      </c>
      <c r="K1585">
        <f>_xlfn.XLOOKUP($F1585,設計座標!$E$13:$E$2301,設計座標!$I$13:$I$2301,"n/a",0,1)</f>
        <v>-174439.28719546</v>
      </c>
      <c r="L1585">
        <f>_xlfn.XLOOKUP($F1585,設計座標!$E$13:$E$2301,設計座標!$J$13:$J$2301,"n/a",0,1)</f>
        <v>-270</v>
      </c>
      <c r="M1585" s="2">
        <f t="shared" si="1229"/>
        <v>-14976.487606102701</v>
      </c>
      <c r="N1585" s="2">
        <f t="shared" si="1230"/>
        <v>-174439.28719546</v>
      </c>
      <c r="O1585" s="23">
        <f t="shared" si="1231"/>
        <v>-272.86377049612213</v>
      </c>
      <c r="P1585" s="1">
        <f t="shared" si="1235"/>
        <v>-270.22333433150533</v>
      </c>
      <c r="Q1585" s="1">
        <f t="shared" si="1236"/>
        <v>23.512393897298782</v>
      </c>
      <c r="R1585">
        <f t="shared" si="1205"/>
        <v>0</v>
      </c>
      <c r="S1585" s="23">
        <f t="shared" si="1234"/>
        <v>-2.8637704961221093</v>
      </c>
      <c r="T1585">
        <f>$S1585+測地線補正!$Q$26*(lattice!$N1585/1000)^3+測地線補正!$P$26*(lattice!$N1585/1000)^2+測地線補正!$O$26*(lattice!$N1585/1000)+測地線補正!$N$26</f>
        <v>-0.22333433150534732</v>
      </c>
      <c r="U1585">
        <f t="shared" ref="U1585:U1586" si="1249">-ATAN(($P$1586-$P$1584)/ABS($N$1586-$N$1584))</f>
        <v>1.7026623051440541E-5</v>
      </c>
      <c r="V1585">
        <v>0</v>
      </c>
      <c r="W1585">
        <f t="shared" ref="W1585:W1586" si="1250">ATAN(($M$1586-$M$1584)/ABS($N$1586-$N$1584))</f>
        <v>1.3161380308819541E-4</v>
      </c>
      <c r="X1585" t="s">
        <v>3860</v>
      </c>
      <c r="Y1585">
        <f>_xlfn.XLOOKUP($F1585,設計座標!$E$13:$E$2301,設計座標!$L$13:$L$2301," ",0,1)</f>
        <v>1889.4492</v>
      </c>
      <c r="Z1585">
        <f>SQRT(($M$1585-$M$1583)^2+($N$1585-$N$1583)^2)</f>
        <v>1310.4705113501075</v>
      </c>
    </row>
    <row r="1586" spans="1:28">
      <c r="A1586" t="s">
        <v>797</v>
      </c>
      <c r="B1586">
        <v>3</v>
      </c>
      <c r="C1586" t="s">
        <v>804</v>
      </c>
      <c r="D1586" t="s">
        <v>1152</v>
      </c>
      <c r="E1586" t="s">
        <v>804</v>
      </c>
      <c r="F1586" t="s">
        <v>1675</v>
      </c>
      <c r="G1586" t="s">
        <v>2716</v>
      </c>
      <c r="I1586">
        <f>_xlfn.XLOOKUP($F1586,設計座標!$E$13:$E$2301,設計座標!$G$13:$G$2301,"n/a",0,1)</f>
        <v>439.86035266136912</v>
      </c>
      <c r="J1586">
        <f>_xlfn.XLOOKUP($F1586,設計座標!$E$13:$E$2301,設計座標!$H$13:$H$2301,"n/a",0,1)</f>
        <v>-15000</v>
      </c>
      <c r="K1586">
        <f>_xlfn.XLOOKUP($F1586,設計座標!$E$13:$E$2301,設計座標!$I$13:$I$2301,"n/a",0,1)</f>
        <v>-175384.01179545998</v>
      </c>
      <c r="L1586">
        <f>_xlfn.XLOOKUP($F1586,設計座標!$E$13:$E$2301,設計座標!$J$13:$J$2301,"n/a",0,1)</f>
        <v>-270</v>
      </c>
      <c r="M1586" s="2">
        <f t="shared" si="1229"/>
        <v>-14976.363267304507</v>
      </c>
      <c r="N1586" s="2">
        <f t="shared" si="1230"/>
        <v>-175384.01179545998</v>
      </c>
      <c r="O1586" s="23">
        <f t="shared" si="1231"/>
        <v>-272.88351245309963</v>
      </c>
      <c r="P1586" s="1">
        <f t="shared" si="1235"/>
        <v>-270.23949806152177</v>
      </c>
      <c r="Q1586" s="1">
        <f t="shared" si="1236"/>
        <v>23.636732695493883</v>
      </c>
      <c r="R1586">
        <f t="shared" ref="R1586:R1649" si="1251">$N1586-$K1586</f>
        <v>0</v>
      </c>
      <c r="S1586" s="23">
        <f t="shared" si="1234"/>
        <v>-2.883512453099641</v>
      </c>
      <c r="T1586">
        <f>$S1586+測地線補正!$Q$26*(lattice!$N1586/1000)^3+測地線補正!$P$26*(lattice!$N1586/1000)^2+測地線補正!$O$26*(lattice!$N1586/1000)+測地線補正!$N$26</f>
        <v>-0.23949806152178987</v>
      </c>
      <c r="U1586">
        <f t="shared" si="1249"/>
        <v>1.7026623051440541E-5</v>
      </c>
      <c r="V1586">
        <v>0</v>
      </c>
      <c r="W1586">
        <f t="shared" si="1250"/>
        <v>1.3161380308819541E-4</v>
      </c>
      <c r="X1586" t="s">
        <v>3860</v>
      </c>
      <c r="Y1586">
        <f>_xlfn.XLOOKUP($F1586,設計座標!$E$13:$E$2301,設計座標!$L$13:$L$2301," ",0,1)</f>
        <v>1889.4492</v>
      </c>
      <c r="Z1586">
        <f>SQRT(($M$1585-$M$1583)^2+($N$1585-$N$1583)^2)</f>
        <v>1310.4705113501075</v>
      </c>
    </row>
    <row r="1587" spans="1:28">
      <c r="A1587" t="s">
        <v>797</v>
      </c>
      <c r="B1587">
        <v>3</v>
      </c>
      <c r="C1587" t="s">
        <v>804</v>
      </c>
      <c r="D1587" t="s">
        <v>1152</v>
      </c>
      <c r="E1587" t="s">
        <v>804</v>
      </c>
      <c r="F1587" t="s">
        <v>1676</v>
      </c>
      <c r="G1587" t="s">
        <v>2717</v>
      </c>
      <c r="I1587">
        <f>_xlfn.XLOOKUP($F1587,設計座標!$E$13:$E$2301,設計座標!$G$13:$G$2301,"n/a",0,1)</f>
        <v>440.0702944613692</v>
      </c>
      <c r="J1587">
        <f>_xlfn.XLOOKUP($F1587,設計座標!$E$13:$E$2301,設計座標!$H$13:$H$2301,"n/a",0,1)</f>
        <v>-15000</v>
      </c>
      <c r="K1587">
        <f>_xlfn.XLOOKUP($F1587,設計座標!$E$13:$E$2301,設計座標!$I$13:$I$2301,"n/a",0,1)</f>
        <v>-175593.95359546001</v>
      </c>
      <c r="L1587">
        <f>_xlfn.XLOOKUP($F1587,設計座標!$E$13:$E$2301,設計座標!$J$13:$J$2301,"n/a",0,1)</f>
        <v>-270</v>
      </c>
      <c r="M1587" s="2">
        <f t="shared" si="1229"/>
        <v>-14976.335636065622</v>
      </c>
      <c r="N1587" s="2">
        <f t="shared" si="1230"/>
        <v>-175593.95359546001</v>
      </c>
      <c r="O1587" s="23">
        <f t="shared" si="1231"/>
        <v>-272.88789961734136</v>
      </c>
      <c r="P1587" s="1">
        <f t="shared" si="1235"/>
        <v>-270.2431112400638</v>
      </c>
      <c r="Q1587" s="1">
        <f t="shared" si="1236"/>
        <v>23.664363934378656</v>
      </c>
      <c r="R1587">
        <f t="shared" si="1251"/>
        <v>0</v>
      </c>
      <c r="S1587" s="23">
        <f t="shared" si="1234"/>
        <v>-2.8878996173413536</v>
      </c>
      <c r="T1587">
        <f>$S1587+測地線補正!$Q$26*(lattice!$N1587/1000)^3+測地線補正!$P$26*(lattice!$N1587/1000)^2+測地線補正!$O$26*(lattice!$N1587/1000)+測地線補正!$N$26</f>
        <v>-0.24311124006378582</v>
      </c>
      <c r="U1587">
        <f>-ATAN(($P$1589-$P$1587)/ABS($N$1589-$N$1587))</f>
        <v>1.7393004420748504E-5</v>
      </c>
      <c r="V1587">
        <v>0</v>
      </c>
      <c r="W1587">
        <f>ATAN(($M$1589-$M$1587)/ABS($N$1589-$N$1587))</f>
        <v>1.3161380308819541E-4</v>
      </c>
      <c r="X1587">
        <f>SQRT(($M$1587-$M$1586)^2+($N$1587-$N$1586)^2)</f>
        <v>209.94180181835583</v>
      </c>
      <c r="Y1587">
        <f>_xlfn.XLOOKUP($F1587,設計座標!$E$13:$E$2301,設計座標!$L$13:$L$2301," ",0,1)</f>
        <v>1889.4492</v>
      </c>
      <c r="Z1587">
        <f>SQRT(($M$1588-$M$1585)^2+($N$1588-$N$1585)^2)</f>
        <v>2099.3910181830315</v>
      </c>
    </row>
    <row r="1588" spans="1:28">
      <c r="A1588" t="s">
        <v>797</v>
      </c>
      <c r="B1588">
        <v>3</v>
      </c>
      <c r="C1588" t="s">
        <v>804</v>
      </c>
      <c r="D1588" t="s">
        <v>1152</v>
      </c>
      <c r="E1588" t="s">
        <v>804</v>
      </c>
      <c r="F1588" t="s">
        <v>1365</v>
      </c>
      <c r="G1588" t="s">
        <v>2717</v>
      </c>
      <c r="I1588">
        <f>_xlfn.XLOOKUP($F1588,設計座標!$E$13:$E$2301,設計座標!$G$13:$G$2301,"n/a",0,1)</f>
        <v>441.01501906136917</v>
      </c>
      <c r="J1588">
        <f>_xlfn.XLOOKUP($F1588,設計座標!$E$13:$E$2301,設計座標!$H$13:$H$2301,"n/a",0,1)</f>
        <v>-15000</v>
      </c>
      <c r="K1588">
        <f>_xlfn.XLOOKUP($F1588,設計座標!$E$13:$E$2301,設計座標!$I$13:$I$2301,"n/a",0,1)</f>
        <v>-176538.67819546</v>
      </c>
      <c r="L1588">
        <f>_xlfn.XLOOKUP($F1588,設計座標!$E$13:$E$2301,設計座標!$J$13:$J$2301,"n/a",0,1)</f>
        <v>-270</v>
      </c>
      <c r="M1588" s="2">
        <f t="shared" si="1229"/>
        <v>-14976.211297267426</v>
      </c>
      <c r="N1588" s="2">
        <f t="shared" si="1230"/>
        <v>-176538.67819546</v>
      </c>
      <c r="O1588" s="23">
        <f t="shared" si="1231"/>
        <v>-272.90764157431886</v>
      </c>
      <c r="P1588" s="1">
        <f t="shared" si="1235"/>
        <v>-270.25946534152376</v>
      </c>
      <c r="Q1588" s="1">
        <f t="shared" si="1236"/>
        <v>23.788702732573757</v>
      </c>
      <c r="R1588">
        <f t="shared" si="1251"/>
        <v>0</v>
      </c>
      <c r="S1588" s="23">
        <f t="shared" si="1234"/>
        <v>-2.9076415743188853</v>
      </c>
      <c r="T1588">
        <f>$S1588+測地線補正!$Q$26*(lattice!$N1588/1000)^3+測地線補正!$P$26*(lattice!$N1588/1000)^2+測地線補正!$O$26*(lattice!$N1588/1000)+測地線補正!$N$26</f>
        <v>-0.25946534152376999</v>
      </c>
      <c r="U1588">
        <f t="shared" ref="U1588:U1589" si="1252">-ATAN(($P$1589-$P$1587)/ABS($N$1589-$N$1587))</f>
        <v>1.7393004420748504E-5</v>
      </c>
      <c r="V1588">
        <v>0</v>
      </c>
      <c r="W1588">
        <f t="shared" ref="W1588:W1589" si="1253">ATAN(($M$1589-$M$1587)/ABS($N$1589-$N$1587))</f>
        <v>1.3161380308819541E-4</v>
      </c>
      <c r="X1588" t="s">
        <v>3860</v>
      </c>
      <c r="Y1588">
        <f>_xlfn.XLOOKUP($F1588,設計座標!$E$13:$E$2301,設計座標!$L$13:$L$2301," ",0,1)</f>
        <v>1889.4492</v>
      </c>
      <c r="Z1588">
        <f>SQRT(($M$1588-$M$1585)^2+($N$1588-$N$1585)^2)</f>
        <v>2099.3910181830315</v>
      </c>
    </row>
    <row r="1589" spans="1:28">
      <c r="A1589" t="s">
        <v>797</v>
      </c>
      <c r="B1589">
        <v>3</v>
      </c>
      <c r="C1589" t="s">
        <v>804</v>
      </c>
      <c r="D1589" t="s">
        <v>1152</v>
      </c>
      <c r="E1589" t="s">
        <v>804</v>
      </c>
      <c r="F1589" t="s">
        <v>1677</v>
      </c>
      <c r="G1589" t="s">
        <v>2717</v>
      </c>
      <c r="I1589">
        <f>_xlfn.XLOOKUP($F1589,設計座標!$E$13:$E$2301,設計座標!$G$13:$G$2301,"n/a",0,1)</f>
        <v>441.95974366136915</v>
      </c>
      <c r="J1589">
        <f>_xlfn.XLOOKUP($F1589,設計座標!$E$13:$E$2301,設計座標!$H$13:$H$2301,"n/a",0,1)</f>
        <v>-15000</v>
      </c>
      <c r="K1589">
        <f>_xlfn.XLOOKUP($F1589,設計座標!$E$13:$E$2301,設計座標!$I$13:$I$2301,"n/a",0,1)</f>
        <v>-177483.40279545999</v>
      </c>
      <c r="L1589">
        <f>_xlfn.XLOOKUP($F1589,設計座標!$E$13:$E$2301,設計座標!$J$13:$J$2301,"n/a",0,1)</f>
        <v>-270</v>
      </c>
      <c r="M1589" s="2">
        <f t="shared" si="1229"/>
        <v>-14976.086958469232</v>
      </c>
      <c r="N1589" s="2">
        <f t="shared" si="1230"/>
        <v>-177483.40279545999</v>
      </c>
      <c r="O1589" s="23">
        <f t="shared" si="1231"/>
        <v>-272.92738353129641</v>
      </c>
      <c r="P1589" s="1">
        <f t="shared" si="1235"/>
        <v>-270.27597443835549</v>
      </c>
      <c r="Q1589" s="1">
        <f t="shared" si="1236"/>
        <v>23.913041530768862</v>
      </c>
      <c r="R1589">
        <f t="shared" si="1251"/>
        <v>0</v>
      </c>
      <c r="S1589" s="23">
        <f t="shared" si="1234"/>
        <v>-2.9273835312964169</v>
      </c>
      <c r="T1589">
        <f>$S1589+測地線補正!$Q$26*(lattice!$N1589/1000)^3+測地線補正!$P$26*(lattice!$N1589/1000)^2+測地線補正!$O$26*(lattice!$N1589/1000)+測地線補正!$N$26</f>
        <v>-0.27597443835549229</v>
      </c>
      <c r="U1589">
        <f t="shared" si="1252"/>
        <v>1.7393004420748504E-5</v>
      </c>
      <c r="V1589">
        <v>0</v>
      </c>
      <c r="W1589">
        <f t="shared" si="1253"/>
        <v>1.3161380308819541E-4</v>
      </c>
      <c r="X1589" t="s">
        <v>3860</v>
      </c>
      <c r="Y1589">
        <f>_xlfn.XLOOKUP($F1589,設計座標!$E$13:$E$2301,設計座標!$L$13:$L$2301," ",0,1)</f>
        <v>1889.4492</v>
      </c>
      <c r="Z1589">
        <f>SQRT(($M$1588-$M$1585)^2+($N$1588-$N$1585)^2)</f>
        <v>2099.3910181830315</v>
      </c>
    </row>
    <row r="1590" spans="1:28">
      <c r="A1590" t="s">
        <v>797</v>
      </c>
      <c r="B1590">
        <v>3</v>
      </c>
      <c r="C1590" t="s">
        <v>1152</v>
      </c>
      <c r="D1590" t="s">
        <v>1152</v>
      </c>
      <c r="E1590" t="s">
        <v>804</v>
      </c>
      <c r="F1590" t="s">
        <v>2157</v>
      </c>
      <c r="G1590" t="s">
        <v>2157</v>
      </c>
      <c r="I1590">
        <f>_xlfn.XLOOKUP($F1590,設計座標!$E$13:$E$2301,設計座標!$G$13:$G$2301,"n/a",0,1)</f>
        <v>442.11223956136917</v>
      </c>
      <c r="J1590">
        <f>_xlfn.XLOOKUP($F1590,設計座標!$E$13:$E$2301,設計座標!$H$13:$H$2301,"n/a",0,1)</f>
        <v>-15000</v>
      </c>
      <c r="K1590">
        <f>_xlfn.XLOOKUP($F1590,設計座標!$E$13:$E$2301,設計座標!$I$13:$I$2301,"n/a",0,1)</f>
        <v>-177635.89869546</v>
      </c>
      <c r="L1590">
        <f>_xlfn.XLOOKUP($F1590,設計座標!$E$13:$E$2301,設計座標!$J$13:$J$2301,"n/a",0,1)</f>
        <v>-270</v>
      </c>
      <c r="M1590" s="2">
        <f t="shared" si="1229"/>
        <v>-14976.06688790376</v>
      </c>
      <c r="N1590" s="2">
        <f t="shared" si="1230"/>
        <v>-177635.89869546</v>
      </c>
      <c r="O1590" s="23">
        <f t="shared" si="1231"/>
        <v>-272.9305702457072</v>
      </c>
      <c r="P1590" s="1">
        <f t="shared" si="1235"/>
        <v>-270.27865379223243</v>
      </c>
      <c r="Q1590" s="1">
        <f t="shared" si="1236"/>
        <v>23.933112096239139</v>
      </c>
      <c r="R1590">
        <f t="shared" si="1251"/>
        <v>0</v>
      </c>
      <c r="S1590" s="23">
        <f t="shared" si="1234"/>
        <v>-2.9305702457072091</v>
      </c>
      <c r="T1590">
        <f>$S1590+測地線補正!$Q$26*(lattice!$N1590/1000)^3+測地線補正!$P$26*(lattice!$N1590/1000)^2+測地線補正!$O$26*(lattice!$N1590/1000)+測地線補正!$N$26</f>
        <v>-0.27865379223246056</v>
      </c>
      <c r="U1590">
        <v>0</v>
      </c>
      <c r="V1590">
        <v>0</v>
      </c>
      <c r="W1590">
        <v>0</v>
      </c>
      <c r="X1590">
        <f>SQRT(($M$1590-$M$1589)^2+($N$1590-$N$1589)^2)</f>
        <v>152.49590132079072</v>
      </c>
      <c r="Y1590">
        <f>_xlfn.XLOOKUP($F1590,設計座標!$E$13:$E$2301,設計座標!$L$13:$L$2301," ",0,1)</f>
        <v>0</v>
      </c>
      <c r="Z1590">
        <f>SQRT(($M$1590-$M$1588)^2+($N$1590-$N$1588)^2)</f>
        <v>1097.2205095031286</v>
      </c>
    </row>
    <row r="1591" spans="1:28">
      <c r="A1591" t="s">
        <v>797</v>
      </c>
      <c r="B1591">
        <v>3</v>
      </c>
      <c r="C1591" t="s">
        <v>805</v>
      </c>
      <c r="D1591" t="s">
        <v>806</v>
      </c>
      <c r="F1591" t="s">
        <v>416</v>
      </c>
      <c r="G1591" t="s">
        <v>2718</v>
      </c>
      <c r="I1591">
        <f>_xlfn.XLOOKUP($F1591,設計座標!$E$13:$E$2301,設計座標!$G$13:$G$2301,"n/a",0,1)</f>
        <v>442.20941599999998</v>
      </c>
      <c r="J1591">
        <f>_xlfn.XLOOKUP($F1591,設計座標!$E$13:$E$2301,設計座標!$H$13:$H$2301,"n/a",0,1)</f>
        <v>-15000</v>
      </c>
      <c r="K1591">
        <f>_xlfn.XLOOKUP($F1591,設計座標!$E$13:$E$2301,設計座標!$I$13:$I$2301,"n/a",0,1)</f>
        <v>-177845.10785860001</v>
      </c>
      <c r="L1591">
        <f>_xlfn.XLOOKUP($F1591,設計座標!$E$13:$E$2301,設計座標!$J$13:$J$2301,"n/a",0,1)</f>
        <v>-50</v>
      </c>
      <c r="M1591" s="2">
        <f>_xlfn.XLOOKUP($F1591,survey_data!$A$2:$A$833,survey_data!$B$2:$B$833,"n/a",0,1)</f>
        <v>-14976.03935309</v>
      </c>
      <c r="N1591" s="2">
        <f>_xlfn.XLOOKUP($F1591,survey_data!$A$2:$A$833,survey_data!$C$2:$C$833,"n/a",0,1)</f>
        <v>-177845.10785860001</v>
      </c>
      <c r="O1591" s="23">
        <f>_xlfn.XLOOKUP($F1591,survey_data!$A$2:$A$833,survey_data!$D$2:$D$833,"n/a",0,1)</f>
        <v>-52.934942100000001</v>
      </c>
      <c r="P1591" s="1">
        <f t="shared" si="1235"/>
        <v>-50.282336134833649</v>
      </c>
      <c r="Q1591" s="1">
        <f t="shared" ref="Q1591:Q1640" si="1254">$M1591-$J1591</f>
        <v>23.960646909999923</v>
      </c>
      <c r="R1591">
        <f t="shared" si="1251"/>
        <v>0</v>
      </c>
      <c r="S1591" s="23">
        <f t="shared" ref="S1591:S1640" si="1255">$O1591-$L1591</f>
        <v>-2.9349421000000007</v>
      </c>
      <c r="T1591">
        <f>$S1591+測地線補正!$Q$26*(lattice!$N1591/1000)^3+測地線補正!$P$26*(lattice!$N1591/1000)^2+測地線補正!$O$26*(lattice!$N1591/1000)+測地線補正!$N$26</f>
        <v>-0.28233613483365017</v>
      </c>
      <c r="U1591">
        <f>-ATAN(($P$1593-$P$1591)/ABS($N$1593-$N$1591))</f>
        <v>5.319345760568529E-4</v>
      </c>
      <c r="V1591">
        <v>0</v>
      </c>
      <c r="W1591">
        <f>ATAN(($M$1593-$M$1591)/ABS($N$1593-$N$1591))</f>
        <v>-8.8521388105727963E-5</v>
      </c>
      <c r="X1591">
        <f>$Z$1592-($Y$1592+$Y$1590)/2</f>
        <v>184.21466390810969</v>
      </c>
      <c r="Y1591">
        <f>_xlfn.XLOOKUP($F1591,設計座標!$E$13:$E$2301,設計座標!$L$13:$L$2301," ",0,1)</f>
        <v>200</v>
      </c>
      <c r="Z1591">
        <f>SQRT(($M$1592-$M$1590)^2+($N$1592-$N$1590)^2)</f>
        <v>284.21466390810969</v>
      </c>
      <c r="AA1591">
        <f>_xlfn.XLOOKUP($G1591,magnet_list!$A$2:$A$592,magnet_list!$AJ$2:$AJ$592,"n/a",0,1)</f>
        <v>0.21244935000000001</v>
      </c>
      <c r="AB1591">
        <f>_xlfn.XLOOKUP($G1591,magnet_list!$A$2:$A$592,magnet_list!$L$2:$L$592,"n/a",0,1)</f>
        <v>20</v>
      </c>
    </row>
    <row r="1592" spans="1:28">
      <c r="A1592" t="s">
        <v>797</v>
      </c>
      <c r="B1592">
        <v>3</v>
      </c>
      <c r="C1592" t="s">
        <v>805</v>
      </c>
      <c r="D1592" t="s">
        <v>1152</v>
      </c>
      <c r="E1592" t="s">
        <v>804</v>
      </c>
      <c r="F1592" t="s">
        <v>771</v>
      </c>
      <c r="G1592" t="s">
        <v>2718</v>
      </c>
      <c r="I1592">
        <f>_xlfn.XLOOKUP($F1592,設計座標!$E$13:$E$2301,設計座標!$G$13:$G$2301,"n/a",0,1)</f>
        <v>442.28442149999995</v>
      </c>
      <c r="J1592">
        <f>_xlfn.XLOOKUP($F1592,設計座標!$E$13:$E$2301,設計座標!$H$13:$H$2301,"n/a",0,1)</f>
        <v>-15000</v>
      </c>
      <c r="K1592">
        <f>_xlfn.XLOOKUP($F1592,設計座標!$E$13:$E$2301,設計座標!$I$13:$I$2301,"n/a",0,1)</f>
        <v>-177920.11335860001</v>
      </c>
      <c r="L1592">
        <f>_xlfn.XLOOKUP($F1592,設計座標!$E$13:$E$2301,設計座標!$J$13:$J$2301,"n/a",0,1)</f>
        <v>-50</v>
      </c>
      <c r="M1592" s="2">
        <f t="shared" si="1229"/>
        <v>-14976.045992680993</v>
      </c>
      <c r="N1592" s="2">
        <f t="shared" si="1230"/>
        <v>-177920.11335860001</v>
      </c>
      <c r="O1592" s="23">
        <f t="shared" si="1231"/>
        <v>-52.9750850004379</v>
      </c>
      <c r="P1592" s="1">
        <f t="shared" si="1235"/>
        <v>-50.322233672198358</v>
      </c>
      <c r="Q1592" s="1">
        <f>(Q$1593-Q$1591)/($N$1593-$N$1591)*($N1592-$N$1591)+Q$1591</f>
        <v>23.954007319007015</v>
      </c>
      <c r="R1592">
        <f t="shared" si="1251"/>
        <v>0</v>
      </c>
      <c r="S1592" s="23">
        <f>(S$1593-S$1591)/($N$1593-$N$1591)*($N1592-$N$1591)+S$1591</f>
        <v>-2.9750850004379026</v>
      </c>
      <c r="T1592">
        <f>$S1592+測地線補正!$Q$26*(lattice!$N1592/1000)^3+測地線補正!$P$26*(lattice!$N1592/1000)^2+測地線補正!$O$26*(lattice!$N1592/1000)+測地線補正!$N$26</f>
        <v>-0.32223367219835475</v>
      </c>
      <c r="U1592">
        <f t="shared" ref="U1592:U1593" si="1256">-ATAN(($P$1593-$P$1591)/ABS($N$1593-$N$1591))</f>
        <v>5.319345760568529E-4</v>
      </c>
      <c r="V1592">
        <v>0</v>
      </c>
      <c r="W1592">
        <f t="shared" ref="W1592:W1593" si="1257">ATAN(($M$1593-$M$1591)/ABS($N$1593-$N$1591))</f>
        <v>-8.8521388105727963E-5</v>
      </c>
      <c r="X1592">
        <f>$Z$1592-($Y$1592+$Y$1590)/2</f>
        <v>184.21466390810969</v>
      </c>
      <c r="Y1592">
        <f>_xlfn.XLOOKUP($F1592,設計座標!$E$13:$E$2301,設計座標!$L$13:$L$2301," ",0,1)</f>
        <v>200</v>
      </c>
      <c r="Z1592">
        <f>SQRT(($M$1592-$M$1590)^2+($N$1592-$N$1590)^2)</f>
        <v>284.21466390810969</v>
      </c>
      <c r="AA1592">
        <f>_xlfn.XLOOKUP($G1592,magnet_list!$A$2:$A$592,magnet_list!$AJ$2:$AJ$592,"n/a",0,1)</f>
        <v>0.21244935000000001</v>
      </c>
      <c r="AB1592">
        <f>_xlfn.XLOOKUP($G1592,magnet_list!$A$2:$A$592,magnet_list!$L$2:$L$592,"n/a",0,1)</f>
        <v>20</v>
      </c>
    </row>
    <row r="1593" spans="1:28">
      <c r="A1593" t="s">
        <v>797</v>
      </c>
      <c r="B1593">
        <v>3</v>
      </c>
      <c r="C1593" t="s">
        <v>805</v>
      </c>
      <c r="D1593" t="s">
        <v>806</v>
      </c>
      <c r="F1593" t="s">
        <v>417</v>
      </c>
      <c r="G1593" t="s">
        <v>2718</v>
      </c>
      <c r="I1593">
        <f>_xlfn.XLOOKUP($F1593,設計座標!$E$13:$E$2301,設計座標!$G$13:$G$2301,"n/a",0,1)</f>
        <v>442.35942699999998</v>
      </c>
      <c r="J1593">
        <f>_xlfn.XLOOKUP($F1593,設計座標!$E$13:$E$2301,設計座標!$H$13:$H$2301,"n/a",0,1)</f>
        <v>-15000</v>
      </c>
      <c r="K1593">
        <f>_xlfn.XLOOKUP($F1593,設計座標!$E$13:$E$2301,設計座標!$I$13:$I$2301,"n/a",0,1)</f>
        <v>-177995.10437638001</v>
      </c>
      <c r="L1593">
        <f>_xlfn.XLOOKUP($F1593,設計座標!$E$13:$E$2301,設計座標!$J$13:$J$2301,"n/a",0,1)</f>
        <v>-50</v>
      </c>
      <c r="M1593" s="2">
        <f>_xlfn.XLOOKUP($F1593,survey_data!$A$2:$A$833,survey_data!$B$2:$B$833,"n/a",0,1)</f>
        <v>-14976.05263099</v>
      </c>
      <c r="N1593" s="2">
        <f>_xlfn.XLOOKUP($F1593,survey_data!$A$2:$A$833,survey_data!$C$2:$C$833,"n/a",0,1)</f>
        <v>-177995.10437638001</v>
      </c>
      <c r="O1593" s="23">
        <f>_xlfn.XLOOKUP($F1593,survey_data!$A$2:$A$833,survey_data!$D$2:$D$833,"n/a",0,1)</f>
        <v>-53.015220149999998</v>
      </c>
      <c r="P1593" s="1">
        <f t="shared" si="1235"/>
        <v>-50.362124476454447</v>
      </c>
      <c r="Q1593" s="1">
        <f t="shared" si="1254"/>
        <v>23.94736901000033</v>
      </c>
      <c r="R1593">
        <f t="shared" si="1251"/>
        <v>0</v>
      </c>
      <c r="S1593" s="23">
        <f t="shared" si="1255"/>
        <v>-3.0152201499999975</v>
      </c>
      <c r="T1593">
        <f>$S1593+測地線補正!$Q$26*(lattice!$N1593/1000)^3+測地線補正!$P$26*(lattice!$N1593/1000)^2+測地線補正!$O$26*(lattice!$N1593/1000)+測地線補正!$N$26</f>
        <v>-0.36212447645444912</v>
      </c>
      <c r="U1593">
        <f t="shared" si="1256"/>
        <v>5.319345760568529E-4</v>
      </c>
      <c r="V1593">
        <v>0</v>
      </c>
      <c r="W1593">
        <f t="shared" si="1257"/>
        <v>-8.8521388105727963E-5</v>
      </c>
      <c r="X1593">
        <f>$Z$1592-($Y$1592+$Y$1590)/2</f>
        <v>184.21466390810969</v>
      </c>
      <c r="Y1593">
        <f>_xlfn.XLOOKUP($F1593,設計座標!$E$13:$E$2301,設計座標!$L$13:$L$2301," ",0,1)</f>
        <v>200</v>
      </c>
      <c r="Z1593">
        <f>SQRT(($M$1592-$M$1590)^2+($N$1592-$N$1590)^2)</f>
        <v>284.21466390810969</v>
      </c>
      <c r="AA1593">
        <f>_xlfn.XLOOKUP($G1593,magnet_list!$A$2:$A$592,magnet_list!$AJ$2:$AJ$592,"n/a",0,1)</f>
        <v>0.21244935000000001</v>
      </c>
      <c r="AB1593">
        <f>_xlfn.XLOOKUP($G1593,magnet_list!$A$2:$A$592,magnet_list!$L$2:$L$592,"n/a",0,1)</f>
        <v>20</v>
      </c>
    </row>
    <row r="1594" spans="1:28">
      <c r="A1594" t="s">
        <v>797</v>
      </c>
      <c r="B1594">
        <v>3</v>
      </c>
      <c r="C1594" t="s">
        <v>805</v>
      </c>
      <c r="D1594" t="s">
        <v>806</v>
      </c>
      <c r="F1594" t="s">
        <v>418</v>
      </c>
      <c r="G1594" t="s">
        <v>418</v>
      </c>
      <c r="I1594">
        <f>_xlfn.XLOOKUP($F1594,設計座標!$E$13:$E$2301,設計座標!$G$13:$G$2301,"n/a",0,1)</f>
        <v>442.61436899999995</v>
      </c>
      <c r="J1594">
        <f>_xlfn.XLOOKUP($F1594,設計座標!$E$13:$E$2301,設計座標!$H$13:$H$2301,"n/a",0,1)</f>
        <v>-15000</v>
      </c>
      <c r="K1594">
        <f>_xlfn.XLOOKUP($F1594,設計座標!$E$13:$E$2301,設計座標!$I$13:$I$2301,"n/a",0,1)</f>
        <v>-178250.03830961999</v>
      </c>
      <c r="L1594">
        <f>_xlfn.XLOOKUP($F1594,設計座標!$E$13:$E$2301,設計座標!$J$13:$J$2301,"n/a",0,1)</f>
        <v>-90</v>
      </c>
      <c r="M1594" s="2">
        <f>_xlfn.XLOOKUP($F1594,survey_data!$A$2:$A$833,survey_data!$B$2:$B$833,"n/a",0,1)</f>
        <v>-14976.056267190001</v>
      </c>
      <c r="N1594" s="2">
        <f>_xlfn.XLOOKUP($F1594,survey_data!$A$2:$A$833,survey_data!$C$2:$C$833,"n/a",0,1)</f>
        <v>-178250.03830961999</v>
      </c>
      <c r="O1594" s="23">
        <f>_xlfn.XLOOKUP($F1594,survey_data!$A$2:$A$833,survey_data!$D$2:$D$833,"n/a",0,1)</f>
        <v>-93.028792039999999</v>
      </c>
      <c r="P1594" s="1">
        <f t="shared" si="1235"/>
        <v>-90.374872959590832</v>
      </c>
      <c r="Q1594" s="1">
        <f t="shared" si="1254"/>
        <v>23.943732809999347</v>
      </c>
      <c r="R1594">
        <f t="shared" si="1251"/>
        <v>0</v>
      </c>
      <c r="S1594" s="23">
        <f t="shared" si="1255"/>
        <v>-3.028792039999999</v>
      </c>
      <c r="T1594">
        <f>$S1594+測地線補正!$Q$26*(lattice!$N1594/1000)^3+測地線補正!$P$26*(lattice!$N1594/1000)^2+測地線補正!$O$26*(lattice!$N1594/1000)+測地線補正!$N$26</f>
        <v>-0.374872959590838</v>
      </c>
      <c r="U1594">
        <v>0</v>
      </c>
      <c r="V1594">
        <v>0</v>
      </c>
      <c r="W1594">
        <v>0</v>
      </c>
      <c r="X1594">
        <f>$Z$1595-($Y$1595+$Y$1592)/2</f>
        <v>189.92495117997208</v>
      </c>
      <c r="Y1594">
        <f>_xlfn.XLOOKUP($F1594,設計座標!$E$13:$E$2301,設計座標!$L$13:$L$2301," ",0,1)</f>
        <v>80</v>
      </c>
      <c r="Z1594">
        <f>SQRT(($M$1595-$M$1592)^2+($N$1595-$N$1592)^2)</f>
        <v>329.92495117997208</v>
      </c>
      <c r="AA1594">
        <f>_xlfn.XLOOKUP($G1594,magnet_list!$A$2:$A$592,magnet_list!$AJ$2:$AJ$592,"n/a",0,1)</f>
        <v>0.1074008800631841</v>
      </c>
      <c r="AB1594">
        <f>_xlfn.XLOOKUP($G1594,magnet_list!$A$2:$A$592,magnet_list!$L$2:$L$592,"n/a",0,1)</f>
        <v>20</v>
      </c>
    </row>
    <row r="1595" spans="1:28">
      <c r="A1595" t="s">
        <v>797</v>
      </c>
      <c r="B1595">
        <v>3</v>
      </c>
      <c r="C1595" t="s">
        <v>805</v>
      </c>
      <c r="D1595" t="s">
        <v>1152</v>
      </c>
      <c r="E1595" t="s">
        <v>804</v>
      </c>
      <c r="F1595" t="s">
        <v>1894</v>
      </c>
      <c r="G1595" t="s">
        <v>418</v>
      </c>
      <c r="I1595">
        <f>_xlfn.XLOOKUP($F1595,設計座標!$E$13:$E$2301,設計座標!$G$13:$G$2301,"n/a",0,1)</f>
        <v>442.61436899999995</v>
      </c>
      <c r="J1595">
        <f>_xlfn.XLOOKUP($F1595,設計座標!$E$13:$E$2301,設計座標!$H$13:$H$2301,"n/a",0,1)</f>
        <v>-15000</v>
      </c>
      <c r="K1595">
        <f>_xlfn.XLOOKUP($F1595,設計座標!$E$13:$E$2301,設計座標!$I$13:$I$2301,"n/a",0,1)</f>
        <v>-178250.03830961999</v>
      </c>
      <c r="L1595">
        <f>_xlfn.XLOOKUP($F1595,設計座標!$E$13:$E$2301,設計座標!$J$13:$J$2301,"n/a",0,1)</f>
        <v>-90</v>
      </c>
      <c r="M1595" s="2">
        <f t="shared" ref="M1595:M1632" si="1258">$J1595+$Q1595</f>
        <v>-14976.056267190001</v>
      </c>
      <c r="N1595" s="2">
        <f t="shared" ref="N1595:N1632" si="1259">$K1595</f>
        <v>-178250.03830961999</v>
      </c>
      <c r="O1595" s="23">
        <f t="shared" ref="O1595:O1632" si="1260">$L1595+$S1595</f>
        <v>-93.028792039999999</v>
      </c>
      <c r="P1595" s="1">
        <f t="shared" si="1235"/>
        <v>-90.374872959590832</v>
      </c>
      <c r="Q1595" s="1">
        <f>(Q$1596-Q$1594)/($N$1596-$N$1594)*($N1595-$N$1594)+Q$1594</f>
        <v>23.943732809999347</v>
      </c>
      <c r="R1595">
        <f t="shared" si="1251"/>
        <v>0</v>
      </c>
      <c r="S1595" s="23">
        <f>(S$1596-S$1594)/($N$1596-$N$1594)*($N1595-$N$1594)+S$1594</f>
        <v>-3.028792039999999</v>
      </c>
      <c r="T1595">
        <f>$S1595+測地線補正!$Q$26*(lattice!$N1595/1000)^3+測地線補正!$P$26*(lattice!$N1595/1000)^2+測地線補正!$O$26*(lattice!$N1595/1000)+測地線補正!$N$26</f>
        <v>-0.374872959590838</v>
      </c>
      <c r="U1595">
        <v>0</v>
      </c>
      <c r="V1595">
        <v>0</v>
      </c>
      <c r="W1595">
        <v>0</v>
      </c>
      <c r="X1595">
        <f>$Z$1595-($Y$1595+$Y$1592)/2</f>
        <v>189.92495117997208</v>
      </c>
      <c r="Y1595">
        <f>_xlfn.XLOOKUP($F1595,設計座標!$E$13:$E$2301,設計座標!$L$13:$L$2301," ",0,1)</f>
        <v>80</v>
      </c>
      <c r="Z1595">
        <f>SQRT(($M$1595-$M$1592)^2+($N$1595-$N$1592)^2)</f>
        <v>329.92495117997208</v>
      </c>
      <c r="AA1595">
        <f>_xlfn.XLOOKUP($G1595,magnet_list!$A$2:$A$592,magnet_list!$AJ$2:$AJ$592,"n/a",0,1)</f>
        <v>0.1074008800631841</v>
      </c>
      <c r="AB1595">
        <f>_xlfn.XLOOKUP($G1595,magnet_list!$A$2:$A$592,magnet_list!$L$2:$L$592,"n/a",0,1)</f>
        <v>20</v>
      </c>
    </row>
    <row r="1596" spans="1:28">
      <c r="A1596" t="s">
        <v>797</v>
      </c>
      <c r="B1596">
        <v>3</v>
      </c>
      <c r="C1596" t="s">
        <v>805</v>
      </c>
      <c r="D1596" t="s">
        <v>806</v>
      </c>
      <c r="F1596" t="s">
        <v>419</v>
      </c>
      <c r="G1596" t="s">
        <v>419</v>
      </c>
      <c r="I1596">
        <f>_xlfn.XLOOKUP($F1596,設計座標!$E$13:$E$2301,設計座標!$G$13:$G$2301,"n/a",0,1)</f>
        <v>442.81439599999993</v>
      </c>
      <c r="J1596">
        <f>_xlfn.XLOOKUP($F1596,設計座標!$E$13:$E$2301,設計座標!$H$13:$H$2301,"n/a",0,1)</f>
        <v>-15000</v>
      </c>
      <c r="K1596">
        <f>_xlfn.XLOOKUP($F1596,設計座標!$E$13:$E$2301,設計座標!$I$13:$I$2301,"n/a",0,1)</f>
        <v>-178450.07286267</v>
      </c>
      <c r="L1596">
        <f>_xlfn.XLOOKUP($F1596,設計座標!$E$13:$E$2301,設計座標!$J$13:$J$2301,"n/a",0,1)</f>
        <v>-90</v>
      </c>
      <c r="M1596" s="2">
        <f>_xlfn.XLOOKUP($F1596,survey_data!$A$2:$A$833,survey_data!$B$2:$B$833,"n/a",0,1)</f>
        <v>-14975.98231922</v>
      </c>
      <c r="N1596" s="2">
        <f>_xlfn.XLOOKUP($F1596,survey_data!$A$2:$A$833,survey_data!$C$2:$C$833,"n/a",0,1)</f>
        <v>-178450.07286267</v>
      </c>
      <c r="O1596" s="23">
        <f>_xlfn.XLOOKUP($F1596,survey_data!$A$2:$A$833,survey_data!$D$2:$D$833,"n/a",0,1)</f>
        <v>-93.066602660000001</v>
      </c>
      <c r="P1596" s="1">
        <f t="shared" si="1235"/>
        <v>-90.412045331104252</v>
      </c>
      <c r="Q1596" s="1">
        <f t="shared" si="1254"/>
        <v>24.017680779999864</v>
      </c>
      <c r="R1596">
        <f t="shared" si="1251"/>
        <v>0</v>
      </c>
      <c r="S1596" s="23">
        <f t="shared" si="1255"/>
        <v>-3.0666026600000009</v>
      </c>
      <c r="T1596">
        <f>$S1596+測地線補正!$Q$26*(lattice!$N1596/1000)^3+測地線補正!$P$26*(lattice!$N1596/1000)^2+測地線補正!$O$26*(lattice!$N1596/1000)+測地線補正!$N$26</f>
        <v>-0.41204533110425623</v>
      </c>
      <c r="U1596">
        <v>0</v>
      </c>
      <c r="V1596">
        <v>0</v>
      </c>
      <c r="W1596">
        <v>0</v>
      </c>
      <c r="X1596">
        <f>$Z$1597-($Y$1597+$Y$1595)/2</f>
        <v>120.03456671839913</v>
      </c>
      <c r="Y1596">
        <f>_xlfn.XLOOKUP($F1596,設計座標!$E$13:$E$2301,設計座標!$L$13:$L$2301," ",0,1)</f>
        <v>80</v>
      </c>
      <c r="Z1596">
        <f>SQRT(($M$1597-$M$1595)^2+($N$1597-$N$1595)^2)</f>
        <v>200.03456671839913</v>
      </c>
      <c r="AA1596">
        <f>_xlfn.XLOOKUP($G1596,magnet_list!$A$2:$A$592,magnet_list!$AJ$2:$AJ$592,"n/a",0,1)</f>
        <v>0.1074008800631841</v>
      </c>
      <c r="AB1596">
        <f>_xlfn.XLOOKUP($G1596,magnet_list!$A$2:$A$592,magnet_list!$L$2:$L$592,"n/a",0,1)</f>
        <v>20</v>
      </c>
    </row>
    <row r="1597" spans="1:28">
      <c r="A1597" t="s">
        <v>797</v>
      </c>
      <c r="B1597">
        <v>3</v>
      </c>
      <c r="C1597" t="s">
        <v>805</v>
      </c>
      <c r="D1597" t="s">
        <v>1152</v>
      </c>
      <c r="E1597" t="s">
        <v>804</v>
      </c>
      <c r="F1597" t="s">
        <v>1893</v>
      </c>
      <c r="G1597" t="s">
        <v>419</v>
      </c>
      <c r="I1597">
        <f>_xlfn.XLOOKUP($F1597,設計座標!$E$13:$E$2301,設計座標!$G$13:$G$2301,"n/a",0,1)</f>
        <v>442.81439599999993</v>
      </c>
      <c r="J1597">
        <f>_xlfn.XLOOKUP($F1597,設計座標!$E$13:$E$2301,設計座標!$H$13:$H$2301,"n/a",0,1)</f>
        <v>-15000</v>
      </c>
      <c r="K1597">
        <f>_xlfn.XLOOKUP($F1597,設計座標!$E$13:$E$2301,設計座標!$I$13:$I$2301,"n/a",0,1)</f>
        <v>-178450.07286267</v>
      </c>
      <c r="L1597">
        <f>_xlfn.XLOOKUP($F1597,設計座標!$E$13:$E$2301,設計座標!$J$13:$J$2301,"n/a",0,1)</f>
        <v>-90</v>
      </c>
      <c r="M1597" s="2">
        <f t="shared" si="1258"/>
        <v>-14975.98231922</v>
      </c>
      <c r="N1597" s="2">
        <f t="shared" si="1259"/>
        <v>-178450.07286267</v>
      </c>
      <c r="O1597" s="23">
        <f t="shared" si="1260"/>
        <v>-93.066602660000001</v>
      </c>
      <c r="P1597" s="1">
        <f t="shared" si="1235"/>
        <v>-90.412045331104252</v>
      </c>
      <c r="Q1597" s="1">
        <f>(Q$1598-Q$1596)/($N$1598-$N$1596)*($N1597-$N$1596)+Q$1596</f>
        <v>24.017680779999864</v>
      </c>
      <c r="R1597">
        <f t="shared" si="1251"/>
        <v>0</v>
      </c>
      <c r="S1597" s="23">
        <f>(S$1598-S$1596)/($N$1598-$N$1596)*($N1597-$N$1596)+S$1596</f>
        <v>-3.0666026600000009</v>
      </c>
      <c r="T1597">
        <f>$S1597+測地線補正!$Q$26*(lattice!$N1597/1000)^3+測地線補正!$P$26*(lattice!$N1597/1000)^2+測地線補正!$O$26*(lattice!$N1597/1000)+測地線補正!$N$26</f>
        <v>-0.41204533110425623</v>
      </c>
      <c r="U1597">
        <v>0</v>
      </c>
      <c r="V1597">
        <v>0</v>
      </c>
      <c r="W1597">
        <v>0</v>
      </c>
      <c r="X1597">
        <f>$Z$1597-($Y$1597+$Y$1595)/2</f>
        <v>120.03456671839913</v>
      </c>
      <c r="Y1597">
        <f>_xlfn.XLOOKUP($F1597,設計座標!$E$13:$E$2301,設計座標!$L$13:$L$2301," ",0,1)</f>
        <v>80</v>
      </c>
      <c r="Z1597">
        <f>SQRT(($M$1597-$M$1595)^2+($N$1597-$N$1595)^2)</f>
        <v>200.03456671839913</v>
      </c>
      <c r="AA1597">
        <f>_xlfn.XLOOKUP($G1597,magnet_list!$A$2:$A$592,magnet_list!$AJ$2:$AJ$592,"n/a",0,1)</f>
        <v>0.1074008800631841</v>
      </c>
      <c r="AB1597">
        <f>_xlfn.XLOOKUP($G1597,magnet_list!$A$2:$A$592,magnet_list!$L$2:$L$592,"n/a",0,1)</f>
        <v>20</v>
      </c>
    </row>
    <row r="1598" spans="1:28">
      <c r="A1598" t="s">
        <v>797</v>
      </c>
      <c r="B1598">
        <v>3</v>
      </c>
      <c r="C1598" t="s">
        <v>805</v>
      </c>
      <c r="D1598" t="s">
        <v>806</v>
      </c>
      <c r="F1598" t="s">
        <v>420</v>
      </c>
      <c r="G1598" t="s">
        <v>2719</v>
      </c>
      <c r="I1598">
        <f>_xlfn.XLOOKUP($F1598,設計座標!$E$13:$E$2301,設計座標!$G$13:$G$2301,"n/a",0,1)</f>
        <v>443.06941399999994</v>
      </c>
      <c r="J1598">
        <f>_xlfn.XLOOKUP($F1598,設計座標!$E$13:$E$2301,設計座標!$H$13:$H$2301,"n/a",0,1)</f>
        <v>-15000</v>
      </c>
      <c r="K1598">
        <f>_xlfn.XLOOKUP($F1598,設計座標!$E$13:$E$2301,設計座標!$I$13:$I$2301,"n/a",0,1)</f>
        <v>-178705.06577148999</v>
      </c>
      <c r="L1598">
        <f>_xlfn.XLOOKUP($F1598,設計座標!$E$13:$E$2301,設計座標!$J$13:$J$2301,"n/a",0,1)</f>
        <v>-50</v>
      </c>
      <c r="M1598" s="2">
        <f>_xlfn.XLOOKUP($F1598,survey_data!$A$2:$A$833,survey_data!$B$2:$B$833,"n/a",0,1)</f>
        <v>-14975.958178569999</v>
      </c>
      <c r="N1598" s="2">
        <f>_xlfn.XLOOKUP($F1598,survey_data!$A$2:$A$833,survey_data!$C$2:$C$833,"n/a",0,1)</f>
        <v>-178705.06577148999</v>
      </c>
      <c r="O1598" s="23">
        <f>_xlfn.XLOOKUP($F1598,survey_data!$A$2:$A$833,survey_data!$D$2:$D$833,"n/a",0,1)</f>
        <v>-53.028493670000003</v>
      </c>
      <c r="P1598" s="1">
        <f t="shared" si="1235"/>
        <v>-50.373132721314214</v>
      </c>
      <c r="Q1598" s="1">
        <f t="shared" si="1254"/>
        <v>24.041821430000709</v>
      </c>
      <c r="R1598">
        <f t="shared" si="1251"/>
        <v>0</v>
      </c>
      <c r="S1598" s="23">
        <f t="shared" si="1255"/>
        <v>-3.0284936700000031</v>
      </c>
      <c r="T1598">
        <f>$S1598+測地線補正!$Q$26*(lattice!$N1598/1000)^3+測地線補正!$P$26*(lattice!$N1598/1000)^2+測地線補正!$O$26*(lattice!$N1598/1000)+測地線補正!$N$26</f>
        <v>-0.37313272131421571</v>
      </c>
      <c r="U1598">
        <f>-ATAN(($P$1600-$P$1598)/ABS($N$1600-$N$1598))</f>
        <v>-2.9341503307329071E-5</v>
      </c>
      <c r="V1598">
        <v>0</v>
      </c>
      <c r="W1598">
        <f>ATAN(($M$1600-$M$1598)/ABS($N$1600-$N$1598))</f>
        <v>5.6722157619603427E-4</v>
      </c>
      <c r="X1598">
        <f>$Z$1599-($Y$1599+$Y$1597)/2</f>
        <v>189.98991555701105</v>
      </c>
      <c r="Y1598">
        <f>_xlfn.XLOOKUP($F1598,設計座標!$E$13:$E$2301,設計座標!$L$13:$L$2301," ",0,1)</f>
        <v>200</v>
      </c>
      <c r="Z1598">
        <f>SQRT(($M$1599-$M$1597)^2+($N$1599-$N$1597)^2)</f>
        <v>329.98991555701105</v>
      </c>
      <c r="AA1598">
        <f>_xlfn.XLOOKUP($G1598,magnet_list!$A$2:$A$592,magnet_list!$AJ$2:$AJ$592,"n/a",0,1)</f>
        <v>0.21244935000000001</v>
      </c>
      <c r="AB1598">
        <f>_xlfn.XLOOKUP($G1598,magnet_list!$A$2:$A$592,magnet_list!$L$2:$L$592,"n/a",0,1)</f>
        <v>20</v>
      </c>
    </row>
    <row r="1599" spans="1:28">
      <c r="A1599" t="s">
        <v>797</v>
      </c>
      <c r="B1599">
        <v>3</v>
      </c>
      <c r="C1599" t="s">
        <v>805</v>
      </c>
      <c r="D1599" t="s">
        <v>1152</v>
      </c>
      <c r="E1599" t="s">
        <v>804</v>
      </c>
      <c r="F1599" t="s">
        <v>772</v>
      </c>
      <c r="G1599" t="s">
        <v>2719</v>
      </c>
      <c r="I1599">
        <f>_xlfn.XLOOKUP($F1599,設計座標!$E$13:$E$2301,設計座標!$G$13:$G$2301,"n/a",0,1)</f>
        <v>443.14441099999999</v>
      </c>
      <c r="J1599">
        <f>_xlfn.XLOOKUP($F1599,設計座標!$E$13:$E$2301,設計座標!$H$13:$H$2301,"n/a",0,1)</f>
        <v>-15000</v>
      </c>
      <c r="K1599">
        <f>_xlfn.XLOOKUP($F1599,設計座標!$E$13:$E$2301,設計座標!$I$13:$I$2301,"n/a",0,1)</f>
        <v>-178780.06277148999</v>
      </c>
      <c r="L1599">
        <f>_xlfn.XLOOKUP($F1599,設計座標!$E$13:$E$2301,設計座標!$J$13:$J$2301,"n/a",0,1)</f>
        <v>-50</v>
      </c>
      <c r="M1599" s="2">
        <f t="shared" si="1258"/>
        <v>-14975.915638648887</v>
      </c>
      <c r="N1599" s="2">
        <f t="shared" si="1259"/>
        <v>-178780.06277148999</v>
      </c>
      <c r="O1599" s="23">
        <f t="shared" si="1260"/>
        <v>-53.026526890080952</v>
      </c>
      <c r="P1599" s="1">
        <f t="shared" si="1235"/>
        <v>-50.370931713229062</v>
      </c>
      <c r="Q1599" s="1">
        <f>(Q$1600-Q$1598)/($N$1600-$N$1598)*($N1599-$N$1598)+Q$1598</f>
        <v>24.084361351112953</v>
      </c>
      <c r="R1599">
        <f t="shared" si="1251"/>
        <v>0</v>
      </c>
      <c r="S1599" s="23">
        <f>(S$1600-S$1598)/($N$1600-$N$1598)*($N1599-$N$1598)+S$1598</f>
        <v>-3.026526890080953</v>
      </c>
      <c r="T1599">
        <f>$S1599+測地線補正!$Q$26*(lattice!$N1599/1000)^3+測地線補正!$P$26*(lattice!$N1599/1000)^2+測地線補正!$O$26*(lattice!$N1599/1000)+測地線補正!$N$26</f>
        <v>-0.37093171322906415</v>
      </c>
      <c r="U1599">
        <f t="shared" ref="U1599:U1600" si="1261">-ATAN(($P$1600-$P$1598)/ABS($N$1600-$N$1598))</f>
        <v>-2.9341503307329071E-5</v>
      </c>
      <c r="V1599">
        <v>0</v>
      </c>
      <c r="W1599">
        <f t="shared" ref="W1599:W1600" si="1262">ATAN(($M$1600-$M$1598)/ABS($N$1600-$N$1598))</f>
        <v>5.6722157619603427E-4</v>
      </c>
      <c r="X1599">
        <f>$Z$1599-($Y$1599+$Y$1597)/2</f>
        <v>189.98991555701105</v>
      </c>
      <c r="Y1599">
        <f>_xlfn.XLOOKUP($F1599,設計座標!$E$13:$E$2301,設計座標!$L$13:$L$2301," ",0,1)</f>
        <v>200</v>
      </c>
      <c r="Z1599">
        <f>SQRT(($M$1599-$M$1597)^2+($N$1599-$N$1597)^2)</f>
        <v>329.98991555701105</v>
      </c>
      <c r="AA1599">
        <f>_xlfn.XLOOKUP($G1599,magnet_list!$A$2:$A$592,magnet_list!$AJ$2:$AJ$592,"n/a",0,1)</f>
        <v>0.21244935000000001</v>
      </c>
      <c r="AB1599">
        <f>_xlfn.XLOOKUP($G1599,magnet_list!$A$2:$A$592,magnet_list!$L$2:$L$592,"n/a",0,1)</f>
        <v>20</v>
      </c>
    </row>
    <row r="1600" spans="1:28">
      <c r="A1600" t="s">
        <v>797</v>
      </c>
      <c r="B1600">
        <v>3</v>
      </c>
      <c r="C1600" t="s">
        <v>805</v>
      </c>
      <c r="D1600" t="s">
        <v>806</v>
      </c>
      <c r="F1600" t="s">
        <v>421</v>
      </c>
      <c r="G1600" t="s">
        <v>2719</v>
      </c>
      <c r="I1600">
        <f>_xlfn.XLOOKUP($F1600,設計座標!$E$13:$E$2301,設計座標!$G$13:$G$2301,"n/a",0,1)</f>
        <v>443.21940799999993</v>
      </c>
      <c r="J1600">
        <f>_xlfn.XLOOKUP($F1600,設計座標!$E$13:$E$2301,設計座標!$H$13:$H$2301,"n/a",0,1)</f>
        <v>-15000</v>
      </c>
      <c r="K1600">
        <f>_xlfn.XLOOKUP($F1600,設計座標!$E$13:$E$2301,設計座標!$I$13:$I$2301,"n/a",0,1)</f>
        <v>-178855.07579305</v>
      </c>
      <c r="L1600">
        <f>_xlfn.XLOOKUP($F1600,設計座標!$E$13:$E$2301,設計座標!$J$13:$J$2301,"n/a",0,1)</f>
        <v>-50</v>
      </c>
      <c r="M1600" s="2">
        <f>_xlfn.XLOOKUP($F1600,survey_data!$A$2:$A$833,survey_data!$B$2:$B$833,"n/a",0,1)</f>
        <v>-14975.873089639999</v>
      </c>
      <c r="N1600" s="2">
        <f>_xlfn.XLOOKUP($F1600,survey_data!$A$2:$A$833,survey_data!$C$2:$C$833,"n/a",0,1)</f>
        <v>-178855.07579305</v>
      </c>
      <c r="O1600" s="23">
        <f>_xlfn.XLOOKUP($F1600,survey_data!$A$2:$A$833,survey_data!$D$2:$D$833,"n/a",0,1)</f>
        <v>-53.024559689999997</v>
      </c>
      <c r="P1600" s="1">
        <f t="shared" si="1235"/>
        <v>-50.368731201769215</v>
      </c>
      <c r="Q1600" s="1">
        <f t="shared" si="1254"/>
        <v>24.126910360000693</v>
      </c>
      <c r="R1600">
        <f t="shared" si="1251"/>
        <v>0</v>
      </c>
      <c r="S1600" s="23">
        <f t="shared" si="1255"/>
        <v>-3.0245596899999967</v>
      </c>
      <c r="T1600">
        <f>$S1600+測地線補正!$Q$26*(lattice!$N1600/1000)^3+測地線補正!$P$26*(lattice!$N1600/1000)^2+測地線補正!$O$26*(lattice!$N1600/1000)+測地線補正!$N$26</f>
        <v>-0.36873120176921703</v>
      </c>
      <c r="U1600">
        <f t="shared" si="1261"/>
        <v>-2.9341503307329071E-5</v>
      </c>
      <c r="V1600">
        <v>0</v>
      </c>
      <c r="W1600">
        <f t="shared" si="1262"/>
        <v>5.6722157619603427E-4</v>
      </c>
      <c r="X1600">
        <f>$Z$1599-($Y$1599+$Y$1597)/2</f>
        <v>189.98991555701105</v>
      </c>
      <c r="Y1600">
        <f>_xlfn.XLOOKUP($F1600,設計座標!$E$13:$E$2301,設計座標!$L$13:$L$2301," ",0,1)</f>
        <v>200</v>
      </c>
      <c r="Z1600">
        <f>SQRT(($M$1599-$M$1597)^2+($N$1599-$N$1597)^2)</f>
        <v>329.98991555701105</v>
      </c>
      <c r="AA1600">
        <f>_xlfn.XLOOKUP($G1600,magnet_list!$A$2:$A$592,magnet_list!$AJ$2:$AJ$592,"n/a",0,1)</f>
        <v>0.21244935000000001</v>
      </c>
      <c r="AB1600">
        <f>_xlfn.XLOOKUP($G1600,magnet_list!$A$2:$A$592,magnet_list!$L$2:$L$592,"n/a",0,1)</f>
        <v>20</v>
      </c>
    </row>
    <row r="1601" spans="1:26">
      <c r="A1601" t="s">
        <v>797</v>
      </c>
      <c r="B1601">
        <v>3</v>
      </c>
      <c r="C1601" t="s">
        <v>2288</v>
      </c>
      <c r="D1601" t="s">
        <v>1152</v>
      </c>
      <c r="E1601" t="s">
        <v>804</v>
      </c>
      <c r="F1601" t="s">
        <v>2290</v>
      </c>
      <c r="G1601" t="s">
        <v>2290</v>
      </c>
      <c r="I1601">
        <f>_xlfn.XLOOKUP($F1601,設計座標!$E$13:$E$2301,設計座標!$G$13:$G$2301,"n/a",0,1)</f>
        <v>443.47675226136914</v>
      </c>
      <c r="J1601">
        <f>_xlfn.XLOOKUP($F1601,設計座標!$E$13:$E$2301,設計座標!$H$13:$H$2301,"n/a",0,1)</f>
        <v>-15000</v>
      </c>
      <c r="K1601">
        <f>_xlfn.XLOOKUP($F1601,設計座標!$E$13:$E$2301,設計座標!$I$13:$I$2301,"n/a",0,1)</f>
        <v>-179000.41139545999</v>
      </c>
      <c r="L1601">
        <f>_xlfn.XLOOKUP($F1601,設計座標!$E$13:$E$2301,設計座標!$J$13:$J$2301,"n/a",0,1)</f>
        <v>-270</v>
      </c>
      <c r="M1601" s="2">
        <f t="shared" si="1258"/>
        <v>-14975.855294885583</v>
      </c>
      <c r="N1601" s="2">
        <f t="shared" si="1259"/>
        <v>-179000.41139545999</v>
      </c>
      <c r="O1601" s="23">
        <f t="shared" si="1260"/>
        <v>-273.02274272130052</v>
      </c>
      <c r="P1601" s="1">
        <f t="shared" si="1235"/>
        <v>-270.36646494912952</v>
      </c>
      <c r="Q1601" s="1">
        <f>(Q$1631-Q$1600)/($N$1631-$N$1600)*($N1601-$N$1600)+Q$1600</f>
        <v>24.144705114416535</v>
      </c>
      <c r="R1601">
        <f t="shared" si="1251"/>
        <v>0</v>
      </c>
      <c r="S1601" s="23">
        <f t="shared" ref="S1601:S1630" si="1263">(S$1631-S$1600)/($N$1631-$N$1600)*($N1601-$N$1600)+S$1600</f>
        <v>-3.0227427213005047</v>
      </c>
      <c r="T1601">
        <f>$S1601+測地線補正!$Q$26*(lattice!$N1601/1000)^3+測地線補正!$P$26*(lattice!$N1601/1000)^2+測地線補正!$O$26*(lattice!$N1601/1000)+測地線補正!$N$26</f>
        <v>-0.36646494912953842</v>
      </c>
      <c r="U1601">
        <v>0</v>
      </c>
      <c r="V1601">
        <v>0</v>
      </c>
      <c r="W1601">
        <v>0</v>
      </c>
      <c r="X1601">
        <f>$Z$1601-($Y$1601+$Y$1599)/2</f>
        <v>120.34863223274624</v>
      </c>
      <c r="Y1601">
        <f>_xlfn.XLOOKUP($F1601,設計座標!$E$13:$E$2301,設計座標!$L$13:$L$2301," ",0,1)</f>
        <v>0</v>
      </c>
      <c r="Z1601">
        <f>SQRT(($M$1601-$M$1599)^2+($N$1601-$N$1599)^2)</f>
        <v>220.34863223274624</v>
      </c>
    </row>
    <row r="1602" spans="1:26">
      <c r="A1602" t="s">
        <v>797</v>
      </c>
      <c r="B1602">
        <v>3</v>
      </c>
      <c r="C1602" t="s">
        <v>804</v>
      </c>
      <c r="D1602" t="s">
        <v>1152</v>
      </c>
      <c r="E1602" t="s">
        <v>804</v>
      </c>
      <c r="F1602" t="s">
        <v>1678</v>
      </c>
      <c r="G1602" t="s">
        <v>2720</v>
      </c>
      <c r="I1602">
        <f>_xlfn.XLOOKUP($F1602,設計座標!$E$13:$E$2301,設計座標!$G$13:$G$2301,"n/a",0,1)</f>
        <v>443.6572214613692</v>
      </c>
      <c r="J1602">
        <f>_xlfn.XLOOKUP($F1602,設計座標!$E$13:$E$2301,設計座標!$H$13:$H$2301,"n/a",0,1)</f>
        <v>-15000</v>
      </c>
      <c r="K1602">
        <f>_xlfn.XLOOKUP($F1602,設計座標!$E$13:$E$2301,設計座標!$I$13:$I$2301,"n/a",0,1)</f>
        <v>-179180.88059546001</v>
      </c>
      <c r="L1602">
        <f>_xlfn.XLOOKUP($F1602,設計座標!$E$13:$E$2301,設計座標!$J$13:$J$2301,"n/a",0,1)</f>
        <v>-270</v>
      </c>
      <c r="M1602" s="2">
        <f t="shared" si="1258"/>
        <v>-14975.833198406535</v>
      </c>
      <c r="N1602" s="2">
        <f t="shared" si="1259"/>
        <v>-179180.88059546001</v>
      </c>
      <c r="O1602" s="23">
        <f t="shared" si="1260"/>
        <v>-273.02048651647397</v>
      </c>
      <c r="P1602" s="1">
        <f t="shared" si="1235"/>
        <v>-270.36365589625029</v>
      </c>
      <c r="Q1602" s="1">
        <f t="shared" ref="Q1602:Q1630" si="1264">(Q$1631-Q$1600)/($N$1631-$N$1600)*($N1602-$N$1600)+Q$1600</f>
        <v>24.166801593464832</v>
      </c>
      <c r="R1602">
        <f t="shared" si="1251"/>
        <v>0</v>
      </c>
      <c r="S1602" s="23">
        <f t="shared" si="1263"/>
        <v>-3.0204865164739858</v>
      </c>
      <c r="T1602">
        <f>$S1602+測地線補正!$Q$26*(lattice!$N1602/1000)^3+測地線補正!$P$26*(lattice!$N1602/1000)^2+測地線補正!$O$26*(lattice!$N1602/1000)+測地線補正!$N$26</f>
        <v>-0.36365589625029959</v>
      </c>
      <c r="U1602">
        <f>-ATAN(($P$1604-$P$1602)/ABS($N$1604-$N$1602))</f>
        <v>-1.5388247437272195E-5</v>
      </c>
      <c r="V1602">
        <v>0</v>
      </c>
      <c r="W1602">
        <f>ATAN(($M$1604-$M$1602)/ABS($N$1604-$N$1602))</f>
        <v>1.224390585093208E-4</v>
      </c>
      <c r="X1602">
        <f>SQRT(($M$1602-$M$1601)^2+($N$1602-$N$1601)^2)</f>
        <v>180.46920135275741</v>
      </c>
      <c r="Y1602">
        <f>_xlfn.XLOOKUP($F1602,設計座標!$E$13:$E$2301,設計座標!$L$13:$L$2301," ",0,1)</f>
        <v>1889.4492</v>
      </c>
      <c r="Z1602">
        <f>SQRT(($M$1603-$M$1601)^2+($N$1603-$N$1601)^2)</f>
        <v>1125.1938084340802</v>
      </c>
    </row>
    <row r="1603" spans="1:26">
      <c r="A1603" t="s">
        <v>797</v>
      </c>
      <c r="B1603">
        <v>3</v>
      </c>
      <c r="C1603" t="s">
        <v>804</v>
      </c>
      <c r="D1603" t="s">
        <v>1152</v>
      </c>
      <c r="E1603" t="s">
        <v>804</v>
      </c>
      <c r="F1603" t="s">
        <v>1202</v>
      </c>
      <c r="G1603" t="s">
        <v>2720</v>
      </c>
      <c r="I1603">
        <f>_xlfn.XLOOKUP($F1603,設計座標!$E$13:$E$2301,設計座標!$G$13:$G$2301,"n/a",0,1)</f>
        <v>444.60194606136918</v>
      </c>
      <c r="J1603">
        <f>_xlfn.XLOOKUP($F1603,設計座標!$E$13:$E$2301,設計座標!$H$13:$H$2301,"n/a",0,1)</f>
        <v>-15000</v>
      </c>
      <c r="K1603">
        <f>_xlfn.XLOOKUP($F1603,設計座標!$E$13:$E$2301,設計座標!$I$13:$I$2301,"n/a",0,1)</f>
        <v>-180125.60519546</v>
      </c>
      <c r="L1603">
        <f>_xlfn.XLOOKUP($F1603,設計座標!$E$13:$E$2301,設計座標!$J$13:$J$2301,"n/a",0,1)</f>
        <v>-270</v>
      </c>
      <c r="M1603" s="2">
        <f t="shared" si="1258"/>
        <v>-14975.717527215384</v>
      </c>
      <c r="N1603" s="2">
        <f t="shared" si="1259"/>
        <v>-180125.60519546</v>
      </c>
      <c r="O1603" s="23">
        <f t="shared" si="1260"/>
        <v>-273.00867568004179</v>
      </c>
      <c r="P1603" s="1">
        <f t="shared" si="1235"/>
        <v>-270.34904204573542</v>
      </c>
      <c r="Q1603" s="1">
        <f t="shared" si="1264"/>
        <v>24.282472784617163</v>
      </c>
      <c r="R1603">
        <f t="shared" si="1251"/>
        <v>0</v>
      </c>
      <c r="S1603" s="23">
        <f t="shared" si="1263"/>
        <v>-3.0086756800417818</v>
      </c>
      <c r="T1603">
        <f>$S1603+測地線補正!$Q$26*(lattice!$N1603/1000)^3+測地線補正!$P$26*(lattice!$N1603/1000)^2+測地線補正!$O$26*(lattice!$N1603/1000)+測地線補正!$N$26</f>
        <v>-0.34904204573540398</v>
      </c>
      <c r="U1603">
        <f t="shared" ref="U1603:U1604" si="1265">-ATAN(($P$1604-$P$1602)/ABS($N$1604-$N$1602))</f>
        <v>-1.5388247437272195E-5</v>
      </c>
      <c r="V1603">
        <v>0</v>
      </c>
      <c r="W1603">
        <f t="shared" ref="W1603:W1604" si="1266">ATAN(($M$1604-$M$1602)/ABS($N$1604-$N$1602))</f>
        <v>1.224390585093208E-4</v>
      </c>
      <c r="X1603" t="s">
        <v>3860</v>
      </c>
      <c r="Y1603">
        <f>_xlfn.XLOOKUP($F1603,設計座標!$E$13:$E$2301,設計座標!$L$13:$L$2301," ",0,1)</f>
        <v>1889.4492</v>
      </c>
      <c r="Z1603">
        <f>SQRT(($M$1603-$M$1601)^2+($N$1603-$N$1601)^2)</f>
        <v>1125.1938084340802</v>
      </c>
    </row>
    <row r="1604" spans="1:26">
      <c r="A1604" t="s">
        <v>797</v>
      </c>
      <c r="B1604">
        <v>3</v>
      </c>
      <c r="C1604" t="s">
        <v>804</v>
      </c>
      <c r="D1604" t="s">
        <v>1152</v>
      </c>
      <c r="E1604" t="s">
        <v>804</v>
      </c>
      <c r="F1604" t="s">
        <v>1679</v>
      </c>
      <c r="G1604" t="s">
        <v>2720</v>
      </c>
      <c r="I1604">
        <f>_xlfn.XLOOKUP($F1604,設計座標!$E$13:$E$2301,設計座標!$G$13:$G$2301,"n/a",0,1)</f>
        <v>445.54667066136915</v>
      </c>
      <c r="J1604">
        <f>_xlfn.XLOOKUP($F1604,設計座標!$E$13:$E$2301,設計座標!$H$13:$H$2301,"n/a",0,1)</f>
        <v>-15000</v>
      </c>
      <c r="K1604">
        <f>_xlfn.XLOOKUP($F1604,設計座標!$E$13:$E$2301,設計座標!$I$13:$I$2301,"n/a",0,1)</f>
        <v>-181070.32979545998</v>
      </c>
      <c r="L1604">
        <f>_xlfn.XLOOKUP($F1604,設計座標!$E$13:$E$2301,設計座標!$J$13:$J$2301,"n/a",0,1)</f>
        <v>-270</v>
      </c>
      <c r="M1604" s="2">
        <f t="shared" si="1258"/>
        <v>-14975.60185602423</v>
      </c>
      <c r="N1604" s="2">
        <f t="shared" si="1259"/>
        <v>-181070.32979545998</v>
      </c>
      <c r="O1604" s="23">
        <f t="shared" si="1260"/>
        <v>-272.99686484360956</v>
      </c>
      <c r="P1604" s="1">
        <f t="shared" si="1235"/>
        <v>-270.33458058443824</v>
      </c>
      <c r="Q1604" s="1">
        <f t="shared" si="1264"/>
        <v>24.398143975769489</v>
      </c>
      <c r="R1604">
        <f t="shared" si="1251"/>
        <v>0</v>
      </c>
      <c r="S1604" s="23">
        <f t="shared" si="1263"/>
        <v>-2.9968648436095777</v>
      </c>
      <c r="T1604">
        <f>$S1604+測地線補正!$Q$26*(lattice!$N1604/1000)^3+測地線補正!$P$26*(lattice!$N1604/1000)^2+測地線補正!$O$26*(lattice!$N1604/1000)+測地線補正!$N$26</f>
        <v>-0.33458058443826588</v>
      </c>
      <c r="U1604">
        <f t="shared" si="1265"/>
        <v>-1.5388247437272195E-5</v>
      </c>
      <c r="V1604">
        <v>0</v>
      </c>
      <c r="W1604">
        <f t="shared" si="1266"/>
        <v>1.224390585093208E-4</v>
      </c>
      <c r="X1604" t="s">
        <v>3860</v>
      </c>
      <c r="Y1604">
        <f>_xlfn.XLOOKUP($F1604,設計座標!$E$13:$E$2301,設計座標!$L$13:$L$2301," ",0,1)</f>
        <v>1889.4492</v>
      </c>
      <c r="Z1604">
        <f>SQRT(($M$1603-$M$1601)^2+($N$1603-$N$1601)^2)</f>
        <v>1125.1938084340802</v>
      </c>
    </row>
    <row r="1605" spans="1:26">
      <c r="A1605" t="s">
        <v>797</v>
      </c>
      <c r="B1605">
        <v>3</v>
      </c>
      <c r="C1605" t="s">
        <v>804</v>
      </c>
      <c r="D1605" t="s">
        <v>1152</v>
      </c>
      <c r="E1605" t="s">
        <v>804</v>
      </c>
      <c r="F1605" t="s">
        <v>1680</v>
      </c>
      <c r="G1605" t="s">
        <v>2721</v>
      </c>
      <c r="I1605">
        <f>_xlfn.XLOOKUP($F1605,設計座標!$E$13:$E$2301,設計座標!$G$13:$G$2301,"n/a",0,1)</f>
        <v>445.75661246136923</v>
      </c>
      <c r="J1605">
        <f>_xlfn.XLOOKUP($F1605,設計座標!$E$13:$E$2301,設計座標!$H$13:$H$2301,"n/a",0,1)</f>
        <v>-15000</v>
      </c>
      <c r="K1605">
        <f>_xlfn.XLOOKUP($F1605,設計座標!$E$13:$E$2301,設計座標!$I$13:$I$2301,"n/a",0,1)</f>
        <v>-181280.27159546001</v>
      </c>
      <c r="L1605">
        <f>_xlfn.XLOOKUP($F1605,設計座標!$E$13:$E$2301,設計座標!$J$13:$J$2301,"n/a",0,1)</f>
        <v>-270</v>
      </c>
      <c r="M1605" s="2">
        <f t="shared" si="1258"/>
        <v>-14975.576150947769</v>
      </c>
      <c r="N1605" s="2">
        <f t="shared" si="1259"/>
        <v>-181280.27159546001</v>
      </c>
      <c r="O1605" s="23">
        <f t="shared" si="1260"/>
        <v>-272.99424017578565</v>
      </c>
      <c r="P1605" s="1">
        <f t="shared" si="1235"/>
        <v>-270.33138750658082</v>
      </c>
      <c r="Q1605" s="1">
        <f t="shared" si="1264"/>
        <v>24.423849052231631</v>
      </c>
      <c r="R1605">
        <f t="shared" si="1251"/>
        <v>0</v>
      </c>
      <c r="S1605" s="23">
        <f t="shared" si="1263"/>
        <v>-2.9942401757856607</v>
      </c>
      <c r="T1605">
        <f>$S1605+測地線補正!$Q$26*(lattice!$N1605/1000)^3+測地線補正!$P$26*(lattice!$N1605/1000)^2+測地線補正!$O$26*(lattice!$N1605/1000)+測地線補正!$N$26</f>
        <v>-0.33138750658083915</v>
      </c>
      <c r="U1605">
        <f>-ATAN(($P$1607-$P$1605)/ABS($N$1607-$N$1605))</f>
        <v>-1.5031584396081208E-5</v>
      </c>
      <c r="V1605">
        <v>0</v>
      </c>
      <c r="W1605">
        <f>ATAN(($M$1607-$M$1605)/ABS($N$1607-$N$1605))</f>
        <v>1.224390585093208E-4</v>
      </c>
      <c r="X1605">
        <f>SQRT(($M$1605-$M$1604)^2+($N$1605-$N$1604)^2)</f>
        <v>209.94180157368228</v>
      </c>
      <c r="Y1605">
        <f>_xlfn.XLOOKUP($F1605,設計座標!$E$13:$E$2301,設計座標!$L$13:$L$2301," ",0,1)</f>
        <v>1889.4492</v>
      </c>
      <c r="Z1605">
        <f>SQRT(($M$1606-$M$1603)^2+($N$1606-$N$1603)^2)</f>
        <v>2099.391015736328</v>
      </c>
    </row>
    <row r="1606" spans="1:26">
      <c r="A1606" t="s">
        <v>797</v>
      </c>
      <c r="B1606">
        <v>3</v>
      </c>
      <c r="C1606" t="s">
        <v>804</v>
      </c>
      <c r="D1606" t="s">
        <v>1152</v>
      </c>
      <c r="E1606" t="s">
        <v>804</v>
      </c>
      <c r="F1606" t="s">
        <v>1258</v>
      </c>
      <c r="G1606" t="s">
        <v>2721</v>
      </c>
      <c r="I1606">
        <f>_xlfn.XLOOKUP($F1606,設計座標!$E$13:$E$2301,設計座標!$G$13:$G$2301,"n/a",0,1)</f>
        <v>446.7013370613692</v>
      </c>
      <c r="J1606">
        <f>_xlfn.XLOOKUP($F1606,設計座標!$E$13:$E$2301,設計座標!$H$13:$H$2301,"n/a",0,1)</f>
        <v>-15000</v>
      </c>
      <c r="K1606">
        <f>_xlfn.XLOOKUP($F1606,設計座標!$E$13:$E$2301,設計座標!$I$13:$I$2301,"n/a",0,1)</f>
        <v>-182224.99619546</v>
      </c>
      <c r="L1606">
        <f>_xlfn.XLOOKUP($F1606,設計座標!$E$13:$E$2301,設計座標!$J$13:$J$2301,"n/a",0,1)</f>
        <v>-270</v>
      </c>
      <c r="M1606" s="2">
        <f t="shared" si="1258"/>
        <v>-14975.460479756615</v>
      </c>
      <c r="N1606" s="2">
        <f t="shared" si="1259"/>
        <v>-182224.99619546</v>
      </c>
      <c r="O1606" s="23">
        <f t="shared" si="1260"/>
        <v>-272.98242933935347</v>
      </c>
      <c r="P1606" s="1">
        <f t="shared" si="1235"/>
        <v>-270.31711136709231</v>
      </c>
      <c r="Q1606" s="1">
        <f t="shared" si="1264"/>
        <v>24.539520243383961</v>
      </c>
      <c r="R1606">
        <f t="shared" si="1251"/>
        <v>0</v>
      </c>
      <c r="S1606" s="23">
        <f t="shared" si="1263"/>
        <v>-2.9824293393534567</v>
      </c>
      <c r="T1606">
        <f>$S1606+測地線補正!$Q$26*(lattice!$N1606/1000)^3+測地線補正!$P$26*(lattice!$N1606/1000)^2+測地線補正!$O$26*(lattice!$N1606/1000)+測地線補正!$N$26</f>
        <v>-0.31711136709231469</v>
      </c>
      <c r="U1606">
        <f t="shared" ref="U1606:U1607" si="1267">-ATAN(($P$1607-$P$1605)/ABS($N$1607-$N$1605))</f>
        <v>-1.5031584396081208E-5</v>
      </c>
      <c r="V1606">
        <v>0</v>
      </c>
      <c r="W1606">
        <f t="shared" ref="W1606:W1607" si="1268">ATAN(($M$1607-$M$1605)/ABS($N$1607-$N$1605))</f>
        <v>1.224390585093208E-4</v>
      </c>
      <c r="X1606" t="s">
        <v>3860</v>
      </c>
      <c r="Y1606">
        <f>_xlfn.XLOOKUP($F1606,設計座標!$E$13:$E$2301,設計座標!$L$13:$L$2301," ",0,1)</f>
        <v>1889.4492</v>
      </c>
      <c r="Z1606">
        <f>SQRT(($M$1606-$M$1603)^2+($N$1606-$N$1603)^2)</f>
        <v>2099.391015736328</v>
      </c>
    </row>
    <row r="1607" spans="1:26">
      <c r="A1607" t="s">
        <v>797</v>
      </c>
      <c r="B1607">
        <v>3</v>
      </c>
      <c r="C1607" t="s">
        <v>804</v>
      </c>
      <c r="D1607" t="s">
        <v>1152</v>
      </c>
      <c r="E1607" t="s">
        <v>804</v>
      </c>
      <c r="F1607" t="s">
        <v>1681</v>
      </c>
      <c r="G1607" t="s">
        <v>2721</v>
      </c>
      <c r="I1607">
        <f>_xlfn.XLOOKUP($F1607,設計座標!$E$13:$E$2301,設計座標!$G$13:$G$2301,"n/a",0,1)</f>
        <v>447.64606166136917</v>
      </c>
      <c r="J1607">
        <f>_xlfn.XLOOKUP($F1607,設計座標!$E$13:$E$2301,設計座標!$H$13:$H$2301,"n/a",0,1)</f>
        <v>-15000</v>
      </c>
      <c r="K1607">
        <f>_xlfn.XLOOKUP($F1607,設計座標!$E$13:$E$2301,設計座標!$I$13:$I$2301,"n/a",0,1)</f>
        <v>-183169.72079545999</v>
      </c>
      <c r="L1607">
        <f>_xlfn.XLOOKUP($F1607,設計座標!$E$13:$E$2301,設計座標!$J$13:$J$2301,"n/a",0,1)</f>
        <v>-270</v>
      </c>
      <c r="M1607" s="2">
        <f t="shared" si="1258"/>
        <v>-14975.344808565464</v>
      </c>
      <c r="N1607" s="2">
        <f t="shared" si="1259"/>
        <v>-183169.72079545999</v>
      </c>
      <c r="O1607" s="23">
        <f t="shared" si="1260"/>
        <v>-272.97061850292124</v>
      </c>
      <c r="P1607" s="1">
        <f t="shared" si="1235"/>
        <v>-270.30298609146678</v>
      </c>
      <c r="Q1607" s="1">
        <f t="shared" si="1264"/>
        <v>24.655191434536288</v>
      </c>
      <c r="R1607">
        <f t="shared" si="1251"/>
        <v>0</v>
      </c>
      <c r="S1607" s="23">
        <f t="shared" si="1263"/>
        <v>-2.9706185029212526</v>
      </c>
      <c r="T1607">
        <f>$S1607+測地線補正!$Q$26*(lattice!$N1607/1000)^3+測地線補正!$P$26*(lattice!$N1607/1000)^2+測地線補正!$O$26*(lattice!$N1607/1000)+測地線補正!$N$26</f>
        <v>-0.30298609146677369</v>
      </c>
      <c r="U1607">
        <f t="shared" si="1267"/>
        <v>-1.5031584396081208E-5</v>
      </c>
      <c r="V1607">
        <v>0</v>
      </c>
      <c r="W1607">
        <f t="shared" si="1268"/>
        <v>1.224390585093208E-4</v>
      </c>
      <c r="X1607" t="s">
        <v>3860</v>
      </c>
      <c r="Y1607">
        <f>_xlfn.XLOOKUP($F1607,設計座標!$E$13:$E$2301,設計座標!$L$13:$L$2301," ",0,1)</f>
        <v>1889.4492</v>
      </c>
      <c r="Z1607">
        <f>SQRT(($M$1606-$M$1603)^2+($N$1606-$N$1603)^2)</f>
        <v>2099.391015736328</v>
      </c>
    </row>
    <row r="1608" spans="1:26">
      <c r="A1608" t="s">
        <v>797</v>
      </c>
      <c r="B1608">
        <v>3</v>
      </c>
      <c r="C1608" t="s">
        <v>1152</v>
      </c>
      <c r="D1608" t="s">
        <v>1152</v>
      </c>
      <c r="E1608" t="s">
        <v>804</v>
      </c>
      <c r="F1608" t="s">
        <v>2159</v>
      </c>
      <c r="G1608" t="s">
        <v>2159</v>
      </c>
      <c r="I1608">
        <f>_xlfn.XLOOKUP($F1608,設計座標!$E$13:$E$2301,設計座標!$G$13:$G$2301,"n/a",0,1)</f>
        <v>447.80505756136921</v>
      </c>
      <c r="J1608">
        <f>_xlfn.XLOOKUP($F1608,設計座標!$E$13:$E$2301,設計座標!$H$13:$H$2301,"n/a",0,1)</f>
        <v>-15000</v>
      </c>
      <c r="K1608">
        <f>_xlfn.XLOOKUP($F1608,設計座標!$E$13:$E$2301,設計座標!$I$13:$I$2301,"n/a",0,1)</f>
        <v>-183328.71669546</v>
      </c>
      <c r="L1608">
        <f>_xlfn.XLOOKUP($F1608,設計座標!$E$13:$E$2301,設計座標!$J$13:$J$2301,"n/a",0,1)</f>
        <v>-270</v>
      </c>
      <c r="M1608" s="2">
        <f t="shared" si="1258"/>
        <v>-14975.325341257063</v>
      </c>
      <c r="N1608" s="2">
        <f t="shared" si="1259"/>
        <v>-183328.71669546</v>
      </c>
      <c r="O1608" s="23">
        <f t="shared" si="1260"/>
        <v>-272.96863075477933</v>
      </c>
      <c r="P1608" s="1">
        <f t="shared" si="1235"/>
        <v>-270.30062360915952</v>
      </c>
      <c r="Q1608" s="1">
        <f t="shared" si="1264"/>
        <v>24.674658742936366</v>
      </c>
      <c r="R1608">
        <f t="shared" si="1251"/>
        <v>0</v>
      </c>
      <c r="S1608" s="23">
        <f t="shared" si="1263"/>
        <v>-2.9686307547793165</v>
      </c>
      <c r="T1608">
        <f>$S1608+測地線補正!$Q$26*(lattice!$N1608/1000)^3+測地線補正!$P$26*(lattice!$N1608/1000)^2+測地線補正!$O$26*(lattice!$N1608/1000)+測地線補正!$N$26</f>
        <v>-0.30062360915952646</v>
      </c>
      <c r="U1608">
        <v>0</v>
      </c>
      <c r="V1608">
        <v>0</v>
      </c>
      <c r="W1608">
        <v>0</v>
      </c>
      <c r="X1608">
        <f>SQRT(($M$1608-$M$1607)^2+($N$1608-$N$1607)^2)</f>
        <v>158.99590119178845</v>
      </c>
      <c r="Y1608">
        <f>_xlfn.XLOOKUP($F1608,設計座標!$E$13:$E$2301,設計座標!$L$13:$L$2301," ",0,1)</f>
        <v>0</v>
      </c>
      <c r="Z1608">
        <f>SQRT(($M$1608-$M$1606)^2+($N$1608-$N$1606)^2)</f>
        <v>1103.7205082731111</v>
      </c>
    </row>
    <row r="1609" spans="1:26">
      <c r="A1609" t="s">
        <v>797</v>
      </c>
      <c r="B1609">
        <v>3</v>
      </c>
      <c r="C1609" t="s">
        <v>1152</v>
      </c>
      <c r="D1609" t="s">
        <v>1152</v>
      </c>
      <c r="E1609" t="s">
        <v>804</v>
      </c>
      <c r="F1609" t="s">
        <v>2158</v>
      </c>
      <c r="G1609" t="s">
        <v>2158</v>
      </c>
      <c r="I1609">
        <f>_xlfn.XLOOKUP($F1609,設計座標!$E$13:$E$2301,設計座標!$G$13:$G$2301,"n/a",0,1)</f>
        <v>447.94093426136919</v>
      </c>
      <c r="J1609">
        <f>_xlfn.XLOOKUP($F1609,設計座標!$E$13:$E$2301,設計座標!$H$13:$H$2301,"n/a",0,1)</f>
        <v>-15000</v>
      </c>
      <c r="K1609">
        <f>_xlfn.XLOOKUP($F1609,設計座標!$E$13:$E$2301,設計座標!$I$13:$I$2301,"n/a",0,1)</f>
        <v>-183464.59339545999</v>
      </c>
      <c r="L1609">
        <f>_xlfn.XLOOKUP($F1609,設計座標!$E$13:$E$2301,設計座標!$J$13:$J$2301,"n/a",0,1)</f>
        <v>-270</v>
      </c>
      <c r="M1609" s="2">
        <f t="shared" si="1258"/>
        <v>-14975.308704641759</v>
      </c>
      <c r="N1609" s="2">
        <f t="shared" si="1259"/>
        <v>-183464.59339545999</v>
      </c>
      <c r="O1609" s="23">
        <f t="shared" si="1260"/>
        <v>-272.96693204017123</v>
      </c>
      <c r="P1609" s="1">
        <f t="shared" si="1235"/>
        <v>-270.29860801796877</v>
      </c>
      <c r="Q1609" s="1">
        <f t="shared" si="1264"/>
        <v>24.691295358240811</v>
      </c>
      <c r="R1609">
        <f t="shared" si="1251"/>
        <v>0</v>
      </c>
      <c r="S1609" s="23">
        <f t="shared" si="1263"/>
        <v>-2.9669320401712205</v>
      </c>
      <c r="T1609">
        <f>$S1609+測地線補正!$Q$26*(lattice!$N1609/1000)^3+測地線補正!$P$26*(lattice!$N1609/1000)^2+測地線補正!$O$26*(lattice!$N1609/1000)+測地線補正!$N$26</f>
        <v>-0.29860801796879177</v>
      </c>
      <c r="U1609">
        <v>0</v>
      </c>
      <c r="V1609">
        <v>0</v>
      </c>
      <c r="W1609">
        <v>0</v>
      </c>
      <c r="X1609">
        <f>$Z$1609-($Y$1609+$Y$1608)/2</f>
        <v>135.8767010184792</v>
      </c>
      <c r="Y1609">
        <f>_xlfn.XLOOKUP($F1609,設計座標!$E$13:$E$2301,設計座標!$L$13:$L$2301," ",0,1)</f>
        <v>0</v>
      </c>
      <c r="Z1609">
        <f>SQRT(($M$1609-$M$1608)^2+($N$1609-$N$1608)^2)</f>
        <v>135.8767010184792</v>
      </c>
    </row>
    <row r="1610" spans="1:26">
      <c r="A1610" t="s">
        <v>797</v>
      </c>
      <c r="B1610">
        <v>3</v>
      </c>
      <c r="C1610" t="s">
        <v>804</v>
      </c>
      <c r="D1610" t="s">
        <v>1152</v>
      </c>
      <c r="E1610" t="s">
        <v>804</v>
      </c>
      <c r="F1610" t="s">
        <v>1682</v>
      </c>
      <c r="G1610" t="s">
        <v>2722</v>
      </c>
      <c r="I1610">
        <f>_xlfn.XLOOKUP($F1610,設計座標!$E$13:$E$2301,設計座標!$G$13:$G$2301,"n/a",0,1)</f>
        <v>448.17090346136922</v>
      </c>
      <c r="J1610">
        <f>_xlfn.XLOOKUP($F1610,設計座標!$E$13:$E$2301,設計座標!$H$13:$H$2301,"n/a",0,1)</f>
        <v>-15000</v>
      </c>
      <c r="K1610">
        <f>_xlfn.XLOOKUP($F1610,設計座標!$E$13:$E$2301,設計座標!$I$13:$I$2301,"n/a",0,1)</f>
        <v>-183694.56259546001</v>
      </c>
      <c r="L1610">
        <f>_xlfn.XLOOKUP($F1610,設計座標!$E$13:$E$2301,設計座標!$J$13:$J$2301,"n/a",0,1)</f>
        <v>-270</v>
      </c>
      <c r="M1610" s="2">
        <f t="shared" si="1258"/>
        <v>-14975.280547429284</v>
      </c>
      <c r="N1610" s="2">
        <f t="shared" si="1259"/>
        <v>-183694.56259546001</v>
      </c>
      <c r="O1610" s="23">
        <f t="shared" si="1260"/>
        <v>-272.9640569921354</v>
      </c>
      <c r="P1610" s="1">
        <f t="shared" si="1235"/>
        <v>-270.29520372842853</v>
      </c>
      <c r="Q1610" s="1">
        <f t="shared" si="1264"/>
        <v>24.719452570715589</v>
      </c>
      <c r="R1610">
        <f t="shared" si="1251"/>
        <v>0</v>
      </c>
      <c r="S1610" s="23">
        <f t="shared" si="1263"/>
        <v>-2.964056992135375</v>
      </c>
      <c r="T1610">
        <f>$S1610+測地線補正!$Q$26*(lattice!$N1610/1000)^3+測地線補正!$P$26*(lattice!$N1610/1000)^2+測地線補正!$O$26*(lattice!$N1610/1000)+測地線補正!$N$26</f>
        <v>-0.29520372842851672</v>
      </c>
      <c r="U1610">
        <f>-ATAN(($P$1612-$P$1610)/ABS($N$1612-$N$1610))</f>
        <v>-1.4625859022315338E-5</v>
      </c>
      <c r="V1610">
        <v>0</v>
      </c>
      <c r="W1610">
        <f>ATAN(($M$1612-$M$1610)/ABS($N$1612-$N$1610))</f>
        <v>1.2243905850835808E-4</v>
      </c>
      <c r="X1610">
        <f>SQRT(($M$1610-$M$1609)^2+($N$1610-$N$1609)^2)</f>
        <v>229.96920172379268</v>
      </c>
      <c r="Y1610">
        <f>_xlfn.XLOOKUP($F1610,設計座標!$E$13:$E$2301,設計座標!$L$13:$L$2301," ",0,1)</f>
        <v>1889.4492</v>
      </c>
      <c r="Z1610">
        <f>SQRT(($M$1611-$M$1609)^2+($N$1611-$N$1609)^2)</f>
        <v>1174.6938088051154</v>
      </c>
    </row>
    <row r="1611" spans="1:26">
      <c r="A1611" t="s">
        <v>797</v>
      </c>
      <c r="B1611">
        <v>3</v>
      </c>
      <c r="C1611" t="s">
        <v>804</v>
      </c>
      <c r="D1611" t="s">
        <v>1152</v>
      </c>
      <c r="E1611" t="s">
        <v>804</v>
      </c>
      <c r="F1611" t="s">
        <v>1312</v>
      </c>
      <c r="G1611" t="s">
        <v>2722</v>
      </c>
      <c r="I1611">
        <f>_xlfn.XLOOKUP($F1611,設計座標!$E$13:$E$2301,設計座標!$G$13:$G$2301,"n/a",0,1)</f>
        <v>449.11562806136919</v>
      </c>
      <c r="J1611">
        <f>_xlfn.XLOOKUP($F1611,設計座標!$E$13:$E$2301,設計座標!$H$13:$H$2301,"n/a",0,1)</f>
        <v>-15000</v>
      </c>
      <c r="K1611">
        <f>_xlfn.XLOOKUP($F1611,設計座標!$E$13:$E$2301,設計座標!$I$13:$I$2301,"n/a",0,1)</f>
        <v>-184639.28719546</v>
      </c>
      <c r="L1611">
        <f>_xlfn.XLOOKUP($F1611,設計座標!$E$13:$E$2301,設計座標!$J$13:$J$2301,"n/a",0,1)</f>
        <v>-270</v>
      </c>
      <c r="M1611" s="2">
        <f t="shared" si="1258"/>
        <v>-14975.164876238132</v>
      </c>
      <c r="N1611" s="2">
        <f t="shared" si="1259"/>
        <v>-184639.28719546</v>
      </c>
      <c r="O1611" s="23">
        <f t="shared" si="1260"/>
        <v>-272.95224615570316</v>
      </c>
      <c r="P1611" s="1">
        <f t="shared" si="1235"/>
        <v>-270.28131176475739</v>
      </c>
      <c r="Q1611" s="1">
        <f t="shared" si="1264"/>
        <v>24.835123761867919</v>
      </c>
      <c r="R1611">
        <f t="shared" si="1251"/>
        <v>0</v>
      </c>
      <c r="S1611" s="23">
        <f t="shared" si="1263"/>
        <v>-2.9522461557031709</v>
      </c>
      <c r="T1611">
        <f>$S1611+測地線補正!$Q$26*(lattice!$N1611/1000)^3+測地線補正!$P$26*(lattice!$N1611/1000)^2+測地線補正!$O$26*(lattice!$N1611/1000)+測地線補正!$N$26</f>
        <v>-0.28131176475739772</v>
      </c>
      <c r="U1611">
        <f t="shared" ref="U1611:U1612" si="1269">-ATAN(($P$1612-$P$1610)/ABS($N$1612-$N$1610))</f>
        <v>-1.4625859022315338E-5</v>
      </c>
      <c r="V1611">
        <v>0</v>
      </c>
      <c r="W1611">
        <f t="shared" ref="W1611:W1612" si="1270">ATAN(($M$1612-$M$1610)/ABS($N$1612-$N$1610))</f>
        <v>1.2243905850835808E-4</v>
      </c>
      <c r="X1611" t="s">
        <v>3860</v>
      </c>
      <c r="Y1611">
        <f>_xlfn.XLOOKUP($F1611,設計座標!$E$13:$E$2301,設計座標!$L$13:$L$2301," ",0,1)</f>
        <v>1889.4492</v>
      </c>
      <c r="Z1611">
        <f>SQRT(($M$1611-$M$1609)^2+($N$1611-$N$1609)^2)</f>
        <v>1174.6938088051154</v>
      </c>
    </row>
    <row r="1612" spans="1:26">
      <c r="A1612" t="s">
        <v>797</v>
      </c>
      <c r="B1612">
        <v>3</v>
      </c>
      <c r="C1612" t="s">
        <v>804</v>
      </c>
      <c r="D1612" t="s">
        <v>1152</v>
      </c>
      <c r="E1612" t="s">
        <v>804</v>
      </c>
      <c r="F1612" t="s">
        <v>1683</v>
      </c>
      <c r="G1612" t="s">
        <v>2722</v>
      </c>
      <c r="I1612">
        <f>_xlfn.XLOOKUP($F1612,設計座標!$E$13:$E$2301,設計座標!$G$13:$G$2301,"n/a",0,1)</f>
        <v>450.06035266136917</v>
      </c>
      <c r="J1612">
        <f>_xlfn.XLOOKUP($F1612,設計座標!$E$13:$E$2301,設計座標!$H$13:$H$2301,"n/a",0,1)</f>
        <v>-15000</v>
      </c>
      <c r="K1612">
        <f>_xlfn.XLOOKUP($F1612,設計座標!$E$13:$E$2301,設計座標!$I$13:$I$2301,"n/a",0,1)</f>
        <v>-185584.01179545998</v>
      </c>
      <c r="L1612">
        <f>_xlfn.XLOOKUP($F1612,設計座標!$E$13:$E$2301,設計座標!$J$13:$J$2301,"n/a",0,1)</f>
        <v>-270</v>
      </c>
      <c r="M1612" s="2">
        <f t="shared" si="1258"/>
        <v>-14975.04920504698</v>
      </c>
      <c r="N1612" s="2">
        <f t="shared" si="1259"/>
        <v>-185584.01179545998</v>
      </c>
      <c r="O1612" s="23">
        <f t="shared" si="1260"/>
        <v>-272.94043531927099</v>
      </c>
      <c r="P1612" s="1">
        <f t="shared" si="1235"/>
        <v>-270.26756891079754</v>
      </c>
      <c r="Q1612" s="1">
        <f t="shared" si="1264"/>
        <v>24.950794953020246</v>
      </c>
      <c r="R1612">
        <f t="shared" si="1251"/>
        <v>0</v>
      </c>
      <c r="S1612" s="23">
        <f t="shared" si="1263"/>
        <v>-2.9404353192709669</v>
      </c>
      <c r="T1612">
        <f>$S1612+測地線補正!$Q$26*(lattice!$N1612/1000)^3+測地線補正!$P$26*(lattice!$N1612/1000)^2+測地線補正!$O$26*(lattice!$N1612/1000)+測地線補正!$N$26</f>
        <v>-0.26756891079756007</v>
      </c>
      <c r="U1612">
        <f t="shared" si="1269"/>
        <v>-1.4625859022315338E-5</v>
      </c>
      <c r="V1612">
        <v>0</v>
      </c>
      <c r="W1612">
        <f t="shared" si="1270"/>
        <v>1.2243905850835808E-4</v>
      </c>
      <c r="X1612" t="s">
        <v>3860</v>
      </c>
      <c r="Y1612">
        <f>_xlfn.XLOOKUP($F1612,設計座標!$E$13:$E$2301,設計座標!$L$13:$L$2301," ",0,1)</f>
        <v>1889.4492</v>
      </c>
      <c r="Z1612">
        <f>SQRT(($M$1611-$M$1609)^2+($N$1611-$N$1609)^2)</f>
        <v>1174.6938088051154</v>
      </c>
    </row>
    <row r="1613" spans="1:26">
      <c r="A1613" t="s">
        <v>797</v>
      </c>
      <c r="B1613">
        <v>3</v>
      </c>
      <c r="C1613" t="s">
        <v>804</v>
      </c>
      <c r="D1613" t="s">
        <v>1152</v>
      </c>
      <c r="E1613" t="s">
        <v>804</v>
      </c>
      <c r="F1613" t="s">
        <v>1684</v>
      </c>
      <c r="G1613" t="s">
        <v>2723</v>
      </c>
      <c r="I1613">
        <f>_xlfn.XLOOKUP($F1613,設計座標!$E$13:$E$2301,設計座標!$G$13:$G$2301,"n/a",0,1)</f>
        <v>450.27029446136925</v>
      </c>
      <c r="J1613">
        <f>_xlfn.XLOOKUP($F1613,設計座標!$E$13:$E$2301,設計座標!$H$13:$H$2301,"n/a",0,1)</f>
        <v>-15000</v>
      </c>
      <c r="K1613">
        <f>_xlfn.XLOOKUP($F1613,設計座標!$E$13:$E$2301,設計座標!$I$13:$I$2301,"n/a",0,1)</f>
        <v>-185793.95359546001</v>
      </c>
      <c r="L1613">
        <f>_xlfn.XLOOKUP($F1613,設計座標!$E$13:$E$2301,設計座標!$J$13:$J$2301,"n/a",0,1)</f>
        <v>-270</v>
      </c>
      <c r="M1613" s="2">
        <f t="shared" si="1258"/>
        <v>-14975.023499970517</v>
      </c>
      <c r="N1613" s="2">
        <f t="shared" si="1259"/>
        <v>-185793.95359546001</v>
      </c>
      <c r="O1613" s="23">
        <f t="shared" si="1260"/>
        <v>-272.93781065144702</v>
      </c>
      <c r="P1613" s="1">
        <f t="shared" si="1235"/>
        <v>-270.26453508036889</v>
      </c>
      <c r="Q1613" s="1">
        <f t="shared" si="1264"/>
        <v>24.976500029482391</v>
      </c>
      <c r="R1613">
        <f t="shared" si="1251"/>
        <v>0</v>
      </c>
      <c r="S1613" s="23">
        <f t="shared" si="1263"/>
        <v>-2.9378106514470499</v>
      </c>
      <c r="T1613">
        <f>$S1613+測地線補正!$Q$26*(lattice!$N1613/1000)^3+測地線補正!$P$26*(lattice!$N1613/1000)^2+測地線補正!$O$26*(lattice!$N1613/1000)+測地線補正!$N$26</f>
        <v>-0.26453508036889439</v>
      </c>
      <c r="U1613">
        <f>-ATAN(($P$1615-$P$1613)/ABS($N$1615-$N$1613))</f>
        <v>-1.427691018963701E-5</v>
      </c>
      <c r="V1613">
        <v>0</v>
      </c>
      <c r="W1613">
        <f>ATAN(($M$1615-$M$1613)/ABS($N$1615-$N$1613))</f>
        <v>1.2243905850835808E-4</v>
      </c>
      <c r="X1613">
        <f>SQRT(($M$1613-$M$1612)^2+($N$1613-$N$1612)^2)</f>
        <v>209.94180157368228</v>
      </c>
      <c r="Y1613">
        <f>_xlfn.XLOOKUP($F1613,設計座標!$E$13:$E$2301,設計座標!$L$13:$L$2301," ",0,1)</f>
        <v>1889.4492</v>
      </c>
      <c r="Z1613">
        <f>SQRT(($M$1614-$M$1611)^2+($N$1614-$N$1611)^2)</f>
        <v>2099.391015736328</v>
      </c>
    </row>
    <row r="1614" spans="1:26">
      <c r="A1614" t="s">
        <v>797</v>
      </c>
      <c r="B1614">
        <v>3</v>
      </c>
      <c r="C1614" t="s">
        <v>804</v>
      </c>
      <c r="D1614" t="s">
        <v>1152</v>
      </c>
      <c r="E1614" t="s">
        <v>804</v>
      </c>
      <c r="F1614" t="s">
        <v>1366</v>
      </c>
      <c r="G1614" t="s">
        <v>2723</v>
      </c>
      <c r="I1614">
        <f>_xlfn.XLOOKUP($F1614,設計座標!$E$13:$E$2301,設計座標!$G$13:$G$2301,"n/a",0,1)</f>
        <v>451.21501906136922</v>
      </c>
      <c r="J1614">
        <f>_xlfn.XLOOKUP($F1614,設計座標!$E$13:$E$2301,設計座標!$H$13:$H$2301,"n/a",0,1)</f>
        <v>-15000</v>
      </c>
      <c r="K1614">
        <f>_xlfn.XLOOKUP($F1614,設計座標!$E$13:$E$2301,設計座標!$I$13:$I$2301,"n/a",0,1)</f>
        <v>-186738.67819546</v>
      </c>
      <c r="L1614">
        <f>_xlfn.XLOOKUP($F1614,設計座標!$E$13:$E$2301,設計座標!$J$13:$J$2301,"n/a",0,1)</f>
        <v>-270</v>
      </c>
      <c r="M1614" s="2">
        <f t="shared" si="1258"/>
        <v>-14974.907828779365</v>
      </c>
      <c r="N1614" s="2">
        <f t="shared" si="1259"/>
        <v>-186738.67819546</v>
      </c>
      <c r="O1614" s="23">
        <f t="shared" si="1260"/>
        <v>-272.92599981501485</v>
      </c>
      <c r="P1614" s="1">
        <f t="shared" si="1235"/>
        <v>-270.25097353992157</v>
      </c>
      <c r="Q1614" s="1">
        <f t="shared" si="1264"/>
        <v>25.092171220634718</v>
      </c>
      <c r="R1614">
        <f t="shared" si="1251"/>
        <v>0</v>
      </c>
      <c r="S1614" s="23">
        <f t="shared" si="1263"/>
        <v>-2.9259998150148459</v>
      </c>
      <c r="T1614">
        <f>$S1614+測地線補正!$Q$26*(lattice!$N1614/1000)^3+測地線補正!$P$26*(lattice!$N1614/1000)^2+測地線補正!$O$26*(lattice!$N1614/1000)+測地線補正!$N$26</f>
        <v>-0.25097353992156557</v>
      </c>
      <c r="U1614">
        <f t="shared" ref="U1614:U1615" si="1271">-ATAN(($P$1615-$P$1613)/ABS($N$1615-$N$1613))</f>
        <v>-1.427691018963701E-5</v>
      </c>
      <c r="V1614">
        <v>0</v>
      </c>
      <c r="W1614">
        <f t="shared" ref="W1614:W1615" si="1272">ATAN(($M$1615-$M$1613)/ABS($N$1615-$N$1613))</f>
        <v>1.2243905850835808E-4</v>
      </c>
      <c r="X1614" t="s">
        <v>3860</v>
      </c>
      <c r="Y1614">
        <f>_xlfn.XLOOKUP($F1614,設計座標!$E$13:$E$2301,設計座標!$L$13:$L$2301," ",0,1)</f>
        <v>1889.4492</v>
      </c>
      <c r="Z1614">
        <f>SQRT(($M$1614-$M$1611)^2+($N$1614-$N$1611)^2)</f>
        <v>2099.391015736328</v>
      </c>
    </row>
    <row r="1615" spans="1:26">
      <c r="A1615" t="s">
        <v>797</v>
      </c>
      <c r="B1615">
        <v>3</v>
      </c>
      <c r="C1615" t="s">
        <v>804</v>
      </c>
      <c r="D1615" t="s">
        <v>1152</v>
      </c>
      <c r="E1615" t="s">
        <v>804</v>
      </c>
      <c r="F1615" t="s">
        <v>1685</v>
      </c>
      <c r="G1615" t="s">
        <v>2723</v>
      </c>
      <c r="I1615">
        <f>_xlfn.XLOOKUP($F1615,設計座標!$E$13:$E$2301,設計座標!$G$13:$G$2301,"n/a",0,1)</f>
        <v>452.15974366136919</v>
      </c>
      <c r="J1615">
        <f>_xlfn.XLOOKUP($F1615,設計座標!$E$13:$E$2301,設計座標!$H$13:$H$2301,"n/a",0,1)</f>
        <v>-15000</v>
      </c>
      <c r="K1615">
        <f>_xlfn.XLOOKUP($F1615,設計座標!$E$13:$E$2301,設計座標!$I$13:$I$2301,"n/a",0,1)</f>
        <v>-187683.40279545999</v>
      </c>
      <c r="L1615">
        <f>_xlfn.XLOOKUP($F1615,設計座標!$E$13:$E$2301,設計座標!$J$13:$J$2301,"n/a",0,1)</f>
        <v>-270</v>
      </c>
      <c r="M1615" s="2">
        <f t="shared" si="1258"/>
        <v>-14974.792157588214</v>
      </c>
      <c r="N1615" s="2">
        <f t="shared" si="1259"/>
        <v>-187683.40279545999</v>
      </c>
      <c r="O1615" s="23">
        <f t="shared" si="1260"/>
        <v>-272.91418897858262</v>
      </c>
      <c r="P1615" s="1">
        <f t="shared" si="1235"/>
        <v>-270.23755958383077</v>
      </c>
      <c r="Q1615" s="1">
        <f t="shared" si="1264"/>
        <v>25.207842411787048</v>
      </c>
      <c r="R1615">
        <f t="shared" si="1251"/>
        <v>0</v>
      </c>
      <c r="S1615" s="23">
        <f t="shared" si="1263"/>
        <v>-2.9141889785826418</v>
      </c>
      <c r="T1615">
        <f>$S1615+測地線補正!$Q$26*(lattice!$N1615/1000)^3+測地線補正!$P$26*(lattice!$N1615/1000)^2+測地線補正!$O$26*(lattice!$N1615/1000)+測地線補正!$N$26</f>
        <v>-0.23755958383075204</v>
      </c>
      <c r="U1615">
        <f t="shared" si="1271"/>
        <v>-1.427691018963701E-5</v>
      </c>
      <c r="V1615">
        <v>0</v>
      </c>
      <c r="W1615">
        <f t="shared" si="1272"/>
        <v>1.2243905850835808E-4</v>
      </c>
      <c r="X1615" t="s">
        <v>3860</v>
      </c>
      <c r="Y1615">
        <f>_xlfn.XLOOKUP($F1615,設計座標!$E$13:$E$2301,設計座標!$L$13:$L$2301," ",0,1)</f>
        <v>1889.4492</v>
      </c>
      <c r="Z1615">
        <f>SQRT(($M$1614-$M$1611)^2+($N$1614-$N$1611)^2)</f>
        <v>2099.391015736328</v>
      </c>
    </row>
    <row r="1616" spans="1:26">
      <c r="A1616" t="s">
        <v>797</v>
      </c>
      <c r="B1616">
        <v>3</v>
      </c>
      <c r="C1616" t="s">
        <v>2288</v>
      </c>
      <c r="D1616" t="s">
        <v>1152</v>
      </c>
      <c r="E1616" t="s">
        <v>804</v>
      </c>
      <c r="F1616" t="s">
        <v>2291</v>
      </c>
      <c r="G1616" t="s">
        <v>2291</v>
      </c>
      <c r="I1616">
        <f>_xlfn.XLOOKUP($F1616,設計座標!$E$13:$E$2301,設計座標!$G$13:$G$2301,"n/a",0,1)</f>
        <v>452.32323956136923</v>
      </c>
      <c r="J1616">
        <f>_xlfn.XLOOKUP($F1616,設計座標!$E$13:$E$2301,設計座標!$H$13:$H$2301,"n/a",0,1)</f>
        <v>-15000</v>
      </c>
      <c r="K1616">
        <f>_xlfn.XLOOKUP($F1616,設計座標!$E$13:$E$2301,設計座標!$I$13:$I$2301,"n/a",0,1)</f>
        <v>-187846.89869546</v>
      </c>
      <c r="L1616">
        <f>_xlfn.XLOOKUP($F1616,設計座標!$E$13:$E$2301,設計座標!$J$13:$J$2301,"n/a",0,1)</f>
        <v>-270</v>
      </c>
      <c r="M1616" s="2">
        <f t="shared" si="1258"/>
        <v>-14974.772139304047</v>
      </c>
      <c r="N1616" s="2">
        <f t="shared" si="1259"/>
        <v>-187846.89869546</v>
      </c>
      <c r="O1616" s="23">
        <f t="shared" si="1260"/>
        <v>-272.91214497196711</v>
      </c>
      <c r="P1616" s="1">
        <f t="shared" si="1235"/>
        <v>-270.23525306842873</v>
      </c>
      <c r="Q1616" s="1">
        <f t="shared" si="1264"/>
        <v>25.227860695953169</v>
      </c>
      <c r="R1616">
        <f t="shared" si="1251"/>
        <v>0</v>
      </c>
      <c r="S1616" s="23">
        <f t="shared" si="1263"/>
        <v>-2.9121449719671304</v>
      </c>
      <c r="T1616">
        <f>$S1616+測地線補正!$Q$26*(lattice!$N1616/1000)^3+測地線補正!$P$26*(lattice!$N1616/1000)^2+測地線補正!$O$26*(lattice!$N1616/1000)+測地線補正!$N$26</f>
        <v>-0.23525306842875726</v>
      </c>
      <c r="U1616">
        <v>0</v>
      </c>
      <c r="V1616">
        <v>0</v>
      </c>
      <c r="W1616">
        <v>0</v>
      </c>
      <c r="X1616">
        <f>SQRT(($M$1616-$M$1615)^2+($N$1616-$N$1615)^2)</f>
        <v>163.49590122551894</v>
      </c>
      <c r="Y1616">
        <f>_xlfn.XLOOKUP($F1616,設計座標!$E$13:$E$2301,設計座標!$L$13:$L$2301," ",0,1)</f>
        <v>0</v>
      </c>
      <c r="Z1616">
        <f>SQRT(($M$1616-$M$1614)^2+($N$1616-$N$1614)^2)</f>
        <v>1108.2205083068418</v>
      </c>
    </row>
    <row r="1617" spans="1:28">
      <c r="A1617" t="s">
        <v>797</v>
      </c>
      <c r="B1617">
        <v>3</v>
      </c>
      <c r="C1617" t="s">
        <v>804</v>
      </c>
      <c r="D1617" t="s">
        <v>1152</v>
      </c>
      <c r="E1617" t="s">
        <v>804</v>
      </c>
      <c r="F1617" t="s">
        <v>1686</v>
      </c>
      <c r="G1617" t="s">
        <v>2724</v>
      </c>
      <c r="I1617">
        <f>_xlfn.XLOOKUP($F1617,設計座標!$E$13:$E$2301,設計座標!$G$13:$G$2301,"n/a",0,1)</f>
        <v>452.65722136136924</v>
      </c>
      <c r="J1617">
        <f>_xlfn.XLOOKUP($F1617,設計座標!$E$13:$E$2301,設計座標!$H$13:$H$2301,"n/a",0,1)</f>
        <v>-15000</v>
      </c>
      <c r="K1617">
        <f>_xlfn.XLOOKUP($F1617,設計座標!$E$13:$E$2301,設計座標!$I$13:$I$2301,"n/a",0,1)</f>
        <v>-188180.88049546001</v>
      </c>
      <c r="L1617">
        <f>_xlfn.XLOOKUP($F1617,設計座標!$E$13:$E$2301,設計座標!$J$13:$J$2301,"n/a",0,1)</f>
        <v>-270</v>
      </c>
      <c r="M1617" s="2">
        <f t="shared" si="1258"/>
        <v>-14974.731246886691</v>
      </c>
      <c r="N1617" s="2">
        <f t="shared" si="1259"/>
        <v>-188180.88049546001</v>
      </c>
      <c r="O1617" s="23">
        <f t="shared" si="1260"/>
        <v>-272.90796957057381</v>
      </c>
      <c r="P1617" s="1">
        <f t="shared" si="1235"/>
        <v>-270.23055508467638</v>
      </c>
      <c r="Q1617" s="1">
        <f t="shared" si="1264"/>
        <v>25.268753113308659</v>
      </c>
      <c r="R1617">
        <f t="shared" si="1251"/>
        <v>0</v>
      </c>
      <c r="S1617" s="23">
        <f t="shared" si="1263"/>
        <v>-2.9079695705738215</v>
      </c>
      <c r="T1617">
        <f>$S1617+測地線補正!$Q$26*(lattice!$N1617/1000)^3+測地線補正!$P$26*(lattice!$N1617/1000)^2+測地線補正!$O$26*(lattice!$N1617/1000)+測地線補正!$N$26</f>
        <v>-0.23055508467638952</v>
      </c>
      <c r="U1617">
        <f>-ATAN(($P$1619-$P$1617)/ABS($N$1619-$N$1617))</f>
        <v>-1.3884527568026096E-5</v>
      </c>
      <c r="V1617">
        <v>0</v>
      </c>
      <c r="W1617">
        <f>ATAN(($M$1619-$M$1617)/ABS($N$1619-$N$1617))</f>
        <v>1.224390585093208E-4</v>
      </c>
      <c r="X1617">
        <f>SQRT(($M$1617-$M$1616)^2+($N$1617-$N$1616)^2)</f>
        <v>333.98180250342318</v>
      </c>
      <c r="Y1617">
        <f>_xlfn.XLOOKUP($F1617,設計座標!$E$13:$E$2301,設計座標!$L$13:$L$2301," ",0,1)</f>
        <v>1889.4492</v>
      </c>
      <c r="Z1617">
        <f>SQRT(($M$1618-$M$1616)^2+($N$1618-$N$1616)^2)</f>
        <v>1278.7064095847459</v>
      </c>
    </row>
    <row r="1618" spans="1:28">
      <c r="A1618" t="s">
        <v>797</v>
      </c>
      <c r="B1618">
        <v>3</v>
      </c>
      <c r="C1618" t="s">
        <v>804</v>
      </c>
      <c r="D1618" t="s">
        <v>1152</v>
      </c>
      <c r="E1618" t="s">
        <v>804</v>
      </c>
      <c r="F1618" t="s">
        <v>1203</v>
      </c>
      <c r="G1618" t="s">
        <v>2724</v>
      </c>
      <c r="I1618">
        <f>_xlfn.XLOOKUP($F1618,設計座標!$E$13:$E$2301,設計座標!$G$13:$G$2301,"n/a",0,1)</f>
        <v>453.60194596136921</v>
      </c>
      <c r="J1618">
        <f>_xlfn.XLOOKUP($F1618,設計座標!$E$13:$E$2301,設計座標!$H$13:$H$2301,"n/a",0,1)</f>
        <v>-15000</v>
      </c>
      <c r="K1618">
        <f>_xlfn.XLOOKUP($F1618,設計座標!$E$13:$E$2301,設計座標!$I$13:$I$2301,"n/a",0,1)</f>
        <v>-189125.60509545999</v>
      </c>
      <c r="L1618">
        <f>_xlfn.XLOOKUP($F1618,設計座標!$E$13:$E$2301,設計座標!$J$13:$J$2301,"n/a",0,1)</f>
        <v>-270</v>
      </c>
      <c r="M1618" s="2">
        <f t="shared" si="1258"/>
        <v>-14974.61557569554</v>
      </c>
      <c r="N1618" s="2">
        <f t="shared" si="1259"/>
        <v>-189125.60509545999</v>
      </c>
      <c r="O1618" s="23">
        <f t="shared" si="1260"/>
        <v>-272.89615873414164</v>
      </c>
      <c r="P1618" s="1">
        <f t="shared" si="1235"/>
        <v>-270.21736510487926</v>
      </c>
      <c r="Q1618" s="1">
        <f t="shared" si="1264"/>
        <v>25.384424304460989</v>
      </c>
      <c r="R1618">
        <f t="shared" si="1251"/>
        <v>0</v>
      </c>
      <c r="S1618" s="23">
        <f t="shared" si="1263"/>
        <v>-2.8961587341416175</v>
      </c>
      <c r="T1618">
        <f>$S1618+測地線補正!$Q$26*(lattice!$N1618/1000)^3+測地線補正!$P$26*(lattice!$N1618/1000)^2+測地線補正!$O$26*(lattice!$N1618/1000)+測地線補正!$N$26</f>
        <v>-0.21736510487928329</v>
      </c>
      <c r="U1618">
        <f t="shared" ref="U1618:U1619" si="1273">-ATAN(($P$1619-$P$1617)/ABS($N$1619-$N$1617))</f>
        <v>-1.3884527568026096E-5</v>
      </c>
      <c r="V1618">
        <v>0</v>
      </c>
      <c r="W1618">
        <f t="shared" ref="W1618:W1619" si="1274">ATAN(($M$1619-$M$1617)/ABS($N$1619-$N$1617))</f>
        <v>1.224390585093208E-4</v>
      </c>
      <c r="X1618" t="s">
        <v>3860</v>
      </c>
      <c r="Y1618">
        <f>_xlfn.XLOOKUP($F1618,設計座標!$E$13:$E$2301,設計座標!$L$13:$L$2301," ",0,1)</f>
        <v>1889.4492</v>
      </c>
      <c r="Z1618">
        <f>SQRT(($M$1618-$M$1616)^2+($N$1618-$N$1616)^2)</f>
        <v>1278.7064095847459</v>
      </c>
    </row>
    <row r="1619" spans="1:28">
      <c r="A1619" t="s">
        <v>797</v>
      </c>
      <c r="B1619">
        <v>3</v>
      </c>
      <c r="C1619" t="s">
        <v>804</v>
      </c>
      <c r="D1619" t="s">
        <v>1152</v>
      </c>
      <c r="E1619" t="s">
        <v>804</v>
      </c>
      <c r="F1619" t="s">
        <v>1687</v>
      </c>
      <c r="G1619" t="s">
        <v>2724</v>
      </c>
      <c r="I1619">
        <f>_xlfn.XLOOKUP($F1619,設計座標!$E$13:$E$2301,設計座標!$G$13:$G$2301,"n/a",0,1)</f>
        <v>454.54667056136918</v>
      </c>
      <c r="J1619">
        <f>_xlfn.XLOOKUP($F1619,設計座標!$E$13:$E$2301,設計座標!$H$13:$H$2301,"n/a",0,1)</f>
        <v>-15000</v>
      </c>
      <c r="K1619">
        <f>_xlfn.XLOOKUP($F1619,設計座標!$E$13:$E$2301,設計座標!$I$13:$I$2301,"n/a",0,1)</f>
        <v>-190070.32969545998</v>
      </c>
      <c r="L1619">
        <f>_xlfn.XLOOKUP($F1619,設計座標!$E$13:$E$2301,設計座標!$J$13:$J$2301,"n/a",0,1)</f>
        <v>-270</v>
      </c>
      <c r="M1619" s="2">
        <f t="shared" si="1258"/>
        <v>-14974.499904504386</v>
      </c>
      <c r="N1619" s="2">
        <f t="shared" si="1259"/>
        <v>-190070.32969545998</v>
      </c>
      <c r="O1619" s="23">
        <f t="shared" si="1260"/>
        <v>-272.8843478977094</v>
      </c>
      <c r="P1619" s="1">
        <f t="shared" si="1235"/>
        <v>-270.20432097516891</v>
      </c>
      <c r="Q1619" s="1">
        <f t="shared" si="1264"/>
        <v>25.500095495613316</v>
      </c>
      <c r="R1619">
        <f t="shared" si="1251"/>
        <v>0</v>
      </c>
      <c r="S1619" s="23">
        <f t="shared" si="1263"/>
        <v>-2.8843478977094135</v>
      </c>
      <c r="T1619">
        <f>$S1619+測地線補正!$Q$26*(lattice!$N1619/1000)^3+測地線補正!$P$26*(lattice!$N1619/1000)^2+測地線補正!$O$26*(lattice!$N1619/1000)+測地線補正!$N$26</f>
        <v>-0.204320975168921</v>
      </c>
      <c r="U1619">
        <f t="shared" si="1273"/>
        <v>-1.3884527568026096E-5</v>
      </c>
      <c r="V1619">
        <v>0</v>
      </c>
      <c r="W1619">
        <f t="shared" si="1274"/>
        <v>1.224390585093208E-4</v>
      </c>
      <c r="X1619" t="s">
        <v>3860</v>
      </c>
      <c r="Y1619">
        <f>_xlfn.XLOOKUP($F1619,設計座標!$E$13:$E$2301,設計座標!$L$13:$L$2301," ",0,1)</f>
        <v>1889.4492</v>
      </c>
      <c r="Z1619">
        <f>SQRT(($M$1618-$M$1616)^2+($N$1618-$N$1616)^2)</f>
        <v>1278.7064095847459</v>
      </c>
    </row>
    <row r="1620" spans="1:28">
      <c r="A1620" t="s">
        <v>797</v>
      </c>
      <c r="B1620">
        <v>3</v>
      </c>
      <c r="C1620" t="s">
        <v>804</v>
      </c>
      <c r="D1620" t="s">
        <v>1152</v>
      </c>
      <c r="E1620" t="s">
        <v>804</v>
      </c>
      <c r="F1620" t="s">
        <v>1688</v>
      </c>
      <c r="G1620" t="s">
        <v>2725</v>
      </c>
      <c r="I1620">
        <f>_xlfn.XLOOKUP($F1620,設計座標!$E$13:$E$2301,設計座標!$G$13:$G$2301,"n/a",0,1)</f>
        <v>454.75661236136926</v>
      </c>
      <c r="J1620">
        <f>_xlfn.XLOOKUP($F1620,設計座標!$E$13:$E$2301,設計座標!$H$13:$H$2301,"n/a",0,1)</f>
        <v>-15000</v>
      </c>
      <c r="K1620">
        <f>_xlfn.XLOOKUP($F1620,設計座標!$E$13:$E$2301,設計座標!$I$13:$I$2301,"n/a",0,1)</f>
        <v>-190280.27149546001</v>
      </c>
      <c r="L1620">
        <f>_xlfn.XLOOKUP($F1620,設計座標!$E$13:$E$2301,設計座標!$J$13:$J$2301,"n/a",0,1)</f>
        <v>-270</v>
      </c>
      <c r="M1620" s="2">
        <f t="shared" si="1258"/>
        <v>-14974.474199427925</v>
      </c>
      <c r="N1620" s="2">
        <f t="shared" si="1259"/>
        <v>-190280.27149546001</v>
      </c>
      <c r="O1620" s="23">
        <f t="shared" si="1260"/>
        <v>-272.88172322988549</v>
      </c>
      <c r="P1620" s="1">
        <f t="shared" si="1235"/>
        <v>-270.20144197634198</v>
      </c>
      <c r="Q1620" s="1">
        <f t="shared" si="1264"/>
        <v>25.525800572075461</v>
      </c>
      <c r="R1620">
        <f t="shared" si="1251"/>
        <v>0</v>
      </c>
      <c r="S1620" s="23">
        <f t="shared" si="1263"/>
        <v>-2.8817232298854965</v>
      </c>
      <c r="T1620">
        <f>$S1620+測地線補正!$Q$26*(lattice!$N1620/1000)^3+測地線補正!$P$26*(lattice!$N1620/1000)^2+測地線補正!$O$26*(lattice!$N1620/1000)+測地線補正!$N$26</f>
        <v>-0.20144197634197725</v>
      </c>
      <c r="U1620">
        <f>-ATAN(($P$1622-$P$1620)/ABS($N$1622-$N$1620))</f>
        <v>-1.3543246176700528E-5</v>
      </c>
      <c r="V1620">
        <v>0</v>
      </c>
      <c r="W1620">
        <f>ATAN(($M$1622-$M$1620)/ABS($N$1622-$N$1620))</f>
        <v>1.224390585093208E-4</v>
      </c>
      <c r="X1620">
        <f>SQRT(($M$1620-$M$1619)^2+($N$1620-$N$1619)^2)</f>
        <v>209.94180157368228</v>
      </c>
      <c r="Y1620">
        <f>_xlfn.XLOOKUP($F1620,設計座標!$E$13:$E$2301,設計座標!$L$13:$L$2301," ",0,1)</f>
        <v>1889.4492</v>
      </c>
      <c r="Z1620">
        <f>SQRT(($M$1621-$M$1618)^2+($N$1621-$N$1618)^2)</f>
        <v>2099.391015736328</v>
      </c>
    </row>
    <row r="1621" spans="1:28">
      <c r="A1621" t="s">
        <v>797</v>
      </c>
      <c r="B1621">
        <v>3</v>
      </c>
      <c r="C1621" t="s">
        <v>804</v>
      </c>
      <c r="D1621" t="s">
        <v>1152</v>
      </c>
      <c r="E1621" t="s">
        <v>804</v>
      </c>
      <c r="F1621" t="s">
        <v>1259</v>
      </c>
      <c r="G1621" t="s">
        <v>2725</v>
      </c>
      <c r="I1621">
        <f>_xlfn.XLOOKUP($F1621,設計座標!$E$13:$E$2301,設計座標!$G$13:$G$2301,"n/a",0,1)</f>
        <v>455.70133696136924</v>
      </c>
      <c r="J1621">
        <f>_xlfn.XLOOKUP($F1621,設計座標!$E$13:$E$2301,設計座標!$H$13:$H$2301,"n/a",0,1)</f>
        <v>-15000</v>
      </c>
      <c r="K1621">
        <f>_xlfn.XLOOKUP($F1621,設計座標!$E$13:$E$2301,設計座標!$I$13:$I$2301,"n/a",0,1)</f>
        <v>-191224.99609546</v>
      </c>
      <c r="L1621">
        <f>_xlfn.XLOOKUP($F1621,設計座標!$E$13:$E$2301,設計座標!$J$13:$J$2301,"n/a",0,1)</f>
        <v>-270</v>
      </c>
      <c r="M1621" s="2">
        <f t="shared" si="1258"/>
        <v>-14974.358528236773</v>
      </c>
      <c r="N1621" s="2">
        <f t="shared" si="1259"/>
        <v>-191224.99609546</v>
      </c>
      <c r="O1621" s="23">
        <f t="shared" si="1260"/>
        <v>-272.86991239345332</v>
      </c>
      <c r="P1621" s="1">
        <f t="shared" si="1235"/>
        <v>-270.18857517614822</v>
      </c>
      <c r="Q1621" s="1">
        <f t="shared" si="1264"/>
        <v>25.641471763227788</v>
      </c>
      <c r="R1621">
        <f t="shared" si="1251"/>
        <v>0</v>
      </c>
      <c r="S1621" s="23">
        <f t="shared" si="1263"/>
        <v>-2.8699123934532924</v>
      </c>
      <c r="T1621">
        <f>$S1621+測地線補正!$Q$26*(lattice!$N1621/1000)^3+測地線補正!$P$26*(lattice!$N1621/1000)^2+測地線補正!$O$26*(lattice!$N1621/1000)+測地線補正!$N$26</f>
        <v>-0.18857517614823238</v>
      </c>
      <c r="U1621">
        <f t="shared" ref="U1621:U1622" si="1275">-ATAN(($P$1622-$P$1620)/ABS($N$1622-$N$1620))</f>
        <v>-1.3543246176700528E-5</v>
      </c>
      <c r="V1621">
        <v>0</v>
      </c>
      <c r="W1621">
        <f t="shared" ref="W1621:W1622" si="1276">ATAN(($M$1622-$M$1620)/ABS($N$1622-$N$1620))</f>
        <v>1.224390585093208E-4</v>
      </c>
      <c r="X1621" t="s">
        <v>3860</v>
      </c>
      <c r="Y1621">
        <f>_xlfn.XLOOKUP($F1621,設計座標!$E$13:$E$2301,設計座標!$L$13:$L$2301," ",0,1)</f>
        <v>1889.4492</v>
      </c>
      <c r="Z1621">
        <f>SQRT(($M$1621-$M$1618)^2+($N$1621-$N$1618)^2)</f>
        <v>2099.391015736328</v>
      </c>
    </row>
    <row r="1622" spans="1:28">
      <c r="A1622" t="s">
        <v>797</v>
      </c>
      <c r="B1622">
        <v>3</v>
      </c>
      <c r="C1622" t="s">
        <v>804</v>
      </c>
      <c r="D1622" t="s">
        <v>1152</v>
      </c>
      <c r="E1622" t="s">
        <v>804</v>
      </c>
      <c r="F1622" t="s">
        <v>1689</v>
      </c>
      <c r="G1622" t="s">
        <v>2725</v>
      </c>
      <c r="I1622">
        <f>_xlfn.XLOOKUP($F1622,設計座標!$E$13:$E$2301,設計座標!$G$13:$G$2301,"n/a",0,1)</f>
        <v>456.64606156136921</v>
      </c>
      <c r="J1622">
        <f>_xlfn.XLOOKUP($F1622,設計座標!$E$13:$E$2301,設計座標!$H$13:$H$2301,"n/a",0,1)</f>
        <v>-15000</v>
      </c>
      <c r="K1622">
        <f>_xlfn.XLOOKUP($F1622,設計座標!$E$13:$E$2301,設計座標!$I$13:$I$2301,"n/a",0,1)</f>
        <v>-192169.72069545998</v>
      </c>
      <c r="L1622">
        <f>_xlfn.XLOOKUP($F1622,設計座標!$E$13:$E$2301,設計座標!$J$13:$J$2301,"n/a",0,1)</f>
        <v>-270</v>
      </c>
      <c r="M1622" s="2">
        <f t="shared" si="1258"/>
        <v>-14974.24285704562</v>
      </c>
      <c r="N1622" s="2">
        <f t="shared" si="1259"/>
        <v>-192169.72069545998</v>
      </c>
      <c r="O1622" s="23">
        <f t="shared" si="1260"/>
        <v>-272.85810155702109</v>
      </c>
      <c r="P1622" s="1">
        <f t="shared" si="1235"/>
        <v>-270.17585270068645</v>
      </c>
      <c r="Q1622" s="1">
        <f t="shared" si="1264"/>
        <v>25.757142954380114</v>
      </c>
      <c r="R1622">
        <f t="shared" si="1251"/>
        <v>0</v>
      </c>
      <c r="S1622" s="23">
        <f t="shared" si="1263"/>
        <v>-2.8581015570210884</v>
      </c>
      <c r="T1622">
        <f>$S1622+測地線補正!$Q$26*(lattice!$N1622/1000)^3+測地線補正!$P$26*(lattice!$N1622/1000)^2+測地線補正!$O$26*(lattice!$N1622/1000)+測地線補正!$N$26</f>
        <v>-0.17585270068646186</v>
      </c>
      <c r="U1622">
        <f t="shared" si="1275"/>
        <v>-1.3543246176700528E-5</v>
      </c>
      <c r="V1622">
        <v>0</v>
      </c>
      <c r="W1622">
        <f t="shared" si="1276"/>
        <v>1.224390585093208E-4</v>
      </c>
      <c r="X1622" t="s">
        <v>3860</v>
      </c>
      <c r="Y1622">
        <f>_xlfn.XLOOKUP($F1622,設計座標!$E$13:$E$2301,設計座標!$L$13:$L$2301," ",0,1)</f>
        <v>1889.4492</v>
      </c>
      <c r="Z1622">
        <f>SQRT(($M$1621-$M$1618)^2+($N$1621-$N$1618)^2)</f>
        <v>2099.391015736328</v>
      </c>
    </row>
    <row r="1623" spans="1:28">
      <c r="A1623" t="s">
        <v>797</v>
      </c>
      <c r="B1623">
        <v>3</v>
      </c>
      <c r="C1623" t="s">
        <v>1152</v>
      </c>
      <c r="D1623" t="s">
        <v>1152</v>
      </c>
      <c r="E1623" t="s">
        <v>804</v>
      </c>
      <c r="F1623" t="s">
        <v>2160</v>
      </c>
      <c r="G1623" t="s">
        <v>2160</v>
      </c>
      <c r="I1623">
        <f>_xlfn.XLOOKUP($F1623,設計座標!$E$13:$E$2301,設計座標!$G$13:$G$2301,"n/a",0,1)</f>
        <v>456.80505746136924</v>
      </c>
      <c r="J1623">
        <f>_xlfn.XLOOKUP($F1623,設計座標!$E$13:$E$2301,設計座標!$H$13:$H$2301,"n/a",0,1)</f>
        <v>-15000</v>
      </c>
      <c r="K1623">
        <f>_xlfn.XLOOKUP($F1623,設計座標!$E$13:$E$2301,設計座標!$I$13:$I$2301,"n/a",0,1)</f>
        <v>-192328.71659545999</v>
      </c>
      <c r="L1623">
        <f>_xlfn.XLOOKUP($F1623,設計座標!$E$13:$E$2301,設計座標!$J$13:$J$2301,"n/a",0,1)</f>
        <v>-270</v>
      </c>
      <c r="M1623" s="2">
        <f t="shared" si="1258"/>
        <v>-14974.223389737221</v>
      </c>
      <c r="N1623" s="2">
        <f t="shared" si="1259"/>
        <v>-192328.71659545999</v>
      </c>
      <c r="O1623" s="23">
        <f t="shared" si="1260"/>
        <v>-272.85611380887917</v>
      </c>
      <c r="P1623" s="1">
        <f t="shared" si="1235"/>
        <v>-270.17372566491827</v>
      </c>
      <c r="Q1623" s="1">
        <f t="shared" si="1264"/>
        <v>25.776610262780192</v>
      </c>
      <c r="R1623">
        <f t="shared" si="1251"/>
        <v>0</v>
      </c>
      <c r="S1623" s="23">
        <f t="shared" si="1263"/>
        <v>-2.8561138088791527</v>
      </c>
      <c r="T1623">
        <f>$S1623+測地線補正!$Q$26*(lattice!$N1623/1000)^3+測地線補正!$P$26*(lattice!$N1623/1000)^2+測地線補正!$O$26*(lattice!$N1623/1000)+測地線補正!$N$26</f>
        <v>-0.17372566491823904</v>
      </c>
      <c r="U1623">
        <v>0</v>
      </c>
      <c r="V1623">
        <v>0</v>
      </c>
      <c r="W1623">
        <v>0</v>
      </c>
      <c r="X1623">
        <f>SQRT(($M$1623-$M$1622)^2+($N$1623-$N$1622)^2)</f>
        <v>158.99590119178845</v>
      </c>
      <c r="Y1623">
        <f>_xlfn.XLOOKUP($F1623,設計座標!$E$13:$E$2301,設計座標!$L$13:$L$2301," ",0,1)</f>
        <v>0</v>
      </c>
      <c r="Z1623">
        <f>SQRT(($M$1623-$M$1621)^2+($N$1623-$N$1621)^2)</f>
        <v>1103.7205082731111</v>
      </c>
    </row>
    <row r="1624" spans="1:28">
      <c r="A1624" t="s">
        <v>797</v>
      </c>
      <c r="B1624">
        <v>3</v>
      </c>
      <c r="C1624" t="s">
        <v>804</v>
      </c>
      <c r="D1624" t="s">
        <v>1152</v>
      </c>
      <c r="E1624" t="s">
        <v>804</v>
      </c>
      <c r="F1624" t="s">
        <v>1690</v>
      </c>
      <c r="G1624" t="s">
        <v>2726</v>
      </c>
      <c r="I1624">
        <f>_xlfn.XLOOKUP($F1624,設計座標!$E$13:$E$2301,設計座標!$G$13:$G$2301,"n/a",0,1)</f>
        <v>457.17090336136926</v>
      </c>
      <c r="J1624">
        <f>_xlfn.XLOOKUP($F1624,設計座標!$E$13:$E$2301,設計座標!$H$13:$H$2301,"n/a",0,1)</f>
        <v>-15000</v>
      </c>
      <c r="K1624">
        <f>_xlfn.XLOOKUP($F1624,設計座標!$E$13:$E$2301,設計座標!$I$13:$I$2301,"n/a",0,1)</f>
        <v>-192694.56249546001</v>
      </c>
      <c r="L1624">
        <f>_xlfn.XLOOKUP($F1624,設計座標!$E$13:$E$2301,設計座標!$J$13:$J$2301,"n/a",0,1)</f>
        <v>-270</v>
      </c>
      <c r="M1624" s="2">
        <f t="shared" si="1258"/>
        <v>-14974.178595909441</v>
      </c>
      <c r="N1624" s="2">
        <f t="shared" si="1259"/>
        <v>-192694.56249546001</v>
      </c>
      <c r="O1624" s="23">
        <f t="shared" si="1260"/>
        <v>-272.85154004623519</v>
      </c>
      <c r="P1624" s="1">
        <f t="shared" si="1235"/>
        <v>-270.16884683783871</v>
      </c>
      <c r="Q1624" s="1">
        <f t="shared" si="1264"/>
        <v>25.821404090559419</v>
      </c>
      <c r="R1624">
        <f t="shared" si="1251"/>
        <v>0</v>
      </c>
      <c r="S1624" s="23">
        <f t="shared" si="1263"/>
        <v>-2.8515400462352107</v>
      </c>
      <c r="T1624">
        <f>$S1624+測地線補正!$Q$26*(lattice!$N1624/1000)^3+測地線補正!$P$26*(lattice!$N1624/1000)^2+測地線補正!$O$26*(lattice!$N1624/1000)+測地線補正!$N$26</f>
        <v>-0.16884683783871446</v>
      </c>
      <c r="U1624">
        <f>-ATAN(($P$1626-$P$1624)/ABS($N$1626-$N$1624))</f>
        <v>-1.3155209636824845E-5</v>
      </c>
      <c r="V1624">
        <v>0</v>
      </c>
      <c r="W1624">
        <f>ATAN(($M$1626-$M$1624)/ABS($N$1626-$N$1624))</f>
        <v>1.224390585093208E-4</v>
      </c>
      <c r="X1624">
        <f>SQRT(($M$1624-$M$1623)^2+($N$1624-$N$1623)^2)</f>
        <v>365.8459027422719</v>
      </c>
      <c r="Y1624">
        <f>_xlfn.XLOOKUP($F1624,設計座標!$E$13:$E$2301,設計座標!$L$13:$L$2301," ",0,1)</f>
        <v>1889.4492</v>
      </c>
      <c r="Z1624">
        <f>SQRT(($M$1625-$M$1623)^2+($N$1625-$N$1623)^2)</f>
        <v>1310.5705098235946</v>
      </c>
    </row>
    <row r="1625" spans="1:28">
      <c r="A1625" t="s">
        <v>797</v>
      </c>
      <c r="B1625">
        <v>3</v>
      </c>
      <c r="C1625" t="s">
        <v>804</v>
      </c>
      <c r="D1625" t="s">
        <v>1152</v>
      </c>
      <c r="E1625" t="s">
        <v>804</v>
      </c>
      <c r="F1625" t="s">
        <v>1313</v>
      </c>
      <c r="G1625" t="s">
        <v>2726</v>
      </c>
      <c r="I1625">
        <f>_xlfn.XLOOKUP($F1625,設計座標!$E$13:$E$2301,設計座標!$G$13:$G$2301,"n/a",0,1)</f>
        <v>458.11562796136923</v>
      </c>
      <c r="J1625">
        <f>_xlfn.XLOOKUP($F1625,設計座標!$E$13:$E$2301,設計座標!$H$13:$H$2301,"n/a",0,1)</f>
        <v>-15000</v>
      </c>
      <c r="K1625">
        <f>_xlfn.XLOOKUP($F1625,設計座標!$E$13:$E$2301,設計座標!$I$13:$I$2301,"n/a",0,1)</f>
        <v>-193639.28709545999</v>
      </c>
      <c r="L1625">
        <f>_xlfn.XLOOKUP($F1625,設計座標!$E$13:$E$2301,設計座標!$J$13:$J$2301,"n/a",0,1)</f>
        <v>-270</v>
      </c>
      <c r="M1625" s="2">
        <f t="shared" si="1258"/>
        <v>-14974.062924718288</v>
      </c>
      <c r="N1625" s="2">
        <f t="shared" si="1259"/>
        <v>-193639.28709545999</v>
      </c>
      <c r="O1625" s="23">
        <f t="shared" si="1260"/>
        <v>-272.83972920980301</v>
      </c>
      <c r="P1625" s="1">
        <f t="shared" si="1235"/>
        <v>-270.15634750238581</v>
      </c>
      <c r="Q1625" s="1">
        <f t="shared" si="1264"/>
        <v>25.937075281711746</v>
      </c>
      <c r="R1625">
        <f t="shared" si="1251"/>
        <v>0</v>
      </c>
      <c r="S1625" s="23">
        <f t="shared" si="1263"/>
        <v>-2.8397292098030067</v>
      </c>
      <c r="T1625">
        <f>$S1625+測地線補正!$Q$26*(lattice!$N1625/1000)^3+測地線補正!$P$26*(lattice!$N1625/1000)^2+測地線補正!$O$26*(lattice!$N1625/1000)+測地線補正!$N$26</f>
        <v>-0.15634750238578765</v>
      </c>
      <c r="U1625">
        <f t="shared" ref="U1625:U1626" si="1277">-ATAN(($P$1626-$P$1624)/ABS($N$1626-$N$1624))</f>
        <v>-1.3155209636824845E-5</v>
      </c>
      <c r="V1625">
        <v>0</v>
      </c>
      <c r="W1625">
        <f t="shared" ref="W1625:W1626" si="1278">ATAN(($M$1626-$M$1624)/ABS($N$1626-$N$1624))</f>
        <v>1.224390585093208E-4</v>
      </c>
      <c r="X1625" t="s">
        <v>3860</v>
      </c>
      <c r="Y1625">
        <f>_xlfn.XLOOKUP($F1625,設計座標!$E$13:$E$2301,設計座標!$L$13:$L$2301," ",0,1)</f>
        <v>1889.4492</v>
      </c>
      <c r="Z1625">
        <f>SQRT(($M$1625-$M$1623)^2+($N$1625-$N$1623)^2)</f>
        <v>1310.5705098235946</v>
      </c>
    </row>
    <row r="1626" spans="1:28">
      <c r="A1626" t="s">
        <v>797</v>
      </c>
      <c r="B1626">
        <v>3</v>
      </c>
      <c r="C1626" t="s">
        <v>804</v>
      </c>
      <c r="D1626" t="s">
        <v>1152</v>
      </c>
      <c r="E1626" t="s">
        <v>804</v>
      </c>
      <c r="F1626" t="s">
        <v>1691</v>
      </c>
      <c r="G1626" t="s">
        <v>2726</v>
      </c>
      <c r="I1626">
        <f>_xlfn.XLOOKUP($F1626,設計座標!$E$13:$E$2301,設計座標!$G$13:$G$2301,"n/a",0,1)</f>
        <v>459.0603525613692</v>
      </c>
      <c r="J1626">
        <f>_xlfn.XLOOKUP($F1626,設計座標!$E$13:$E$2301,設計座標!$H$13:$H$2301,"n/a",0,1)</f>
        <v>-15000</v>
      </c>
      <c r="K1626">
        <f>_xlfn.XLOOKUP($F1626,設計座標!$E$13:$E$2301,設計座標!$I$13:$I$2301,"n/a",0,1)</f>
        <v>-194584.01169545998</v>
      </c>
      <c r="L1626">
        <f>_xlfn.XLOOKUP($F1626,設計座標!$E$13:$E$2301,設計座標!$J$13:$J$2301,"n/a",0,1)</f>
        <v>-270</v>
      </c>
      <c r="M1626" s="2">
        <f t="shared" si="1258"/>
        <v>-14973.947253527136</v>
      </c>
      <c r="N1626" s="2">
        <f t="shared" si="1259"/>
        <v>-194584.01169545998</v>
      </c>
      <c r="O1626" s="23">
        <f t="shared" si="1260"/>
        <v>-272.82791837337078</v>
      </c>
      <c r="P1626" s="1">
        <f t="shared" si="1235"/>
        <v>-270.14399073751315</v>
      </c>
      <c r="Q1626" s="1">
        <f t="shared" si="1264"/>
        <v>26.052746472864076</v>
      </c>
      <c r="R1626">
        <f t="shared" si="1251"/>
        <v>0</v>
      </c>
      <c r="S1626" s="23">
        <f t="shared" si="1263"/>
        <v>-2.8279183733708027</v>
      </c>
      <c r="T1626">
        <f>$S1626+測地線補正!$Q$26*(lattice!$N1626/1000)^3+測地線補正!$P$26*(lattice!$N1626/1000)^2+測地線補正!$O$26*(lattice!$N1626/1000)+測地線補正!$N$26</f>
        <v>-0.14399073751313574</v>
      </c>
      <c r="U1626">
        <f t="shared" si="1277"/>
        <v>-1.3155209636824845E-5</v>
      </c>
      <c r="V1626">
        <v>0</v>
      </c>
      <c r="W1626">
        <f t="shared" si="1278"/>
        <v>1.224390585093208E-4</v>
      </c>
      <c r="X1626" t="s">
        <v>3860</v>
      </c>
      <c r="Y1626">
        <f>_xlfn.XLOOKUP($F1626,設計座標!$E$13:$E$2301,設計座標!$L$13:$L$2301," ",0,1)</f>
        <v>1889.4492</v>
      </c>
      <c r="Z1626">
        <f>SQRT(($M$1625-$M$1623)^2+($N$1625-$N$1623)^2)</f>
        <v>1310.5705098235946</v>
      </c>
    </row>
    <row r="1627" spans="1:28">
      <c r="A1627" t="s">
        <v>797</v>
      </c>
      <c r="B1627">
        <v>3</v>
      </c>
      <c r="C1627" t="s">
        <v>804</v>
      </c>
      <c r="D1627" t="s">
        <v>1152</v>
      </c>
      <c r="E1627" t="s">
        <v>804</v>
      </c>
      <c r="F1627" t="s">
        <v>1692</v>
      </c>
      <c r="G1627" t="s">
        <v>2727</v>
      </c>
      <c r="I1627">
        <f>_xlfn.XLOOKUP($F1627,設計座標!$E$13:$E$2301,設計座標!$G$13:$G$2301,"n/a",0,1)</f>
        <v>459.27029436136928</v>
      </c>
      <c r="J1627">
        <f>_xlfn.XLOOKUP($F1627,設計座標!$E$13:$E$2301,設計座標!$H$13:$H$2301,"n/a",0,1)</f>
        <v>-15000</v>
      </c>
      <c r="K1627">
        <f>_xlfn.XLOOKUP($F1627,設計座標!$E$13:$E$2301,設計座標!$I$13:$I$2301,"n/a",0,1)</f>
        <v>-194793.95349546001</v>
      </c>
      <c r="L1627">
        <f>_xlfn.XLOOKUP($F1627,設計座標!$E$13:$E$2301,設計座標!$J$13:$J$2301,"n/a",0,1)</f>
        <v>-270</v>
      </c>
      <c r="M1627" s="2">
        <f t="shared" si="1258"/>
        <v>-14973.921548450673</v>
      </c>
      <c r="N1627" s="2">
        <f t="shared" si="1259"/>
        <v>-194793.95349546001</v>
      </c>
      <c r="O1627" s="23">
        <f t="shared" si="1260"/>
        <v>-272.82529370554687</v>
      </c>
      <c r="P1627" s="1">
        <f t="shared" ref="P1627:P1690" si="1279">$L1627+$T1627</f>
        <v>-270.14126404323804</v>
      </c>
      <c r="Q1627" s="1">
        <f t="shared" si="1264"/>
        <v>26.078451549326218</v>
      </c>
      <c r="R1627">
        <f t="shared" si="1251"/>
        <v>0</v>
      </c>
      <c r="S1627" s="23">
        <f t="shared" si="1263"/>
        <v>-2.8252937055468856</v>
      </c>
      <c r="T1627">
        <f>$S1627+測地線補正!$Q$26*(lattice!$N1627/1000)^3+測地線補正!$P$26*(lattice!$N1627/1000)^2+測地線補正!$O$26*(lattice!$N1627/1000)+測地線補正!$N$26</f>
        <v>-0.14126404323805208</v>
      </c>
      <c r="U1627">
        <f>-ATAN(($P$1629-$P$1627)/ABS($N$1629-$N$1627))</f>
        <v>-1.2821642454013659E-5</v>
      </c>
      <c r="V1627">
        <v>0</v>
      </c>
      <c r="W1627">
        <f>ATAN(($M$1629-$M$1627)/ABS($N$1629-$N$1627))</f>
        <v>1.2243905850835808E-4</v>
      </c>
      <c r="X1627">
        <f>SQRT(($M$1627-$M$1626)^2+($N$1627-$N$1626)^2)</f>
        <v>209.94180157368228</v>
      </c>
      <c r="Y1627">
        <f>_xlfn.XLOOKUP($F1627,設計座標!$E$13:$E$2301,設計座標!$L$13:$L$2301," ",0,1)</f>
        <v>1889.4492</v>
      </c>
      <c r="Z1627">
        <f>SQRT(($M$1628-$M$1625)^2+($N$1628-$N$1625)^2)</f>
        <v>2099.391015736328</v>
      </c>
    </row>
    <row r="1628" spans="1:28">
      <c r="A1628" t="s">
        <v>797</v>
      </c>
      <c r="B1628">
        <v>3</v>
      </c>
      <c r="C1628" t="s">
        <v>804</v>
      </c>
      <c r="D1628" t="s">
        <v>1152</v>
      </c>
      <c r="E1628" t="s">
        <v>804</v>
      </c>
      <c r="F1628" t="s">
        <v>1367</v>
      </c>
      <c r="G1628" t="s">
        <v>2727</v>
      </c>
      <c r="I1628">
        <f>_xlfn.XLOOKUP($F1628,設計座標!$E$13:$E$2301,設計座標!$G$13:$G$2301,"n/a",0,1)</f>
        <v>460.21501896136925</v>
      </c>
      <c r="J1628">
        <f>_xlfn.XLOOKUP($F1628,設計座標!$E$13:$E$2301,設計座標!$H$13:$H$2301,"n/a",0,1)</f>
        <v>-15000</v>
      </c>
      <c r="K1628">
        <f>_xlfn.XLOOKUP($F1628,設計座標!$E$13:$E$2301,設計座標!$I$13:$I$2301,"n/a",0,1)</f>
        <v>-195738.67809546</v>
      </c>
      <c r="L1628">
        <f>_xlfn.XLOOKUP($F1628,設計座標!$E$13:$E$2301,設計座標!$J$13:$J$2301,"n/a",0,1)</f>
        <v>-270</v>
      </c>
      <c r="M1628" s="2">
        <f t="shared" si="1258"/>
        <v>-14973.805877259521</v>
      </c>
      <c r="N1628" s="2">
        <f t="shared" si="1259"/>
        <v>-195738.67809546</v>
      </c>
      <c r="O1628" s="23">
        <f t="shared" si="1260"/>
        <v>-272.81348286911469</v>
      </c>
      <c r="P1628" s="1">
        <f t="shared" si="1279"/>
        <v>-270.1290805995859</v>
      </c>
      <c r="Q1628" s="1">
        <f t="shared" si="1264"/>
        <v>26.194122740478544</v>
      </c>
      <c r="R1628">
        <f t="shared" si="1251"/>
        <v>0</v>
      </c>
      <c r="S1628" s="23">
        <f t="shared" si="1263"/>
        <v>-2.8134828691146816</v>
      </c>
      <c r="T1628">
        <f>$S1628+測地線補正!$Q$26*(lattice!$N1628/1000)^3+測地線補正!$P$26*(lattice!$N1628/1000)^2+測地線補正!$O$26*(lattice!$N1628/1000)+測地線補正!$N$26</f>
        <v>-0.12908059958590923</v>
      </c>
      <c r="U1628">
        <f t="shared" ref="U1628:U1629" si="1280">-ATAN(($P$1629-$P$1627)/ABS($N$1629-$N$1627))</f>
        <v>-1.2821642454013659E-5</v>
      </c>
      <c r="V1628">
        <v>0</v>
      </c>
      <c r="W1628">
        <f t="shared" ref="W1628:W1629" si="1281">ATAN(($M$1629-$M$1627)/ABS($N$1629-$N$1627))</f>
        <v>1.2243905850835808E-4</v>
      </c>
      <c r="X1628" t="s">
        <v>3860</v>
      </c>
      <c r="Y1628">
        <f>_xlfn.XLOOKUP($F1628,設計座標!$E$13:$E$2301,設計座標!$L$13:$L$2301," ",0,1)</f>
        <v>1889.4492</v>
      </c>
      <c r="Z1628">
        <f>SQRT(($M$1628-$M$1625)^2+($N$1628-$N$1625)^2)</f>
        <v>2099.391015736328</v>
      </c>
    </row>
    <row r="1629" spans="1:28">
      <c r="A1629" t="s">
        <v>797</v>
      </c>
      <c r="B1629">
        <v>3</v>
      </c>
      <c r="C1629" t="s">
        <v>804</v>
      </c>
      <c r="D1629" t="s">
        <v>1152</v>
      </c>
      <c r="E1629" t="s">
        <v>804</v>
      </c>
      <c r="F1629" t="s">
        <v>1693</v>
      </c>
      <c r="G1629" t="s">
        <v>2727</v>
      </c>
      <c r="I1629">
        <f>_xlfn.XLOOKUP($F1629,設計座標!$E$13:$E$2301,設計座標!$G$13:$G$2301,"n/a",0,1)</f>
        <v>461.15974356136923</v>
      </c>
      <c r="J1629">
        <f>_xlfn.XLOOKUP($F1629,設計座標!$E$13:$E$2301,設計座標!$H$13:$H$2301,"n/a",0,1)</f>
        <v>-15000</v>
      </c>
      <c r="K1629">
        <f>_xlfn.XLOOKUP($F1629,設計座標!$E$13:$E$2301,設計座標!$I$13:$I$2301,"n/a",0,1)</f>
        <v>-196683.40269545998</v>
      </c>
      <c r="L1629">
        <f>_xlfn.XLOOKUP($F1629,設計座標!$E$13:$E$2301,設計座標!$J$13:$J$2301,"n/a",0,1)</f>
        <v>-270</v>
      </c>
      <c r="M1629" s="2">
        <f t="shared" si="1258"/>
        <v>-14973.69020606837</v>
      </c>
      <c r="N1629" s="2">
        <f t="shared" si="1259"/>
        <v>-196683.40269545998</v>
      </c>
      <c r="O1629" s="23">
        <f t="shared" si="1260"/>
        <v>-272.80167203268246</v>
      </c>
      <c r="P1629" s="1">
        <f t="shared" si="1279"/>
        <v>-270.11703820115929</v>
      </c>
      <c r="Q1629" s="1">
        <f t="shared" si="1264"/>
        <v>26.309793931630875</v>
      </c>
      <c r="R1629">
        <f t="shared" si="1251"/>
        <v>0</v>
      </c>
      <c r="S1629" s="23">
        <f t="shared" si="1263"/>
        <v>-2.8016720326824776</v>
      </c>
      <c r="T1629">
        <f>$S1629+測地線補正!$Q$26*(lattice!$N1629/1000)^3+測地線補正!$P$26*(lattice!$N1629/1000)^2+測地線補正!$O$26*(lattice!$N1629/1000)+測地線補正!$N$26</f>
        <v>-0.11703820115926988</v>
      </c>
      <c r="U1629">
        <f t="shared" si="1280"/>
        <v>-1.2821642454013659E-5</v>
      </c>
      <c r="V1629">
        <v>0</v>
      </c>
      <c r="W1629">
        <f t="shared" si="1281"/>
        <v>1.2243905850835808E-4</v>
      </c>
      <c r="X1629" t="s">
        <v>3860</v>
      </c>
      <c r="Y1629">
        <f>_xlfn.XLOOKUP($F1629,設計座標!$E$13:$E$2301,設計座標!$L$13:$L$2301," ",0,1)</f>
        <v>1889.4492</v>
      </c>
      <c r="Z1629">
        <f>SQRT(($M$1628-$M$1625)^2+($N$1628-$N$1625)^2)</f>
        <v>2099.391015736328</v>
      </c>
    </row>
    <row r="1630" spans="1:28">
      <c r="A1630" t="s">
        <v>797</v>
      </c>
      <c r="B1630">
        <v>3</v>
      </c>
      <c r="C1630" t="s">
        <v>1152</v>
      </c>
      <c r="D1630" t="s">
        <v>1152</v>
      </c>
      <c r="E1630" t="s">
        <v>804</v>
      </c>
      <c r="F1630" t="s">
        <v>2161</v>
      </c>
      <c r="G1630" t="s">
        <v>2161</v>
      </c>
      <c r="I1630">
        <f>_xlfn.XLOOKUP($F1630,設計座標!$E$13:$E$2301,設計座標!$G$13:$G$2301,"n/a",0,1)</f>
        <v>461.31223946136924</v>
      </c>
      <c r="J1630">
        <f>_xlfn.XLOOKUP($F1630,設計座標!$E$13:$E$2301,設計座標!$H$13:$H$2301,"n/a",0,1)</f>
        <v>-15000</v>
      </c>
      <c r="K1630">
        <f>_xlfn.XLOOKUP($F1630,設計座標!$E$13:$E$2301,設計座標!$I$13:$I$2301,"n/a",0,1)</f>
        <v>-196835.89859545999</v>
      </c>
      <c r="L1630">
        <f>_xlfn.XLOOKUP($F1630,設計座標!$E$13:$E$2301,設計座標!$J$13:$J$2301,"n/a",0,1)</f>
        <v>-270</v>
      </c>
      <c r="M1630" s="2">
        <f t="shared" si="1258"/>
        <v>-14973.671534613854</v>
      </c>
      <c r="N1630" s="2">
        <f t="shared" si="1259"/>
        <v>-196835.89859545999</v>
      </c>
      <c r="O1630" s="23">
        <f t="shared" si="1260"/>
        <v>-272.79976554678012</v>
      </c>
      <c r="P1630" s="1">
        <f t="shared" si="1279"/>
        <v>-270.11510751171602</v>
      </c>
      <c r="Q1630" s="1">
        <f t="shared" si="1264"/>
        <v>26.328465386146664</v>
      </c>
      <c r="R1630">
        <f t="shared" si="1251"/>
        <v>0</v>
      </c>
      <c r="S1630" s="23">
        <f t="shared" si="1263"/>
        <v>-2.7997655467801503</v>
      </c>
      <c r="T1630">
        <f>$S1630+測地線補正!$Q$26*(lattice!$N1630/1000)^3+測地線補正!$P$26*(lattice!$N1630/1000)^2+測地線補正!$O$26*(lattice!$N1630/1000)+測地線補正!$N$26</f>
        <v>-0.11510751171599165</v>
      </c>
      <c r="U1630">
        <v>0</v>
      </c>
      <c r="V1630">
        <v>0</v>
      </c>
      <c r="W1630">
        <v>0</v>
      </c>
      <c r="X1630">
        <f>SQRT(($M$1630-$M$1629)^2+($N$1630-$N$1629)^2)</f>
        <v>152.49590114306665</v>
      </c>
      <c r="Y1630">
        <f>_xlfn.XLOOKUP($F1630,設計座標!$E$13:$E$2301,設計座標!$L$13:$L$2301," ",0,1)</f>
        <v>0</v>
      </c>
      <c r="Z1630">
        <f>SQRT(($M$1630-$M$1628)^2+($N$1630-$N$1628)^2)</f>
        <v>1097.2205082243893</v>
      </c>
    </row>
    <row r="1631" spans="1:28">
      <c r="A1631" t="s">
        <v>797</v>
      </c>
      <c r="B1631">
        <v>3</v>
      </c>
      <c r="C1631" t="s">
        <v>805</v>
      </c>
      <c r="D1631" t="s">
        <v>806</v>
      </c>
      <c r="F1631" t="s">
        <v>422</v>
      </c>
      <c r="G1631" t="s">
        <v>2728</v>
      </c>
      <c r="I1631">
        <f>_xlfn.XLOOKUP($F1631,設計座標!$E$13:$E$2301,設計座標!$G$13:$G$2301,"n/a",0,1)</f>
        <v>461.41054399999996</v>
      </c>
      <c r="J1631">
        <f>_xlfn.XLOOKUP($F1631,設計座標!$E$13:$E$2301,設計座標!$H$13:$H$2301,"n/a",0,1)</f>
        <v>-15000</v>
      </c>
      <c r="K1631">
        <f>_xlfn.XLOOKUP($F1631,設計座標!$E$13:$E$2301,設計座標!$I$13:$I$2301,"n/a",0,1)</f>
        <v>-197046.19785811001</v>
      </c>
      <c r="L1631">
        <f>_xlfn.XLOOKUP($F1631,設計座標!$E$13:$E$2301,設計座標!$J$13:$J$2301,"n/a",0,1)</f>
        <v>-50</v>
      </c>
      <c r="M1631" s="2">
        <f>_xlfn.XLOOKUP($F1631,survey_data!$A$2:$A$833,survey_data!$B$2:$B$833,"n/a",0,1)</f>
        <v>-14973.645785770001</v>
      </c>
      <c r="N1631" s="2">
        <f>_xlfn.XLOOKUP($F1631,survey_data!$A$2:$A$833,survey_data!$C$2:$C$833,"n/a",0,1)</f>
        <v>-197046.19785811001</v>
      </c>
      <c r="O1631" s="23">
        <f>_xlfn.XLOOKUP($F1631,survey_data!$A$2:$A$833,survey_data!$D$2:$D$833,"n/a",0,1)</f>
        <v>-52.79713641</v>
      </c>
      <c r="P1631" s="1">
        <f t="shared" si="1279"/>
        <v>-50.112450991012729</v>
      </c>
      <c r="Q1631" s="1">
        <f t="shared" si="1254"/>
        <v>26.354214229999343</v>
      </c>
      <c r="R1631">
        <f t="shared" si="1251"/>
        <v>0</v>
      </c>
      <c r="S1631" s="23">
        <f t="shared" si="1255"/>
        <v>-2.7971364100000002</v>
      </c>
      <c r="T1631">
        <f>$S1631+測地線補正!$Q$26*(lattice!$N1631/1000)^3+測地線補正!$P$26*(lattice!$N1631/1000)^2+測地線補正!$O$26*(lattice!$N1631/1000)+測地線補正!$N$26</f>
        <v>-0.11245099101272538</v>
      </c>
      <c r="U1631">
        <f>-ATAN(($P$1633-$P$1631)/ABS($N$1633-$N$1631))</f>
        <v>3.5144391907053246E-4</v>
      </c>
      <c r="V1631">
        <v>0</v>
      </c>
      <c r="W1631">
        <f>ATAN(($M$1633-$M$1631)/ABS($N$1633-$N$1631))</f>
        <v>-9.8287432478453754E-5</v>
      </c>
      <c r="X1631">
        <f>$Z$1632-($Y$1632+$Y$1630)/2</f>
        <v>185.3017632418792</v>
      </c>
      <c r="Y1631">
        <f>_xlfn.XLOOKUP($F1631,設計座標!$E$13:$E$2301,設計座標!$L$13:$L$2301," ",0,1)</f>
        <v>200</v>
      </c>
      <c r="Z1631">
        <f>SQRT(($M$1632-$M$1630)^2+($N$1632-$N$1630)^2)</f>
        <v>285.3017632418792</v>
      </c>
      <c r="AA1631">
        <f>_xlfn.XLOOKUP($G1631,magnet_list!$A$2:$A$592,magnet_list!$AJ$2:$AJ$592,"n/a",0,1)</f>
        <v>0.21244935000000001</v>
      </c>
      <c r="AB1631">
        <f>_xlfn.XLOOKUP($G1631,magnet_list!$A$2:$A$592,magnet_list!$L$2:$L$592,"n/a",0,1)</f>
        <v>20</v>
      </c>
    </row>
    <row r="1632" spans="1:28">
      <c r="A1632" t="s">
        <v>797</v>
      </c>
      <c r="B1632">
        <v>3</v>
      </c>
      <c r="C1632" t="s">
        <v>805</v>
      </c>
      <c r="D1632" t="s">
        <v>1152</v>
      </c>
      <c r="E1632" t="s">
        <v>804</v>
      </c>
      <c r="F1632" t="s">
        <v>773</v>
      </c>
      <c r="G1632" t="s">
        <v>2728</v>
      </c>
      <c r="I1632">
        <f>_xlfn.XLOOKUP($F1632,設計座標!$E$13:$E$2301,設計座標!$G$13:$G$2301,"n/a",0,1)</f>
        <v>461.48554649999994</v>
      </c>
      <c r="J1632">
        <f>_xlfn.XLOOKUP($F1632,設計座標!$E$13:$E$2301,設計座標!$H$13:$H$2301,"n/a",0,1)</f>
        <v>-15000</v>
      </c>
      <c r="K1632">
        <f>_xlfn.XLOOKUP($F1632,設計座標!$E$13:$E$2301,設計座標!$I$13:$I$2301,"n/a",0,1)</f>
        <v>-197121.20035811001</v>
      </c>
      <c r="L1632">
        <f>_xlfn.XLOOKUP($F1632,設計座標!$E$13:$E$2301,設計座標!$J$13:$J$2301,"n/a",0,1)</f>
        <v>-50</v>
      </c>
      <c r="M1632" s="2">
        <f t="shared" si="1258"/>
        <v>-14973.653157573179</v>
      </c>
      <c r="N1632" s="2">
        <f t="shared" si="1259"/>
        <v>-197121.20035811001</v>
      </c>
      <c r="O1632" s="23">
        <f t="shared" si="1260"/>
        <v>-52.823503228855067</v>
      </c>
      <c r="P1632" s="1">
        <f t="shared" si="1279"/>
        <v>-50.138809723314239</v>
      </c>
      <c r="Q1632" s="1">
        <f>(Q$1633-Q$1631)/($N$1633-$N$1631)*($N1632-$N$1631)+Q$1631</f>
        <v>26.346842426821141</v>
      </c>
      <c r="R1632">
        <f t="shared" si="1251"/>
        <v>0</v>
      </c>
      <c r="S1632" s="23">
        <f>(S$1633-S$1631)/($N$1633-$N$1631)*($N1632-$N$1631)+S$1631</f>
        <v>-2.8235032288550657</v>
      </c>
      <c r="T1632">
        <f>$S1632+測地線補正!$Q$26*(lattice!$N1632/1000)^3+測地線補正!$P$26*(lattice!$N1632/1000)^2+測地線補正!$O$26*(lattice!$N1632/1000)+測地線補正!$N$26</f>
        <v>-0.13880972331424091</v>
      </c>
      <c r="U1632">
        <f t="shared" ref="U1632:U1633" si="1282">-ATAN(($P$1633-$P$1631)/ABS($N$1633-$N$1631))</f>
        <v>3.5144391907053246E-4</v>
      </c>
      <c r="V1632">
        <v>0</v>
      </c>
      <c r="W1632">
        <f t="shared" ref="W1632:W1633" si="1283">ATAN(($M$1633-$M$1631)/ABS($N$1633-$N$1631))</f>
        <v>-9.8287432478453754E-5</v>
      </c>
      <c r="X1632">
        <f>$Z$1632-($Y$1632+$Y$1630)/2</f>
        <v>185.3017632418792</v>
      </c>
      <c r="Y1632">
        <f>_xlfn.XLOOKUP($F1632,設計座標!$E$13:$E$2301,設計座標!$L$13:$L$2301," ",0,1)</f>
        <v>200</v>
      </c>
      <c r="Z1632">
        <f>SQRT(($M$1632-$M$1630)^2+($N$1632-$N$1630)^2)</f>
        <v>285.3017632418792</v>
      </c>
      <c r="AA1632">
        <f>_xlfn.XLOOKUP($G1632,magnet_list!$A$2:$A$592,magnet_list!$AJ$2:$AJ$592,"n/a",0,1)</f>
        <v>0.21244935000000001</v>
      </c>
      <c r="AB1632">
        <f>_xlfn.XLOOKUP($G1632,magnet_list!$A$2:$A$592,magnet_list!$L$2:$L$592,"n/a",0,1)</f>
        <v>20</v>
      </c>
    </row>
    <row r="1633" spans="1:28">
      <c r="A1633" t="s">
        <v>797</v>
      </c>
      <c r="B1633">
        <v>3</v>
      </c>
      <c r="C1633" t="s">
        <v>805</v>
      </c>
      <c r="D1633" t="s">
        <v>806</v>
      </c>
      <c r="F1633" t="s">
        <v>423</v>
      </c>
      <c r="G1633" t="s">
        <v>2728</v>
      </c>
      <c r="I1633">
        <f>_xlfn.XLOOKUP($F1633,設計座標!$E$13:$E$2301,設計座標!$G$13:$G$2301,"n/a",0,1)</f>
        <v>461.56054899999992</v>
      </c>
      <c r="J1633">
        <f>_xlfn.XLOOKUP($F1633,設計座標!$E$13:$E$2301,設計座標!$H$13:$H$2301,"n/a",0,1)</f>
        <v>-15000</v>
      </c>
      <c r="K1633">
        <f>_xlfn.XLOOKUP($F1633,設計座標!$E$13:$E$2301,設計座標!$I$13:$I$2301,"n/a",0,1)</f>
        <v>-197196.20147078001</v>
      </c>
      <c r="L1633">
        <f>_xlfn.XLOOKUP($F1633,設計座標!$E$13:$E$2301,設計座標!$J$13:$J$2301,"n/a",0,1)</f>
        <v>-50</v>
      </c>
      <c r="M1633" s="2">
        <f>_xlfn.XLOOKUP($F1633,survey_data!$A$2:$A$833,survey_data!$B$2:$B$833,"n/a",0,1)</f>
        <v>-14973.66052924</v>
      </c>
      <c r="N1633" s="2">
        <f>_xlfn.XLOOKUP($F1633,survey_data!$A$2:$A$833,survey_data!$C$2:$C$833,"n/a",0,1)</f>
        <v>-197196.20147078001</v>
      </c>
      <c r="O1633" s="23">
        <f>_xlfn.XLOOKUP($F1633,survey_data!$A$2:$A$833,survey_data!$D$2:$D$833,"n/a",0,1)</f>
        <v>-52.849869560000002</v>
      </c>
      <c r="P1633" s="1">
        <f t="shared" si="1279"/>
        <v>-50.165168850694656</v>
      </c>
      <c r="Q1633" s="1">
        <f t="shared" si="1254"/>
        <v>26.33947076000004</v>
      </c>
      <c r="R1633">
        <f t="shared" si="1251"/>
        <v>0</v>
      </c>
      <c r="S1633" s="23">
        <f t="shared" si="1255"/>
        <v>-2.8498695600000019</v>
      </c>
      <c r="T1633">
        <f>$S1633+測地線補正!$Q$26*(lattice!$N1633/1000)^3+測地線補正!$P$26*(lattice!$N1633/1000)^2+測地線補正!$O$26*(lattice!$N1633/1000)+測地線補正!$N$26</f>
        <v>-0.16516885069465848</v>
      </c>
      <c r="U1633">
        <f t="shared" si="1282"/>
        <v>3.5144391907053246E-4</v>
      </c>
      <c r="V1633">
        <v>0</v>
      </c>
      <c r="W1633">
        <f t="shared" si="1283"/>
        <v>-9.8287432478453754E-5</v>
      </c>
      <c r="X1633">
        <f>$Z$1632-($Y$1632+$Y$1630)/2</f>
        <v>185.3017632418792</v>
      </c>
      <c r="Y1633">
        <f>_xlfn.XLOOKUP($F1633,設計座標!$E$13:$E$2301,設計座標!$L$13:$L$2301," ",0,1)</f>
        <v>200</v>
      </c>
      <c r="Z1633">
        <f>SQRT(($M$1632-$M$1630)^2+($N$1632-$N$1630)^2)</f>
        <v>285.3017632418792</v>
      </c>
      <c r="AA1633">
        <f>_xlfn.XLOOKUP($G1633,magnet_list!$A$2:$A$592,magnet_list!$AJ$2:$AJ$592,"n/a",0,1)</f>
        <v>0.21244935000000001</v>
      </c>
      <c r="AB1633">
        <f>_xlfn.XLOOKUP($G1633,magnet_list!$A$2:$A$592,magnet_list!$L$2:$L$592,"n/a",0,1)</f>
        <v>20</v>
      </c>
    </row>
    <row r="1634" spans="1:28">
      <c r="A1634" t="s">
        <v>797</v>
      </c>
      <c r="B1634">
        <v>3</v>
      </c>
      <c r="C1634" t="s">
        <v>805</v>
      </c>
      <c r="D1634" t="s">
        <v>806</v>
      </c>
      <c r="F1634" t="s">
        <v>424</v>
      </c>
      <c r="G1634" t="s">
        <v>424</v>
      </c>
      <c r="I1634">
        <f>_xlfn.XLOOKUP($F1634,設計座標!$E$13:$E$2301,設計座標!$G$13:$G$2301,"n/a",0,1)</f>
        <v>461.81556899999998</v>
      </c>
      <c r="J1634">
        <f>_xlfn.XLOOKUP($F1634,設計座標!$E$13:$E$2301,設計座標!$H$13:$H$2301,"n/a",0,1)</f>
        <v>-15000</v>
      </c>
      <c r="K1634">
        <f>_xlfn.XLOOKUP($F1634,設計座標!$E$13:$E$2301,設計座標!$I$13:$I$2301,"n/a",0,1)</f>
        <v>-197451.23142304999</v>
      </c>
      <c r="L1634">
        <f>_xlfn.XLOOKUP($F1634,設計座標!$E$13:$E$2301,設計座標!$J$13:$J$2301,"n/a",0,1)</f>
        <v>-90</v>
      </c>
      <c r="M1634" s="2">
        <f>_xlfn.XLOOKUP($F1634,survey_data!$A$2:$A$833,survey_data!$B$2:$B$833,"n/a",0,1)</f>
        <v>-14973.62992517</v>
      </c>
      <c r="N1634" s="2">
        <f>_xlfn.XLOOKUP($F1634,survey_data!$A$2:$A$833,survey_data!$C$2:$C$833,"n/a",0,1)</f>
        <v>-197451.23142304999</v>
      </c>
      <c r="O1634" s="23">
        <f>_xlfn.XLOOKUP($F1634,survey_data!$A$2:$A$833,survey_data!$D$2:$D$833,"n/a",0,1)</f>
        <v>-92.770339930000006</v>
      </c>
      <c r="P1634" s="1">
        <f t="shared" si="1279"/>
        <v>-90.085621324039508</v>
      </c>
      <c r="Q1634" s="1">
        <f t="shared" si="1254"/>
        <v>26.370074829999794</v>
      </c>
      <c r="R1634">
        <f t="shared" si="1251"/>
        <v>0</v>
      </c>
      <c r="S1634" s="23">
        <f t="shared" si="1255"/>
        <v>-2.7703399300000058</v>
      </c>
      <c r="T1634">
        <f>$S1634+測地線補正!$Q$26*(lattice!$N1634/1000)^3+測地線補正!$P$26*(lattice!$N1634/1000)^2+測地線補正!$O$26*(lattice!$N1634/1000)+測地線補正!$N$26</f>
        <v>-8.5621324039506286E-2</v>
      </c>
      <c r="U1634">
        <v>0</v>
      </c>
      <c r="V1634">
        <v>0</v>
      </c>
      <c r="W1634">
        <v>0</v>
      </c>
      <c r="X1634">
        <f>$Z$1635-($Y$1635+$Y$1632)/2</f>
        <v>190.03106575769402</v>
      </c>
      <c r="Y1634">
        <f>_xlfn.XLOOKUP($F1634,設計座標!$E$13:$E$2301,設計座標!$L$13:$L$2301," ",0,1)</f>
        <v>80</v>
      </c>
      <c r="Z1634">
        <f>SQRT(($M$1635-$M$1632)^2+($N$1635-$N$1632)^2)</f>
        <v>330.03106575769402</v>
      </c>
      <c r="AA1634">
        <f>_xlfn.XLOOKUP($G1634,magnet_list!$A$2:$A$592,magnet_list!$AJ$2:$AJ$592,"n/a",0,1)</f>
        <v>0.1074008800631841</v>
      </c>
      <c r="AB1634">
        <f>_xlfn.XLOOKUP($G1634,magnet_list!$A$2:$A$592,magnet_list!$L$2:$L$592,"n/a",0,1)</f>
        <v>20</v>
      </c>
    </row>
    <row r="1635" spans="1:28">
      <c r="A1635" t="s">
        <v>797</v>
      </c>
      <c r="B1635">
        <v>3</v>
      </c>
      <c r="C1635" t="s">
        <v>805</v>
      </c>
      <c r="D1635" t="s">
        <v>1152</v>
      </c>
      <c r="E1635" t="s">
        <v>804</v>
      </c>
      <c r="F1635" t="s">
        <v>1895</v>
      </c>
      <c r="G1635" t="s">
        <v>424</v>
      </c>
      <c r="I1635">
        <f>_xlfn.XLOOKUP($F1635,設計座標!$E$13:$E$2301,設計座標!$G$13:$G$2301,"n/a",0,1)</f>
        <v>461.81556899999998</v>
      </c>
      <c r="J1635">
        <f>_xlfn.XLOOKUP($F1635,設計座標!$E$13:$E$2301,設計座標!$H$13:$H$2301,"n/a",0,1)</f>
        <v>-15000</v>
      </c>
      <c r="K1635">
        <f>_xlfn.XLOOKUP($F1635,設計座標!$E$13:$E$2301,設計座標!$I$13:$I$2301,"n/a",0,1)</f>
        <v>-197451.23142304999</v>
      </c>
      <c r="L1635">
        <f>_xlfn.XLOOKUP($F1635,設計座標!$E$13:$E$2301,設計座標!$J$13:$J$2301,"n/a",0,1)</f>
        <v>-90</v>
      </c>
      <c r="M1635" s="2">
        <f t="shared" ref="M1635:M1672" si="1284">$J1635+$Q1635</f>
        <v>-14973.62992517</v>
      </c>
      <c r="N1635" s="2">
        <f t="shared" ref="N1635:N1672" si="1285">$K1635</f>
        <v>-197451.23142304999</v>
      </c>
      <c r="O1635" s="23">
        <f t="shared" ref="O1635:O1672" si="1286">$L1635+$S1635</f>
        <v>-92.770339930000006</v>
      </c>
      <c r="P1635" s="1">
        <f t="shared" si="1279"/>
        <v>-90.085621324039508</v>
      </c>
      <c r="Q1635" s="1">
        <f>(Q$1636-Q$1634)/($N$1636-$N$1634)*($N1635-$N$1634)+Q$1634</f>
        <v>26.370074829999794</v>
      </c>
      <c r="R1635">
        <f t="shared" si="1251"/>
        <v>0</v>
      </c>
      <c r="S1635" s="23">
        <f>(S$1636-S$1634)/($N$1636-$N$1634)*($N1635-$N$1634)+S$1634</f>
        <v>-2.7703399300000058</v>
      </c>
      <c r="T1635">
        <f>$S1635+測地線補正!$Q$26*(lattice!$N1635/1000)^3+測地線補正!$P$26*(lattice!$N1635/1000)^2+測地線補正!$O$26*(lattice!$N1635/1000)+測地線補正!$N$26</f>
        <v>-8.5621324039506286E-2</v>
      </c>
      <c r="U1635">
        <v>0</v>
      </c>
      <c r="V1635">
        <v>0</v>
      </c>
      <c r="W1635">
        <v>0</v>
      </c>
      <c r="X1635">
        <f>$Z$1635-($Y$1635+$Y$1632)/2</f>
        <v>190.03106575769402</v>
      </c>
      <c r="Y1635">
        <f>_xlfn.XLOOKUP($F1635,設計座標!$E$13:$E$2301,設計座標!$L$13:$L$2301," ",0,1)</f>
        <v>80</v>
      </c>
      <c r="Z1635">
        <f>SQRT(($M$1635-$M$1632)^2+($N$1635-$N$1632)^2)</f>
        <v>330.03106575769402</v>
      </c>
      <c r="AA1635">
        <f>_xlfn.XLOOKUP($G1635,magnet_list!$A$2:$A$592,magnet_list!$AJ$2:$AJ$592,"n/a",0,1)</f>
        <v>0.1074008800631841</v>
      </c>
      <c r="AB1635">
        <f>_xlfn.XLOOKUP($G1635,magnet_list!$A$2:$A$592,magnet_list!$L$2:$L$592,"n/a",0,1)</f>
        <v>20</v>
      </c>
    </row>
    <row r="1636" spans="1:28">
      <c r="A1636" t="s">
        <v>797</v>
      </c>
      <c r="B1636">
        <v>3</v>
      </c>
      <c r="C1636" t="s">
        <v>805</v>
      </c>
      <c r="D1636" t="s">
        <v>806</v>
      </c>
      <c r="F1636" t="s">
        <v>425</v>
      </c>
      <c r="G1636" t="s">
        <v>425</v>
      </c>
      <c r="I1636">
        <f>_xlfn.XLOOKUP($F1636,設計座標!$E$13:$E$2301,設計座標!$G$13:$G$2301,"n/a",0,1)</f>
        <v>462.01559499999996</v>
      </c>
      <c r="J1636">
        <f>_xlfn.XLOOKUP($F1636,設計座標!$E$13:$E$2301,設計座標!$H$13:$H$2301,"n/a",0,1)</f>
        <v>-15000</v>
      </c>
      <c r="K1636">
        <f>_xlfn.XLOOKUP($F1636,設計座標!$E$13:$E$2301,設計座標!$I$13:$I$2301,"n/a",0,1)</f>
        <v>-197651.24729545999</v>
      </c>
      <c r="L1636">
        <f>_xlfn.XLOOKUP($F1636,設計座標!$E$13:$E$2301,設計座標!$J$13:$J$2301,"n/a",0,1)</f>
        <v>-90</v>
      </c>
      <c r="M1636" s="2">
        <f>_xlfn.XLOOKUP($F1636,survey_data!$A$2:$A$833,survey_data!$B$2:$B$833,"n/a",0,1)</f>
        <v>-14973.54435638</v>
      </c>
      <c r="N1636" s="2">
        <f>_xlfn.XLOOKUP($F1636,survey_data!$A$2:$A$833,survey_data!$C$2:$C$833,"n/a",0,1)</f>
        <v>-197651.24729545999</v>
      </c>
      <c r="O1636" s="23">
        <f>_xlfn.XLOOKUP($F1636,survey_data!$A$2:$A$833,survey_data!$D$2:$D$833,"n/a",0,1)</f>
        <v>-92.812404270000002</v>
      </c>
      <c r="P1636" s="1">
        <f t="shared" si="1279"/>
        <v>-90.127678757014792</v>
      </c>
      <c r="Q1636" s="1">
        <f t="shared" si="1254"/>
        <v>26.455643620000046</v>
      </c>
      <c r="R1636">
        <f t="shared" si="1251"/>
        <v>0</v>
      </c>
      <c r="S1636" s="23">
        <f t="shared" si="1255"/>
        <v>-2.8124042700000018</v>
      </c>
      <c r="T1636">
        <f>$S1636+測地線補正!$Q$26*(lattice!$N1636/1000)^3+測地線補正!$P$26*(lattice!$N1636/1000)^2+測地線補正!$O$26*(lattice!$N1636/1000)+測地線補正!$N$26</f>
        <v>-0.12767875701478659</v>
      </c>
      <c r="U1636">
        <v>0</v>
      </c>
      <c r="V1636">
        <v>0</v>
      </c>
      <c r="W1636">
        <v>0</v>
      </c>
      <c r="X1636">
        <f>$Z$1637-($Y$1637+$Y$1635)/2</f>
        <v>120.0158907135949</v>
      </c>
      <c r="Y1636">
        <f>_xlfn.XLOOKUP($F1636,設計座標!$E$13:$E$2301,設計座標!$L$13:$L$2301," ",0,1)</f>
        <v>80</v>
      </c>
      <c r="Z1636">
        <f>SQRT(($M$1637-$M$1635)^2+($N$1637-$N$1635)^2)</f>
        <v>200.0158907135949</v>
      </c>
      <c r="AA1636">
        <f>_xlfn.XLOOKUP($G1636,magnet_list!$A$2:$A$592,magnet_list!$AJ$2:$AJ$592,"n/a",0,1)</f>
        <v>0.1074008800631841</v>
      </c>
      <c r="AB1636">
        <f>_xlfn.XLOOKUP($G1636,magnet_list!$A$2:$A$592,magnet_list!$L$2:$L$592,"n/a",0,1)</f>
        <v>20</v>
      </c>
    </row>
    <row r="1637" spans="1:28">
      <c r="A1637" t="s">
        <v>797</v>
      </c>
      <c r="B1637">
        <v>3</v>
      </c>
      <c r="C1637" t="s">
        <v>805</v>
      </c>
      <c r="D1637" t="s">
        <v>1152</v>
      </c>
      <c r="E1637" t="s">
        <v>804</v>
      </c>
      <c r="F1637" t="s">
        <v>1896</v>
      </c>
      <c r="G1637" t="s">
        <v>425</v>
      </c>
      <c r="I1637">
        <f>_xlfn.XLOOKUP($F1637,設計座標!$E$13:$E$2301,設計座標!$G$13:$G$2301,"n/a",0,1)</f>
        <v>462.01559499999996</v>
      </c>
      <c r="J1637">
        <f>_xlfn.XLOOKUP($F1637,設計座標!$E$13:$E$2301,設計座標!$H$13:$H$2301,"n/a",0,1)</f>
        <v>-15000</v>
      </c>
      <c r="K1637">
        <f>_xlfn.XLOOKUP($F1637,設計座標!$E$13:$E$2301,設計座標!$I$13:$I$2301,"n/a",0,1)</f>
        <v>-197651.24729545999</v>
      </c>
      <c r="L1637">
        <f>_xlfn.XLOOKUP($F1637,設計座標!$E$13:$E$2301,設計座標!$J$13:$J$2301,"n/a",0,1)</f>
        <v>-90</v>
      </c>
      <c r="M1637" s="2">
        <f t="shared" si="1284"/>
        <v>-14973.54435638</v>
      </c>
      <c r="N1637" s="2">
        <f t="shared" si="1285"/>
        <v>-197651.24729545999</v>
      </c>
      <c r="O1637" s="23">
        <f t="shared" si="1286"/>
        <v>-92.812404270000002</v>
      </c>
      <c r="P1637" s="1">
        <f t="shared" si="1279"/>
        <v>-90.127678757014792</v>
      </c>
      <c r="Q1637" s="1">
        <f>(Q$1638-Q$1636)/($N$1638-$N$1636)*($N1637-$N$1636)+Q$1636</f>
        <v>26.455643620000046</v>
      </c>
      <c r="R1637">
        <f t="shared" si="1251"/>
        <v>0</v>
      </c>
      <c r="S1637" s="23">
        <f>(S$1638-S$1636)/($N$1638-$N$1636)*($N1637-$N$1636)+S$1636</f>
        <v>-2.8124042700000018</v>
      </c>
      <c r="T1637">
        <f>$S1637+測地線補正!$Q$26*(lattice!$N1637/1000)^3+測地線補正!$P$26*(lattice!$N1637/1000)^2+測地線補正!$O$26*(lattice!$N1637/1000)+測地線補正!$N$26</f>
        <v>-0.12767875701478659</v>
      </c>
      <c r="U1637">
        <v>0</v>
      </c>
      <c r="V1637">
        <v>0</v>
      </c>
      <c r="W1637">
        <v>0</v>
      </c>
      <c r="X1637">
        <f>$Z$1637-($Y$1637+$Y$1635)/2</f>
        <v>120.0158907135949</v>
      </c>
      <c r="Y1637">
        <f>_xlfn.XLOOKUP($F1637,設計座標!$E$13:$E$2301,設計座標!$L$13:$L$2301," ",0,1)</f>
        <v>80</v>
      </c>
      <c r="Z1637">
        <f>SQRT(($M$1637-$M$1635)^2+($N$1637-$N$1635)^2)</f>
        <v>200.0158907135949</v>
      </c>
      <c r="AA1637">
        <f>_xlfn.XLOOKUP($G1637,magnet_list!$A$2:$A$592,magnet_list!$AJ$2:$AJ$592,"n/a",0,1)</f>
        <v>0.1074008800631841</v>
      </c>
      <c r="AB1637">
        <f>_xlfn.XLOOKUP($G1637,magnet_list!$A$2:$A$592,magnet_list!$L$2:$L$592,"n/a",0,1)</f>
        <v>20</v>
      </c>
    </row>
    <row r="1638" spans="1:28">
      <c r="A1638" t="s">
        <v>797</v>
      </c>
      <c r="B1638">
        <v>3</v>
      </c>
      <c r="C1638" t="s">
        <v>805</v>
      </c>
      <c r="D1638" t="s">
        <v>806</v>
      </c>
      <c r="F1638" t="s">
        <v>426</v>
      </c>
      <c r="G1638" t="s">
        <v>2729</v>
      </c>
      <c r="I1638">
        <f>_xlfn.XLOOKUP($F1638,設計座標!$E$13:$E$2301,設計座標!$G$13:$G$2301,"n/a",0,1)</f>
        <v>462.27047699999997</v>
      </c>
      <c r="J1638">
        <f>_xlfn.XLOOKUP($F1638,設計座標!$E$13:$E$2301,設計座標!$H$13:$H$2301,"n/a",0,1)</f>
        <v>-15000</v>
      </c>
      <c r="K1638">
        <f>_xlfn.XLOOKUP($F1638,設計座標!$E$13:$E$2301,設計座標!$I$13:$I$2301,"n/a",0,1)</f>
        <v>-197906.12826239</v>
      </c>
      <c r="L1638">
        <f>_xlfn.XLOOKUP($F1638,設計座標!$E$13:$E$2301,設計座標!$J$13:$J$2301,"n/a",0,1)</f>
        <v>-50</v>
      </c>
      <c r="M1638" s="2">
        <f>_xlfn.XLOOKUP($F1638,survey_data!$A$2:$A$833,survey_data!$B$2:$B$833,"n/a",0,1)</f>
        <v>-14973.52356747</v>
      </c>
      <c r="N1638" s="2">
        <f>_xlfn.XLOOKUP($F1638,survey_data!$A$2:$A$833,survey_data!$C$2:$C$833,"n/a",0,1)</f>
        <v>-197906.12826239</v>
      </c>
      <c r="O1638" s="23">
        <f>_xlfn.XLOOKUP($F1638,survey_data!$A$2:$A$833,survey_data!$D$2:$D$833,"n/a",0,1)</f>
        <v>-52.818676789999998</v>
      </c>
      <c r="P1638" s="1">
        <f t="shared" si="1279"/>
        <v>-50.133951545778125</v>
      </c>
      <c r="Q1638" s="1">
        <f t="shared" si="1254"/>
        <v>26.476432530000238</v>
      </c>
      <c r="R1638">
        <f t="shared" si="1251"/>
        <v>0</v>
      </c>
      <c r="S1638" s="23">
        <f t="shared" si="1255"/>
        <v>-2.8186767899999978</v>
      </c>
      <c r="T1638">
        <f>$S1638+測地線補正!$Q$26*(lattice!$N1638/1000)^3+測地線補正!$P$26*(lattice!$N1638/1000)^2+測地線補正!$O$26*(lattice!$N1638/1000)+測地線補正!$N$26</f>
        <v>-0.13395154577812485</v>
      </c>
      <c r="U1638">
        <f>-ATAN(($P$1640-$P$1638)/ABS($N$1640-$N$1638))</f>
        <v>-3.7402764752339078E-4</v>
      </c>
      <c r="V1638">
        <v>0</v>
      </c>
      <c r="W1638">
        <f>ATAN(($M$1640-$M$1638)/ABS($N$1640-$N$1638))</f>
        <v>-6.5766610425283502E-5</v>
      </c>
      <c r="X1638">
        <f>$Z$1639-($Y$1639+$Y$1637)/2</f>
        <v>189.8779673111116</v>
      </c>
      <c r="Y1638">
        <f>_xlfn.XLOOKUP($F1638,設計座標!$E$13:$E$2301,設計座標!$L$13:$L$2301," ",0,1)</f>
        <v>200</v>
      </c>
      <c r="Z1638">
        <f>SQRT(($M$1639-$M$1637)^2+($N$1639-$N$1637)^2)</f>
        <v>329.8779673111116</v>
      </c>
      <c r="AA1638">
        <f>_xlfn.XLOOKUP($G1638,magnet_list!$A$2:$A$592,magnet_list!$AJ$2:$AJ$592,"n/a",0,1)</f>
        <v>0.21244935000000001</v>
      </c>
      <c r="AB1638">
        <f>_xlfn.XLOOKUP($G1638,magnet_list!$A$2:$A$592,magnet_list!$L$2:$L$592,"n/a",0,1)</f>
        <v>20</v>
      </c>
    </row>
    <row r="1639" spans="1:28">
      <c r="A1639" t="s">
        <v>797</v>
      </c>
      <c r="B1639">
        <v>3</v>
      </c>
      <c r="C1639" t="s">
        <v>805</v>
      </c>
      <c r="D1639" t="s">
        <v>1152</v>
      </c>
      <c r="E1639" t="s">
        <v>804</v>
      </c>
      <c r="F1639" t="s">
        <v>774</v>
      </c>
      <c r="G1639" t="s">
        <v>2729</v>
      </c>
      <c r="I1639">
        <f>_xlfn.XLOOKUP($F1639,設計座標!$E$13:$E$2301,設計座標!$G$13:$G$2301,"n/a",0,1)</f>
        <v>462.34547399999991</v>
      </c>
      <c r="J1639">
        <f>_xlfn.XLOOKUP($F1639,設計座標!$E$13:$E$2301,設計座標!$H$13:$H$2301,"n/a",0,1)</f>
        <v>-15000</v>
      </c>
      <c r="K1639">
        <f>_xlfn.XLOOKUP($F1639,設計座標!$E$13:$E$2301,設計座標!$I$13:$I$2301,"n/a",0,1)</f>
        <v>-197981.12526239001</v>
      </c>
      <c r="L1639">
        <f>_xlfn.XLOOKUP($F1639,設計座標!$E$13:$E$2301,設計座標!$J$13:$J$2301,"n/a",0,1)</f>
        <v>-50</v>
      </c>
      <c r="M1639" s="2">
        <f t="shared" si="1284"/>
        <v>-14973.528499768488</v>
      </c>
      <c r="N1639" s="2">
        <f t="shared" si="1285"/>
        <v>-197981.12526239001</v>
      </c>
      <c r="O1639" s="23">
        <f t="shared" si="1286"/>
        <v>-52.790623385027565</v>
      </c>
      <c r="P1639" s="1">
        <f t="shared" si="1279"/>
        <v>-50.105900153522526</v>
      </c>
      <c r="Q1639" s="1">
        <f>(Q$1640-Q$1638)/($N$1640-$N$1638)*($N1639-$N$1638)+Q$1638</f>
        <v>26.471500231511062</v>
      </c>
      <c r="R1639">
        <f t="shared" si="1251"/>
        <v>0</v>
      </c>
      <c r="S1639" s="23">
        <f>(S$1640-S$1638)/($N$1640-$N$1638)*($N1639-$N$1638)+S$1638</f>
        <v>-2.790623385027565</v>
      </c>
      <c r="T1639">
        <f>$S1639+測地線補正!$Q$26*(lattice!$N1639/1000)^3+測地線補正!$P$26*(lattice!$N1639/1000)^2+測地線補正!$O$26*(lattice!$N1639/1000)+測地線補正!$N$26</f>
        <v>-0.1059001535225248</v>
      </c>
      <c r="U1639">
        <f t="shared" ref="U1639:U1640" si="1287">-ATAN(($P$1640-$P$1638)/ABS($N$1640-$N$1638))</f>
        <v>-3.7402764752339078E-4</v>
      </c>
      <c r="V1639">
        <v>0</v>
      </c>
      <c r="W1639">
        <f t="shared" ref="W1639:W1640" si="1288">ATAN(($M$1640-$M$1638)/ABS($N$1640-$N$1638))</f>
        <v>-6.5766610425283502E-5</v>
      </c>
      <c r="X1639">
        <f>$Z$1639-($Y$1639+$Y$1637)/2</f>
        <v>189.8779673111116</v>
      </c>
      <c r="Y1639">
        <f>_xlfn.XLOOKUP($F1639,設計座標!$E$13:$E$2301,設計座標!$L$13:$L$2301," ",0,1)</f>
        <v>200</v>
      </c>
      <c r="Z1639">
        <f>SQRT(($M$1639-$M$1637)^2+($N$1639-$N$1637)^2)</f>
        <v>329.8779673111116</v>
      </c>
      <c r="AA1639">
        <f>_xlfn.XLOOKUP($G1639,magnet_list!$A$2:$A$592,magnet_list!$AJ$2:$AJ$592,"n/a",0,1)</f>
        <v>0.21244935000000001</v>
      </c>
      <c r="AB1639">
        <f>_xlfn.XLOOKUP($G1639,magnet_list!$A$2:$A$592,magnet_list!$L$2:$L$592,"n/a",0,1)</f>
        <v>20</v>
      </c>
    </row>
    <row r="1640" spans="1:28">
      <c r="A1640" t="s">
        <v>797</v>
      </c>
      <c r="B1640">
        <v>3</v>
      </c>
      <c r="C1640" t="s">
        <v>805</v>
      </c>
      <c r="D1640" t="s">
        <v>806</v>
      </c>
      <c r="F1640" t="s">
        <v>427</v>
      </c>
      <c r="G1640" t="s">
        <v>2729</v>
      </c>
      <c r="I1640">
        <f>_xlfn.XLOOKUP($F1640,設計座標!$E$13:$E$2301,設計座標!$G$13:$G$2301,"n/a",0,1)</f>
        <v>462.42047099999996</v>
      </c>
      <c r="J1640">
        <f>_xlfn.XLOOKUP($F1640,設計座標!$E$13:$E$2301,設計座標!$H$13:$H$2301,"n/a",0,1)</f>
        <v>-15000</v>
      </c>
      <c r="K1640">
        <f>_xlfn.XLOOKUP($F1640,設計座標!$E$13:$E$2301,設計座標!$I$13:$I$2301,"n/a",0,1)</f>
        <v>-198056.15089428</v>
      </c>
      <c r="L1640">
        <f>_xlfn.XLOOKUP($F1640,設計座標!$E$13:$E$2301,設計座標!$J$13:$J$2301,"n/a",0,1)</f>
        <v>-50</v>
      </c>
      <c r="M1640" s="2">
        <f>_xlfn.XLOOKUP($F1640,survey_data!$A$2:$A$833,survey_data!$B$2:$B$833,"n/a",0,1)</f>
        <v>-14973.53343395</v>
      </c>
      <c r="N1640" s="2">
        <f>_xlfn.XLOOKUP($F1640,survey_data!$A$2:$A$833,survey_data!$C$2:$C$833,"n/a",0,1)</f>
        <v>-198056.15089428</v>
      </c>
      <c r="O1640" s="23">
        <f>_xlfn.XLOOKUP($F1640,survey_data!$A$2:$A$833,survey_data!$D$2:$D$833,"n/a",0,1)</f>
        <v>-52.762559269999997</v>
      </c>
      <c r="P1640" s="1">
        <f t="shared" si="1279"/>
        <v>-50.077838931080386</v>
      </c>
      <c r="Q1640" s="1">
        <f t="shared" si="1254"/>
        <v>26.466566049999528</v>
      </c>
      <c r="R1640">
        <f t="shared" si="1251"/>
        <v>0</v>
      </c>
      <c r="S1640" s="23">
        <f t="shared" si="1255"/>
        <v>-2.762559269999997</v>
      </c>
      <c r="T1640">
        <f>$S1640+測地線補正!$Q$26*(lattice!$N1640/1000)^3+測地線補正!$P$26*(lattice!$N1640/1000)^2+測地線補正!$O$26*(lattice!$N1640/1000)+測地線補正!$N$26</f>
        <v>-7.7838931080388862E-2</v>
      </c>
      <c r="U1640">
        <f t="shared" si="1287"/>
        <v>-3.7402764752339078E-4</v>
      </c>
      <c r="V1640">
        <v>0</v>
      </c>
      <c r="W1640">
        <f t="shared" si="1288"/>
        <v>-6.5766610425283502E-5</v>
      </c>
      <c r="X1640">
        <f>$Z$1639-($Y$1639+$Y$1637)/2</f>
        <v>189.8779673111116</v>
      </c>
      <c r="Y1640">
        <f>_xlfn.XLOOKUP($F1640,設計座標!$E$13:$E$2301,設計座標!$L$13:$L$2301," ",0,1)</f>
        <v>200</v>
      </c>
      <c r="Z1640">
        <f>SQRT(($M$1639-$M$1637)^2+($N$1639-$N$1637)^2)</f>
        <v>329.8779673111116</v>
      </c>
      <c r="AA1640">
        <f>_xlfn.XLOOKUP($G1640,magnet_list!$A$2:$A$592,magnet_list!$AJ$2:$AJ$592,"n/a",0,1)</f>
        <v>0.21244935000000001</v>
      </c>
      <c r="AB1640">
        <f>_xlfn.XLOOKUP($G1640,magnet_list!$A$2:$A$592,magnet_list!$L$2:$L$592,"n/a",0,1)</f>
        <v>20</v>
      </c>
    </row>
    <row r="1641" spans="1:28">
      <c r="A1641" t="s">
        <v>797</v>
      </c>
      <c r="B1641">
        <v>3</v>
      </c>
      <c r="C1641" t="s">
        <v>2288</v>
      </c>
      <c r="D1641" t="s">
        <v>1152</v>
      </c>
      <c r="E1641" t="s">
        <v>804</v>
      </c>
      <c r="F1641" t="s">
        <v>2292</v>
      </c>
      <c r="G1641" t="s">
        <v>2292</v>
      </c>
      <c r="I1641">
        <f>_xlfn.XLOOKUP($F1641,設計座標!$E$13:$E$2301,設計座標!$G$13:$G$2301,"n/a",0,1)</f>
        <v>462.67675216136922</v>
      </c>
      <c r="J1641">
        <f>_xlfn.XLOOKUP($F1641,設計座標!$E$13:$E$2301,設計座標!$H$13:$H$2301,"n/a",0,1)</f>
        <v>-15000</v>
      </c>
      <c r="K1641">
        <f>_xlfn.XLOOKUP($F1641,設計座標!$E$13:$E$2301,設計座標!$I$13:$I$2301,"n/a",0,1)</f>
        <v>-198200.41129545998</v>
      </c>
      <c r="L1641">
        <f>_xlfn.XLOOKUP($F1641,設計座標!$E$13:$E$2301,設計座標!$J$13:$J$2301,"n/a",0,1)</f>
        <v>-270</v>
      </c>
      <c r="M1641" s="2">
        <f t="shared" si="1284"/>
        <v>-14973.511495500059</v>
      </c>
      <c r="N1641" s="2">
        <f t="shared" si="1285"/>
        <v>-198200.41129545998</v>
      </c>
      <c r="O1641" s="23">
        <f t="shared" si="1286"/>
        <v>-272.76559681440256</v>
      </c>
      <c r="P1641" s="1">
        <f t="shared" si="1279"/>
        <v>-270.08088450688319</v>
      </c>
      <c r="Q1641" s="1">
        <f>(Q$1671-Q$1640)/($N$1671-$N$1640)*($N1641-$N$1640)+Q$1640</f>
        <v>26.488504499941872</v>
      </c>
      <c r="R1641">
        <f t="shared" si="1251"/>
        <v>0</v>
      </c>
      <c r="S1641" s="23">
        <f t="shared" ref="S1641:S1670" si="1289">(S$1671-S$1640)/($N$1671-$N$1640)*($N1641-$N$1640)+S$1640</f>
        <v>-2.7655968144025644</v>
      </c>
      <c r="T1641">
        <f>$S1641+測地線補正!$Q$26*(lattice!$N1641/1000)^3+測地線補正!$P$26*(lattice!$N1641/1000)^2+測地線補正!$O$26*(lattice!$N1641/1000)+測地線補正!$N$26</f>
        <v>-8.0884506883198037E-2</v>
      </c>
      <c r="U1641">
        <v>0</v>
      </c>
      <c r="V1641">
        <v>0</v>
      </c>
      <c r="W1641">
        <v>0</v>
      </c>
      <c r="X1641">
        <f>$Z$1641-($Y$1641+$Y$1639)/2</f>
        <v>119.28603372926446</v>
      </c>
      <c r="Y1641">
        <f>_xlfn.XLOOKUP($F1641,設計座標!$E$13:$E$2301,設計座標!$L$13:$L$2301," ",0,1)</f>
        <v>0</v>
      </c>
      <c r="Z1641">
        <f>SQRT(($M$1641-$M$1639)^2+($N$1641-$N$1639)^2)</f>
        <v>219.28603372926446</v>
      </c>
    </row>
    <row r="1642" spans="1:28">
      <c r="A1642" t="s">
        <v>797</v>
      </c>
      <c r="B1642">
        <v>3</v>
      </c>
      <c r="C1642" t="s">
        <v>804</v>
      </c>
      <c r="D1642" t="s">
        <v>1152</v>
      </c>
      <c r="E1642" t="s">
        <v>804</v>
      </c>
      <c r="F1642" t="s">
        <v>1694</v>
      </c>
      <c r="G1642" t="s">
        <v>2730</v>
      </c>
      <c r="I1642">
        <f>_xlfn.XLOOKUP($F1642,設計座標!$E$13:$E$2301,設計座標!$G$13:$G$2301,"n/a",0,1)</f>
        <v>462.85722136136928</v>
      </c>
      <c r="J1642">
        <f>_xlfn.XLOOKUP($F1642,設計座標!$E$13:$E$2301,設計座標!$H$13:$H$2301,"n/a",0,1)</f>
        <v>-15000</v>
      </c>
      <c r="K1642">
        <f>_xlfn.XLOOKUP($F1642,設計座標!$E$13:$E$2301,設計座標!$I$13:$I$2301,"n/a",0,1)</f>
        <v>-198380.88049546001</v>
      </c>
      <c r="L1642">
        <f>_xlfn.XLOOKUP($F1642,設計座標!$E$13:$E$2301,設計座標!$J$13:$J$2301,"n/a",0,1)</f>
        <v>-270</v>
      </c>
      <c r="M1642" s="2">
        <f t="shared" si="1284"/>
        <v>-14973.484050584628</v>
      </c>
      <c r="N1642" s="2">
        <f t="shared" si="1285"/>
        <v>-198380.88049546001</v>
      </c>
      <c r="O1642" s="23">
        <f t="shared" si="1286"/>
        <v>-272.76939677061932</v>
      </c>
      <c r="P1642" s="1">
        <f t="shared" si="1279"/>
        <v>-270.08469908200044</v>
      </c>
      <c r="Q1642" s="1">
        <f t="shared" ref="Q1642:Q1670" si="1290">(Q$1671-Q$1640)/($N$1671-$N$1640)*($N1642-$N$1640)+Q$1640</f>
        <v>26.515949415372241</v>
      </c>
      <c r="R1642">
        <f t="shared" si="1251"/>
        <v>0</v>
      </c>
      <c r="S1642" s="23">
        <f t="shared" si="1289"/>
        <v>-2.769396770619323</v>
      </c>
      <c r="T1642">
        <f>$S1642+測地線補正!$Q$26*(lattice!$N1642/1000)^3+測地線補正!$P$26*(lattice!$N1642/1000)^2+測地線補正!$O$26*(lattice!$N1642/1000)+測地線補正!$N$26</f>
        <v>-8.4699082000419645E-2</v>
      </c>
      <c r="U1642">
        <f>-ATAN(($P$1644-$P$1642)/ABS($N$1644-$N$1642))</f>
        <v>2.129783854708191E-5</v>
      </c>
      <c r="V1642">
        <v>0</v>
      </c>
      <c r="W1642">
        <f>ATAN(($M$1644-$M$1642)/ABS($N$1644-$N$1642))</f>
        <v>1.5207534149172858E-4</v>
      </c>
      <c r="X1642">
        <f>SQRT(($M$1642-$M$1641)^2+($N$1642-$N$1641)^2)</f>
        <v>180.46920208686882</v>
      </c>
      <c r="Y1642">
        <f>_xlfn.XLOOKUP($F1642,設計座標!$E$13:$E$2301,設計座標!$L$13:$L$2301," ",0,1)</f>
        <v>1889.4492</v>
      </c>
      <c r="Z1642">
        <f>SQRT(($M$1643-$M$1641)^2+($N$1643-$N$1641)^2)</f>
        <v>1125.1938130111359</v>
      </c>
    </row>
    <row r="1643" spans="1:28">
      <c r="A1643" t="s">
        <v>797</v>
      </c>
      <c r="B1643">
        <v>3</v>
      </c>
      <c r="C1643" t="s">
        <v>804</v>
      </c>
      <c r="D1643" t="s">
        <v>1152</v>
      </c>
      <c r="E1643" t="s">
        <v>804</v>
      </c>
      <c r="F1643" t="s">
        <v>1204</v>
      </c>
      <c r="G1643" t="s">
        <v>2730</v>
      </c>
      <c r="I1643">
        <f>_xlfn.XLOOKUP($F1643,設計座標!$E$13:$E$2301,設計座標!$G$13:$G$2301,"n/a",0,1)</f>
        <v>463.80194596136926</v>
      </c>
      <c r="J1643">
        <f>_xlfn.XLOOKUP($F1643,設計座標!$E$13:$E$2301,設計座標!$H$13:$H$2301,"n/a",0,1)</f>
        <v>-15000</v>
      </c>
      <c r="K1643">
        <f>_xlfn.XLOOKUP($F1643,設計座標!$E$13:$E$2301,設計座標!$I$13:$I$2301,"n/a",0,1)</f>
        <v>-199325.60509545999</v>
      </c>
      <c r="L1643">
        <f>_xlfn.XLOOKUP($F1643,設計座標!$E$13:$E$2301,設計座標!$J$13:$J$2301,"n/a",0,1)</f>
        <v>-270</v>
      </c>
      <c r="M1643" s="2">
        <f t="shared" si="1284"/>
        <v>-14973.340381267359</v>
      </c>
      <c r="N1643" s="2">
        <f t="shared" si="1285"/>
        <v>-199325.60509545999</v>
      </c>
      <c r="O1643" s="23">
        <f t="shared" si="1286"/>
        <v>-272.78928887473955</v>
      </c>
      <c r="P1643" s="1">
        <f t="shared" si="1279"/>
        <v>-270.10475045446998</v>
      </c>
      <c r="Q1643" s="1">
        <f t="shared" si="1290"/>
        <v>26.659618732640691</v>
      </c>
      <c r="R1643">
        <f t="shared" si="1251"/>
        <v>0</v>
      </c>
      <c r="S1643" s="23">
        <f t="shared" si="1289"/>
        <v>-2.7892888747395497</v>
      </c>
      <c r="T1643">
        <f>$S1643+測地線補正!$Q$26*(lattice!$N1643/1000)^3+測地線補正!$P$26*(lattice!$N1643/1000)^2+測地線補正!$O$26*(lattice!$N1643/1000)+測地線補正!$N$26</f>
        <v>-0.10475045446996867</v>
      </c>
      <c r="U1643">
        <f t="shared" ref="U1643:U1644" si="1291">-ATAN(($P$1644-$P$1642)/ABS($N$1644-$N$1642))</f>
        <v>2.129783854708191E-5</v>
      </c>
      <c r="V1643">
        <v>0</v>
      </c>
      <c r="W1643">
        <f t="shared" ref="W1643:W1644" si="1292">ATAN(($M$1644-$M$1642)/ABS($N$1644-$N$1642))</f>
        <v>1.5207534149172858E-4</v>
      </c>
      <c r="X1643" t="s">
        <v>3860</v>
      </c>
      <c r="Y1643">
        <f>_xlfn.XLOOKUP($F1643,設計座標!$E$13:$E$2301,設計座標!$L$13:$L$2301," ",0,1)</f>
        <v>1889.4492</v>
      </c>
      <c r="Z1643">
        <f>SQRT(($M$1643-$M$1641)^2+($N$1643-$N$1641)^2)</f>
        <v>1125.1938130111359</v>
      </c>
    </row>
    <row r="1644" spans="1:28">
      <c r="A1644" t="s">
        <v>797</v>
      </c>
      <c r="B1644">
        <v>3</v>
      </c>
      <c r="C1644" t="s">
        <v>804</v>
      </c>
      <c r="D1644" t="s">
        <v>1152</v>
      </c>
      <c r="E1644" t="s">
        <v>804</v>
      </c>
      <c r="F1644" t="s">
        <v>1695</v>
      </c>
      <c r="G1644" t="s">
        <v>2730</v>
      </c>
      <c r="I1644">
        <f>_xlfn.XLOOKUP($F1644,設計座標!$E$13:$E$2301,設計座標!$G$13:$G$2301,"n/a",0,1)</f>
        <v>464.74667056136923</v>
      </c>
      <c r="J1644">
        <f>_xlfn.XLOOKUP($F1644,設計座標!$E$13:$E$2301,設計座標!$H$13:$H$2301,"n/a",0,1)</f>
        <v>-15000</v>
      </c>
      <c r="K1644">
        <f>_xlfn.XLOOKUP($F1644,設計座標!$E$13:$E$2301,設計座標!$I$13:$I$2301,"n/a",0,1)</f>
        <v>-200270.32969545998</v>
      </c>
      <c r="L1644">
        <f>_xlfn.XLOOKUP($F1644,設計座標!$E$13:$E$2301,設計座標!$J$13:$J$2301,"n/a",0,1)</f>
        <v>-270</v>
      </c>
      <c r="M1644" s="2">
        <f t="shared" si="1284"/>
        <v>-14973.196711950091</v>
      </c>
      <c r="N1644" s="2">
        <f t="shared" si="1285"/>
        <v>-200270.32969545998</v>
      </c>
      <c r="O1644" s="23">
        <f t="shared" si="1286"/>
        <v>-272.80918097885979</v>
      </c>
      <c r="P1644" s="1">
        <f t="shared" si="1279"/>
        <v>-270.12494026601104</v>
      </c>
      <c r="Q1644" s="1">
        <f t="shared" si="1290"/>
        <v>26.803288049909142</v>
      </c>
      <c r="R1644">
        <f t="shared" si="1251"/>
        <v>0</v>
      </c>
      <c r="S1644" s="23">
        <f t="shared" si="1289"/>
        <v>-2.8091809788597759</v>
      </c>
      <c r="T1644">
        <f>$S1644+測地線補正!$Q$26*(lattice!$N1644/1000)^3+測地線補正!$P$26*(lattice!$N1644/1000)^2+測地線補正!$O$26*(lattice!$N1644/1000)+測地線補正!$N$26</f>
        <v>-0.12494026601104147</v>
      </c>
      <c r="U1644">
        <f t="shared" si="1291"/>
        <v>2.129783854708191E-5</v>
      </c>
      <c r="V1644">
        <v>0</v>
      </c>
      <c r="W1644">
        <f t="shared" si="1292"/>
        <v>1.5207534149172858E-4</v>
      </c>
      <c r="X1644" t="s">
        <v>3860</v>
      </c>
      <c r="Y1644">
        <f>_xlfn.XLOOKUP($F1644,設計座標!$E$13:$E$2301,設計座標!$L$13:$L$2301," ",0,1)</f>
        <v>1889.4492</v>
      </c>
      <c r="Z1644">
        <f>SQRT(($M$1643-$M$1641)^2+($N$1643-$N$1641)^2)</f>
        <v>1125.1938130111359</v>
      </c>
    </row>
    <row r="1645" spans="1:28">
      <c r="A1645" t="s">
        <v>797</v>
      </c>
      <c r="B1645">
        <v>3</v>
      </c>
      <c r="C1645" t="s">
        <v>804</v>
      </c>
      <c r="D1645" t="s">
        <v>1152</v>
      </c>
      <c r="E1645" t="s">
        <v>804</v>
      </c>
      <c r="F1645" t="s">
        <v>1696</v>
      </c>
      <c r="G1645" t="s">
        <v>2731</v>
      </c>
      <c r="I1645">
        <f>_xlfn.XLOOKUP($F1645,設計座標!$E$13:$E$2301,設計座標!$G$13:$G$2301,"n/a",0,1)</f>
        <v>464.95661236136931</v>
      </c>
      <c r="J1645">
        <f>_xlfn.XLOOKUP($F1645,設計座標!$E$13:$E$2301,設計座標!$H$13:$H$2301,"n/a",0,1)</f>
        <v>-15000</v>
      </c>
      <c r="K1645">
        <f>_xlfn.XLOOKUP($F1645,設計座標!$E$13:$E$2301,設計座標!$I$13:$I$2301,"n/a",0,1)</f>
        <v>-200480.27149546001</v>
      </c>
      <c r="L1645">
        <f>_xlfn.XLOOKUP($F1645,設計座標!$E$13:$E$2301,設計座標!$J$13:$J$2301,"n/a",0,1)</f>
        <v>-270</v>
      </c>
      <c r="M1645" s="2">
        <f t="shared" si="1284"/>
        <v>-14973.164784978917</v>
      </c>
      <c r="N1645" s="2">
        <f t="shared" si="1285"/>
        <v>-200480.27149546001</v>
      </c>
      <c r="O1645" s="23">
        <f t="shared" si="1286"/>
        <v>-272.81360150961001</v>
      </c>
      <c r="P1645" s="1">
        <f t="shared" si="1279"/>
        <v>-270.12944568654638</v>
      </c>
      <c r="Q1645" s="1">
        <f t="shared" si="1290"/>
        <v>26.835215021083719</v>
      </c>
      <c r="R1645">
        <f t="shared" si="1251"/>
        <v>0</v>
      </c>
      <c r="S1645" s="23">
        <f t="shared" si="1289"/>
        <v>-2.8136015096099949</v>
      </c>
      <c r="T1645">
        <f>$S1645+測地線補正!$Q$26*(lattice!$N1645/1000)^3+測地線補正!$P$26*(lattice!$N1645/1000)^2+測地線補正!$O$26*(lattice!$N1645/1000)+測地線補正!$N$26</f>
        <v>-0.12944568654636179</v>
      </c>
      <c r="U1645">
        <f>-ATAN(($P$1647-$P$1645)/ABS($N$1647-$N$1645))</f>
        <v>2.1621687401627165E-5</v>
      </c>
      <c r="V1645">
        <v>0</v>
      </c>
      <c r="W1645">
        <f>ATAN(($M$1647-$M$1645)/ABS($N$1647-$N$1645))</f>
        <v>1.5207534149269127E-4</v>
      </c>
      <c r="X1645">
        <f>SQRT(($M$1645-$M$1644)^2+($N$1645-$N$1644)^2)</f>
        <v>209.94180242768215</v>
      </c>
      <c r="Y1645">
        <f>_xlfn.XLOOKUP($F1645,設計座標!$E$13:$E$2301,設計座標!$L$13:$L$2301," ",0,1)</f>
        <v>1889.4492</v>
      </c>
      <c r="Z1645">
        <f>SQRT(($M$1646-$M$1643)^2+($N$1646-$N$1643)^2)</f>
        <v>2099.3910242762163</v>
      </c>
    </row>
    <row r="1646" spans="1:28">
      <c r="A1646" t="s">
        <v>797</v>
      </c>
      <c r="B1646">
        <v>3</v>
      </c>
      <c r="C1646" t="s">
        <v>804</v>
      </c>
      <c r="D1646" t="s">
        <v>1152</v>
      </c>
      <c r="E1646" t="s">
        <v>804</v>
      </c>
      <c r="F1646" t="s">
        <v>1260</v>
      </c>
      <c r="G1646" t="s">
        <v>2731</v>
      </c>
      <c r="I1646">
        <f>_xlfn.XLOOKUP($F1646,設計座標!$E$13:$E$2301,設計座標!$G$13:$G$2301,"n/a",0,1)</f>
        <v>465.90133696136928</v>
      </c>
      <c r="J1646">
        <f>_xlfn.XLOOKUP($F1646,設計座標!$E$13:$E$2301,設計座標!$H$13:$H$2301,"n/a",0,1)</f>
        <v>-15000</v>
      </c>
      <c r="K1646">
        <f>_xlfn.XLOOKUP($F1646,設計座標!$E$13:$E$2301,設計座標!$I$13:$I$2301,"n/a",0,1)</f>
        <v>-201424.99609546</v>
      </c>
      <c r="L1646">
        <f>_xlfn.XLOOKUP($F1646,設計座標!$E$13:$E$2301,設計座標!$J$13:$J$2301,"n/a",0,1)</f>
        <v>-270</v>
      </c>
      <c r="M1646" s="2">
        <f t="shared" si="1284"/>
        <v>-14973.021115661648</v>
      </c>
      <c r="N1646" s="2">
        <f t="shared" si="1285"/>
        <v>-201424.99609546</v>
      </c>
      <c r="O1646" s="23">
        <f t="shared" si="1286"/>
        <v>-272.83349361373024</v>
      </c>
      <c r="P1646" s="1">
        <f t="shared" si="1279"/>
        <v>-270.14980376967304</v>
      </c>
      <c r="Q1646" s="1">
        <f t="shared" si="1290"/>
        <v>26.97888433835217</v>
      </c>
      <c r="R1646">
        <f t="shared" si="1251"/>
        <v>0</v>
      </c>
      <c r="S1646" s="23">
        <f t="shared" si="1289"/>
        <v>-2.8334936137302216</v>
      </c>
      <c r="T1646">
        <f>$S1646+測地線補正!$Q$26*(lattice!$N1646/1000)^3+測地線補正!$P$26*(lattice!$N1646/1000)^2+測地線補正!$O$26*(lattice!$N1646/1000)+測地線補正!$N$26</f>
        <v>-0.14980376967301745</v>
      </c>
      <c r="U1646">
        <f t="shared" ref="U1646:U1647" si="1293">-ATAN(($P$1647-$P$1645)/ABS($N$1647-$N$1645))</f>
        <v>2.1621687401627165E-5</v>
      </c>
      <c r="V1646">
        <v>0</v>
      </c>
      <c r="W1646">
        <f t="shared" ref="W1646:W1647" si="1294">ATAN(($M$1647-$M$1645)/ABS($N$1647-$N$1645))</f>
        <v>1.5207534149269127E-4</v>
      </c>
      <c r="X1646" t="s">
        <v>3860</v>
      </c>
      <c r="Y1646">
        <f>_xlfn.XLOOKUP($F1646,設計座標!$E$13:$E$2301,設計座標!$L$13:$L$2301," ",0,1)</f>
        <v>1889.4492</v>
      </c>
      <c r="Z1646">
        <f>SQRT(($M$1646-$M$1643)^2+($N$1646-$N$1643)^2)</f>
        <v>2099.3910242762163</v>
      </c>
    </row>
    <row r="1647" spans="1:28">
      <c r="A1647" t="s">
        <v>797</v>
      </c>
      <c r="B1647">
        <v>3</v>
      </c>
      <c r="C1647" t="s">
        <v>804</v>
      </c>
      <c r="D1647" t="s">
        <v>1152</v>
      </c>
      <c r="E1647" t="s">
        <v>804</v>
      </c>
      <c r="F1647" t="s">
        <v>1697</v>
      </c>
      <c r="G1647" t="s">
        <v>2731</v>
      </c>
      <c r="I1647">
        <f>_xlfn.XLOOKUP($F1647,設計座標!$E$13:$E$2301,設計座標!$G$13:$G$2301,"n/a",0,1)</f>
        <v>466.84606156136925</v>
      </c>
      <c r="J1647">
        <f>_xlfn.XLOOKUP($F1647,設計座標!$E$13:$E$2301,設計座標!$H$13:$H$2301,"n/a",0,1)</f>
        <v>-15000</v>
      </c>
      <c r="K1647">
        <f>_xlfn.XLOOKUP($F1647,設計座標!$E$13:$E$2301,設計座標!$I$13:$I$2301,"n/a",0,1)</f>
        <v>-202369.72069545998</v>
      </c>
      <c r="L1647">
        <f>_xlfn.XLOOKUP($F1647,設計座標!$E$13:$E$2301,設計座標!$J$13:$J$2301,"n/a",0,1)</f>
        <v>-270</v>
      </c>
      <c r="M1647" s="2">
        <f t="shared" si="1284"/>
        <v>-14972.877446344379</v>
      </c>
      <c r="N1647" s="2">
        <f t="shared" si="1285"/>
        <v>-202369.72069545998</v>
      </c>
      <c r="O1647" s="23">
        <f t="shared" si="1286"/>
        <v>-272.85338571785047</v>
      </c>
      <c r="P1647" s="1">
        <f t="shared" si="1279"/>
        <v>-270.1702987665164</v>
      </c>
      <c r="Q1647" s="1">
        <f t="shared" si="1290"/>
        <v>27.122553655620624</v>
      </c>
      <c r="R1647">
        <f t="shared" si="1251"/>
        <v>0</v>
      </c>
      <c r="S1647" s="23">
        <f t="shared" si="1289"/>
        <v>-2.8533857178504483</v>
      </c>
      <c r="T1647">
        <f>$S1647+測地線補正!$Q$26*(lattice!$N1647/1000)^3+測地線補正!$P$26*(lattice!$N1647/1000)^2+測地線補正!$O$26*(lattice!$N1647/1000)+測地線補正!$N$26</f>
        <v>-0.17029876651642106</v>
      </c>
      <c r="U1647">
        <f t="shared" si="1293"/>
        <v>2.1621687401627165E-5</v>
      </c>
      <c r="V1647">
        <v>0</v>
      </c>
      <c r="W1647">
        <f t="shared" si="1294"/>
        <v>1.5207534149269127E-4</v>
      </c>
      <c r="X1647" t="s">
        <v>3860</v>
      </c>
      <c r="Y1647">
        <f>_xlfn.XLOOKUP($F1647,設計座標!$E$13:$E$2301,設計座標!$L$13:$L$2301," ",0,1)</f>
        <v>1889.4492</v>
      </c>
      <c r="Z1647">
        <f>SQRT(($M$1646-$M$1643)^2+($N$1646-$N$1643)^2)</f>
        <v>2099.3910242762163</v>
      </c>
    </row>
    <row r="1648" spans="1:28">
      <c r="A1648" t="s">
        <v>797</v>
      </c>
      <c r="B1648">
        <v>3</v>
      </c>
      <c r="C1648" t="s">
        <v>1152</v>
      </c>
      <c r="D1648" t="s">
        <v>1152</v>
      </c>
      <c r="E1648" t="s">
        <v>804</v>
      </c>
      <c r="F1648" t="s">
        <v>2163</v>
      </c>
      <c r="G1648" t="s">
        <v>2163</v>
      </c>
      <c r="I1648">
        <f>_xlfn.XLOOKUP($F1648,設計座標!$E$13:$E$2301,設計座標!$G$13:$G$2301,"n/a",0,1)</f>
        <v>467.00505746136929</v>
      </c>
      <c r="J1648">
        <f>_xlfn.XLOOKUP($F1648,設計座標!$E$13:$E$2301,設計座標!$H$13:$H$2301,"n/a",0,1)</f>
        <v>-15000</v>
      </c>
      <c r="K1648">
        <f>_xlfn.XLOOKUP($F1648,設計座標!$E$13:$E$2301,設計座標!$I$13:$I$2301,"n/a",0,1)</f>
        <v>-202528.71659545999</v>
      </c>
      <c r="L1648">
        <f>_xlfn.XLOOKUP($F1648,設計座標!$E$13:$E$2301,設計座標!$J$13:$J$2301,"n/a",0,1)</f>
        <v>-270</v>
      </c>
      <c r="M1648" s="2">
        <f t="shared" si="1284"/>
        <v>-14972.853266988404</v>
      </c>
      <c r="N1648" s="2">
        <f t="shared" si="1285"/>
        <v>-202528.71659545999</v>
      </c>
      <c r="O1648" s="23">
        <f t="shared" si="1286"/>
        <v>-272.85673353265014</v>
      </c>
      <c r="P1648" s="1">
        <f t="shared" si="1279"/>
        <v>-270.17376145879109</v>
      </c>
      <c r="Q1648" s="1">
        <f t="shared" si="1290"/>
        <v>27.146733011595352</v>
      </c>
      <c r="R1648">
        <f t="shared" si="1251"/>
        <v>0</v>
      </c>
      <c r="S1648" s="23">
        <f t="shared" si="1289"/>
        <v>-2.8567335326501149</v>
      </c>
      <c r="T1648">
        <f>$S1648+測地線補正!$Q$26*(lattice!$N1648/1000)^3+測地線補正!$P$26*(lattice!$N1648/1000)^2+測地線補正!$O$26*(lattice!$N1648/1000)+測地線補正!$N$26</f>
        <v>-0.17376145879109317</v>
      </c>
      <c r="U1648">
        <v>0</v>
      </c>
      <c r="V1648">
        <v>0</v>
      </c>
      <c r="W1648">
        <v>0</v>
      </c>
      <c r="X1648">
        <f>SQRT(($M$1648-$M$1647)^2+($N$1648-$N$1647)^2)</f>
        <v>158.99590183855091</v>
      </c>
      <c r="Y1648">
        <f>_xlfn.XLOOKUP($F1648,設計座標!$E$13:$E$2301,設計座標!$L$13:$L$2301," ",0,1)</f>
        <v>0</v>
      </c>
      <c r="Z1648">
        <f>SQRT(($M$1648-$M$1646)^2+($N$1648-$N$1646)^2)</f>
        <v>1103.7205127628179</v>
      </c>
    </row>
    <row r="1649" spans="1:26">
      <c r="A1649" t="s">
        <v>797</v>
      </c>
      <c r="B1649">
        <v>3</v>
      </c>
      <c r="C1649" t="s">
        <v>1152</v>
      </c>
      <c r="D1649" t="s">
        <v>1152</v>
      </c>
      <c r="E1649" t="s">
        <v>804</v>
      </c>
      <c r="F1649" t="s">
        <v>2162</v>
      </c>
      <c r="G1649" t="s">
        <v>2162</v>
      </c>
      <c r="I1649">
        <f>_xlfn.XLOOKUP($F1649,設計座標!$E$13:$E$2301,設計座標!$G$13:$G$2301,"n/a",0,1)</f>
        <v>467.14093416136927</v>
      </c>
      <c r="J1649">
        <f>_xlfn.XLOOKUP($F1649,設計座標!$E$13:$E$2301,設計座標!$H$13:$H$2301,"n/a",0,1)</f>
        <v>-15000</v>
      </c>
      <c r="K1649">
        <f>_xlfn.XLOOKUP($F1649,設計座標!$E$13:$E$2301,設計座標!$I$13:$I$2301,"n/a",0,1)</f>
        <v>-202664.59329545998</v>
      </c>
      <c r="L1649">
        <f>_xlfn.XLOOKUP($F1649,設計座標!$E$13:$E$2301,設計座標!$J$13:$J$2301,"n/a",0,1)</f>
        <v>-270</v>
      </c>
      <c r="M1649" s="2">
        <f t="shared" si="1284"/>
        <v>-14972.832603492692</v>
      </c>
      <c r="N1649" s="2">
        <f t="shared" si="1285"/>
        <v>-202664.59329545998</v>
      </c>
      <c r="O1649" s="23">
        <f t="shared" si="1286"/>
        <v>-272.85959454999198</v>
      </c>
      <c r="P1649" s="1">
        <f t="shared" si="1279"/>
        <v>-270.17672370484979</v>
      </c>
      <c r="Q1649" s="1">
        <f t="shared" si="1290"/>
        <v>27.167396507307956</v>
      </c>
      <c r="R1649">
        <f t="shared" si="1251"/>
        <v>0</v>
      </c>
      <c r="S1649" s="23">
        <f t="shared" si="1289"/>
        <v>-2.8595945499920079</v>
      </c>
      <c r="T1649">
        <f>$S1649+測地線補正!$Q$26*(lattice!$N1649/1000)^3+測地線補正!$P$26*(lattice!$N1649/1000)^2+測地線補正!$O$26*(lattice!$N1649/1000)+測地線補正!$N$26</f>
        <v>-0.17672370484978317</v>
      </c>
      <c r="U1649">
        <v>0</v>
      </c>
      <c r="V1649">
        <v>0</v>
      </c>
      <c r="W1649">
        <v>0</v>
      </c>
      <c r="X1649">
        <f>$Z$1649-($Y$1649+$Y$1648)/2</f>
        <v>135.87670157119751</v>
      </c>
      <c r="Y1649">
        <f>_xlfn.XLOOKUP($F1649,設計座標!$E$13:$E$2301,設計座標!$L$13:$L$2301," ",0,1)</f>
        <v>0</v>
      </c>
      <c r="Z1649">
        <f>SQRT(($M$1649-$M$1648)^2+($N$1649-$N$1648)^2)</f>
        <v>135.87670157119751</v>
      </c>
    </row>
    <row r="1650" spans="1:26">
      <c r="A1650" t="s">
        <v>797</v>
      </c>
      <c r="B1650">
        <v>3</v>
      </c>
      <c r="C1650" t="s">
        <v>804</v>
      </c>
      <c r="D1650" t="s">
        <v>1152</v>
      </c>
      <c r="E1650" t="s">
        <v>804</v>
      </c>
      <c r="F1650" t="s">
        <v>1698</v>
      </c>
      <c r="G1650" t="s">
        <v>2732</v>
      </c>
      <c r="I1650">
        <f>_xlfn.XLOOKUP($F1650,設計座標!$E$13:$E$2301,設計座標!$G$13:$G$2301,"n/a",0,1)</f>
        <v>467.3709033613693</v>
      </c>
      <c r="J1650">
        <f>_xlfn.XLOOKUP($F1650,設計座標!$E$13:$E$2301,設計座標!$H$13:$H$2301,"n/a",0,1)</f>
        <v>-15000</v>
      </c>
      <c r="K1650">
        <f>_xlfn.XLOOKUP($F1650,設計座標!$E$13:$E$2301,設計座標!$I$13:$I$2301,"n/a",0,1)</f>
        <v>-202894.56249546001</v>
      </c>
      <c r="L1650">
        <f>_xlfn.XLOOKUP($F1650,設計座標!$E$13:$E$2301,設計座標!$J$13:$J$2301,"n/a",0,1)</f>
        <v>-270</v>
      </c>
      <c r="M1650" s="2">
        <f t="shared" si="1284"/>
        <v>-14972.797630847799</v>
      </c>
      <c r="N1650" s="2">
        <f t="shared" si="1285"/>
        <v>-202894.56249546001</v>
      </c>
      <c r="O1650" s="23">
        <f t="shared" si="1286"/>
        <v>-272.86443677731501</v>
      </c>
      <c r="P1650" s="1">
        <f t="shared" si="1279"/>
        <v>-270.1817436698646</v>
      </c>
      <c r="Q1650" s="1">
        <f t="shared" si="1290"/>
        <v>27.202369152200209</v>
      </c>
      <c r="R1650">
        <f t="shared" ref="R1650:R1713" si="1295">$N1650-$K1650</f>
        <v>0</v>
      </c>
      <c r="S1650" s="23">
        <f t="shared" si="1289"/>
        <v>-2.8644367773150243</v>
      </c>
      <c r="T1650">
        <f>$S1650+測地線補正!$Q$26*(lattice!$N1650/1000)^3+測地線補正!$P$26*(lattice!$N1650/1000)^2+測地線補正!$O$26*(lattice!$N1650/1000)+測地線補正!$N$26</f>
        <v>-0.18174366986459867</v>
      </c>
      <c r="U1650">
        <f>-ATAN(($P$1652-$P$1650)/ABS($N$1652-$N$1650))</f>
        <v>2.1989676596007915E-5</v>
      </c>
      <c r="V1650">
        <v>0</v>
      </c>
      <c r="W1650">
        <f>ATAN(($M$1652-$M$1650)/ABS($N$1652-$N$1650))</f>
        <v>1.5207534149172858E-4</v>
      </c>
      <c r="X1650">
        <f>SQRT(($M$1650-$M$1649)^2+($N$1650-$N$1649)^2)</f>
        <v>229.96920265925985</v>
      </c>
      <c r="Y1650">
        <f>_xlfn.XLOOKUP($F1650,設計座標!$E$13:$E$2301,設計座標!$L$13:$L$2301," ",0,1)</f>
        <v>1889.4492</v>
      </c>
      <c r="Z1650">
        <f>SQRT(($M$1651-$M$1649)^2+($N$1651-$N$1649)^2)</f>
        <v>1174.6938135835269</v>
      </c>
    </row>
    <row r="1651" spans="1:26">
      <c r="A1651" t="s">
        <v>797</v>
      </c>
      <c r="B1651">
        <v>3</v>
      </c>
      <c r="C1651" t="s">
        <v>804</v>
      </c>
      <c r="D1651" t="s">
        <v>1152</v>
      </c>
      <c r="E1651" t="s">
        <v>804</v>
      </c>
      <c r="F1651" t="s">
        <v>1314</v>
      </c>
      <c r="G1651" t="s">
        <v>2732</v>
      </c>
      <c r="I1651">
        <f>_xlfn.XLOOKUP($F1651,設計座標!$E$13:$E$2301,設計座標!$G$13:$G$2301,"n/a",0,1)</f>
        <v>468.31562796136927</v>
      </c>
      <c r="J1651">
        <f>_xlfn.XLOOKUP($F1651,設計座標!$E$13:$E$2301,設計座標!$H$13:$H$2301,"n/a",0,1)</f>
        <v>-15000</v>
      </c>
      <c r="K1651">
        <f>_xlfn.XLOOKUP($F1651,設計座標!$E$13:$E$2301,設計座標!$I$13:$I$2301,"n/a",0,1)</f>
        <v>-203839.28709545999</v>
      </c>
      <c r="L1651">
        <f>_xlfn.XLOOKUP($F1651,設計座標!$E$13:$E$2301,設計座標!$J$13:$J$2301,"n/a",0,1)</f>
        <v>-270</v>
      </c>
      <c r="M1651" s="2">
        <f t="shared" si="1284"/>
        <v>-14972.653961530532</v>
      </c>
      <c r="N1651" s="2">
        <f t="shared" si="1285"/>
        <v>-203839.28709545999</v>
      </c>
      <c r="O1651" s="23">
        <f t="shared" si="1286"/>
        <v>-272.88432888143524</v>
      </c>
      <c r="P1651" s="1">
        <f t="shared" si="1279"/>
        <v>-270.20245027851172</v>
      </c>
      <c r="Q1651" s="1">
        <f t="shared" si="1290"/>
        <v>27.34603846946866</v>
      </c>
      <c r="R1651">
        <f t="shared" si="1295"/>
        <v>0</v>
      </c>
      <c r="S1651" s="23">
        <f t="shared" si="1289"/>
        <v>-2.8843288814352506</v>
      </c>
      <c r="T1651">
        <f>$S1651+測地線補正!$Q$26*(lattice!$N1651/1000)^3+測地線補正!$P$26*(lattice!$N1651/1000)^2+測地線補正!$O$26*(lattice!$N1651/1000)+測地線補正!$N$26</f>
        <v>-0.20245027851172837</v>
      </c>
      <c r="U1651">
        <f t="shared" ref="U1651:U1652" si="1296">-ATAN(($P$1652-$P$1650)/ABS($N$1652-$N$1650))</f>
        <v>2.1989676596007915E-5</v>
      </c>
      <c r="V1651">
        <v>0</v>
      </c>
      <c r="W1651">
        <f t="shared" ref="W1651:W1652" si="1297">ATAN(($M$1652-$M$1650)/ABS($N$1652-$N$1650))</f>
        <v>1.5207534149172858E-4</v>
      </c>
      <c r="X1651" t="s">
        <v>3860</v>
      </c>
      <c r="Y1651">
        <f>_xlfn.XLOOKUP($F1651,設計座標!$E$13:$E$2301,設計座標!$L$13:$L$2301," ",0,1)</f>
        <v>1889.4492</v>
      </c>
      <c r="Z1651">
        <f>SQRT(($M$1651-$M$1649)^2+($N$1651-$N$1649)^2)</f>
        <v>1174.6938135835269</v>
      </c>
    </row>
    <row r="1652" spans="1:26">
      <c r="A1652" t="s">
        <v>797</v>
      </c>
      <c r="B1652">
        <v>3</v>
      </c>
      <c r="C1652" t="s">
        <v>804</v>
      </c>
      <c r="D1652" t="s">
        <v>1152</v>
      </c>
      <c r="E1652" t="s">
        <v>804</v>
      </c>
      <c r="F1652" t="s">
        <v>1699</v>
      </c>
      <c r="G1652" t="s">
        <v>2732</v>
      </c>
      <c r="I1652">
        <f>_xlfn.XLOOKUP($F1652,設計座標!$E$13:$E$2301,設計座標!$G$13:$G$2301,"n/a",0,1)</f>
        <v>469.26035256136925</v>
      </c>
      <c r="J1652">
        <f>_xlfn.XLOOKUP($F1652,設計座標!$E$13:$E$2301,設計座標!$H$13:$H$2301,"n/a",0,1)</f>
        <v>-15000</v>
      </c>
      <c r="K1652">
        <f>_xlfn.XLOOKUP($F1652,設計座標!$E$13:$E$2301,設計座標!$I$13:$I$2301,"n/a",0,1)</f>
        <v>-204784.01169545998</v>
      </c>
      <c r="L1652">
        <f>_xlfn.XLOOKUP($F1652,設計座標!$E$13:$E$2301,設計座標!$J$13:$J$2301,"n/a",0,1)</f>
        <v>-270</v>
      </c>
      <c r="M1652" s="2">
        <f t="shared" si="1284"/>
        <v>-14972.510292213263</v>
      </c>
      <c r="N1652" s="2">
        <f t="shared" si="1285"/>
        <v>-204784.01169545998</v>
      </c>
      <c r="O1652" s="23">
        <f t="shared" si="1286"/>
        <v>-272.90422098555547</v>
      </c>
      <c r="P1652" s="1">
        <f t="shared" si="1279"/>
        <v>-270.22329204672388</v>
      </c>
      <c r="Q1652" s="1">
        <f t="shared" si="1290"/>
        <v>27.48970778673711</v>
      </c>
      <c r="R1652">
        <f t="shared" si="1295"/>
        <v>0</v>
      </c>
      <c r="S1652" s="23">
        <f t="shared" si="1289"/>
        <v>-2.9042209855554773</v>
      </c>
      <c r="T1652">
        <f>$S1652+測地線補正!$Q$26*(lattice!$N1652/1000)^3+測地線補正!$P$26*(lattice!$N1652/1000)^2+測地線補正!$O$26*(lattice!$N1652/1000)+測地線補正!$N$26</f>
        <v>-0.22329204672390746</v>
      </c>
      <c r="U1652">
        <f t="shared" si="1296"/>
        <v>2.1989676596007915E-5</v>
      </c>
      <c r="V1652">
        <v>0</v>
      </c>
      <c r="W1652">
        <f t="shared" si="1297"/>
        <v>1.5207534149172858E-4</v>
      </c>
      <c r="X1652" t="s">
        <v>3860</v>
      </c>
      <c r="Y1652">
        <f>_xlfn.XLOOKUP($F1652,設計座標!$E$13:$E$2301,設計座標!$L$13:$L$2301," ",0,1)</f>
        <v>1889.4492</v>
      </c>
      <c r="Z1652">
        <f>SQRT(($M$1651-$M$1649)^2+($N$1651-$N$1649)^2)</f>
        <v>1174.6938135835269</v>
      </c>
    </row>
    <row r="1653" spans="1:26">
      <c r="A1653" t="s">
        <v>797</v>
      </c>
      <c r="B1653">
        <v>3</v>
      </c>
      <c r="C1653" t="s">
        <v>804</v>
      </c>
      <c r="D1653" t="s">
        <v>1152</v>
      </c>
      <c r="E1653" t="s">
        <v>804</v>
      </c>
      <c r="F1653" t="s">
        <v>1700</v>
      </c>
      <c r="G1653" t="s">
        <v>2733</v>
      </c>
      <c r="I1653">
        <f>_xlfn.XLOOKUP($F1653,設計座標!$E$13:$E$2301,設計座標!$G$13:$G$2301,"n/a",0,1)</f>
        <v>469.47029436136933</v>
      </c>
      <c r="J1653">
        <f>_xlfn.XLOOKUP($F1653,設計座標!$E$13:$E$2301,設計座標!$H$13:$H$2301,"n/a",0,1)</f>
        <v>-15000</v>
      </c>
      <c r="K1653">
        <f>_xlfn.XLOOKUP($F1653,設計座標!$E$13:$E$2301,設計座標!$I$13:$I$2301,"n/a",0,1)</f>
        <v>-204993.95349546001</v>
      </c>
      <c r="L1653">
        <f>_xlfn.XLOOKUP($F1653,設計座標!$E$13:$E$2301,設計座標!$J$13:$J$2301,"n/a",0,1)</f>
        <v>-270</v>
      </c>
      <c r="M1653" s="2">
        <f t="shared" si="1284"/>
        <v>-14972.478365242088</v>
      </c>
      <c r="N1653" s="2">
        <f t="shared" si="1285"/>
        <v>-204993.95349546001</v>
      </c>
      <c r="O1653" s="23">
        <f t="shared" si="1286"/>
        <v>-272.90864151630569</v>
      </c>
      <c r="P1653" s="1">
        <f t="shared" si="1279"/>
        <v>-270.22794190321719</v>
      </c>
      <c r="Q1653" s="1">
        <f t="shared" si="1290"/>
        <v>27.521634757911688</v>
      </c>
      <c r="R1653">
        <f t="shared" si="1295"/>
        <v>0</v>
      </c>
      <c r="S1653" s="23">
        <f t="shared" si="1289"/>
        <v>-2.9086415163056962</v>
      </c>
      <c r="T1653">
        <f>$S1653+測地線補正!$Q$26*(lattice!$N1653/1000)^3+測地線補正!$P$26*(lattice!$N1653/1000)^2+測地線補正!$O$26*(lattice!$N1653/1000)+測地線補正!$N$26</f>
        <v>-0.22794190321718255</v>
      </c>
      <c r="U1653">
        <f>-ATAN(($P$1655-$P$1653)/ABS($N$1655-$N$1653))</f>
        <v>2.2305811242024942E-5</v>
      </c>
      <c r="V1653">
        <v>0</v>
      </c>
      <c r="W1653">
        <f>ATAN(($M$1655-$M$1653)/ABS($N$1655-$N$1653))</f>
        <v>1.5207534149172858E-4</v>
      </c>
      <c r="X1653">
        <f>SQRT(($M$1653-$M$1652)^2+($N$1653-$N$1652)^2)</f>
        <v>209.94180242768215</v>
      </c>
      <c r="Y1653">
        <f>_xlfn.XLOOKUP($F1653,設計座標!$E$13:$E$2301,設計座標!$L$13:$L$2301," ",0,1)</f>
        <v>1889.4492</v>
      </c>
      <c r="Z1653">
        <f>SQRT(($M$1654-$M$1651)^2+($N$1654-$N$1651)^2)</f>
        <v>2099.3910242762163</v>
      </c>
    </row>
    <row r="1654" spans="1:26">
      <c r="A1654" t="s">
        <v>797</v>
      </c>
      <c r="B1654">
        <v>3</v>
      </c>
      <c r="C1654" t="s">
        <v>804</v>
      </c>
      <c r="D1654" t="s">
        <v>1152</v>
      </c>
      <c r="E1654" t="s">
        <v>804</v>
      </c>
      <c r="F1654" t="s">
        <v>1368</v>
      </c>
      <c r="G1654" t="s">
        <v>2733</v>
      </c>
      <c r="I1654">
        <f>_xlfn.XLOOKUP($F1654,設計座標!$E$13:$E$2301,設計座標!$G$13:$G$2301,"n/a",0,1)</f>
        <v>470.4150189613693</v>
      </c>
      <c r="J1654">
        <f>_xlfn.XLOOKUP($F1654,設計座標!$E$13:$E$2301,設計座標!$H$13:$H$2301,"n/a",0,1)</f>
        <v>-15000</v>
      </c>
      <c r="K1654">
        <f>_xlfn.XLOOKUP($F1654,設計座標!$E$13:$E$2301,設計座標!$I$13:$I$2301,"n/a",0,1)</f>
        <v>-205938.67809546</v>
      </c>
      <c r="L1654">
        <f>_xlfn.XLOOKUP($F1654,設計座標!$E$13:$E$2301,設計座標!$J$13:$J$2301,"n/a",0,1)</f>
        <v>-270</v>
      </c>
      <c r="M1654" s="2">
        <f t="shared" si="1284"/>
        <v>-14972.334695924819</v>
      </c>
      <c r="N1654" s="2">
        <f t="shared" si="1285"/>
        <v>-205938.67809546</v>
      </c>
      <c r="O1654" s="23">
        <f t="shared" si="1286"/>
        <v>-272.92853362042592</v>
      </c>
      <c r="P1654" s="1">
        <f t="shared" si="1279"/>
        <v>-270.24894793471884</v>
      </c>
      <c r="Q1654" s="1">
        <f t="shared" si="1290"/>
        <v>27.665304075180138</v>
      </c>
      <c r="R1654">
        <f t="shared" si="1295"/>
        <v>0</v>
      </c>
      <c r="S1654" s="23">
        <f t="shared" si="1289"/>
        <v>-2.9285336204259229</v>
      </c>
      <c r="T1654">
        <f>$S1654+測地線補正!$Q$26*(lattice!$N1654/1000)^3+測地線補正!$P$26*(lattice!$N1654/1000)^2+測地線補正!$O$26*(lattice!$N1654/1000)+測地線補正!$N$26</f>
        <v>-0.24894793471884058</v>
      </c>
      <c r="U1654">
        <f t="shared" ref="U1654:U1655" si="1298">-ATAN(($P$1655-$P$1653)/ABS($N$1655-$N$1653))</f>
        <v>2.2305811242024942E-5</v>
      </c>
      <c r="V1654">
        <v>0</v>
      </c>
      <c r="W1654">
        <f t="shared" ref="W1654:W1655" si="1299">ATAN(($M$1655-$M$1653)/ABS($N$1655-$N$1653))</f>
        <v>1.5207534149172858E-4</v>
      </c>
      <c r="X1654" t="s">
        <v>3860</v>
      </c>
      <c r="Y1654">
        <f>_xlfn.XLOOKUP($F1654,設計座標!$E$13:$E$2301,設計座標!$L$13:$L$2301," ",0,1)</f>
        <v>1889.4492</v>
      </c>
      <c r="Z1654">
        <f>SQRT(($M$1654-$M$1651)^2+($N$1654-$N$1651)^2)</f>
        <v>2099.3910242762163</v>
      </c>
    </row>
    <row r="1655" spans="1:26">
      <c r="A1655" t="s">
        <v>797</v>
      </c>
      <c r="B1655">
        <v>3</v>
      </c>
      <c r="C1655" t="s">
        <v>804</v>
      </c>
      <c r="D1655" t="s">
        <v>1152</v>
      </c>
      <c r="E1655" t="s">
        <v>804</v>
      </c>
      <c r="F1655" t="s">
        <v>1701</v>
      </c>
      <c r="G1655" t="s">
        <v>2733</v>
      </c>
      <c r="I1655">
        <f>_xlfn.XLOOKUP($F1655,設計座標!$E$13:$E$2301,設計座標!$G$13:$G$2301,"n/a",0,1)</f>
        <v>471.35974356136927</v>
      </c>
      <c r="J1655">
        <f>_xlfn.XLOOKUP($F1655,設計座標!$E$13:$E$2301,設計座標!$H$13:$H$2301,"n/a",0,1)</f>
        <v>-15000</v>
      </c>
      <c r="K1655">
        <f>_xlfn.XLOOKUP($F1655,設計座標!$E$13:$E$2301,設計座標!$I$13:$I$2301,"n/a",0,1)</f>
        <v>-206883.40269545998</v>
      </c>
      <c r="L1655">
        <f>_xlfn.XLOOKUP($F1655,設計座標!$E$13:$E$2301,設計座標!$J$13:$J$2301,"n/a",0,1)</f>
        <v>-270</v>
      </c>
      <c r="M1655" s="2">
        <f t="shared" si="1284"/>
        <v>-14972.191026607552</v>
      </c>
      <c r="N1655" s="2">
        <f t="shared" si="1285"/>
        <v>-206883.40269545998</v>
      </c>
      <c r="O1655" s="23">
        <f t="shared" si="1286"/>
        <v>-272.94842572454615</v>
      </c>
      <c r="P1655" s="1">
        <f t="shared" si="1279"/>
        <v>-270.27008760043077</v>
      </c>
      <c r="Q1655" s="1">
        <f t="shared" si="1290"/>
        <v>27.808973392448589</v>
      </c>
      <c r="R1655">
        <f t="shared" si="1295"/>
        <v>0</v>
      </c>
      <c r="S1655" s="23">
        <f t="shared" si="1289"/>
        <v>-2.9484257245461492</v>
      </c>
      <c r="T1655">
        <f>$S1655+測地線補正!$Q$26*(lattice!$N1655/1000)^3+測地線補正!$P$26*(lattice!$N1655/1000)^2+測地線補正!$O$26*(lattice!$N1655/1000)+測地線補正!$N$26</f>
        <v>-0.27008760043077396</v>
      </c>
      <c r="U1655">
        <f t="shared" si="1298"/>
        <v>2.2305811242024942E-5</v>
      </c>
      <c r="V1655">
        <v>0</v>
      </c>
      <c r="W1655">
        <f t="shared" si="1299"/>
        <v>1.5207534149172858E-4</v>
      </c>
      <c r="X1655" t="s">
        <v>3860</v>
      </c>
      <c r="Y1655">
        <f>_xlfn.XLOOKUP($F1655,設計座標!$E$13:$E$2301,設計座標!$L$13:$L$2301," ",0,1)</f>
        <v>1889.4492</v>
      </c>
      <c r="Z1655">
        <f>SQRT(($M$1654-$M$1651)^2+($N$1654-$N$1651)^2)</f>
        <v>2099.3910242762163</v>
      </c>
    </row>
    <row r="1656" spans="1:26">
      <c r="A1656" t="s">
        <v>797</v>
      </c>
      <c r="B1656">
        <v>3</v>
      </c>
      <c r="C1656" t="s">
        <v>2288</v>
      </c>
      <c r="D1656" t="s">
        <v>1152</v>
      </c>
      <c r="E1656" t="s">
        <v>804</v>
      </c>
      <c r="F1656" t="s">
        <v>2293</v>
      </c>
      <c r="G1656" t="s">
        <v>2293</v>
      </c>
      <c r="I1656">
        <f>_xlfn.XLOOKUP($F1656,設計座標!$E$13:$E$2301,設計座標!$G$13:$G$2301,"n/a",0,1)</f>
        <v>471.52323946136931</v>
      </c>
      <c r="J1656">
        <f>_xlfn.XLOOKUP($F1656,設計座標!$E$13:$E$2301,設計座標!$H$13:$H$2301,"n/a",0,1)</f>
        <v>-15000</v>
      </c>
      <c r="K1656">
        <f>_xlfn.XLOOKUP($F1656,設計座標!$E$13:$E$2301,設計座標!$I$13:$I$2301,"n/a",0,1)</f>
        <v>-207046.89859545999</v>
      </c>
      <c r="L1656">
        <f>_xlfn.XLOOKUP($F1656,設計座標!$E$13:$E$2301,設計座標!$J$13:$J$2301,"n/a",0,1)</f>
        <v>-270</v>
      </c>
      <c r="M1656" s="2">
        <f t="shared" si="1284"/>
        <v>-14972.166162912536</v>
      </c>
      <c r="N1656" s="2">
        <f t="shared" si="1285"/>
        <v>-207046.89859545999</v>
      </c>
      <c r="O1656" s="23">
        <f t="shared" si="1286"/>
        <v>-272.95186829126459</v>
      </c>
      <c r="P1656" s="1">
        <f t="shared" si="1279"/>
        <v>-270.27375958684814</v>
      </c>
      <c r="Q1656" s="1">
        <f t="shared" si="1290"/>
        <v>27.833837087465309</v>
      </c>
      <c r="R1656">
        <f t="shared" si="1295"/>
        <v>0</v>
      </c>
      <c r="S1656" s="23">
        <f t="shared" si="1289"/>
        <v>-2.9518682912645668</v>
      </c>
      <c r="T1656">
        <f>$S1656+測地線補正!$Q$26*(lattice!$N1656/1000)^3+測地線補正!$P$26*(lattice!$N1656/1000)^2+測地線補正!$O$26*(lattice!$N1656/1000)+測地線補正!$N$26</f>
        <v>-0.27375958684813662</v>
      </c>
      <c r="U1656">
        <v>0</v>
      </c>
      <c r="V1656">
        <v>0</v>
      </c>
      <c r="W1656">
        <v>0</v>
      </c>
      <c r="X1656">
        <f>SQRT(($M$1656-$M$1655)^2+($N$1656-$N$1655)^2)</f>
        <v>163.49590189058645</v>
      </c>
      <c r="Y1656">
        <f>_xlfn.XLOOKUP($F1656,設計座標!$E$13:$E$2301,設計座標!$L$13:$L$2301," ",0,1)</f>
        <v>0</v>
      </c>
      <c r="Z1656">
        <f>SQRT(($M$1656-$M$1654)^2+($N$1656-$N$1654)^2)</f>
        <v>1108.2205128148535</v>
      </c>
    </row>
    <row r="1657" spans="1:26">
      <c r="A1657" t="s">
        <v>797</v>
      </c>
      <c r="B1657">
        <v>3</v>
      </c>
      <c r="C1657" t="s">
        <v>804</v>
      </c>
      <c r="D1657" t="s">
        <v>1152</v>
      </c>
      <c r="E1657" t="s">
        <v>804</v>
      </c>
      <c r="F1657" t="s">
        <v>1702</v>
      </c>
      <c r="G1657" t="s">
        <v>2734</v>
      </c>
      <c r="I1657">
        <f>_xlfn.XLOOKUP($F1657,設計座標!$E$13:$E$2301,設計座標!$G$13:$G$2301,"n/a",0,1)</f>
        <v>471.85722126136932</v>
      </c>
      <c r="J1657">
        <f>_xlfn.XLOOKUP($F1657,設計座標!$E$13:$E$2301,設計座標!$H$13:$H$2301,"n/a",0,1)</f>
        <v>-15000</v>
      </c>
      <c r="K1657">
        <f>_xlfn.XLOOKUP($F1657,設計座標!$E$13:$E$2301,設計座標!$I$13:$I$2301,"n/a",0,1)</f>
        <v>-207380.88039546</v>
      </c>
      <c r="L1657">
        <f>_xlfn.XLOOKUP($F1657,設計座標!$E$13:$E$2301,設計座標!$J$13:$J$2301,"n/a",0,1)</f>
        <v>-270</v>
      </c>
      <c r="M1657" s="2">
        <f t="shared" si="1284"/>
        <v>-14972.115372515857</v>
      </c>
      <c r="N1657" s="2">
        <f t="shared" si="1285"/>
        <v>-207380.88039546</v>
      </c>
      <c r="O1657" s="23">
        <f t="shared" si="1286"/>
        <v>-272.95890060601522</v>
      </c>
      <c r="P1657" s="1">
        <f t="shared" si="1279"/>
        <v>-270.2812729093306</v>
      </c>
      <c r="Q1657" s="1">
        <f t="shared" si="1290"/>
        <v>27.884627484143973</v>
      </c>
      <c r="R1657">
        <f t="shared" si="1295"/>
        <v>0</v>
      </c>
      <c r="S1657" s="23">
        <f t="shared" si="1289"/>
        <v>-2.9589006060151948</v>
      </c>
      <c r="T1657">
        <f>$S1657+測地線補正!$Q$26*(lattice!$N1657/1000)^3+測地線補正!$P$26*(lattice!$N1657/1000)^2+測地線補正!$O$26*(lattice!$N1657/1000)+測地線補正!$N$26</f>
        <v>-0.28127290933057147</v>
      </c>
      <c r="U1657">
        <f>-ATAN(($P$1659-$P$1657)/ABS($N$1659-$N$1657))</f>
        <v>2.266088539428162E-5</v>
      </c>
      <c r="V1657">
        <v>0</v>
      </c>
      <c r="W1657">
        <f>ATAN(($M$1659-$M$1657)/ABS($N$1659-$N$1657))</f>
        <v>1.5207534149269127E-4</v>
      </c>
      <c r="X1657">
        <f>SQRT(($M$1657-$M$1656)^2+($N$1657-$N$1656)^2)</f>
        <v>333.98180386199209</v>
      </c>
      <c r="Y1657">
        <f>_xlfn.XLOOKUP($F1657,設計座標!$E$13:$E$2301,設計座標!$L$13:$L$2301," ",0,1)</f>
        <v>1889.4492</v>
      </c>
      <c r="Z1657">
        <f>SQRT(($M$1658-$M$1656)^2+($N$1658-$N$1656)^2)</f>
        <v>1278.7064147862593</v>
      </c>
    </row>
    <row r="1658" spans="1:26">
      <c r="A1658" t="s">
        <v>797</v>
      </c>
      <c r="B1658">
        <v>3</v>
      </c>
      <c r="C1658" t="s">
        <v>804</v>
      </c>
      <c r="D1658" t="s">
        <v>1152</v>
      </c>
      <c r="E1658" t="s">
        <v>804</v>
      </c>
      <c r="F1658" t="s">
        <v>1205</v>
      </c>
      <c r="G1658" t="s">
        <v>2734</v>
      </c>
      <c r="I1658">
        <f>_xlfn.XLOOKUP($F1658,設計座標!$E$13:$E$2301,設計座標!$G$13:$G$2301,"n/a",0,1)</f>
        <v>472.80194586136929</v>
      </c>
      <c r="J1658">
        <f>_xlfn.XLOOKUP($F1658,設計座標!$E$13:$E$2301,設計座標!$H$13:$H$2301,"n/a",0,1)</f>
        <v>-15000</v>
      </c>
      <c r="K1658">
        <f>_xlfn.XLOOKUP($F1658,設計座標!$E$13:$E$2301,設計座標!$I$13:$I$2301,"n/a",0,1)</f>
        <v>-208325.60499545999</v>
      </c>
      <c r="L1658">
        <f>_xlfn.XLOOKUP($F1658,設計座標!$E$13:$E$2301,設計座標!$J$13:$J$2301,"n/a",0,1)</f>
        <v>-270</v>
      </c>
      <c r="M1658" s="2">
        <f t="shared" si="1284"/>
        <v>-14971.971703198587</v>
      </c>
      <c r="N1658" s="2">
        <f t="shared" si="1285"/>
        <v>-208325.60499545999</v>
      </c>
      <c r="O1658" s="23">
        <f t="shared" si="1286"/>
        <v>-272.97879271013539</v>
      </c>
      <c r="P1658" s="1">
        <f t="shared" si="1279"/>
        <v>-270.30261525525373</v>
      </c>
      <c r="Q1658" s="1">
        <f t="shared" si="1290"/>
        <v>28.028296801412424</v>
      </c>
      <c r="R1658">
        <f t="shared" si="1295"/>
        <v>0</v>
      </c>
      <c r="S1658" s="23">
        <f t="shared" si="1289"/>
        <v>-2.9787927101354215</v>
      </c>
      <c r="T1658">
        <f>$S1658+測地線補正!$Q$26*(lattice!$N1658/1000)^3+測地線補正!$P$26*(lattice!$N1658/1000)^2+測地線補正!$O$26*(lattice!$N1658/1000)+測地線補正!$N$26</f>
        <v>-0.30261525525375021</v>
      </c>
      <c r="U1658">
        <f t="shared" ref="U1658:U1659" si="1300">-ATAN(($P$1659-$P$1657)/ABS($N$1659-$N$1657))</f>
        <v>2.266088539428162E-5</v>
      </c>
      <c r="V1658">
        <v>0</v>
      </c>
      <c r="W1658">
        <f t="shared" ref="W1658:W1659" si="1301">ATAN(($M$1659-$M$1657)/ABS($N$1659-$N$1657))</f>
        <v>1.5207534149269127E-4</v>
      </c>
      <c r="X1658" t="s">
        <v>3860</v>
      </c>
      <c r="Y1658">
        <f>_xlfn.XLOOKUP($F1658,設計座標!$E$13:$E$2301,設計座標!$L$13:$L$2301," ",0,1)</f>
        <v>1889.4492</v>
      </c>
      <c r="Z1658">
        <f>SQRT(($M$1658-$M$1656)^2+($N$1658-$N$1656)^2)</f>
        <v>1278.7064147862593</v>
      </c>
    </row>
    <row r="1659" spans="1:26">
      <c r="A1659" t="s">
        <v>797</v>
      </c>
      <c r="B1659">
        <v>3</v>
      </c>
      <c r="C1659" t="s">
        <v>804</v>
      </c>
      <c r="D1659" t="s">
        <v>1152</v>
      </c>
      <c r="E1659" t="s">
        <v>804</v>
      </c>
      <c r="F1659" t="s">
        <v>1703</v>
      </c>
      <c r="G1659" t="s">
        <v>2734</v>
      </c>
      <c r="I1659">
        <f>_xlfn.XLOOKUP($F1659,設計座標!$E$13:$E$2301,設計座標!$G$13:$G$2301,"n/a",0,1)</f>
        <v>473.74667046136926</v>
      </c>
      <c r="J1659">
        <f>_xlfn.XLOOKUP($F1659,設計座標!$E$13:$E$2301,設計座標!$H$13:$H$2301,"n/a",0,1)</f>
        <v>-15000</v>
      </c>
      <c r="K1659">
        <f>_xlfn.XLOOKUP($F1659,設計座標!$E$13:$E$2301,設計座標!$I$13:$I$2301,"n/a",0,1)</f>
        <v>-209270.32959545997</v>
      </c>
      <c r="L1659">
        <f>_xlfn.XLOOKUP($F1659,設計座標!$E$13:$E$2301,設計座標!$J$13:$J$2301,"n/a",0,1)</f>
        <v>-270</v>
      </c>
      <c r="M1659" s="2">
        <f t="shared" si="1284"/>
        <v>-14971.828033881318</v>
      </c>
      <c r="N1659" s="2">
        <f t="shared" si="1285"/>
        <v>-209270.32959545997</v>
      </c>
      <c r="O1659" s="23">
        <f t="shared" si="1286"/>
        <v>-272.99868481425563</v>
      </c>
      <c r="P1659" s="1">
        <f t="shared" si="1279"/>
        <v>-270.32408950111744</v>
      </c>
      <c r="Q1659" s="1">
        <f t="shared" si="1290"/>
        <v>28.171966118680874</v>
      </c>
      <c r="R1659">
        <f t="shared" si="1295"/>
        <v>0</v>
      </c>
      <c r="S1659" s="23">
        <f t="shared" si="1289"/>
        <v>-2.9986848142556477</v>
      </c>
      <c r="T1659">
        <f>$S1659+測地線補正!$Q$26*(lattice!$N1659/1000)^3+測地線補正!$P$26*(lattice!$N1659/1000)^2+測地線補正!$O$26*(lattice!$N1659/1000)+測地線補正!$N$26</f>
        <v>-0.32408950111743828</v>
      </c>
      <c r="U1659">
        <f t="shared" si="1300"/>
        <v>2.266088539428162E-5</v>
      </c>
      <c r="V1659">
        <v>0</v>
      </c>
      <c r="W1659">
        <f t="shared" si="1301"/>
        <v>1.5207534149269127E-4</v>
      </c>
      <c r="X1659" t="s">
        <v>3860</v>
      </c>
      <c r="Y1659">
        <f>_xlfn.XLOOKUP($F1659,設計座標!$E$13:$E$2301,設計座標!$L$13:$L$2301," ",0,1)</f>
        <v>1889.4492</v>
      </c>
      <c r="Z1659">
        <f>SQRT(($M$1658-$M$1656)^2+($N$1658-$N$1656)^2)</f>
        <v>1278.7064147862593</v>
      </c>
    </row>
    <row r="1660" spans="1:26">
      <c r="A1660" t="s">
        <v>797</v>
      </c>
      <c r="B1660">
        <v>3</v>
      </c>
      <c r="C1660" t="s">
        <v>804</v>
      </c>
      <c r="D1660" t="s">
        <v>1152</v>
      </c>
      <c r="E1660" t="s">
        <v>804</v>
      </c>
      <c r="F1660" t="s">
        <v>1704</v>
      </c>
      <c r="G1660" t="s">
        <v>2735</v>
      </c>
      <c r="I1660">
        <f>_xlfn.XLOOKUP($F1660,設計座標!$E$13:$E$2301,設計座標!$G$13:$G$2301,"n/a",0,1)</f>
        <v>473.95661226136934</v>
      </c>
      <c r="J1660">
        <f>_xlfn.XLOOKUP($F1660,設計座標!$E$13:$E$2301,設計座標!$H$13:$H$2301,"n/a",0,1)</f>
        <v>-15000</v>
      </c>
      <c r="K1660">
        <f>_xlfn.XLOOKUP($F1660,設計座標!$E$13:$E$2301,設計座標!$I$13:$I$2301,"n/a",0,1)</f>
        <v>-209480.27139546</v>
      </c>
      <c r="L1660">
        <f>_xlfn.XLOOKUP($F1660,設計座標!$E$13:$E$2301,設計座標!$J$13:$J$2301,"n/a",0,1)</f>
        <v>-270</v>
      </c>
      <c r="M1660" s="2">
        <f t="shared" si="1284"/>
        <v>-14971.796106910144</v>
      </c>
      <c r="N1660" s="2">
        <f t="shared" si="1285"/>
        <v>-209480.27139546</v>
      </c>
      <c r="O1660" s="23">
        <f t="shared" si="1286"/>
        <v>-273.00310534500585</v>
      </c>
      <c r="P1660" s="1">
        <f t="shared" si="1279"/>
        <v>-270.32887946753584</v>
      </c>
      <c r="Q1660" s="1">
        <f t="shared" si="1290"/>
        <v>28.203893089855452</v>
      </c>
      <c r="R1660">
        <f t="shared" si="1295"/>
        <v>0</v>
      </c>
      <c r="S1660" s="23">
        <f t="shared" si="1289"/>
        <v>-3.0031053450058671</v>
      </c>
      <c r="T1660">
        <f>$S1660+測地線補正!$Q$26*(lattice!$N1660/1000)^3+測地線補正!$P$26*(lattice!$N1660/1000)^2+測地線補正!$O$26*(lattice!$N1660/1000)+測地線補正!$N$26</f>
        <v>-0.3288794675358544</v>
      </c>
      <c r="U1660">
        <f>-ATAN(($P$1662-$P$1660)/ABS($N$1662-$N$1660))</f>
        <v>2.2969352598991874E-5</v>
      </c>
      <c r="V1660">
        <v>0</v>
      </c>
      <c r="W1660">
        <f>ATAN(($M$1662-$M$1660)/ABS($N$1662-$N$1660))</f>
        <v>1.5207534149172858E-4</v>
      </c>
      <c r="X1660">
        <f>SQRT(($M$1660-$M$1659)^2+($N$1660-$N$1659)^2)</f>
        <v>209.94180242768215</v>
      </c>
      <c r="Y1660">
        <f>_xlfn.XLOOKUP($F1660,設計座標!$E$13:$E$2301,設計座標!$L$13:$L$2301," ",0,1)</f>
        <v>1889.4492</v>
      </c>
      <c r="Z1660">
        <f>SQRT(($M$1661-$M$1658)^2+($N$1661-$N$1658)^2)</f>
        <v>2099.3910242762163</v>
      </c>
    </row>
    <row r="1661" spans="1:26">
      <c r="A1661" t="s">
        <v>797</v>
      </c>
      <c r="B1661">
        <v>3</v>
      </c>
      <c r="C1661" t="s">
        <v>804</v>
      </c>
      <c r="D1661" t="s">
        <v>1152</v>
      </c>
      <c r="E1661" t="s">
        <v>804</v>
      </c>
      <c r="F1661" t="s">
        <v>1261</v>
      </c>
      <c r="G1661" t="s">
        <v>2735</v>
      </c>
      <c r="I1661">
        <f>_xlfn.XLOOKUP($F1661,設計座標!$E$13:$E$2301,設計座標!$G$13:$G$2301,"n/a",0,1)</f>
        <v>474.90133686136932</v>
      </c>
      <c r="J1661">
        <f>_xlfn.XLOOKUP($F1661,設計座標!$E$13:$E$2301,設計座標!$H$13:$H$2301,"n/a",0,1)</f>
        <v>-15000</v>
      </c>
      <c r="K1661">
        <f>_xlfn.XLOOKUP($F1661,設計座標!$E$13:$E$2301,設計座標!$I$13:$I$2301,"n/a",0,1)</f>
        <v>-210424.99599545999</v>
      </c>
      <c r="L1661">
        <f>_xlfn.XLOOKUP($F1661,設計座標!$E$13:$E$2301,設計座標!$J$13:$J$2301,"n/a",0,1)</f>
        <v>-270</v>
      </c>
      <c r="M1661" s="2">
        <f t="shared" si="1284"/>
        <v>-14971.652437592877</v>
      </c>
      <c r="N1661" s="2">
        <f t="shared" si="1285"/>
        <v>-210424.99599545999</v>
      </c>
      <c r="O1661" s="23">
        <f t="shared" si="1286"/>
        <v>-273.02299744912608</v>
      </c>
      <c r="P1661" s="1">
        <f t="shared" si="1279"/>
        <v>-270.35051399269315</v>
      </c>
      <c r="Q1661" s="1">
        <f t="shared" si="1290"/>
        <v>28.347562407123903</v>
      </c>
      <c r="R1661">
        <f t="shared" si="1295"/>
        <v>0</v>
      </c>
      <c r="S1661" s="23">
        <f t="shared" si="1289"/>
        <v>-3.0229974491260934</v>
      </c>
      <c r="T1661">
        <f>$S1661+測地線補正!$Q$26*(lattice!$N1661/1000)^3+測地線補正!$P$26*(lattice!$N1661/1000)^2+測地線補正!$O$26*(lattice!$N1661/1000)+測地線補正!$N$26</f>
        <v>-0.35051399269312733</v>
      </c>
      <c r="U1661">
        <f t="shared" ref="U1661:U1662" si="1302">-ATAN(($P$1662-$P$1660)/ABS($N$1662-$N$1660))</f>
        <v>2.2969352598991874E-5</v>
      </c>
      <c r="V1661">
        <v>0</v>
      </c>
      <c r="W1661">
        <f t="shared" ref="W1661:W1662" si="1303">ATAN(($M$1662-$M$1660)/ABS($N$1662-$N$1660))</f>
        <v>1.5207534149172858E-4</v>
      </c>
      <c r="X1661" t="s">
        <v>3860</v>
      </c>
      <c r="Y1661">
        <f>_xlfn.XLOOKUP($F1661,設計座標!$E$13:$E$2301,設計座標!$L$13:$L$2301," ",0,1)</f>
        <v>1889.4492</v>
      </c>
      <c r="Z1661">
        <f>SQRT(($M$1661-$M$1658)^2+($N$1661-$N$1658)^2)</f>
        <v>2099.3910242762163</v>
      </c>
    </row>
    <row r="1662" spans="1:26">
      <c r="A1662" t="s">
        <v>797</v>
      </c>
      <c r="B1662">
        <v>3</v>
      </c>
      <c r="C1662" t="s">
        <v>804</v>
      </c>
      <c r="D1662" t="s">
        <v>1152</v>
      </c>
      <c r="E1662" t="s">
        <v>804</v>
      </c>
      <c r="F1662" t="s">
        <v>1705</v>
      </c>
      <c r="G1662" t="s">
        <v>2735</v>
      </c>
      <c r="I1662">
        <f>_xlfn.XLOOKUP($F1662,設計座標!$E$13:$E$2301,設計座標!$G$13:$G$2301,"n/a",0,1)</f>
        <v>475.84606146136929</v>
      </c>
      <c r="J1662">
        <f>_xlfn.XLOOKUP($F1662,設計座標!$E$13:$E$2301,設計座標!$H$13:$H$2301,"n/a",0,1)</f>
        <v>-15000</v>
      </c>
      <c r="K1662">
        <f>_xlfn.XLOOKUP($F1662,設計座標!$E$13:$E$2301,設計座標!$I$13:$I$2301,"n/a",0,1)</f>
        <v>-211369.72059545998</v>
      </c>
      <c r="L1662">
        <f>_xlfn.XLOOKUP($F1662,設計座標!$E$13:$E$2301,設計座標!$J$13:$J$2301,"n/a",0,1)</f>
        <v>-270</v>
      </c>
      <c r="M1662" s="2">
        <f t="shared" si="1284"/>
        <v>-14971.508768275608</v>
      </c>
      <c r="N1662" s="2">
        <f t="shared" si="1285"/>
        <v>-211369.72059545998</v>
      </c>
      <c r="O1662" s="23">
        <f t="shared" si="1286"/>
        <v>-273.04288955324631</v>
      </c>
      <c r="P1662" s="1">
        <f t="shared" si="1279"/>
        <v>-270.37227889243616</v>
      </c>
      <c r="Q1662" s="1">
        <f t="shared" si="1290"/>
        <v>28.491231724392357</v>
      </c>
      <c r="R1662">
        <f t="shared" si="1295"/>
        <v>0</v>
      </c>
      <c r="S1662" s="23">
        <f t="shared" si="1289"/>
        <v>-3.04288955324632</v>
      </c>
      <c r="T1662">
        <f>$S1662+測地線補正!$Q$26*(lattice!$N1662/1000)^3+測地線補正!$P$26*(lattice!$N1662/1000)^2+測地線補正!$O$26*(lattice!$N1662/1000)+測地線補正!$N$26</f>
        <v>-0.3722788924361391</v>
      </c>
      <c r="U1662">
        <f t="shared" si="1302"/>
        <v>2.2969352598991874E-5</v>
      </c>
      <c r="V1662">
        <v>0</v>
      </c>
      <c r="W1662">
        <f t="shared" si="1303"/>
        <v>1.5207534149172858E-4</v>
      </c>
      <c r="X1662" t="s">
        <v>3860</v>
      </c>
      <c r="Y1662">
        <f>_xlfn.XLOOKUP($F1662,設計座標!$E$13:$E$2301,設計座標!$L$13:$L$2301," ",0,1)</f>
        <v>1889.4492</v>
      </c>
      <c r="Z1662">
        <f>SQRT(($M$1661-$M$1658)^2+($N$1661-$N$1658)^2)</f>
        <v>2099.3910242762163</v>
      </c>
    </row>
    <row r="1663" spans="1:26">
      <c r="A1663" t="s">
        <v>797</v>
      </c>
      <c r="B1663">
        <v>3</v>
      </c>
      <c r="C1663" t="s">
        <v>1152</v>
      </c>
      <c r="D1663" t="s">
        <v>1152</v>
      </c>
      <c r="E1663" t="s">
        <v>804</v>
      </c>
      <c r="F1663" t="s">
        <v>2164</v>
      </c>
      <c r="G1663" t="s">
        <v>2164</v>
      </c>
      <c r="I1663">
        <f>_xlfn.XLOOKUP($F1663,設計座標!$E$13:$E$2301,設計座標!$G$13:$G$2301,"n/a",0,1)</f>
        <v>476.00505746136929</v>
      </c>
      <c r="J1663">
        <f>_xlfn.XLOOKUP($F1663,設計座標!$E$13:$E$2301,設計座標!$H$13:$H$2301,"n/a",0,1)</f>
        <v>-15000</v>
      </c>
      <c r="K1663">
        <f>_xlfn.XLOOKUP($F1663,設計座標!$E$13:$E$2301,設計座標!$I$13:$I$2301,"n/a",0,1)</f>
        <v>-211528.71659545999</v>
      </c>
      <c r="L1663">
        <f>_xlfn.XLOOKUP($F1663,設計座標!$E$13:$E$2301,設計座標!$J$13:$J$2301,"n/a",0,1)</f>
        <v>-270</v>
      </c>
      <c r="M1663" s="2">
        <f t="shared" si="1284"/>
        <v>-14971.484588904425</v>
      </c>
      <c r="N1663" s="2">
        <f t="shared" si="1285"/>
        <v>-211528.71659545999</v>
      </c>
      <c r="O1663" s="23">
        <f t="shared" si="1286"/>
        <v>-273.04623737015157</v>
      </c>
      <c r="P1663" s="1">
        <f t="shared" si="1279"/>
        <v>-270.37595466712918</v>
      </c>
      <c r="Q1663" s="1">
        <f t="shared" si="1290"/>
        <v>28.515411095574621</v>
      </c>
      <c r="R1663">
        <f t="shared" si="1295"/>
        <v>0</v>
      </c>
      <c r="S1663" s="23">
        <f t="shared" si="1289"/>
        <v>-3.046237370151585</v>
      </c>
      <c r="T1663">
        <f>$S1663+測地線補正!$Q$26*(lattice!$N1663/1000)^3+測地線補正!$P$26*(lattice!$N1663/1000)^2+測地線補正!$O$26*(lattice!$N1663/1000)+測地線補正!$N$26</f>
        <v>-0.37595466712916648</v>
      </c>
      <c r="U1663">
        <v>0</v>
      </c>
      <c r="V1663">
        <v>0</v>
      </c>
      <c r="W1663">
        <v>0</v>
      </c>
      <c r="X1663">
        <f>SQRT(($M$1663-$M$1662)^2+($N$1663-$N$1662)^2)</f>
        <v>158.99600183855679</v>
      </c>
      <c r="Y1663">
        <f>_xlfn.XLOOKUP($F1663,設計座標!$E$13:$E$2301,設計座標!$L$13:$L$2301," ",0,1)</f>
        <v>0</v>
      </c>
      <c r="Z1663">
        <f>SQRT(($M$1663-$M$1661)^2+($N$1663-$N$1661)^2)</f>
        <v>1103.7206127628237</v>
      </c>
    </row>
    <row r="1664" spans="1:26">
      <c r="A1664" t="s">
        <v>797</v>
      </c>
      <c r="B1664">
        <v>3</v>
      </c>
      <c r="C1664" t="s">
        <v>804</v>
      </c>
      <c r="D1664" t="s">
        <v>1152</v>
      </c>
      <c r="E1664" t="s">
        <v>804</v>
      </c>
      <c r="F1664" t="s">
        <v>1706</v>
      </c>
      <c r="G1664" t="s">
        <v>2736</v>
      </c>
      <c r="I1664">
        <f>_xlfn.XLOOKUP($F1664,設計座標!$E$13:$E$2301,設計座標!$G$13:$G$2301,"n/a",0,1)</f>
        <v>476.37090326136934</v>
      </c>
      <c r="J1664">
        <f>_xlfn.XLOOKUP($F1664,設計座標!$E$13:$E$2301,設計座標!$H$13:$H$2301,"n/a",0,1)</f>
        <v>-15000</v>
      </c>
      <c r="K1664">
        <f>_xlfn.XLOOKUP($F1664,設計座標!$E$13:$E$2301,設計座標!$I$13:$I$2301,"n/a",0,1)</f>
        <v>-211894.56239546</v>
      </c>
      <c r="L1664">
        <f>_xlfn.XLOOKUP($F1664,設計座標!$E$13:$E$2301,設計座標!$J$13:$J$2301,"n/a",0,1)</f>
        <v>-270</v>
      </c>
      <c r="M1664" s="2">
        <f t="shared" si="1284"/>
        <v>-14971.428952779028</v>
      </c>
      <c r="N1664" s="2">
        <f t="shared" si="1285"/>
        <v>-211894.56239546</v>
      </c>
      <c r="O1664" s="23">
        <f t="shared" si="1286"/>
        <v>-273.0539406127109</v>
      </c>
      <c r="P1664" s="1">
        <f t="shared" si="1279"/>
        <v>-270.3844264648929</v>
      </c>
      <c r="Q1664" s="1">
        <f t="shared" si="1290"/>
        <v>28.571047220971941</v>
      </c>
      <c r="R1664">
        <f t="shared" si="1295"/>
        <v>0</v>
      </c>
      <c r="S1664" s="23">
        <f t="shared" si="1289"/>
        <v>-3.0539406127108961</v>
      </c>
      <c r="T1664">
        <f>$S1664+測地線補正!$Q$26*(lattice!$N1664/1000)^3+測地線補正!$P$26*(lattice!$N1664/1000)^2+測地線補正!$O$26*(lattice!$N1664/1000)+測地線補正!$N$26</f>
        <v>-0.38442646489290611</v>
      </c>
      <c r="U1664">
        <f>-ATAN(($P$1666-$P$1664)/ABS($N$1666-$N$1664))</f>
        <v>2.3319652959389528E-5</v>
      </c>
      <c r="V1664">
        <v>0</v>
      </c>
      <c r="W1664">
        <f>ATAN(($M$1666-$M$1664)/ABS($N$1666-$N$1664))</f>
        <v>1.5207534149172858E-4</v>
      </c>
      <c r="X1664">
        <f>SQRT(($M$1664-$M$1663)^2+($N$1664-$N$1663)^2)</f>
        <v>365.84580423045145</v>
      </c>
      <c r="Y1664">
        <f>_xlfn.XLOOKUP($F1664,設計座標!$E$13:$E$2301,設計座標!$L$13:$L$2301," ",0,1)</f>
        <v>1889.4492</v>
      </c>
      <c r="Z1664">
        <f>SQRT(($M$1665-$M$1663)^2+($N$1665-$N$1663)^2)</f>
        <v>1310.5704151547184</v>
      </c>
    </row>
    <row r="1665" spans="1:28">
      <c r="A1665" t="s">
        <v>797</v>
      </c>
      <c r="B1665">
        <v>3</v>
      </c>
      <c r="C1665" t="s">
        <v>804</v>
      </c>
      <c r="D1665" t="s">
        <v>1152</v>
      </c>
      <c r="E1665" t="s">
        <v>804</v>
      </c>
      <c r="F1665" t="s">
        <v>1315</v>
      </c>
      <c r="G1665" t="s">
        <v>2736</v>
      </c>
      <c r="I1665">
        <f>_xlfn.XLOOKUP($F1665,設計座標!$E$13:$E$2301,設計座標!$G$13:$G$2301,"n/a",0,1)</f>
        <v>477.31562786136931</v>
      </c>
      <c r="J1665">
        <f>_xlfn.XLOOKUP($F1665,設計座標!$E$13:$E$2301,設計座標!$H$13:$H$2301,"n/a",0,1)</f>
        <v>-15000</v>
      </c>
      <c r="K1665">
        <f>_xlfn.XLOOKUP($F1665,設計座標!$E$13:$E$2301,設計座標!$I$13:$I$2301,"n/a",0,1)</f>
        <v>-212839.28699545999</v>
      </c>
      <c r="L1665">
        <f>_xlfn.XLOOKUP($F1665,設計座標!$E$13:$E$2301,設計座標!$J$13:$J$2301,"n/a",0,1)</f>
        <v>-270</v>
      </c>
      <c r="M1665" s="2">
        <f t="shared" si="1284"/>
        <v>-14971.285283461759</v>
      </c>
      <c r="N1665" s="2">
        <f t="shared" si="1285"/>
        <v>-212839.28699545999</v>
      </c>
      <c r="O1665" s="23">
        <f t="shared" si="1286"/>
        <v>-273.07383271683113</v>
      </c>
      <c r="P1665" s="1">
        <f t="shared" si="1279"/>
        <v>-270.40639280449409</v>
      </c>
      <c r="Q1665" s="1">
        <f t="shared" si="1290"/>
        <v>28.714716538240392</v>
      </c>
      <c r="R1665">
        <f t="shared" si="1295"/>
        <v>0</v>
      </c>
      <c r="S1665" s="23">
        <f t="shared" si="1289"/>
        <v>-3.0738327168311224</v>
      </c>
      <c r="T1665">
        <f>$S1665+測地線補正!$Q$26*(lattice!$N1665/1000)^3+測地線補正!$P$26*(lattice!$N1665/1000)^2+測地線補正!$O$26*(lattice!$N1665/1000)+測地線補正!$N$26</f>
        <v>-0.40639280449406834</v>
      </c>
      <c r="U1665">
        <f t="shared" ref="U1665:U1666" si="1304">-ATAN(($P$1666-$P$1664)/ABS($N$1666-$N$1664))</f>
        <v>2.3319652959389528E-5</v>
      </c>
      <c r="V1665">
        <v>0</v>
      </c>
      <c r="W1665">
        <f t="shared" ref="W1665:W1666" si="1305">ATAN(($M$1666-$M$1664)/ABS($N$1666-$N$1664))</f>
        <v>1.5207534149172858E-4</v>
      </c>
      <c r="X1665" t="s">
        <v>3860</v>
      </c>
      <c r="Y1665">
        <f>_xlfn.XLOOKUP($F1665,設計座標!$E$13:$E$2301,設計座標!$L$13:$L$2301," ",0,1)</f>
        <v>1889.4492</v>
      </c>
      <c r="Z1665">
        <f>SQRT(($M$1665-$M$1663)^2+($N$1665-$N$1663)^2)</f>
        <v>1310.5704151547184</v>
      </c>
    </row>
    <row r="1666" spans="1:28">
      <c r="A1666" t="s">
        <v>797</v>
      </c>
      <c r="B1666">
        <v>3</v>
      </c>
      <c r="C1666" t="s">
        <v>804</v>
      </c>
      <c r="D1666" t="s">
        <v>1152</v>
      </c>
      <c r="E1666" t="s">
        <v>804</v>
      </c>
      <c r="F1666" t="s">
        <v>1707</v>
      </c>
      <c r="G1666" t="s">
        <v>2736</v>
      </c>
      <c r="I1666">
        <f>_xlfn.XLOOKUP($F1666,設計座標!$E$13:$E$2301,設計座標!$G$13:$G$2301,"n/a",0,1)</f>
        <v>478.26035246136928</v>
      </c>
      <c r="J1666">
        <f>_xlfn.XLOOKUP($F1666,設計座標!$E$13:$E$2301,設計座標!$H$13:$H$2301,"n/a",0,1)</f>
        <v>-15000</v>
      </c>
      <c r="K1666">
        <f>_xlfn.XLOOKUP($F1666,設計座標!$E$13:$E$2301,設計座標!$I$13:$I$2301,"n/a",0,1)</f>
        <v>-213784.01159545998</v>
      </c>
      <c r="L1666">
        <f>_xlfn.XLOOKUP($F1666,設計座標!$E$13:$E$2301,設計座標!$J$13:$J$2301,"n/a",0,1)</f>
        <v>-270</v>
      </c>
      <c r="M1666" s="2">
        <f t="shared" si="1284"/>
        <v>-14971.141614144492</v>
      </c>
      <c r="N1666" s="2">
        <f t="shared" si="1285"/>
        <v>-213784.01159545998</v>
      </c>
      <c r="O1666" s="23">
        <f t="shared" si="1286"/>
        <v>-273.09372482095137</v>
      </c>
      <c r="P1666" s="1">
        <f t="shared" si="1279"/>
        <v>-270.42848776452928</v>
      </c>
      <c r="Q1666" s="1">
        <f t="shared" si="1290"/>
        <v>28.858385855508843</v>
      </c>
      <c r="R1666">
        <f t="shared" si="1295"/>
        <v>0</v>
      </c>
      <c r="S1666" s="23">
        <f t="shared" si="1289"/>
        <v>-3.093724820951349</v>
      </c>
      <c r="T1666">
        <f>$S1666+測地線補正!$Q$26*(lattice!$N1666/1000)^3+測地線補正!$P$26*(lattice!$N1666/1000)^2+測地線補正!$O$26*(lattice!$N1666/1000)+測地線補正!$N$26</f>
        <v>-0.42848776452927084</v>
      </c>
      <c r="U1666">
        <f t="shared" si="1304"/>
        <v>2.3319652959389528E-5</v>
      </c>
      <c r="V1666">
        <v>0</v>
      </c>
      <c r="W1666">
        <f t="shared" si="1305"/>
        <v>1.5207534149172858E-4</v>
      </c>
      <c r="X1666" t="s">
        <v>3860</v>
      </c>
      <c r="Y1666">
        <f>_xlfn.XLOOKUP($F1666,設計座標!$E$13:$E$2301,設計座標!$L$13:$L$2301," ",0,1)</f>
        <v>1889.4492</v>
      </c>
      <c r="Z1666">
        <f>SQRT(($M$1665-$M$1663)^2+($N$1665-$N$1663)^2)</f>
        <v>1310.5704151547184</v>
      </c>
    </row>
    <row r="1667" spans="1:28">
      <c r="A1667" t="s">
        <v>797</v>
      </c>
      <c r="B1667">
        <v>3</v>
      </c>
      <c r="C1667" t="s">
        <v>804</v>
      </c>
      <c r="D1667" t="s">
        <v>1152</v>
      </c>
      <c r="E1667" t="s">
        <v>804</v>
      </c>
      <c r="F1667" t="s">
        <v>1708</v>
      </c>
      <c r="G1667" t="s">
        <v>2737</v>
      </c>
      <c r="I1667">
        <f>_xlfn.XLOOKUP($F1667,設計座標!$E$13:$E$2301,設計座標!$G$13:$G$2301,"n/a",0,1)</f>
        <v>478.47029426136936</v>
      </c>
      <c r="J1667">
        <f>_xlfn.XLOOKUP($F1667,設計座標!$E$13:$E$2301,設計座標!$H$13:$H$2301,"n/a",0,1)</f>
        <v>-15000</v>
      </c>
      <c r="K1667">
        <f>_xlfn.XLOOKUP($F1667,設計座標!$E$13:$E$2301,設計座標!$I$13:$I$2301,"n/a",0,1)</f>
        <v>-213993.95339546</v>
      </c>
      <c r="L1667">
        <f>_xlfn.XLOOKUP($F1667,設計座標!$E$13:$E$2301,設計座標!$J$13:$J$2301,"n/a",0,1)</f>
        <v>-270</v>
      </c>
      <c r="M1667" s="2">
        <f t="shared" si="1284"/>
        <v>-14971.109687173317</v>
      </c>
      <c r="N1667" s="2">
        <f t="shared" si="1285"/>
        <v>-213993.95339546</v>
      </c>
      <c r="O1667" s="23">
        <f t="shared" si="1286"/>
        <v>-273.09814535170159</v>
      </c>
      <c r="P1667" s="1">
        <f t="shared" si="1279"/>
        <v>-270.43341522402875</v>
      </c>
      <c r="Q1667" s="1">
        <f t="shared" si="1290"/>
        <v>28.89031282668342</v>
      </c>
      <c r="R1667">
        <f t="shared" si="1295"/>
        <v>0</v>
      </c>
      <c r="S1667" s="23">
        <f t="shared" si="1289"/>
        <v>-3.098145351701568</v>
      </c>
      <c r="T1667">
        <f>$S1667+測地線補正!$Q$26*(lattice!$N1667/1000)^3+測地線補正!$P$26*(lattice!$N1667/1000)^2+測地線補正!$O$26*(lattice!$N1667/1000)+測地線補正!$N$26</f>
        <v>-0.43341522402874255</v>
      </c>
      <c r="U1667">
        <f>-ATAN(($P$1669-$P$1667)/ABS($N$1669-$N$1667))</f>
        <v>2.3620405955512218E-5</v>
      </c>
      <c r="V1667">
        <v>0</v>
      </c>
      <c r="W1667">
        <f>ATAN(($M$1669-$M$1667)/ABS($N$1669-$N$1667))</f>
        <v>1.5207534149269127E-4</v>
      </c>
      <c r="X1667">
        <f>SQRT(($M$1667-$M$1666)^2+($N$1667-$N$1666)^2)</f>
        <v>209.94180242768215</v>
      </c>
      <c r="Y1667">
        <f>_xlfn.XLOOKUP($F1667,設計座標!$E$13:$E$2301,設計座標!$L$13:$L$2301," ",0,1)</f>
        <v>1889.4492</v>
      </c>
      <c r="Z1667">
        <f>SQRT(($M$1668-$M$1665)^2+($N$1668-$N$1665)^2)</f>
        <v>2099.3910242762163</v>
      </c>
    </row>
    <row r="1668" spans="1:28">
      <c r="A1668" t="s">
        <v>797</v>
      </c>
      <c r="B1668">
        <v>3</v>
      </c>
      <c r="C1668" t="s">
        <v>804</v>
      </c>
      <c r="D1668" t="s">
        <v>1152</v>
      </c>
      <c r="E1668" t="s">
        <v>804</v>
      </c>
      <c r="F1668" t="s">
        <v>1369</v>
      </c>
      <c r="G1668" t="s">
        <v>2737</v>
      </c>
      <c r="I1668">
        <f>_xlfn.XLOOKUP($F1668,設計座標!$E$13:$E$2301,設計座標!$G$13:$G$2301,"n/a",0,1)</f>
        <v>479.41501886136933</v>
      </c>
      <c r="J1668">
        <f>_xlfn.XLOOKUP($F1668,設計座標!$E$13:$E$2301,設計座標!$H$13:$H$2301,"n/a",0,1)</f>
        <v>-15000</v>
      </c>
      <c r="K1668">
        <f>_xlfn.XLOOKUP($F1668,設計座標!$E$13:$E$2301,設計座標!$I$13:$I$2301,"n/a",0,1)</f>
        <v>-214938.67799545999</v>
      </c>
      <c r="L1668">
        <f>_xlfn.XLOOKUP($F1668,設計座標!$E$13:$E$2301,設計座標!$J$13:$J$2301,"n/a",0,1)</f>
        <v>-270</v>
      </c>
      <c r="M1668" s="2">
        <f t="shared" si="1284"/>
        <v>-14970.966017856048</v>
      </c>
      <c r="N1668" s="2">
        <f t="shared" si="1285"/>
        <v>-214938.67799545999</v>
      </c>
      <c r="O1668" s="23">
        <f t="shared" si="1286"/>
        <v>-273.11803745582182</v>
      </c>
      <c r="P1668" s="1">
        <f t="shared" si="1279"/>
        <v>-270.45566645506142</v>
      </c>
      <c r="Q1668" s="1">
        <f t="shared" si="1290"/>
        <v>29.033982143951871</v>
      </c>
      <c r="R1668">
        <f t="shared" si="1295"/>
        <v>0</v>
      </c>
      <c r="S1668" s="23">
        <f t="shared" si="1289"/>
        <v>-3.1180374558217947</v>
      </c>
      <c r="T1668">
        <f>$S1668+測地線補正!$Q$26*(lattice!$N1668/1000)^3+測地線補正!$P$26*(lattice!$N1668/1000)^2+測地線補正!$O$26*(lattice!$N1668/1000)+測地線補正!$N$26</f>
        <v>-0.45566645506142422</v>
      </c>
      <c r="U1668">
        <f t="shared" ref="U1668:U1669" si="1306">-ATAN(($P$1669-$P$1667)/ABS($N$1669-$N$1667))</f>
        <v>2.3620405955512218E-5</v>
      </c>
      <c r="V1668">
        <v>0</v>
      </c>
      <c r="W1668">
        <f t="shared" ref="W1668:W1669" si="1307">ATAN(($M$1669-$M$1667)/ABS($N$1669-$N$1667))</f>
        <v>1.5207534149269127E-4</v>
      </c>
      <c r="X1668" t="s">
        <v>3860</v>
      </c>
      <c r="Y1668">
        <f>_xlfn.XLOOKUP($F1668,設計座標!$E$13:$E$2301,設計座標!$L$13:$L$2301," ",0,1)</f>
        <v>1889.4492</v>
      </c>
      <c r="Z1668">
        <f>SQRT(($M$1668-$M$1665)^2+($N$1668-$N$1665)^2)</f>
        <v>2099.3910242762163</v>
      </c>
    </row>
    <row r="1669" spans="1:28">
      <c r="A1669" t="s">
        <v>797</v>
      </c>
      <c r="B1669">
        <v>3</v>
      </c>
      <c r="C1669" t="s">
        <v>804</v>
      </c>
      <c r="D1669" t="s">
        <v>1152</v>
      </c>
      <c r="E1669" t="s">
        <v>804</v>
      </c>
      <c r="F1669" t="s">
        <v>1709</v>
      </c>
      <c r="G1669" t="s">
        <v>2737</v>
      </c>
      <c r="I1669">
        <f>_xlfn.XLOOKUP($F1669,設計座標!$E$13:$E$2301,設計座標!$G$13:$G$2301,"n/a",0,1)</f>
        <v>480.35974346136931</v>
      </c>
      <c r="J1669">
        <f>_xlfn.XLOOKUP($F1669,設計座標!$E$13:$E$2301,設計座標!$H$13:$H$2301,"n/a",0,1)</f>
        <v>-15000</v>
      </c>
      <c r="K1669">
        <f>_xlfn.XLOOKUP($F1669,設計座標!$E$13:$E$2301,設計座標!$I$13:$I$2301,"n/a",0,1)</f>
        <v>-215883.40259545998</v>
      </c>
      <c r="L1669">
        <f>_xlfn.XLOOKUP($F1669,設計座標!$E$13:$E$2301,設計座標!$J$13:$J$2301,"n/a",0,1)</f>
        <v>-270</v>
      </c>
      <c r="M1669" s="2">
        <f t="shared" si="1284"/>
        <v>-14970.822348538779</v>
      </c>
      <c r="N1669" s="2">
        <f t="shared" si="1285"/>
        <v>-215883.40259545998</v>
      </c>
      <c r="O1669" s="23">
        <f t="shared" si="1286"/>
        <v>-273.13792955994199</v>
      </c>
      <c r="P1669" s="1">
        <f t="shared" si="1279"/>
        <v>-270.47804478117337</v>
      </c>
      <c r="Q1669" s="1">
        <f t="shared" si="1290"/>
        <v>29.177651461220321</v>
      </c>
      <c r="R1669">
        <f t="shared" si="1295"/>
        <v>0</v>
      </c>
      <c r="S1669" s="23">
        <f t="shared" si="1289"/>
        <v>-3.1379295599420214</v>
      </c>
      <c r="T1669">
        <f>$S1669+測地線補正!$Q$26*(lattice!$N1669/1000)^3+測地線補正!$P$26*(lattice!$N1669/1000)^2+測地線補正!$O$26*(lattice!$N1669/1000)+測地線補正!$N$26</f>
        <v>-0.47804478117337212</v>
      </c>
      <c r="U1669">
        <f t="shared" si="1306"/>
        <v>2.3620405955512218E-5</v>
      </c>
      <c r="V1669">
        <v>0</v>
      </c>
      <c r="W1669">
        <f t="shared" si="1307"/>
        <v>1.5207534149269127E-4</v>
      </c>
      <c r="X1669" t="s">
        <v>3860</v>
      </c>
      <c r="Y1669">
        <f>_xlfn.XLOOKUP($F1669,設計座標!$E$13:$E$2301,設計座標!$L$13:$L$2301," ",0,1)</f>
        <v>1889.4492</v>
      </c>
      <c r="Z1669">
        <f>SQRT(($M$1668-$M$1665)^2+($N$1668-$N$1665)^2)</f>
        <v>2099.3910242762163</v>
      </c>
    </row>
    <row r="1670" spans="1:28">
      <c r="A1670" t="s">
        <v>797</v>
      </c>
      <c r="B1670">
        <v>3</v>
      </c>
      <c r="C1670" t="s">
        <v>1152</v>
      </c>
      <c r="D1670" t="s">
        <v>1152</v>
      </c>
      <c r="E1670" t="s">
        <v>804</v>
      </c>
      <c r="F1670" t="s">
        <v>2165</v>
      </c>
      <c r="G1670" t="s">
        <v>2165</v>
      </c>
      <c r="I1670">
        <f>_xlfn.XLOOKUP($F1670,設計座標!$E$13:$E$2301,設計座標!$G$13:$G$2301,"n/a",0,1)</f>
        <v>480.51223936136932</v>
      </c>
      <c r="J1670">
        <f>_xlfn.XLOOKUP($F1670,設計座標!$E$13:$E$2301,設計座標!$H$13:$H$2301,"n/a",0,1)</f>
        <v>-15000</v>
      </c>
      <c r="K1670">
        <f>_xlfn.XLOOKUP($F1670,設計座標!$E$13:$E$2301,設計座標!$I$13:$I$2301,"n/a",0,1)</f>
        <v>-216035.89849545999</v>
      </c>
      <c r="L1670">
        <f>_xlfn.XLOOKUP($F1670,設計座標!$E$13:$E$2301,設計座標!$J$13:$J$2301,"n/a",0,1)</f>
        <v>-270</v>
      </c>
      <c r="M1670" s="2">
        <f t="shared" si="1284"/>
        <v>-14970.799157672533</v>
      </c>
      <c r="N1670" s="2">
        <f t="shared" si="1285"/>
        <v>-216035.89849545999</v>
      </c>
      <c r="O1670" s="23">
        <f t="shared" si="1286"/>
        <v>-273.14114051085903</v>
      </c>
      <c r="P1670" s="1">
        <f t="shared" si="1279"/>
        <v>-270.48166892114943</v>
      </c>
      <c r="Q1670" s="1">
        <f t="shared" si="1290"/>
        <v>29.200842327467733</v>
      </c>
      <c r="R1670">
        <f t="shared" si="1295"/>
        <v>0</v>
      </c>
      <c r="S1670" s="23">
        <f t="shared" si="1289"/>
        <v>-3.141140510859048</v>
      </c>
      <c r="T1670">
        <f>$S1670+測地線補正!$Q$26*(lattice!$N1670/1000)^3+測地線補正!$P$26*(lattice!$N1670/1000)^2+測地線補正!$O$26*(lattice!$N1670/1000)+測地線補正!$N$26</f>
        <v>-0.48166892114940851</v>
      </c>
      <c r="U1670">
        <v>0</v>
      </c>
      <c r="V1670">
        <v>0</v>
      </c>
      <c r="W1670">
        <v>0</v>
      </c>
      <c r="X1670">
        <f>SQRT(($M$1670-$M$1669)^2+($N$1670-$N$1669)^2)</f>
        <v>152.49590176338845</v>
      </c>
      <c r="Y1670">
        <f>_xlfn.XLOOKUP($F1670,設計座標!$E$13:$E$2301,設計座標!$L$13:$L$2301," ",0,1)</f>
        <v>0</v>
      </c>
      <c r="Z1670">
        <f>SQRT(($M$1670-$M$1668)^2+($N$1670-$N$1668)^2)</f>
        <v>1097.2205126876554</v>
      </c>
    </row>
    <row r="1671" spans="1:28">
      <c r="A1671" t="s">
        <v>797</v>
      </c>
      <c r="B1671">
        <v>3</v>
      </c>
      <c r="C1671" t="s">
        <v>805</v>
      </c>
      <c r="D1671" t="s">
        <v>806</v>
      </c>
      <c r="F1671" t="s">
        <v>428</v>
      </c>
      <c r="G1671" t="s">
        <v>2738</v>
      </c>
      <c r="I1671">
        <f>_xlfn.XLOOKUP($F1671,設計座標!$E$13:$E$2301,設計座標!$G$13:$G$2301,"n/a",0,1)</f>
        <v>480.60954599999997</v>
      </c>
      <c r="J1671">
        <f>_xlfn.XLOOKUP($F1671,設計座標!$E$13:$E$2301,設計座標!$H$13:$H$2301,"n/a",0,1)</f>
        <v>-15000</v>
      </c>
      <c r="K1671">
        <f>_xlfn.XLOOKUP($F1671,設計座標!$E$13:$E$2301,設計座標!$I$13:$I$2301,"n/a",0,1)</f>
        <v>-216244.99532849001</v>
      </c>
      <c r="L1671">
        <f>_xlfn.XLOOKUP($F1671,設計座標!$E$13:$E$2301,設計座標!$J$13:$J$2301,"n/a",0,1)</f>
        <v>-50</v>
      </c>
      <c r="M1671" s="2">
        <f>_xlfn.XLOOKUP($F1671,survey_data!$A$2:$A$833,survey_data!$B$2:$B$833,"n/a",0,1)</f>
        <v>-14970.767359199999</v>
      </c>
      <c r="N1671" s="2">
        <f>_xlfn.XLOOKUP($F1671,survey_data!$A$2:$A$833,survey_data!$C$2:$C$833,"n/a",0,1)</f>
        <v>-216244.99532849001</v>
      </c>
      <c r="O1671" s="23">
        <f>_xlfn.XLOOKUP($F1671,survey_data!$A$2:$A$833,survey_data!$D$2:$D$833,"n/a",0,1)</f>
        <v>-53.145543250000003</v>
      </c>
      <c r="P1671" s="1">
        <f t="shared" si="1279"/>
        <v>-50.486643559140646</v>
      </c>
      <c r="Q1671" s="1">
        <f t="shared" ref="Q1671:Q1713" si="1308">$M1671-$J1671</f>
        <v>29.232640800000809</v>
      </c>
      <c r="R1671">
        <f t="shared" si="1295"/>
        <v>0</v>
      </c>
      <c r="S1671" s="23">
        <f t="shared" ref="S1671:S1713" si="1309">$O1671-$L1671</f>
        <v>-3.1455432500000029</v>
      </c>
      <c r="T1671">
        <f>$S1671+測地線補正!$Q$26*(lattice!$N1671/1000)^3+測地線補正!$P$26*(lattice!$N1671/1000)^2+測地線補正!$O$26*(lattice!$N1671/1000)+測地線補正!$N$26</f>
        <v>-0.48664355914064417</v>
      </c>
      <c r="U1671">
        <f>-ATAN(($P$1673-$P$1671)/ABS($N$1673-$N$1671))</f>
        <v>-3.7602382349887815E-4</v>
      </c>
      <c r="V1671">
        <v>0</v>
      </c>
      <c r="W1671">
        <f>ATAN(($M$1673-$M$1671)/ABS($N$1673-$N$1671))</f>
        <v>-1.0438213479298399E-4</v>
      </c>
      <c r="X1671">
        <f>SQRT(($M$1671-$M$1670)^2+($N$1671-$N$1670)^2)</f>
        <v>209.09683544790565</v>
      </c>
      <c r="Y1671">
        <f>_xlfn.XLOOKUP($F1671,設計座標!$E$13:$E$2301,設計座標!$L$13:$L$2301," ",0,1)</f>
        <v>200</v>
      </c>
      <c r="Z1671">
        <f>SQRT(($M$1672-$M$1670)^2+($N$1672-$N$1670)^2)</f>
        <v>284.08933404129988</v>
      </c>
      <c r="AA1671">
        <f>_xlfn.XLOOKUP($G1671,magnet_list!$A$2:$A$592,magnet_list!$AJ$2:$AJ$592,"n/a",0,1)</f>
        <v>0.21244935000000001</v>
      </c>
      <c r="AB1671">
        <f>_xlfn.XLOOKUP($G1671,magnet_list!$A$2:$A$592,magnet_list!$L$2:$L$592,"n/a",0,1)</f>
        <v>20</v>
      </c>
    </row>
    <row r="1672" spans="1:28">
      <c r="A1672" t="s">
        <v>797</v>
      </c>
      <c r="B1672">
        <v>3</v>
      </c>
      <c r="C1672" t="s">
        <v>805</v>
      </c>
      <c r="D1672" t="s">
        <v>1152</v>
      </c>
      <c r="E1672" t="s">
        <v>804</v>
      </c>
      <c r="F1672" t="s">
        <v>775</v>
      </c>
      <c r="G1672" t="s">
        <v>2738</v>
      </c>
      <c r="I1672">
        <f>_xlfn.XLOOKUP($F1672,設計座標!$E$13:$E$2301,設計座標!$G$13:$G$2301,"n/a",0,1)</f>
        <v>480.68453849999997</v>
      </c>
      <c r="J1672">
        <f>_xlfn.XLOOKUP($F1672,設計座標!$E$13:$E$2301,設計座標!$H$13:$H$2301,"n/a",0,1)</f>
        <v>-15000</v>
      </c>
      <c r="K1672">
        <f>_xlfn.XLOOKUP($F1672,設計座標!$E$13:$E$2301,設計座標!$I$13:$I$2301,"n/a",0,1)</f>
        <v>-216319.98782849</v>
      </c>
      <c r="L1672">
        <f>_xlfn.XLOOKUP($F1672,設計座標!$E$13:$E$2301,設計座標!$J$13:$J$2301,"n/a",0,1)</f>
        <v>-50</v>
      </c>
      <c r="M1672" s="2">
        <f t="shared" si="1284"/>
        <v>-14970.775187077272</v>
      </c>
      <c r="N1672" s="2">
        <f t="shared" si="1285"/>
        <v>-216319.98782849</v>
      </c>
      <c r="O1672" s="23">
        <f t="shared" si="1286"/>
        <v>-53.117137267521656</v>
      </c>
      <c r="P1672" s="1">
        <f t="shared" si="1279"/>
        <v>-50.458444193942249</v>
      </c>
      <c r="Q1672" s="1">
        <f>(Q$1673-Q$1671)/($N$1673-$N$1671)*($N1672-$N$1671)+Q$1671</f>
        <v>29.224812922728916</v>
      </c>
      <c r="R1672">
        <f t="shared" si="1295"/>
        <v>0</v>
      </c>
      <c r="S1672" s="23">
        <f>(S$1673-S$1671)/($N$1673-$N$1671)*($N1672-$N$1671)+S$1671</f>
        <v>-3.1171372675216542</v>
      </c>
      <c r="T1672">
        <f>$S1672+測地線補正!$Q$26*(lattice!$N1672/1000)^3+測地線補正!$P$26*(lattice!$N1672/1000)^2+測地線補正!$O$26*(lattice!$N1672/1000)+測地線補正!$N$26</f>
        <v>-0.45844419394224745</v>
      </c>
      <c r="U1672">
        <f t="shared" ref="U1672:U1673" si="1310">-ATAN(($P$1673-$P$1671)/ABS($N$1673-$N$1671))</f>
        <v>-3.7602382349887815E-4</v>
      </c>
      <c r="V1672">
        <v>0</v>
      </c>
      <c r="W1672">
        <f t="shared" ref="W1672:W1673" si="1311">ATAN(($M$1673-$M$1671)/ABS($N$1673-$N$1671))</f>
        <v>-1.0438213479298399E-4</v>
      </c>
      <c r="X1672" t="s">
        <v>3860</v>
      </c>
      <c r="Y1672">
        <f>_xlfn.XLOOKUP($F1672,設計座標!$E$13:$E$2301,設計座標!$L$13:$L$2301," ",0,1)</f>
        <v>200</v>
      </c>
      <c r="Z1672">
        <f>SQRT(($M$1672-$M$1670)^2+($N$1672-$N$1670)^2)</f>
        <v>284.08933404129988</v>
      </c>
      <c r="AA1672">
        <f>_xlfn.XLOOKUP($G1672,magnet_list!$A$2:$A$592,magnet_list!$AJ$2:$AJ$592,"n/a",0,1)</f>
        <v>0.21244935000000001</v>
      </c>
      <c r="AB1672">
        <f>_xlfn.XLOOKUP($G1672,magnet_list!$A$2:$A$592,magnet_list!$L$2:$L$592,"n/a",0,1)</f>
        <v>20</v>
      </c>
    </row>
    <row r="1673" spans="1:28">
      <c r="A1673" t="s">
        <v>797</v>
      </c>
      <c r="B1673">
        <v>3</v>
      </c>
      <c r="C1673" t="s">
        <v>805</v>
      </c>
      <c r="D1673" t="s">
        <v>806</v>
      </c>
      <c r="F1673" t="s">
        <v>429</v>
      </c>
      <c r="G1673" t="s">
        <v>2738</v>
      </c>
      <c r="I1673">
        <f>_xlfn.XLOOKUP($F1673,設計座標!$E$13:$E$2301,設計座標!$G$13:$G$2301,"n/a",0,1)</f>
        <v>480.75953099999998</v>
      </c>
      <c r="J1673">
        <f>_xlfn.XLOOKUP($F1673,設計座標!$E$13:$E$2301,設計座標!$H$13:$H$2301,"n/a",0,1)</f>
        <v>-15000</v>
      </c>
      <c r="K1673">
        <f>_xlfn.XLOOKUP($F1673,設計座標!$E$13:$E$2301,設計座標!$I$13:$I$2301,"n/a",0,1)</f>
        <v>-216394.98411704</v>
      </c>
      <c r="L1673">
        <f>_xlfn.XLOOKUP($F1673,設計座標!$E$13:$E$2301,設計座標!$J$13:$J$2301,"n/a",0,1)</f>
        <v>-50</v>
      </c>
      <c r="M1673" s="2">
        <f>_xlfn.XLOOKUP($F1673,survey_data!$A$2:$A$833,survey_data!$B$2:$B$833,"n/a",0,1)</f>
        <v>-14970.78301535</v>
      </c>
      <c r="N1673" s="2">
        <f>_xlfn.XLOOKUP($F1673,survey_data!$A$2:$A$833,survey_data!$C$2:$C$833,"n/a",0,1)</f>
        <v>-216394.98411704</v>
      </c>
      <c r="O1673" s="23">
        <f>_xlfn.XLOOKUP($F1673,survey_data!$A$2:$A$833,survey_data!$D$2:$D$833,"n/a",0,1)</f>
        <v>-53.08872985</v>
      </c>
      <c r="P1673" s="1">
        <f t="shared" si="1279"/>
        <v>-50.430244198729937</v>
      </c>
      <c r="Q1673" s="1">
        <f t="shared" si="1308"/>
        <v>29.216984650000086</v>
      </c>
      <c r="R1673">
        <f t="shared" si="1295"/>
        <v>0</v>
      </c>
      <c r="S1673" s="23">
        <f t="shared" si="1309"/>
        <v>-3.08872985</v>
      </c>
      <c r="T1673">
        <f>$S1673+測地線補正!$Q$26*(lattice!$N1673/1000)^3+測地線補正!$P$26*(lattice!$N1673/1000)^2+測地線補正!$O$26*(lattice!$N1673/1000)+測地線補正!$N$26</f>
        <v>-0.43024419872993769</v>
      </c>
      <c r="U1673">
        <f t="shared" si="1310"/>
        <v>-3.7602382349887815E-4</v>
      </c>
      <c r="V1673">
        <v>0</v>
      </c>
      <c r="W1673">
        <f t="shared" si="1311"/>
        <v>-1.0438213479298399E-4</v>
      </c>
      <c r="X1673" t="s">
        <v>3860</v>
      </c>
      <c r="Y1673">
        <f>_xlfn.XLOOKUP($F1673,設計座標!$E$13:$E$2301,設計座標!$L$13:$L$2301," ",0,1)</f>
        <v>200</v>
      </c>
      <c r="Z1673">
        <f>SQRT(($M$1672-$M$1670)^2+($N$1672-$N$1670)^2)</f>
        <v>284.08933404129988</v>
      </c>
      <c r="AA1673">
        <f>_xlfn.XLOOKUP($G1673,magnet_list!$A$2:$A$592,magnet_list!$AJ$2:$AJ$592,"n/a",0,1)</f>
        <v>0.21244935000000001</v>
      </c>
      <c r="AB1673">
        <f>_xlfn.XLOOKUP($G1673,magnet_list!$A$2:$A$592,magnet_list!$L$2:$L$592,"n/a",0,1)</f>
        <v>20</v>
      </c>
    </row>
    <row r="1674" spans="1:28">
      <c r="A1674" t="s">
        <v>797</v>
      </c>
      <c r="B1674">
        <v>3</v>
      </c>
      <c r="C1674" t="s">
        <v>805</v>
      </c>
      <c r="D1674" t="s">
        <v>806</v>
      </c>
      <c r="F1674" t="s">
        <v>430</v>
      </c>
      <c r="G1674" t="s">
        <v>430</v>
      </c>
      <c r="I1674">
        <f>_xlfn.XLOOKUP($F1674,設計座標!$E$13:$E$2301,設計座標!$G$13:$G$2301,"n/a",0,1)</f>
        <v>481.01449999999994</v>
      </c>
      <c r="J1674">
        <f>_xlfn.XLOOKUP($F1674,設計座標!$E$13:$E$2301,設計座標!$H$13:$H$2301,"n/a",0,1)</f>
        <v>-15000</v>
      </c>
      <c r="K1674">
        <f>_xlfn.XLOOKUP($F1674,設計座標!$E$13:$E$2301,設計座標!$I$13:$I$2301,"n/a",0,1)</f>
        <v>-216649.98803440001</v>
      </c>
      <c r="L1674">
        <f>_xlfn.XLOOKUP($F1674,設計座標!$E$13:$E$2301,設計座標!$J$13:$J$2301,"n/a",0,1)</f>
        <v>-90</v>
      </c>
      <c r="M1674" s="2">
        <f>_xlfn.XLOOKUP($F1674,survey_data!$A$2:$A$833,survey_data!$B$2:$B$833,"n/a",0,1)</f>
        <v>-14970.71692092</v>
      </c>
      <c r="N1674" s="2">
        <f>_xlfn.XLOOKUP($F1674,survey_data!$A$2:$A$833,survey_data!$C$2:$C$833,"n/a",0,1)</f>
        <v>-216649.98803440001</v>
      </c>
      <c r="O1674" s="23">
        <f>_xlfn.XLOOKUP($F1674,survey_data!$A$2:$A$833,survey_data!$D$2:$D$833,"n/a",0,1)</f>
        <v>-93.14217936</v>
      </c>
      <c r="P1674" s="1">
        <f t="shared" si="1279"/>
        <v>-90.484404930069445</v>
      </c>
      <c r="Q1674" s="1">
        <f t="shared" si="1308"/>
        <v>29.283079079999879</v>
      </c>
      <c r="R1674">
        <f t="shared" si="1295"/>
        <v>0</v>
      </c>
      <c r="S1674" s="23">
        <f t="shared" si="1309"/>
        <v>-3.1421793600000001</v>
      </c>
      <c r="T1674">
        <f>$S1674+測地線補正!$Q$26*(lattice!$N1674/1000)^3+測地線補正!$P$26*(lattice!$N1674/1000)^2+測地線補正!$O$26*(lattice!$N1674/1000)+測地線補正!$N$26</f>
        <v>-0.48440493006945062</v>
      </c>
      <c r="U1674">
        <v>0</v>
      </c>
      <c r="V1674">
        <v>0</v>
      </c>
      <c r="W1674">
        <v>0</v>
      </c>
      <c r="X1674">
        <f>$Z$1675-($Y$1675+$Y$1672)/2</f>
        <v>190.00021105386088</v>
      </c>
      <c r="Y1674">
        <f>_xlfn.XLOOKUP($F1674,設計座標!$E$13:$E$2301,設計座標!$L$13:$L$2301," ",0,1)</f>
        <v>80</v>
      </c>
      <c r="Z1674">
        <f>SQRT(($M$1675-$M$1672)^2+($N$1675-$N$1672)^2)</f>
        <v>330.00021105386088</v>
      </c>
      <c r="AA1674">
        <f>_xlfn.XLOOKUP($G1674,magnet_list!$A$2:$A$592,magnet_list!$AJ$2:$AJ$592,"n/a",0,1)</f>
        <v>0.1074008800631841</v>
      </c>
      <c r="AB1674">
        <f>_xlfn.XLOOKUP($G1674,magnet_list!$A$2:$A$592,magnet_list!$L$2:$L$592,"n/a",0,1)</f>
        <v>20</v>
      </c>
    </row>
    <row r="1675" spans="1:28">
      <c r="A1675" t="s">
        <v>797</v>
      </c>
      <c r="B1675">
        <v>3</v>
      </c>
      <c r="C1675" t="s">
        <v>805</v>
      </c>
      <c r="D1675" t="s">
        <v>1152</v>
      </c>
      <c r="E1675" t="s">
        <v>804</v>
      </c>
      <c r="F1675" t="s">
        <v>1897</v>
      </c>
      <c r="G1675" t="s">
        <v>430</v>
      </c>
      <c r="I1675">
        <f>_xlfn.XLOOKUP($F1675,設計座標!$E$13:$E$2301,設計座標!$G$13:$G$2301,"n/a",0,1)</f>
        <v>481.01449999999994</v>
      </c>
      <c r="J1675">
        <f>_xlfn.XLOOKUP($F1675,設計座標!$E$13:$E$2301,設計座標!$H$13:$H$2301,"n/a",0,1)</f>
        <v>-15000</v>
      </c>
      <c r="K1675">
        <f>_xlfn.XLOOKUP($F1675,設計座標!$E$13:$E$2301,設計座標!$I$13:$I$2301,"n/a",0,1)</f>
        <v>-216649.98803440001</v>
      </c>
      <c r="L1675">
        <f>_xlfn.XLOOKUP($F1675,設計座標!$E$13:$E$2301,設計座標!$J$13:$J$2301,"n/a",0,1)</f>
        <v>-90</v>
      </c>
      <c r="M1675" s="2">
        <f t="shared" ref="M1675:M1711" si="1312">$J1675+$Q1675</f>
        <v>-14970.71692092</v>
      </c>
      <c r="N1675" s="2">
        <f t="shared" ref="N1675:N1711" si="1313">$K1675</f>
        <v>-216649.98803440001</v>
      </c>
      <c r="O1675" s="23">
        <f t="shared" ref="O1675:O1711" si="1314">$L1675+$S1675</f>
        <v>-93.14217936</v>
      </c>
      <c r="P1675" s="1">
        <f t="shared" si="1279"/>
        <v>-90.484404930069445</v>
      </c>
      <c r="Q1675" s="1">
        <f>(Q$1678-Q$1674)/($N$1678-$N$1674)*($N1675-$N$1674)+Q$1674</f>
        <v>29.283079079999879</v>
      </c>
      <c r="R1675">
        <f t="shared" si="1295"/>
        <v>0</v>
      </c>
      <c r="S1675" s="23">
        <f t="shared" ref="S1675:S1677" si="1315">(S$1678-S$1674)/($N$1678-$N$1674)*($N1675-$N$1674)+S$1674</f>
        <v>-3.1421793600000001</v>
      </c>
      <c r="T1675">
        <f>$S1675+測地線補正!$Q$26*(lattice!$N1675/1000)^3+測地線補正!$P$26*(lattice!$N1675/1000)^2+測地線補正!$O$26*(lattice!$N1675/1000)+測地線補正!$N$26</f>
        <v>-0.48440493006945062</v>
      </c>
      <c r="U1675">
        <v>0</v>
      </c>
      <c r="V1675">
        <v>0</v>
      </c>
      <c r="W1675">
        <v>0</v>
      </c>
      <c r="X1675">
        <f>$Z$1675-($Y$1675+$Y$1672)/2</f>
        <v>190.00021105386088</v>
      </c>
      <c r="Y1675">
        <f>_xlfn.XLOOKUP($F1675,設計座標!$E$13:$E$2301,設計座標!$L$13:$L$2301," ",0,1)</f>
        <v>80</v>
      </c>
      <c r="Z1675">
        <f>SQRT(($M$1675-$M$1672)^2+($N$1675-$N$1672)^2)</f>
        <v>330.00021105386088</v>
      </c>
      <c r="AA1675">
        <f>_xlfn.XLOOKUP($G1675,magnet_list!$A$2:$A$592,magnet_list!$AJ$2:$AJ$592,"n/a",0,1)</f>
        <v>0.1074008800631841</v>
      </c>
      <c r="AB1675">
        <f>_xlfn.XLOOKUP($G1675,magnet_list!$A$2:$A$592,magnet_list!$L$2:$L$592,"n/a",0,1)</f>
        <v>20</v>
      </c>
    </row>
    <row r="1676" spans="1:28">
      <c r="A1676" t="s">
        <v>797</v>
      </c>
      <c r="B1676">
        <v>3</v>
      </c>
      <c r="C1676" t="s">
        <v>805</v>
      </c>
      <c r="D1676" t="s">
        <v>806</v>
      </c>
      <c r="F1676" t="s">
        <v>776</v>
      </c>
      <c r="G1676" t="s">
        <v>776</v>
      </c>
      <c r="I1676">
        <f>_xlfn.XLOOKUP($F1676,設計座標!$E$13:$E$2301,設計座標!$G$13:$G$2301,"n/a",0,1)</f>
        <v>481.21451599999995</v>
      </c>
      <c r="J1676">
        <f>_xlfn.XLOOKUP($F1676,設計座標!$E$13:$E$2301,設計座標!$H$13:$H$2301,"n/a",0,1)</f>
        <v>-15000</v>
      </c>
      <c r="K1676">
        <f>_xlfn.XLOOKUP($F1676,設計座標!$E$13:$E$2301,設計座標!$I$13:$I$2301,"n/a",0,1)</f>
        <v>-216850.00403440002</v>
      </c>
      <c r="L1676">
        <f>_xlfn.XLOOKUP($F1676,設計座標!$E$13:$E$2301,設計座標!$J$13:$J$2301,"n/a",0,1)</f>
        <v>-90</v>
      </c>
      <c r="M1676" s="2">
        <f t="shared" si="1312"/>
        <v>-14970.678916871168</v>
      </c>
      <c r="N1676" s="2">
        <f t="shared" si="1313"/>
        <v>-216850.00403440002</v>
      </c>
      <c r="O1676" s="23">
        <f t="shared" si="1314"/>
        <v>-93.070780335205313</v>
      </c>
      <c r="P1676" s="1">
        <f t="shared" si="1279"/>
        <v>-90.413570179397908</v>
      </c>
      <c r="Q1676" s="1">
        <f t="shared" ref="Q1676:Q1677" si="1316">(Q$1678-Q$1674)/($N$1678-$N$1674)*($N1676-$N$1674)+Q$1674</f>
        <v>29.321083128832896</v>
      </c>
      <c r="R1676">
        <f t="shared" si="1295"/>
        <v>0</v>
      </c>
      <c r="S1676" s="23">
        <f t="shared" si="1315"/>
        <v>-3.0707803352053133</v>
      </c>
      <c r="T1676">
        <f>$S1676+測地線補正!$Q$26*(lattice!$N1676/1000)^3+測地線補正!$P$26*(lattice!$N1676/1000)^2+測地線補正!$O$26*(lattice!$N1676/1000)+測地線補正!$N$26</f>
        <v>-0.4135701793979083</v>
      </c>
      <c r="U1676">
        <v>0</v>
      </c>
      <c r="V1676">
        <v>0</v>
      </c>
      <c r="W1676">
        <v>0</v>
      </c>
      <c r="X1676">
        <f>$Z$1677-($Y$1677+$Y$1675)/2</f>
        <v>120.01600361048372</v>
      </c>
      <c r="Y1676">
        <f>_xlfn.XLOOKUP($F1676,設計座標!$E$13:$E$2301,設計座標!$L$13:$L$2301," ",0,1)</f>
        <v>80</v>
      </c>
      <c r="Z1676">
        <f>SQRT(($M$1677-$M$1675)^2+($N$1677-$N$1675)^2)</f>
        <v>200.01600361048372</v>
      </c>
      <c r="AA1676">
        <f>_xlfn.XLOOKUP($G1676,magnet_list!$A$2:$A$592,magnet_list!$AJ$2:$AJ$592,"n/a",0,1)</f>
        <v>0.1074008800631841</v>
      </c>
      <c r="AB1676">
        <f>_xlfn.XLOOKUP($G1676,magnet_list!$A$2:$A$592,magnet_list!$L$2:$L$592,"n/a",0,1)</f>
        <v>20</v>
      </c>
    </row>
    <row r="1677" spans="1:28">
      <c r="A1677" t="s">
        <v>797</v>
      </c>
      <c r="B1677">
        <v>3</v>
      </c>
      <c r="C1677" t="s">
        <v>805</v>
      </c>
      <c r="D1677" t="s">
        <v>1152</v>
      </c>
      <c r="E1677" t="s">
        <v>804</v>
      </c>
      <c r="F1677" t="s">
        <v>1898</v>
      </c>
      <c r="G1677" t="s">
        <v>776</v>
      </c>
      <c r="I1677">
        <f>_xlfn.XLOOKUP($F1677,設計座標!$E$13:$E$2301,設計座標!$G$13:$G$2301,"n/a",0,1)</f>
        <v>481.21451599999995</v>
      </c>
      <c r="J1677">
        <f>_xlfn.XLOOKUP($F1677,設計座標!$E$13:$E$2301,設計座標!$H$13:$H$2301,"n/a",0,1)</f>
        <v>-15000</v>
      </c>
      <c r="K1677">
        <f>_xlfn.XLOOKUP($F1677,設計座標!$E$13:$E$2301,設計座標!$I$13:$I$2301,"n/a",0,1)</f>
        <v>-216850.00403440002</v>
      </c>
      <c r="L1677">
        <f>_xlfn.XLOOKUP($F1677,設計座標!$E$13:$E$2301,設計座標!$J$13:$J$2301,"n/a",0,1)</f>
        <v>-90</v>
      </c>
      <c r="M1677" s="2">
        <f t="shared" si="1312"/>
        <v>-14970.678916871168</v>
      </c>
      <c r="N1677" s="2">
        <f t="shared" si="1313"/>
        <v>-216850.00403440002</v>
      </c>
      <c r="O1677" s="23">
        <f t="shared" si="1314"/>
        <v>-93.070780335205313</v>
      </c>
      <c r="P1677" s="1">
        <f t="shared" si="1279"/>
        <v>-90.413570179397908</v>
      </c>
      <c r="Q1677" s="1">
        <f t="shared" si="1316"/>
        <v>29.321083128832896</v>
      </c>
      <c r="R1677">
        <f t="shared" si="1295"/>
        <v>0</v>
      </c>
      <c r="S1677" s="23">
        <f t="shared" si="1315"/>
        <v>-3.0707803352053133</v>
      </c>
      <c r="T1677">
        <f>$S1677+測地線補正!$Q$26*(lattice!$N1677/1000)^3+測地線補正!$P$26*(lattice!$N1677/1000)^2+測地線補正!$O$26*(lattice!$N1677/1000)+測地線補正!$N$26</f>
        <v>-0.4135701793979083</v>
      </c>
      <c r="U1677">
        <v>0</v>
      </c>
      <c r="V1677">
        <v>0</v>
      </c>
      <c r="W1677">
        <v>0</v>
      </c>
      <c r="X1677">
        <f>$Z$1677-($Y$1677+$Y$1675)/2</f>
        <v>120.01600361048372</v>
      </c>
      <c r="Y1677">
        <f>_xlfn.XLOOKUP($F1677,設計座標!$E$13:$E$2301,設計座標!$L$13:$L$2301," ",0,1)</f>
        <v>80</v>
      </c>
      <c r="Z1677">
        <f>SQRT(($M$1677-$M$1675)^2+($N$1677-$N$1675)^2)</f>
        <v>200.01600361048372</v>
      </c>
      <c r="AA1677">
        <f>_xlfn.XLOOKUP($G1677,magnet_list!$A$2:$A$592,magnet_list!$AJ$2:$AJ$592,"n/a",0,1)</f>
        <v>0.1074008800631841</v>
      </c>
      <c r="AB1677">
        <f>_xlfn.XLOOKUP($G1677,magnet_list!$A$2:$A$592,magnet_list!$L$2:$L$592,"n/a",0,1)</f>
        <v>20</v>
      </c>
    </row>
    <row r="1678" spans="1:28">
      <c r="A1678" t="s">
        <v>797</v>
      </c>
      <c r="B1678">
        <v>3</v>
      </c>
      <c r="C1678" t="s">
        <v>805</v>
      </c>
      <c r="D1678" t="s">
        <v>806</v>
      </c>
      <c r="F1678" t="s">
        <v>431</v>
      </c>
      <c r="G1678" t="s">
        <v>2739</v>
      </c>
      <c r="I1678">
        <f>_xlfn.XLOOKUP($F1678,設計座標!$E$13:$E$2301,設計座標!$G$13:$G$2301,"n/a",0,1)</f>
        <v>481.46940499999999</v>
      </c>
      <c r="J1678">
        <f>_xlfn.XLOOKUP($F1678,設計座標!$E$13:$E$2301,設計座標!$H$13:$H$2301,"n/a",0,1)</f>
        <v>-15000</v>
      </c>
      <c r="K1678">
        <f>_xlfn.XLOOKUP($F1678,設計座標!$E$13:$E$2301,設計座標!$I$13:$I$2301,"n/a",0,1)</f>
        <v>-217104.87685361001</v>
      </c>
      <c r="L1678">
        <f>_xlfn.XLOOKUP($F1678,設計座標!$E$13:$E$2301,設計座標!$J$13:$J$2301,"n/a",0,1)</f>
        <v>-50</v>
      </c>
      <c r="M1678" s="2">
        <f>_xlfn.XLOOKUP($F1678,survey_data!$A$2:$A$833,survey_data!$B$2:$B$833,"n/a",0,1)</f>
        <v>-14970.630489749999</v>
      </c>
      <c r="N1678" s="2">
        <f>_xlfn.XLOOKUP($F1678,survey_data!$A$2:$A$833,survey_data!$C$2:$C$833,"n/a",0,1)</f>
        <v>-217104.87685361001</v>
      </c>
      <c r="O1678" s="23">
        <f>_xlfn.XLOOKUP($F1678,survey_data!$A$2:$A$833,survey_data!$D$2:$D$833,"n/a",0,1)</f>
        <v>-52.97979926</v>
      </c>
      <c r="P1678" s="1">
        <f t="shared" si="1279"/>
        <v>-50.323316301291094</v>
      </c>
      <c r="Q1678" s="1">
        <f t="shared" si="1308"/>
        <v>29.369510250000531</v>
      </c>
      <c r="R1678">
        <f t="shared" si="1295"/>
        <v>0</v>
      </c>
      <c r="S1678" s="23">
        <f t="shared" si="1309"/>
        <v>-2.9797992600000001</v>
      </c>
      <c r="T1678">
        <f>$S1678+測地線補正!$Q$26*(lattice!$N1678/1000)^3+測地線補正!$P$26*(lattice!$N1678/1000)^2+測地線補正!$O$26*(lattice!$N1678/1000)+測地線補正!$N$26</f>
        <v>-0.32331630129109379</v>
      </c>
      <c r="U1678">
        <f>-ATAN(($P$1680-$P$1678)/ABS($N$1680-$N$1678))</f>
        <v>1.4385663569369602E-4</v>
      </c>
      <c r="V1678">
        <v>0</v>
      </c>
      <c r="W1678">
        <f>ATAN(($M$1680-$M$1678)/ABS($N$1680-$N$1678))</f>
        <v>-3.5649752813037145E-5</v>
      </c>
      <c r="X1678">
        <f>$Z$1679-($Y$1679+$Y$1677)/2</f>
        <v>189.87882238290138</v>
      </c>
      <c r="Y1678">
        <f>_xlfn.XLOOKUP($F1678,設計座標!$E$13:$E$2301,設計座標!$L$13:$L$2301," ",0,1)</f>
        <v>200</v>
      </c>
      <c r="Z1678">
        <f>SQRT(($M$1679-$M$1677)^2+($N$1679-$N$1677)^2)</f>
        <v>329.87882238290138</v>
      </c>
      <c r="AA1678">
        <f>_xlfn.XLOOKUP($G1678,magnet_list!$A$2:$A$592,magnet_list!$AJ$2:$AJ$592,"n/a",0,1)</f>
        <v>0.21244935000000001</v>
      </c>
      <c r="AB1678">
        <f>_xlfn.XLOOKUP($G1678,magnet_list!$A$2:$A$592,magnet_list!$L$2:$L$592,"n/a",0,1)</f>
        <v>20</v>
      </c>
    </row>
    <row r="1679" spans="1:28">
      <c r="A1679" t="s">
        <v>797</v>
      </c>
      <c r="B1679">
        <v>3</v>
      </c>
      <c r="C1679" t="s">
        <v>805</v>
      </c>
      <c r="D1679" t="s">
        <v>1152</v>
      </c>
      <c r="E1679" t="s">
        <v>804</v>
      </c>
      <c r="F1679" t="s">
        <v>777</v>
      </c>
      <c r="G1679" t="s">
        <v>2739</v>
      </c>
      <c r="I1679">
        <f>_xlfn.XLOOKUP($F1679,設計座標!$E$13:$E$2301,設計座標!$G$13:$G$2301,"n/a",0,1)</f>
        <v>481.54441099999997</v>
      </c>
      <c r="J1679">
        <f>_xlfn.XLOOKUP($F1679,設計座標!$E$13:$E$2301,設計座標!$H$13:$H$2301,"n/a",0,1)</f>
        <v>-15000</v>
      </c>
      <c r="K1679">
        <f>_xlfn.XLOOKUP($F1679,設計座標!$E$13:$E$2301,設計座標!$I$13:$I$2301,"n/a",0,1)</f>
        <v>-217179.88285361</v>
      </c>
      <c r="L1679">
        <f>_xlfn.XLOOKUP($F1679,設計座標!$E$13:$E$2301,設計座標!$J$13:$J$2301,"n/a",0,1)</f>
        <v>-50</v>
      </c>
      <c r="M1679" s="2">
        <f t="shared" si="1312"/>
        <v>-14970.63316369536</v>
      </c>
      <c r="N1679" s="2">
        <f t="shared" si="1313"/>
        <v>-217179.88285361</v>
      </c>
      <c r="O1679" s="23">
        <f t="shared" si="1314"/>
        <v>-52.990373229604124</v>
      </c>
      <c r="P1679" s="1">
        <f t="shared" si="1279"/>
        <v>-50.334106016754852</v>
      </c>
      <c r="Q1679" s="1">
        <f>(Q$1680-Q$1678)/($N$1680-$N$1678)*($N1679-$N$1678)+Q$1678</f>
        <v>29.366836304639904</v>
      </c>
      <c r="R1679">
        <f t="shared" si="1295"/>
        <v>0</v>
      </c>
      <c r="S1679" s="23">
        <f>(S$1680-S$1678)/($N$1680-$N$1678)*($N1679-$N$1678)+S$1678</f>
        <v>-2.9903732296041232</v>
      </c>
      <c r="T1679">
        <f>$S1679+測地線補正!$Q$26*(lattice!$N1679/1000)^3+測地線補正!$P$26*(lattice!$N1679/1000)^2+測地線補正!$O$26*(lattice!$N1679/1000)+測地線補正!$N$26</f>
        <v>-0.33410601675485219</v>
      </c>
      <c r="U1679">
        <f t="shared" ref="U1679:U1680" si="1317">-ATAN(($P$1680-$P$1678)/ABS($N$1680-$N$1678))</f>
        <v>1.4385663569369602E-4</v>
      </c>
      <c r="V1679">
        <v>0</v>
      </c>
      <c r="W1679">
        <f t="shared" ref="W1679:W1680" si="1318">ATAN(($M$1680-$M$1678)/ABS($N$1680-$N$1678))</f>
        <v>-3.5649752813037145E-5</v>
      </c>
      <c r="X1679">
        <f>$Z$1679-($Y$1679+$Y$1677)/2</f>
        <v>189.87882238290138</v>
      </c>
      <c r="Y1679">
        <f>_xlfn.XLOOKUP($F1679,設計座標!$E$13:$E$2301,設計座標!$L$13:$L$2301," ",0,1)</f>
        <v>200</v>
      </c>
      <c r="Z1679">
        <f>SQRT(($M$1679-$M$1677)^2+($N$1679-$N$1677)^2)</f>
        <v>329.87882238290138</v>
      </c>
      <c r="AA1679">
        <f>_xlfn.XLOOKUP($G1679,magnet_list!$A$2:$A$592,magnet_list!$AJ$2:$AJ$592,"n/a",0,1)</f>
        <v>0.21244935000000001</v>
      </c>
      <c r="AB1679">
        <f>_xlfn.XLOOKUP($G1679,magnet_list!$A$2:$A$592,magnet_list!$L$2:$L$592,"n/a",0,1)</f>
        <v>20</v>
      </c>
    </row>
    <row r="1680" spans="1:28">
      <c r="A1680" t="s">
        <v>797</v>
      </c>
      <c r="B1680">
        <v>3</v>
      </c>
      <c r="C1680" t="s">
        <v>805</v>
      </c>
      <c r="D1680" t="s">
        <v>806</v>
      </c>
      <c r="F1680" t="s">
        <v>432</v>
      </c>
      <c r="G1680" t="s">
        <v>2739</v>
      </c>
      <c r="I1680">
        <f>_xlfn.XLOOKUP($F1680,設計座標!$E$13:$E$2301,設計座標!$G$13:$G$2301,"n/a",0,1)</f>
        <v>481.61941699999994</v>
      </c>
      <c r="J1680">
        <f>_xlfn.XLOOKUP($F1680,設計座標!$E$13:$E$2301,設計座標!$H$13:$H$2301,"n/a",0,1)</f>
        <v>-15000</v>
      </c>
      <c r="K1680">
        <f>_xlfn.XLOOKUP($F1680,設計座標!$E$13:$E$2301,設計座標!$I$13:$I$2301,"n/a",0,1)</f>
        <v>-217254.88658932</v>
      </c>
      <c r="L1680">
        <f>_xlfn.XLOOKUP($F1680,設計座標!$E$13:$E$2301,設計座標!$J$13:$J$2301,"n/a",0,1)</f>
        <v>-50</v>
      </c>
      <c r="M1680" s="2">
        <f>_xlfn.XLOOKUP($F1680,survey_data!$A$2:$A$833,survey_data!$B$2:$B$833,"n/a",0,1)</f>
        <v>-14970.635837559999</v>
      </c>
      <c r="N1680" s="2">
        <f>_xlfn.XLOOKUP($F1680,survey_data!$A$2:$A$833,survey_data!$C$2:$C$833,"n/a",0,1)</f>
        <v>-217254.88658932</v>
      </c>
      <c r="O1680" s="23">
        <f>_xlfn.XLOOKUP($F1680,survey_data!$A$2:$A$833,survey_data!$D$2:$D$833,"n/a",0,1)</f>
        <v>-53.000946880000001</v>
      </c>
      <c r="P1680" s="1">
        <f t="shared" si="1279"/>
        <v>-50.344896197340496</v>
      </c>
      <c r="Q1680" s="1">
        <f t="shared" si="1308"/>
        <v>29.364162440000655</v>
      </c>
      <c r="R1680">
        <f t="shared" si="1295"/>
        <v>0</v>
      </c>
      <c r="S1680" s="23">
        <f t="shared" si="1309"/>
        <v>-3.0009468800000008</v>
      </c>
      <c r="T1680">
        <f>$S1680+測地線補正!$Q$26*(lattice!$N1680/1000)^3+測地線補正!$P$26*(lattice!$N1680/1000)^2+測地線補正!$O$26*(lattice!$N1680/1000)+測地線補正!$N$26</f>
        <v>-0.34489619734049826</v>
      </c>
      <c r="U1680">
        <f t="shared" si="1317"/>
        <v>1.4385663569369602E-4</v>
      </c>
      <c r="V1680">
        <v>0</v>
      </c>
      <c r="W1680">
        <f t="shared" si="1318"/>
        <v>-3.5649752813037145E-5</v>
      </c>
      <c r="X1680">
        <f>$Z$1679-($Y$1679+$Y$1677)/2</f>
        <v>189.87882238290138</v>
      </c>
      <c r="Y1680">
        <f>_xlfn.XLOOKUP($F1680,設計座標!$E$13:$E$2301,設計座標!$L$13:$L$2301," ",0,1)</f>
        <v>200</v>
      </c>
      <c r="Z1680">
        <f>SQRT(($M$1679-$M$1677)^2+($N$1679-$N$1677)^2)</f>
        <v>329.87882238290138</v>
      </c>
      <c r="AA1680">
        <f>_xlfn.XLOOKUP($G1680,magnet_list!$A$2:$A$592,magnet_list!$AJ$2:$AJ$592,"n/a",0,1)</f>
        <v>0.21244935000000001</v>
      </c>
      <c r="AB1680">
        <f>_xlfn.XLOOKUP($G1680,magnet_list!$A$2:$A$592,magnet_list!$L$2:$L$592,"n/a",0,1)</f>
        <v>20</v>
      </c>
    </row>
    <row r="1681" spans="1:26">
      <c r="A1681" t="s">
        <v>797</v>
      </c>
      <c r="B1681">
        <v>3</v>
      </c>
      <c r="C1681" t="s">
        <v>1152</v>
      </c>
      <c r="D1681" t="s">
        <v>1152</v>
      </c>
      <c r="E1681" t="s">
        <v>804</v>
      </c>
      <c r="F1681" t="s">
        <v>2166</v>
      </c>
      <c r="G1681" t="s">
        <v>2166</v>
      </c>
      <c r="I1681">
        <f>_xlfn.XLOOKUP($F1681,設計座標!$E$13:$E$2301,設計座標!$G$13:$G$2301,"n/a",0,1)</f>
        <v>483.62075206136933</v>
      </c>
      <c r="J1681">
        <f>_xlfn.XLOOKUP($F1681,設計座標!$E$13:$E$2301,設計座標!$H$13:$H$2301,"n/a",0,1)</f>
        <v>-15000</v>
      </c>
      <c r="K1681">
        <f>_xlfn.XLOOKUP($F1681,設計座標!$E$13:$E$2301,設計座標!$I$13:$I$2301,"n/a",0,1)</f>
        <v>-219144.41119545998</v>
      </c>
      <c r="L1681">
        <f>_xlfn.XLOOKUP($F1681,設計座標!$E$13:$E$2301,設計座標!$J$13:$J$2301,"n/a",0,1)</f>
        <v>-270</v>
      </c>
      <c r="M1681" s="2">
        <f t="shared" si="1312"/>
        <v>-14970.42078825146</v>
      </c>
      <c r="N1681" s="2">
        <f t="shared" si="1313"/>
        <v>-219144.41119545998</v>
      </c>
      <c r="O1681" s="23">
        <f t="shared" si="1314"/>
        <v>-272.927918576244</v>
      </c>
      <c r="P1681" s="1">
        <f t="shared" si="1279"/>
        <v>-270.277582697833</v>
      </c>
      <c r="Q1681" s="1">
        <f>(Q$1710-Q$1680)/($N$1710-$N$1680)*($N1681-$N$1680)+Q$1680</f>
        <v>29.579211748539976</v>
      </c>
      <c r="R1681">
        <f t="shared" si="1295"/>
        <v>0</v>
      </c>
      <c r="S1681" s="23">
        <f t="shared" ref="S1681:S1709" si="1319">(S$1710-S$1680)/($N$1710-$N$1680)*($N1681-$N$1680)+S$1680</f>
        <v>-2.9279185762439894</v>
      </c>
      <c r="T1681">
        <f>$S1681+測地線補正!$Q$26*(lattice!$N1681/1000)^3+測地線補正!$P$26*(lattice!$N1681/1000)^2+測地線補正!$O$26*(lattice!$N1681/1000)+測地線補正!$N$26</f>
        <v>-0.27758269783301537</v>
      </c>
      <c r="U1681">
        <v>0</v>
      </c>
      <c r="V1681">
        <v>0</v>
      </c>
      <c r="W1681">
        <v>0</v>
      </c>
      <c r="X1681">
        <f>$Z$1681-($Y$1681+$Y$1679)/2</f>
        <v>1864.5283533294044</v>
      </c>
      <c r="Y1681">
        <f>_xlfn.XLOOKUP($F1681,設計座標!$E$13:$E$2301,設計座標!$L$13:$L$2301," ",0,1)</f>
        <v>0</v>
      </c>
      <c r="Z1681">
        <f>SQRT(($M$1681-$M$1679)^2+($N$1681-$N$1679)^2)</f>
        <v>1964.5283533294044</v>
      </c>
    </row>
    <row r="1682" spans="1:26">
      <c r="A1682" t="s">
        <v>797</v>
      </c>
      <c r="B1682">
        <v>4</v>
      </c>
      <c r="C1682" t="s">
        <v>2288</v>
      </c>
      <c r="D1682" t="s">
        <v>1152</v>
      </c>
      <c r="E1682" t="s">
        <v>804</v>
      </c>
      <c r="F1682" t="s">
        <v>2294</v>
      </c>
      <c r="G1682" t="s">
        <v>2294</v>
      </c>
      <c r="I1682">
        <f>_xlfn.XLOOKUP($F1682,設計座標!$E$13:$E$2301,設計座標!$G$13:$G$2301,"n/a",0,1)</f>
        <v>484.57675206136935</v>
      </c>
      <c r="J1682">
        <f>_xlfn.XLOOKUP($F1682,設計座標!$E$13:$E$2301,設計座標!$H$13:$H$2301,"n/a",0,1)</f>
        <v>-15000</v>
      </c>
      <c r="K1682">
        <f>_xlfn.XLOOKUP($F1682,設計座標!$E$13:$E$2301,設計座標!$I$13:$I$2301,"n/a",0,1)</f>
        <v>-220100.41119545998</v>
      </c>
      <c r="L1682">
        <f>_xlfn.XLOOKUP($F1682,設計座標!$E$13:$E$2301,設計座標!$J$13:$J$2301,"n/a",0,1)</f>
        <v>-270</v>
      </c>
      <c r="M1682" s="2">
        <f t="shared" si="1312"/>
        <v>-14970.311984619957</v>
      </c>
      <c r="N1682" s="2">
        <f t="shared" si="1313"/>
        <v>-220100.41119545998</v>
      </c>
      <c r="O1682" s="23">
        <f t="shared" si="1314"/>
        <v>-272.89097009821734</v>
      </c>
      <c r="P1682" s="1">
        <f t="shared" si="1279"/>
        <v>-270.24371498819903</v>
      </c>
      <c r="Q1682" s="1">
        <f t="shared" ref="Q1682:Q1709" si="1320">(Q$1710-Q$1680)/($N$1710-$N$1680)*($N1682-$N$1680)+Q$1680</f>
        <v>29.688015380043659</v>
      </c>
      <c r="R1682">
        <f t="shared" si="1295"/>
        <v>0</v>
      </c>
      <c r="S1682" s="23">
        <f t="shared" si="1319"/>
        <v>-2.8909700982173554</v>
      </c>
      <c r="T1682">
        <f>$S1682+測地線補正!$Q$26*(lattice!$N1682/1000)^3+測地線補正!$P$26*(lattice!$N1682/1000)^2+測地線補正!$O$26*(lattice!$N1682/1000)+測地線補正!$N$26</f>
        <v>-0.24371498819900261</v>
      </c>
      <c r="U1682">
        <v>0</v>
      </c>
      <c r="V1682">
        <v>0</v>
      </c>
      <c r="W1682">
        <v>0</v>
      </c>
      <c r="X1682">
        <f>$Z$1682-($Y$1682+$Y$1681)/2</f>
        <v>956.00000619154298</v>
      </c>
      <c r="Y1682">
        <f>_xlfn.XLOOKUP($F1682,設計座標!$E$13:$E$2301,設計座標!$L$13:$L$2301," ",0,1)</f>
        <v>0</v>
      </c>
      <c r="Z1682">
        <f>SQRT(($M$1682-$M$1681)^2+($N$1682-$N$1681)^2)</f>
        <v>956.00000619154298</v>
      </c>
    </row>
    <row r="1683" spans="1:26">
      <c r="A1683" t="s">
        <v>797</v>
      </c>
      <c r="B1683">
        <v>4</v>
      </c>
      <c r="C1683" t="s">
        <v>804</v>
      </c>
      <c r="D1683" t="s">
        <v>1152</v>
      </c>
      <c r="E1683" t="s">
        <v>804</v>
      </c>
      <c r="F1683" t="s">
        <v>1710</v>
      </c>
      <c r="G1683" t="s">
        <v>2740</v>
      </c>
      <c r="I1683">
        <f>_xlfn.XLOOKUP($F1683,設計座標!$E$13:$E$2301,設計座標!$G$13:$G$2301,"n/a",0,1)</f>
        <v>484.75722126136941</v>
      </c>
      <c r="J1683">
        <f>_xlfn.XLOOKUP($F1683,設計座標!$E$13:$E$2301,設計座標!$H$13:$H$2301,"n/a",0,1)</f>
        <v>-15000</v>
      </c>
      <c r="K1683">
        <f>_xlfn.XLOOKUP($F1683,設計座標!$E$13:$E$2301,設計座標!$I$13:$I$2301,"n/a",0,1)</f>
        <v>-220280.88039546</v>
      </c>
      <c r="L1683">
        <f>_xlfn.XLOOKUP($F1683,設計座標!$E$13:$E$2301,設計座標!$J$13:$J$2301,"n/a",0,1)</f>
        <v>-270</v>
      </c>
      <c r="M1683" s="2">
        <f t="shared" si="1312"/>
        <v>-14970.291445180275</v>
      </c>
      <c r="N1683" s="2">
        <f t="shared" si="1313"/>
        <v>-220280.88039546</v>
      </c>
      <c r="O1683" s="23">
        <f t="shared" si="1314"/>
        <v>-272.88399513768314</v>
      </c>
      <c r="P1683" s="1">
        <f t="shared" si="1279"/>
        <v>-270.23733579458371</v>
      </c>
      <c r="Q1683" s="1">
        <f t="shared" si="1320"/>
        <v>29.708554819724167</v>
      </c>
      <c r="R1683">
        <f t="shared" si="1295"/>
        <v>0</v>
      </c>
      <c r="S1683" s="23">
        <f t="shared" si="1319"/>
        <v>-2.8839951376831663</v>
      </c>
      <c r="T1683">
        <f>$S1683+測地線補正!$Q$26*(lattice!$N1683/1000)^3+測地線補正!$P$26*(lattice!$N1683/1000)^2+測地線補正!$O$26*(lattice!$N1683/1000)+測地線補正!$N$26</f>
        <v>-0.23733579458369847</v>
      </c>
      <c r="U1683">
        <f>-ATAN(($P$1685-$P$1683)/ABS($N$1685-$N$1683))</f>
        <v>-3.5205424490844391E-5</v>
      </c>
      <c r="V1683">
        <v>0</v>
      </c>
      <c r="W1683">
        <f>ATAN(($M$1685-$M$1683)/ABS($N$1685-$N$1683))</f>
        <v>1.1381132953287737E-4</v>
      </c>
      <c r="X1683">
        <f>SQRT(($M$1683-$M$1682)^2+($N$1683-$N$1682)^2)</f>
        <v>180.46920116883183</v>
      </c>
      <c r="Y1683">
        <f>_xlfn.XLOOKUP($F1683,設計座標!$E$13:$E$2301,設計座標!$L$13:$L$2301," ",0,1)</f>
        <v>1889.4492</v>
      </c>
      <c r="Z1683">
        <f>SQRT(($M$1684-$M$1682)^2+($N$1684-$N$1682)^2)</f>
        <v>1125.1938072873365</v>
      </c>
    </row>
    <row r="1684" spans="1:26">
      <c r="A1684" t="s">
        <v>797</v>
      </c>
      <c r="B1684">
        <v>4</v>
      </c>
      <c r="C1684" t="s">
        <v>804</v>
      </c>
      <c r="D1684" t="s">
        <v>1152</v>
      </c>
      <c r="E1684" t="s">
        <v>804</v>
      </c>
      <c r="F1684" t="s">
        <v>1206</v>
      </c>
      <c r="G1684" t="s">
        <v>2740</v>
      </c>
      <c r="I1684">
        <f>_xlfn.XLOOKUP($F1684,設計座標!$E$13:$E$2301,設計座標!$G$13:$G$2301,"n/a",0,1)</f>
        <v>485.70194586136938</v>
      </c>
      <c r="J1684">
        <f>_xlfn.XLOOKUP($F1684,設計座標!$E$13:$E$2301,設計座標!$H$13:$H$2301,"n/a",0,1)</f>
        <v>-15000</v>
      </c>
      <c r="K1684">
        <f>_xlfn.XLOOKUP($F1684,設計座標!$E$13:$E$2301,設計座標!$I$13:$I$2301,"n/a",0,1)</f>
        <v>-221225.60499545999</v>
      </c>
      <c r="L1684">
        <f>_xlfn.XLOOKUP($F1684,設計座標!$E$13:$E$2301,設計座標!$J$13:$J$2301,"n/a",0,1)</f>
        <v>-270</v>
      </c>
      <c r="M1684" s="2">
        <f t="shared" si="1312"/>
        <v>-14970.183924817044</v>
      </c>
      <c r="N1684" s="2">
        <f t="shared" si="1313"/>
        <v>-221225.60499545999</v>
      </c>
      <c r="O1684" s="23">
        <f t="shared" si="1314"/>
        <v>-272.84748244299243</v>
      </c>
      <c r="P1684" s="1">
        <f t="shared" si="1279"/>
        <v>-270.20401510040705</v>
      </c>
      <c r="Q1684" s="1">
        <f t="shared" si="1320"/>
        <v>29.816075182957285</v>
      </c>
      <c r="R1684">
        <f t="shared" si="1295"/>
        <v>0</v>
      </c>
      <c r="S1684" s="23">
        <f t="shared" si="1319"/>
        <v>-2.847482442992455</v>
      </c>
      <c r="T1684">
        <f>$S1684+測地線補正!$Q$26*(lattice!$N1684/1000)^3+測地線補正!$P$26*(lattice!$N1684/1000)^2+測地線補正!$O$26*(lattice!$N1684/1000)+測地線補正!$N$26</f>
        <v>-0.20401510040703585</v>
      </c>
      <c r="U1684">
        <f t="shared" ref="U1684:U1685" si="1321">-ATAN(($P$1685-$P$1683)/ABS($N$1685-$N$1683))</f>
        <v>-3.5205424490844391E-5</v>
      </c>
      <c r="V1684">
        <v>0</v>
      </c>
      <c r="W1684">
        <f t="shared" ref="W1684:W1685" si="1322">ATAN(($M$1685-$M$1683)/ABS($N$1685-$N$1683))</f>
        <v>1.1381132953287737E-4</v>
      </c>
      <c r="X1684" t="s">
        <v>3860</v>
      </c>
      <c r="Y1684">
        <f>_xlfn.XLOOKUP($F1684,設計座標!$E$13:$E$2301,設計座標!$L$13:$L$2301," ",0,1)</f>
        <v>1889.4492</v>
      </c>
      <c r="Z1684">
        <f>SQRT(($M$1684-$M$1682)^2+($N$1684-$N$1682)^2)</f>
        <v>1125.1938072873365</v>
      </c>
    </row>
    <row r="1685" spans="1:26">
      <c r="A1685" t="s">
        <v>797</v>
      </c>
      <c r="B1685">
        <v>4</v>
      </c>
      <c r="C1685" t="s">
        <v>804</v>
      </c>
      <c r="D1685" t="s">
        <v>1152</v>
      </c>
      <c r="E1685" t="s">
        <v>804</v>
      </c>
      <c r="F1685" t="s">
        <v>1711</v>
      </c>
      <c r="G1685" t="s">
        <v>2740</v>
      </c>
      <c r="I1685">
        <f>_xlfn.XLOOKUP($F1685,設計座標!$E$13:$E$2301,設計座標!$G$13:$G$2301,"n/a",0,1)</f>
        <v>486.64667046136935</v>
      </c>
      <c r="J1685">
        <f>_xlfn.XLOOKUP($F1685,設計座標!$E$13:$E$2301,設計座標!$H$13:$H$2301,"n/a",0,1)</f>
        <v>-15000</v>
      </c>
      <c r="K1685">
        <f>_xlfn.XLOOKUP($F1685,設計座標!$E$13:$E$2301,設計座標!$I$13:$I$2301,"n/a",0,1)</f>
        <v>-222170.32959545997</v>
      </c>
      <c r="L1685">
        <f>_xlfn.XLOOKUP($F1685,設計座標!$E$13:$E$2301,設計座標!$J$13:$J$2301,"n/a",0,1)</f>
        <v>-270</v>
      </c>
      <c r="M1685" s="2">
        <f t="shared" si="1312"/>
        <v>-14970.07640445381</v>
      </c>
      <c r="N1685" s="2">
        <f t="shared" si="1313"/>
        <v>-222170.32959545997</v>
      </c>
      <c r="O1685" s="23">
        <f t="shared" si="1314"/>
        <v>-272.81096974830172</v>
      </c>
      <c r="P1685" s="1">
        <f t="shared" si="1279"/>
        <v>-270.17081693341635</v>
      </c>
      <c r="Q1685" s="1">
        <f t="shared" si="1320"/>
        <v>29.923595546190402</v>
      </c>
      <c r="R1685">
        <f t="shared" si="1295"/>
        <v>0</v>
      </c>
      <c r="S1685" s="23">
        <f t="shared" si="1319"/>
        <v>-2.8109697483017437</v>
      </c>
      <c r="T1685">
        <f>$S1685+測地線補正!$Q$26*(lattice!$N1685/1000)^3+測地線補正!$P$26*(lattice!$N1685/1000)^2+測地線補正!$O$26*(lattice!$N1685/1000)+測地線補正!$N$26</f>
        <v>-0.17081693341633319</v>
      </c>
      <c r="U1685">
        <f t="shared" si="1321"/>
        <v>-3.5205424490844391E-5</v>
      </c>
      <c r="V1685">
        <v>0</v>
      </c>
      <c r="W1685">
        <f t="shared" si="1322"/>
        <v>1.1381132953287737E-4</v>
      </c>
      <c r="X1685" t="s">
        <v>3860</v>
      </c>
      <c r="Y1685">
        <f>_xlfn.XLOOKUP($F1685,設計座標!$E$13:$E$2301,設計座標!$L$13:$L$2301," ",0,1)</f>
        <v>1889.4492</v>
      </c>
      <c r="Z1685">
        <f>SQRT(($M$1684-$M$1682)^2+($N$1684-$N$1682)^2)</f>
        <v>1125.1938072873365</v>
      </c>
    </row>
    <row r="1686" spans="1:26">
      <c r="A1686" t="s">
        <v>797</v>
      </c>
      <c r="B1686">
        <v>4</v>
      </c>
      <c r="C1686" t="s">
        <v>804</v>
      </c>
      <c r="D1686" t="s">
        <v>1152</v>
      </c>
      <c r="E1686" t="s">
        <v>804</v>
      </c>
      <c r="F1686" t="s">
        <v>1712</v>
      </c>
      <c r="G1686" t="s">
        <v>2741</v>
      </c>
      <c r="I1686">
        <f>_xlfn.XLOOKUP($F1686,設計座標!$E$13:$E$2301,設計座標!$G$13:$G$2301,"n/a",0,1)</f>
        <v>486.85661226136943</v>
      </c>
      <c r="J1686">
        <f>_xlfn.XLOOKUP($F1686,設計座標!$E$13:$E$2301,設計座標!$H$13:$H$2301,"n/a",0,1)</f>
        <v>-15000</v>
      </c>
      <c r="K1686">
        <f>_xlfn.XLOOKUP($F1686,設計座標!$E$13:$E$2301,設計座標!$I$13:$I$2301,"n/a",0,1)</f>
        <v>-222380.27139546</v>
      </c>
      <c r="L1686">
        <f>_xlfn.XLOOKUP($F1686,設計座標!$E$13:$E$2301,設計座標!$J$13:$J$2301,"n/a",0,1)</f>
        <v>-270</v>
      </c>
      <c r="M1686" s="2">
        <f t="shared" si="1312"/>
        <v>-14970.052510698324</v>
      </c>
      <c r="N1686" s="2">
        <f t="shared" si="1313"/>
        <v>-222380.27139546</v>
      </c>
      <c r="O1686" s="23">
        <f t="shared" si="1314"/>
        <v>-272.80285570020112</v>
      </c>
      <c r="P1686" s="1">
        <f t="shared" si="1279"/>
        <v>-270.16345602827749</v>
      </c>
      <c r="Q1686" s="1">
        <f t="shared" si="1320"/>
        <v>29.9474893016762</v>
      </c>
      <c r="R1686">
        <f t="shared" si="1295"/>
        <v>0</v>
      </c>
      <c r="S1686" s="23">
        <f t="shared" si="1319"/>
        <v>-2.8028557002011443</v>
      </c>
      <c r="T1686">
        <f>$S1686+測地線補正!$Q$26*(lattice!$N1686/1000)^3+測地線補正!$P$26*(lattice!$N1686/1000)^2+測地線補正!$O$26*(lattice!$N1686/1000)+測地線補正!$N$26</f>
        <v>-0.16345602827747485</v>
      </c>
      <c r="U1686">
        <f>-ATAN(($P$1688-$P$1686)/ABS($N$1688-$N$1686))</f>
        <v>-3.4919004318061373E-5</v>
      </c>
      <c r="V1686">
        <v>0</v>
      </c>
      <c r="W1686">
        <f>ATAN(($M$1688-$M$1686)/ABS($N$1688-$N$1686))</f>
        <v>1.1381132953384007E-4</v>
      </c>
      <c r="X1686">
        <f>SQRT(($M$1686-$M$1685)^2+($N$1686-$N$1685)^2)</f>
        <v>209.94180135971965</v>
      </c>
      <c r="Y1686">
        <f>_xlfn.XLOOKUP($F1686,設計座標!$E$13:$E$2301,設計座標!$L$13:$L$2301," ",0,1)</f>
        <v>1889.4492</v>
      </c>
      <c r="Z1686">
        <f>SQRT(($M$1687-$M$1684)^2+($N$1687-$N$1684)^2)</f>
        <v>2099.391013596729</v>
      </c>
    </row>
    <row r="1687" spans="1:26">
      <c r="A1687" t="s">
        <v>797</v>
      </c>
      <c r="B1687">
        <v>4</v>
      </c>
      <c r="C1687" t="s">
        <v>804</v>
      </c>
      <c r="D1687" t="s">
        <v>1152</v>
      </c>
      <c r="E1687" t="s">
        <v>804</v>
      </c>
      <c r="F1687" t="s">
        <v>1262</v>
      </c>
      <c r="G1687" t="s">
        <v>2741</v>
      </c>
      <c r="I1687">
        <f>_xlfn.XLOOKUP($F1687,設計座標!$E$13:$E$2301,設計座標!$G$13:$G$2301,"n/a",0,1)</f>
        <v>487.80133686136941</v>
      </c>
      <c r="J1687">
        <f>_xlfn.XLOOKUP($F1687,設計座標!$E$13:$E$2301,設計座標!$H$13:$H$2301,"n/a",0,1)</f>
        <v>-15000</v>
      </c>
      <c r="K1687">
        <f>_xlfn.XLOOKUP($F1687,設計座標!$E$13:$E$2301,設計座標!$I$13:$I$2301,"n/a",0,1)</f>
        <v>-223324.99599545999</v>
      </c>
      <c r="L1687">
        <f>_xlfn.XLOOKUP($F1687,設計座標!$E$13:$E$2301,設計座標!$J$13:$J$2301,"n/a",0,1)</f>
        <v>-270</v>
      </c>
      <c r="M1687" s="2">
        <f t="shared" si="1312"/>
        <v>-14969.944990335091</v>
      </c>
      <c r="N1687" s="2">
        <f t="shared" si="1313"/>
        <v>-223324.99599545999</v>
      </c>
      <c r="O1687" s="23">
        <f t="shared" si="1314"/>
        <v>-272.76634300551041</v>
      </c>
      <c r="P1687" s="1">
        <f t="shared" si="1279"/>
        <v>-270.13040668496171</v>
      </c>
      <c r="Q1687" s="1">
        <f t="shared" si="1320"/>
        <v>30.055009664909317</v>
      </c>
      <c r="R1687">
        <f t="shared" si="1295"/>
        <v>0</v>
      </c>
      <c r="S1687" s="23">
        <f t="shared" si="1319"/>
        <v>-2.766343005510433</v>
      </c>
      <c r="T1687">
        <f>$S1687+測地線補正!$Q$26*(lattice!$N1687/1000)^3+測地線補正!$P$26*(lattice!$N1687/1000)^2+測地線補正!$O$26*(lattice!$N1687/1000)+測地線補正!$N$26</f>
        <v>-0.13040668496169716</v>
      </c>
      <c r="U1687">
        <f t="shared" ref="U1687:U1688" si="1323">-ATAN(($P$1688-$P$1686)/ABS($N$1688-$N$1686))</f>
        <v>-3.4919004318061373E-5</v>
      </c>
      <c r="V1687">
        <v>0</v>
      </c>
      <c r="W1687">
        <f t="shared" ref="W1687:W1688" si="1324">ATAN(($M$1688-$M$1686)/ABS($N$1688-$N$1686))</f>
        <v>1.1381132953384007E-4</v>
      </c>
      <c r="X1687" t="s">
        <v>3860</v>
      </c>
      <c r="Y1687">
        <f>_xlfn.XLOOKUP($F1687,設計座標!$E$13:$E$2301,設計座標!$L$13:$L$2301," ",0,1)</f>
        <v>1889.4492</v>
      </c>
      <c r="Z1687">
        <f>SQRT(($M$1687-$M$1684)^2+($N$1687-$N$1684)^2)</f>
        <v>2099.391013596729</v>
      </c>
    </row>
    <row r="1688" spans="1:26">
      <c r="A1688" t="s">
        <v>797</v>
      </c>
      <c r="B1688">
        <v>4</v>
      </c>
      <c r="C1688" t="s">
        <v>804</v>
      </c>
      <c r="D1688" t="s">
        <v>1152</v>
      </c>
      <c r="E1688" t="s">
        <v>804</v>
      </c>
      <c r="F1688" t="s">
        <v>1713</v>
      </c>
      <c r="G1688" t="s">
        <v>2741</v>
      </c>
      <c r="I1688">
        <f>_xlfn.XLOOKUP($F1688,設計座標!$E$13:$E$2301,設計座標!$G$13:$G$2301,"n/a",0,1)</f>
        <v>488.74606146136938</v>
      </c>
      <c r="J1688">
        <f>_xlfn.XLOOKUP($F1688,設計座標!$E$13:$E$2301,設計座標!$H$13:$H$2301,"n/a",0,1)</f>
        <v>-15000</v>
      </c>
      <c r="K1688">
        <f>_xlfn.XLOOKUP($F1688,設計座標!$E$13:$E$2301,設計座標!$I$13:$I$2301,"n/a",0,1)</f>
        <v>-224269.72059545998</v>
      </c>
      <c r="L1688">
        <f>_xlfn.XLOOKUP($F1688,設計座標!$E$13:$E$2301,設計座標!$J$13:$J$2301,"n/a",0,1)</f>
        <v>-270</v>
      </c>
      <c r="M1688" s="2">
        <f t="shared" si="1312"/>
        <v>-14969.837469971857</v>
      </c>
      <c r="N1688" s="2">
        <f t="shared" si="1313"/>
        <v>-224269.72059545998</v>
      </c>
      <c r="O1688" s="23">
        <f t="shared" si="1314"/>
        <v>-272.72983031081969</v>
      </c>
      <c r="P1688" s="1">
        <f t="shared" si="1279"/>
        <v>-270.09747834347712</v>
      </c>
      <c r="Q1688" s="1">
        <f t="shared" si="1320"/>
        <v>30.162530028142438</v>
      </c>
      <c r="R1688">
        <f t="shared" si="1295"/>
        <v>0</v>
      </c>
      <c r="S1688" s="23">
        <f t="shared" si="1319"/>
        <v>-2.7298303108197217</v>
      </c>
      <c r="T1688">
        <f>$S1688+測地線補正!$Q$26*(lattice!$N1688/1000)^3+測地線補正!$P$26*(lattice!$N1688/1000)^2+測地線補正!$O$26*(lattice!$N1688/1000)+測地線補正!$N$26</f>
        <v>-9.7478343477108931E-2</v>
      </c>
      <c r="U1688">
        <f t="shared" si="1323"/>
        <v>-3.4919004318061373E-5</v>
      </c>
      <c r="V1688">
        <v>0</v>
      </c>
      <c r="W1688">
        <f t="shared" si="1324"/>
        <v>1.1381132953384007E-4</v>
      </c>
      <c r="X1688" t="s">
        <v>3860</v>
      </c>
      <c r="Y1688">
        <f>_xlfn.XLOOKUP($F1688,設計座標!$E$13:$E$2301,設計座標!$L$13:$L$2301," ",0,1)</f>
        <v>1889.4492</v>
      </c>
      <c r="Z1688">
        <f>SQRT(($M$1687-$M$1684)^2+($N$1687-$N$1684)^2)</f>
        <v>2099.391013596729</v>
      </c>
    </row>
    <row r="1689" spans="1:26">
      <c r="A1689" t="s">
        <v>797</v>
      </c>
      <c r="B1689">
        <v>4</v>
      </c>
      <c r="C1689" t="s">
        <v>1152</v>
      </c>
      <c r="D1689" t="s">
        <v>1152</v>
      </c>
      <c r="E1689" t="s">
        <v>804</v>
      </c>
      <c r="F1689" t="s">
        <v>2167</v>
      </c>
      <c r="G1689" t="s">
        <v>2167</v>
      </c>
      <c r="I1689">
        <f>_xlfn.XLOOKUP($F1689,設計座標!$E$13:$E$2301,設計座標!$G$13:$G$2301,"n/a",0,1)</f>
        <v>489.0409340613694</v>
      </c>
      <c r="J1689">
        <f>_xlfn.XLOOKUP($F1689,設計座標!$E$13:$E$2301,設計座標!$H$13:$H$2301,"n/a",0,1)</f>
        <v>-15000</v>
      </c>
      <c r="K1689">
        <f>_xlfn.XLOOKUP($F1689,設計座標!$E$13:$E$2301,設計座標!$I$13:$I$2301,"n/a",0,1)</f>
        <v>-224564.59319545998</v>
      </c>
      <c r="L1689">
        <f>_xlfn.XLOOKUP($F1689,設計座標!$E$13:$E$2301,設計座標!$J$13:$J$2301,"n/a",0,1)</f>
        <v>-270</v>
      </c>
      <c r="M1689" s="2">
        <f t="shared" si="1312"/>
        <v>-14969.803910129063</v>
      </c>
      <c r="N1689" s="2">
        <f t="shared" si="1313"/>
        <v>-224564.59319545998</v>
      </c>
      <c r="O1689" s="23">
        <f t="shared" si="1314"/>
        <v>-272.71843376920702</v>
      </c>
      <c r="P1689" s="1">
        <f t="shared" si="1279"/>
        <v>-270.08722523944124</v>
      </c>
      <c r="Q1689" s="1">
        <f t="shared" si="1320"/>
        <v>30.196089870936298</v>
      </c>
      <c r="R1689">
        <f t="shared" si="1295"/>
        <v>0</v>
      </c>
      <c r="S1689" s="23">
        <f t="shared" si="1319"/>
        <v>-2.7184337692070057</v>
      </c>
      <c r="T1689">
        <f>$S1689+測地線補正!$Q$26*(lattice!$N1689/1000)^3+測地線補正!$P$26*(lattice!$N1689/1000)^2+測地線補正!$O$26*(lattice!$N1689/1000)+測地線補正!$N$26</f>
        <v>-8.7225239441244051E-2</v>
      </c>
      <c r="U1689">
        <v>0</v>
      </c>
      <c r="V1689">
        <v>0</v>
      </c>
      <c r="W1689">
        <v>0</v>
      </c>
      <c r="X1689">
        <f>SQRT(($M$1689-$M$1688)^2+($N$1689-$N$1688)^2)</f>
        <v>294.87260190974757</v>
      </c>
      <c r="Y1689">
        <f>_xlfn.XLOOKUP($F1689,設計座標!$E$13:$E$2301,設計座標!$L$13:$L$2301," ",0,1)</f>
        <v>0</v>
      </c>
      <c r="Z1689">
        <f>SQRT(($M$1689-$M$1687)^2+($N$1689-$N$1687)^2)</f>
        <v>1239.5972080282522</v>
      </c>
    </row>
    <row r="1690" spans="1:26">
      <c r="A1690" t="s">
        <v>797</v>
      </c>
      <c r="B1690">
        <v>4</v>
      </c>
      <c r="C1690" t="s">
        <v>804</v>
      </c>
      <c r="D1690" t="s">
        <v>1152</v>
      </c>
      <c r="E1690" t="s">
        <v>804</v>
      </c>
      <c r="F1690" t="s">
        <v>1714</v>
      </c>
      <c r="G1690" t="s">
        <v>2742</v>
      </c>
      <c r="I1690">
        <f>_xlfn.XLOOKUP($F1690,設計座標!$E$13:$E$2301,設計座標!$G$13:$G$2301,"n/a",0,1)</f>
        <v>489.27090326136943</v>
      </c>
      <c r="J1690">
        <f>_xlfn.XLOOKUP($F1690,設計座標!$E$13:$E$2301,設計座標!$H$13:$H$2301,"n/a",0,1)</f>
        <v>-15000</v>
      </c>
      <c r="K1690">
        <f>_xlfn.XLOOKUP($F1690,設計座標!$E$13:$E$2301,設計座標!$I$13:$I$2301,"n/a",0,1)</f>
        <v>-224794.56239546</v>
      </c>
      <c r="L1690">
        <f>_xlfn.XLOOKUP($F1690,設計座標!$E$13:$E$2301,設計座標!$J$13:$J$2301,"n/a",0,1)</f>
        <v>-270</v>
      </c>
      <c r="M1690" s="2">
        <f t="shared" si="1312"/>
        <v>-14969.777737028548</v>
      </c>
      <c r="N1690" s="2">
        <f t="shared" si="1313"/>
        <v>-224794.56239546</v>
      </c>
      <c r="O1690" s="23">
        <f t="shared" si="1314"/>
        <v>-272.70954568141099</v>
      </c>
      <c r="P1690" s="1">
        <f t="shared" si="1279"/>
        <v>-270.07923703306255</v>
      </c>
      <c r="Q1690" s="1">
        <f t="shared" si="1320"/>
        <v>30.222262971453034</v>
      </c>
      <c r="R1690">
        <f t="shared" si="1295"/>
        <v>0</v>
      </c>
      <c r="S1690" s="23">
        <f t="shared" si="1319"/>
        <v>-2.7095456814109768</v>
      </c>
      <c r="T1690">
        <f>$S1690+測地線補正!$Q$26*(lattice!$N1690/1000)^3+測地線補正!$P$26*(lattice!$N1690/1000)^2+測地線補正!$O$26*(lattice!$N1690/1000)+測地線補正!$N$26</f>
        <v>-7.9237033062572459E-2</v>
      </c>
      <c r="U1690">
        <f>-ATAN(($P$1692-$P$1690)/ABS($N$1692-$N$1690))</f>
        <v>-3.4594057953475922E-5</v>
      </c>
      <c r="V1690">
        <v>0</v>
      </c>
      <c r="W1690">
        <f>ATAN(($M$1692-$M$1690)/ABS($N$1692-$N$1690))</f>
        <v>1.1381132953384007E-4</v>
      </c>
      <c r="X1690">
        <f>SQRT(($M$1690-$M$1689)^2+($N$1690-$N$1689)^2)</f>
        <v>229.96920148941908</v>
      </c>
      <c r="Y1690">
        <f>_xlfn.XLOOKUP($F1690,設計座標!$E$13:$E$2301,設計座標!$L$13:$L$2301," ",0,1)</f>
        <v>1889.4492</v>
      </c>
      <c r="Z1690">
        <f>SQRT(($M$1691-$M$1689)^2+($N$1691-$N$1689)^2)</f>
        <v>1174.6938076079236</v>
      </c>
    </row>
    <row r="1691" spans="1:26">
      <c r="A1691" t="s">
        <v>797</v>
      </c>
      <c r="B1691">
        <v>4</v>
      </c>
      <c r="C1691" t="s">
        <v>804</v>
      </c>
      <c r="D1691" t="s">
        <v>1152</v>
      </c>
      <c r="E1691" t="s">
        <v>804</v>
      </c>
      <c r="F1691" t="s">
        <v>1316</v>
      </c>
      <c r="G1691" t="s">
        <v>2742</v>
      </c>
      <c r="I1691">
        <f>_xlfn.XLOOKUP($F1691,設計座標!$E$13:$E$2301,設計座標!$G$13:$G$2301,"n/a",0,1)</f>
        <v>490.2156278613694</v>
      </c>
      <c r="J1691">
        <f>_xlfn.XLOOKUP($F1691,設計座標!$E$13:$E$2301,設計座標!$H$13:$H$2301,"n/a",0,1)</f>
        <v>-15000</v>
      </c>
      <c r="K1691">
        <f>_xlfn.XLOOKUP($F1691,設計座標!$E$13:$E$2301,設計座標!$I$13:$I$2301,"n/a",0,1)</f>
        <v>-225739.28699545999</v>
      </c>
      <c r="L1691">
        <f>_xlfn.XLOOKUP($F1691,設計座標!$E$13:$E$2301,設計座標!$J$13:$J$2301,"n/a",0,1)</f>
        <v>-270</v>
      </c>
      <c r="M1691" s="2">
        <f t="shared" si="1312"/>
        <v>-14969.670216665314</v>
      </c>
      <c r="N1691" s="2">
        <f t="shared" si="1313"/>
        <v>-225739.28699545999</v>
      </c>
      <c r="O1691" s="23">
        <f t="shared" si="1314"/>
        <v>-272.67303298672027</v>
      </c>
      <c r="P1691" s="1">
        <f t="shared" ref="P1691:P1754" si="1325">$L1691+$T1691</f>
        <v>-270.0464955516473</v>
      </c>
      <c r="Q1691" s="1">
        <f t="shared" si="1320"/>
        <v>30.329783334686152</v>
      </c>
      <c r="R1691">
        <f t="shared" si="1295"/>
        <v>0</v>
      </c>
      <c r="S1691" s="23">
        <f t="shared" si="1319"/>
        <v>-2.673032986720266</v>
      </c>
      <c r="T1691">
        <f>$S1691+測地線補正!$Q$26*(lattice!$N1691/1000)^3+測地線補正!$P$26*(lattice!$N1691/1000)^2+測地線補正!$O$26*(lattice!$N1691/1000)+測地線補正!$N$26</f>
        <v>-4.6495551647313116E-2</v>
      </c>
      <c r="U1691">
        <f t="shared" ref="U1691:U1692" si="1326">-ATAN(($P$1692-$P$1690)/ABS($N$1692-$N$1690))</f>
        <v>-3.4594057953475922E-5</v>
      </c>
      <c r="V1691">
        <v>0</v>
      </c>
      <c r="W1691">
        <f t="shared" ref="W1691:W1692" si="1327">ATAN(($M$1692-$M$1690)/ABS($N$1692-$N$1690))</f>
        <v>1.1381132953384007E-4</v>
      </c>
      <c r="X1691" t="s">
        <v>3860</v>
      </c>
      <c r="Y1691">
        <f>_xlfn.XLOOKUP($F1691,設計座標!$E$13:$E$2301,設計座標!$L$13:$L$2301," ",0,1)</f>
        <v>1889.4492</v>
      </c>
      <c r="Z1691">
        <f>SQRT(($M$1691-$M$1689)^2+($N$1691-$N$1689)^2)</f>
        <v>1174.6938076079236</v>
      </c>
    </row>
    <row r="1692" spans="1:26">
      <c r="A1692" t="s">
        <v>797</v>
      </c>
      <c r="B1692">
        <v>4</v>
      </c>
      <c r="C1692" t="s">
        <v>804</v>
      </c>
      <c r="D1692" t="s">
        <v>1152</v>
      </c>
      <c r="E1692" t="s">
        <v>804</v>
      </c>
      <c r="F1692" t="s">
        <v>1715</v>
      </c>
      <c r="G1692" t="s">
        <v>2742</v>
      </c>
      <c r="I1692">
        <f>_xlfn.XLOOKUP($F1692,設計座標!$E$13:$E$2301,設計座標!$G$13:$G$2301,"n/a",0,1)</f>
        <v>491.16035246136937</v>
      </c>
      <c r="J1692">
        <f>_xlfn.XLOOKUP($F1692,設計座標!$E$13:$E$2301,設計座標!$H$13:$H$2301,"n/a",0,1)</f>
        <v>-15000</v>
      </c>
      <c r="K1692">
        <f>_xlfn.XLOOKUP($F1692,設計座標!$E$13:$E$2301,設計座標!$I$13:$I$2301,"n/a",0,1)</f>
        <v>-226684.01159545998</v>
      </c>
      <c r="L1692">
        <f>_xlfn.XLOOKUP($F1692,設計座標!$E$13:$E$2301,設計座標!$J$13:$J$2301,"n/a",0,1)</f>
        <v>-270</v>
      </c>
      <c r="M1692" s="2">
        <f t="shared" si="1312"/>
        <v>-14969.56269630208</v>
      </c>
      <c r="N1692" s="2">
        <f t="shared" si="1313"/>
        <v>-226684.01159545998</v>
      </c>
      <c r="O1692" s="23">
        <f t="shared" si="1314"/>
        <v>-272.63652029202956</v>
      </c>
      <c r="P1692" s="1">
        <f t="shared" si="1325"/>
        <v>-270.01387331791153</v>
      </c>
      <c r="Q1692" s="1">
        <f t="shared" si="1320"/>
        <v>30.437303697919269</v>
      </c>
      <c r="R1692">
        <f t="shared" si="1295"/>
        <v>0</v>
      </c>
      <c r="S1692" s="23">
        <f t="shared" si="1319"/>
        <v>-2.6365202920295547</v>
      </c>
      <c r="T1692">
        <f>$S1692+測地線補正!$Q$26*(lattice!$N1692/1000)^3+測地線補正!$P$26*(lattice!$N1692/1000)^2+測地線補正!$O$26*(lattice!$N1692/1000)+測地線補正!$N$26</f>
        <v>-1.387331791153934E-2</v>
      </c>
      <c r="U1692">
        <f t="shared" si="1326"/>
        <v>-3.4594057953475922E-5</v>
      </c>
      <c r="V1692">
        <v>0</v>
      </c>
      <c r="W1692">
        <f t="shared" si="1327"/>
        <v>1.1381132953384007E-4</v>
      </c>
      <c r="X1692" t="s">
        <v>3860</v>
      </c>
      <c r="Y1692">
        <f>_xlfn.XLOOKUP($F1692,設計座標!$E$13:$E$2301,設計座標!$L$13:$L$2301," ",0,1)</f>
        <v>1889.4492</v>
      </c>
      <c r="Z1692">
        <f>SQRT(($M$1691-$M$1689)^2+($N$1691-$N$1689)^2)</f>
        <v>1174.6938076079236</v>
      </c>
    </row>
    <row r="1693" spans="1:26">
      <c r="A1693" t="s">
        <v>797</v>
      </c>
      <c r="B1693">
        <v>4</v>
      </c>
      <c r="C1693" t="s">
        <v>804</v>
      </c>
      <c r="D1693" t="s">
        <v>1152</v>
      </c>
      <c r="E1693" t="s">
        <v>804</v>
      </c>
      <c r="F1693" t="s">
        <v>1716</v>
      </c>
      <c r="G1693" t="s">
        <v>2743</v>
      </c>
      <c r="I1693">
        <f>_xlfn.XLOOKUP($F1693,設計座標!$E$13:$E$2301,設計座標!$G$13:$G$2301,"n/a",0,1)</f>
        <v>491.37029426136945</v>
      </c>
      <c r="J1693">
        <f>_xlfn.XLOOKUP($F1693,設計座標!$E$13:$E$2301,設計座標!$H$13:$H$2301,"n/a",0,1)</f>
        <v>-15000</v>
      </c>
      <c r="K1693">
        <f>_xlfn.XLOOKUP($F1693,設計座標!$E$13:$E$2301,設計座標!$I$13:$I$2301,"n/a",0,1)</f>
        <v>-226893.95339546</v>
      </c>
      <c r="L1693">
        <f>_xlfn.XLOOKUP($F1693,設計座標!$E$13:$E$2301,設計座標!$J$13:$J$2301,"n/a",0,1)</f>
        <v>-270</v>
      </c>
      <c r="M1693" s="2">
        <f t="shared" si="1312"/>
        <v>-14969.538802546595</v>
      </c>
      <c r="N1693" s="2">
        <f t="shared" si="1313"/>
        <v>-226893.95339546</v>
      </c>
      <c r="O1693" s="23">
        <f t="shared" si="1314"/>
        <v>-272.62840624392896</v>
      </c>
      <c r="P1693" s="1">
        <f t="shared" si="1325"/>
        <v>-270.00663995439675</v>
      </c>
      <c r="Q1693" s="1">
        <f t="shared" si="1320"/>
        <v>30.461197453405067</v>
      </c>
      <c r="R1693">
        <f t="shared" si="1295"/>
        <v>0</v>
      </c>
      <c r="S1693" s="23">
        <f t="shared" si="1319"/>
        <v>-2.6284062439289553</v>
      </c>
      <c r="T1693">
        <f>$S1693+測地線補正!$Q$26*(lattice!$N1693/1000)^3+測地線補正!$P$26*(lattice!$N1693/1000)^2+測地線補正!$O$26*(lattice!$N1693/1000)+測地線補正!$N$26</f>
        <v>-6.6399543967394781E-3</v>
      </c>
      <c r="U1693">
        <f>-ATAN(($P$1695-$P$1693)/ABS($N$1695-$N$1693))</f>
        <v>-3.4315351989224035E-5</v>
      </c>
      <c r="V1693">
        <v>0</v>
      </c>
      <c r="W1693">
        <f>ATAN(($M$1695-$M$1693)/ABS($N$1695-$N$1693))</f>
        <v>1.1381132953287737E-4</v>
      </c>
      <c r="X1693">
        <f>SQRT(($M$1693-$M$1692)^2+($N$1693-$N$1692)^2)</f>
        <v>209.94180135971965</v>
      </c>
      <c r="Y1693">
        <f>_xlfn.XLOOKUP($F1693,設計座標!$E$13:$E$2301,設計座標!$L$13:$L$2301," ",0,1)</f>
        <v>1889.4492</v>
      </c>
      <c r="Z1693">
        <f>SQRT(($M$1694-$M$1691)^2+($N$1694-$N$1691)^2)</f>
        <v>2099.391013596729</v>
      </c>
    </row>
    <row r="1694" spans="1:26">
      <c r="A1694" t="s">
        <v>797</v>
      </c>
      <c r="B1694">
        <v>4</v>
      </c>
      <c r="C1694" t="s">
        <v>804</v>
      </c>
      <c r="D1694" t="s">
        <v>1152</v>
      </c>
      <c r="E1694" t="s">
        <v>804</v>
      </c>
      <c r="F1694" t="s">
        <v>1370</v>
      </c>
      <c r="G1694" t="s">
        <v>2743</v>
      </c>
      <c r="I1694">
        <f>_xlfn.XLOOKUP($F1694,設計座標!$E$13:$E$2301,設計座標!$G$13:$G$2301,"n/a",0,1)</f>
        <v>492.31501886136942</v>
      </c>
      <c r="J1694">
        <f>_xlfn.XLOOKUP($F1694,設計座標!$E$13:$E$2301,設計座標!$H$13:$H$2301,"n/a",0,1)</f>
        <v>-15000</v>
      </c>
      <c r="K1694">
        <f>_xlfn.XLOOKUP($F1694,設計座標!$E$13:$E$2301,設計座標!$I$13:$I$2301,"n/a",0,1)</f>
        <v>-227838.67799545999</v>
      </c>
      <c r="L1694">
        <f>_xlfn.XLOOKUP($F1694,設計座標!$E$13:$E$2301,設計座標!$J$13:$J$2301,"n/a",0,1)</f>
        <v>-270</v>
      </c>
      <c r="M1694" s="2">
        <f t="shared" si="1312"/>
        <v>-14969.431282183361</v>
      </c>
      <c r="N1694" s="2">
        <f t="shared" si="1313"/>
        <v>-227838.67799545999</v>
      </c>
      <c r="O1694" s="23">
        <f t="shared" si="1314"/>
        <v>-272.59189354923825</v>
      </c>
      <c r="P1694" s="1">
        <f t="shared" si="1325"/>
        <v>-269.97416253603978</v>
      </c>
      <c r="Q1694" s="1">
        <f t="shared" si="1320"/>
        <v>30.568717816638184</v>
      </c>
      <c r="R1694">
        <f t="shared" si="1295"/>
        <v>0</v>
      </c>
      <c r="S1694" s="23">
        <f t="shared" si="1319"/>
        <v>-2.591893549238244</v>
      </c>
      <c r="T1694">
        <f>$S1694+測地線補正!$Q$26*(lattice!$N1694/1000)^3+測地線補正!$P$26*(lattice!$N1694/1000)^2+測地線補正!$O$26*(lattice!$N1694/1000)+測地線補正!$N$26</f>
        <v>2.5837463960213247E-2</v>
      </c>
      <c r="U1694">
        <f t="shared" ref="U1694:U1695" si="1328">-ATAN(($P$1695-$P$1693)/ABS($N$1695-$N$1693))</f>
        <v>-3.4315351989224035E-5</v>
      </c>
      <c r="V1694">
        <v>0</v>
      </c>
      <c r="W1694">
        <f t="shared" ref="W1694:W1695" si="1329">ATAN(($M$1695-$M$1693)/ABS($N$1695-$N$1693))</f>
        <v>1.1381132953287737E-4</v>
      </c>
      <c r="X1694" t="s">
        <v>3860</v>
      </c>
      <c r="Y1694">
        <f>_xlfn.XLOOKUP($F1694,設計座標!$E$13:$E$2301,設計座標!$L$13:$L$2301," ",0,1)</f>
        <v>1889.4492</v>
      </c>
      <c r="Z1694">
        <f>SQRT(($M$1694-$M$1691)^2+($N$1694-$N$1691)^2)</f>
        <v>2099.391013596729</v>
      </c>
    </row>
    <row r="1695" spans="1:26">
      <c r="A1695" t="s">
        <v>797</v>
      </c>
      <c r="B1695">
        <v>4</v>
      </c>
      <c r="C1695" t="s">
        <v>804</v>
      </c>
      <c r="D1695" t="s">
        <v>1152</v>
      </c>
      <c r="E1695" t="s">
        <v>804</v>
      </c>
      <c r="F1695" t="s">
        <v>1717</v>
      </c>
      <c r="G1695" t="s">
        <v>2743</v>
      </c>
      <c r="I1695">
        <f>_xlfn.XLOOKUP($F1695,設計座標!$E$13:$E$2301,設計座標!$G$13:$G$2301,"n/a",0,1)</f>
        <v>493.2597434613694</v>
      </c>
      <c r="J1695">
        <f>_xlfn.XLOOKUP($F1695,設計座標!$E$13:$E$2301,設計座標!$H$13:$H$2301,"n/a",0,1)</f>
        <v>-15000</v>
      </c>
      <c r="K1695">
        <f>_xlfn.XLOOKUP($F1695,設計座標!$E$13:$E$2301,設計座標!$I$13:$I$2301,"n/a",0,1)</f>
        <v>-228783.40259545998</v>
      </c>
      <c r="L1695">
        <f>_xlfn.XLOOKUP($F1695,設計座標!$E$13:$E$2301,設計座標!$J$13:$J$2301,"n/a",0,1)</f>
        <v>-270</v>
      </c>
      <c r="M1695" s="2">
        <f t="shared" si="1312"/>
        <v>-14969.323761820129</v>
      </c>
      <c r="N1695" s="2">
        <f t="shared" si="1313"/>
        <v>-228783.40259545998</v>
      </c>
      <c r="O1695" s="23">
        <f t="shared" si="1314"/>
        <v>-272.55538085454754</v>
      </c>
      <c r="P1695" s="1">
        <f t="shared" si="1325"/>
        <v>-269.94180284000754</v>
      </c>
      <c r="Q1695" s="1">
        <f t="shared" si="1320"/>
        <v>30.676238179871305</v>
      </c>
      <c r="R1695">
        <f t="shared" si="1295"/>
        <v>0</v>
      </c>
      <c r="S1695" s="23">
        <f t="shared" si="1319"/>
        <v>-2.5553808545475327</v>
      </c>
      <c r="T1695">
        <f>$S1695+測地線補正!$Q$26*(lattice!$N1695/1000)^3+測地線補正!$P$26*(lattice!$N1695/1000)^2+測地線補正!$O$26*(lattice!$N1695/1000)+測地線補正!$N$26</f>
        <v>5.8197159992449121E-2</v>
      </c>
      <c r="U1695">
        <f t="shared" si="1328"/>
        <v>-3.4315351989224035E-5</v>
      </c>
      <c r="V1695">
        <v>0</v>
      </c>
      <c r="W1695">
        <f t="shared" si="1329"/>
        <v>1.1381132953287737E-4</v>
      </c>
      <c r="X1695" t="s">
        <v>3860</v>
      </c>
      <c r="Y1695">
        <f>_xlfn.XLOOKUP($F1695,設計座標!$E$13:$E$2301,設計座標!$L$13:$L$2301," ",0,1)</f>
        <v>1889.4492</v>
      </c>
      <c r="Z1695">
        <f>SQRT(($M$1694-$M$1691)^2+($N$1694-$N$1691)^2)</f>
        <v>2099.391013596729</v>
      </c>
    </row>
    <row r="1696" spans="1:26">
      <c r="A1696" t="s">
        <v>797</v>
      </c>
      <c r="B1696">
        <v>4</v>
      </c>
      <c r="C1696" t="s">
        <v>2288</v>
      </c>
      <c r="D1696" t="s">
        <v>1152</v>
      </c>
      <c r="E1696" t="s">
        <v>804</v>
      </c>
      <c r="F1696" t="s">
        <v>2295</v>
      </c>
      <c r="G1696" t="s">
        <v>2295</v>
      </c>
      <c r="I1696">
        <f>_xlfn.XLOOKUP($F1696,設計座標!$E$13:$E$2301,設計座標!$G$13:$G$2301,"n/a",0,1)</f>
        <v>493.42323936136944</v>
      </c>
      <c r="J1696">
        <f>_xlfn.XLOOKUP($F1696,設計座標!$E$13:$E$2301,設計座標!$H$13:$H$2301,"n/a",0,1)</f>
        <v>-15000</v>
      </c>
      <c r="K1696">
        <f>_xlfn.XLOOKUP($F1696,設計座標!$E$13:$E$2301,設計座標!$I$13:$I$2301,"n/a",0,1)</f>
        <v>-228946.89849545999</v>
      </c>
      <c r="L1696">
        <f>_xlfn.XLOOKUP($F1696,設計座標!$E$13:$E$2301,設計座標!$J$13:$J$2301,"n/a",0,1)</f>
        <v>-270</v>
      </c>
      <c r="M1696" s="2">
        <f t="shared" si="1312"/>
        <v>-14969.305154134296</v>
      </c>
      <c r="N1696" s="2">
        <f t="shared" si="1313"/>
        <v>-228946.89849545999</v>
      </c>
      <c r="O1696" s="23">
        <f t="shared" si="1314"/>
        <v>-272.54906189568919</v>
      </c>
      <c r="P1696" s="1">
        <f t="shared" si="1325"/>
        <v>-269.9362145063543</v>
      </c>
      <c r="Q1696" s="1">
        <f t="shared" si="1320"/>
        <v>30.694845865703901</v>
      </c>
      <c r="R1696">
        <f t="shared" si="1295"/>
        <v>0</v>
      </c>
      <c r="S1696" s="23">
        <f t="shared" si="1319"/>
        <v>-2.5490618956891695</v>
      </c>
      <c r="T1696">
        <f>$S1696+測地線補正!$Q$26*(lattice!$N1696/1000)^3+測地線補正!$P$26*(lattice!$N1696/1000)^2+測地線補正!$O$26*(lattice!$N1696/1000)+測地線補正!$N$26</f>
        <v>6.3785493645718949E-2</v>
      </c>
      <c r="U1696">
        <v>0</v>
      </c>
      <c r="V1696">
        <v>0</v>
      </c>
      <c r="W1696">
        <v>0</v>
      </c>
      <c r="X1696">
        <f>SQRT(($M$1696-$M$1695)^2+($N$1696-$N$1695)^2)</f>
        <v>163.49590105889172</v>
      </c>
      <c r="Y1696">
        <f>_xlfn.XLOOKUP($F1696,設計座標!$E$13:$E$2301,設計座標!$L$13:$L$2301," ",0,1)</f>
        <v>0</v>
      </c>
      <c r="Z1696">
        <f>SQRT(($M$1696-$M$1694)^2+($N$1696-$N$1694)^2)</f>
        <v>1108.2205071773963</v>
      </c>
    </row>
    <row r="1697" spans="1:28">
      <c r="A1697" t="s">
        <v>797</v>
      </c>
      <c r="B1697">
        <v>4</v>
      </c>
      <c r="C1697" t="s">
        <v>804</v>
      </c>
      <c r="D1697" t="s">
        <v>1152</v>
      </c>
      <c r="E1697" t="s">
        <v>804</v>
      </c>
      <c r="F1697" t="s">
        <v>1718</v>
      </c>
      <c r="G1697" t="s">
        <v>2744</v>
      </c>
      <c r="I1697">
        <f>_xlfn.XLOOKUP($F1697,設計座標!$E$13:$E$2301,設計座標!$G$13:$G$2301,"n/a",0,1)</f>
        <v>493.75722126136947</v>
      </c>
      <c r="J1697">
        <f>_xlfn.XLOOKUP($F1697,設計座標!$E$13:$E$2301,設計座標!$H$13:$H$2301,"n/a",0,1)</f>
        <v>-15000</v>
      </c>
      <c r="K1697">
        <f>_xlfn.XLOOKUP($F1697,設計座標!$E$13:$E$2301,設計座標!$I$13:$I$2301,"n/a",0,1)</f>
        <v>-229280.88039546</v>
      </c>
      <c r="L1697">
        <f>_xlfn.XLOOKUP($F1697,設計座標!$E$13:$E$2301,設計座標!$J$13:$J$2301,"n/a",0,1)</f>
        <v>-270</v>
      </c>
      <c r="M1697" s="2">
        <f t="shared" si="1312"/>
        <v>-14969.267143210052</v>
      </c>
      <c r="N1697" s="2">
        <f t="shared" si="1313"/>
        <v>-229280.88039546</v>
      </c>
      <c r="O1697" s="23">
        <f t="shared" si="1314"/>
        <v>-272.53615381734875</v>
      </c>
      <c r="P1697" s="1">
        <f t="shared" si="1325"/>
        <v>-269.92480979435561</v>
      </c>
      <c r="Q1697" s="1">
        <f t="shared" si="1320"/>
        <v>30.732856789947103</v>
      </c>
      <c r="R1697">
        <f t="shared" si="1295"/>
        <v>0</v>
      </c>
      <c r="S1697" s="23">
        <f t="shared" si="1319"/>
        <v>-2.536153817348747</v>
      </c>
      <c r="T1697">
        <f>$S1697+測地線補正!$Q$26*(lattice!$N1697/1000)^3+測地線補正!$P$26*(lattice!$N1697/1000)^2+測地線補正!$O$26*(lattice!$N1697/1000)+測地線補正!$N$26</f>
        <v>7.5190205644375174E-2</v>
      </c>
      <c r="U1697">
        <f>-ATAN(($P$1699-$P$1697)/ABS($N$1699-$N$1697))</f>
        <v>-3.4002832796919232E-5</v>
      </c>
      <c r="V1697">
        <v>0</v>
      </c>
      <c r="W1697">
        <f>ATAN(($M$1699-$M$1697)/ABS($N$1699-$N$1697))</f>
        <v>1.1381132953287737E-4</v>
      </c>
      <c r="X1697">
        <f>SQRT(($M$1697-$M$1696)^2+($N$1697-$N$1696)^2)</f>
        <v>333.98190216305034</v>
      </c>
      <c r="Y1697">
        <f>_xlfn.XLOOKUP($F1697,設計座標!$E$13:$E$2301,設計座標!$L$13:$L$2301," ",0,1)</f>
        <v>1889.4492</v>
      </c>
      <c r="Z1697">
        <f>SQRT(($M$1698-$M$1696)^2+($N$1698-$N$1696)^2)</f>
        <v>1278.706508281555</v>
      </c>
    </row>
    <row r="1698" spans="1:28">
      <c r="A1698" t="s">
        <v>797</v>
      </c>
      <c r="B1698">
        <v>4</v>
      </c>
      <c r="C1698" t="s">
        <v>804</v>
      </c>
      <c r="D1698" t="s">
        <v>1152</v>
      </c>
      <c r="E1698" t="s">
        <v>804</v>
      </c>
      <c r="F1698" t="s">
        <v>1207</v>
      </c>
      <c r="G1698" t="s">
        <v>2744</v>
      </c>
      <c r="I1698">
        <f>_xlfn.XLOOKUP($F1698,設計座標!$E$13:$E$2301,設計座標!$G$13:$G$2301,"n/a",0,1)</f>
        <v>494.70194586136944</v>
      </c>
      <c r="J1698">
        <f>_xlfn.XLOOKUP($F1698,設計座標!$E$13:$E$2301,設計座標!$H$13:$H$2301,"n/a",0,1)</f>
        <v>-15000</v>
      </c>
      <c r="K1698">
        <f>_xlfn.XLOOKUP($F1698,設計座標!$E$13:$E$2301,設計座標!$I$13:$I$2301,"n/a",0,1)</f>
        <v>-230225.60499545999</v>
      </c>
      <c r="L1698">
        <f>_xlfn.XLOOKUP($F1698,設計座標!$E$13:$E$2301,設計座標!$J$13:$J$2301,"n/a",0,1)</f>
        <v>-270</v>
      </c>
      <c r="M1698" s="2">
        <f t="shared" si="1312"/>
        <v>-14969.159622846821</v>
      </c>
      <c r="N1698" s="2">
        <f t="shared" si="1313"/>
        <v>-230225.60499545999</v>
      </c>
      <c r="O1698" s="23">
        <f t="shared" si="1314"/>
        <v>-272.49964112265803</v>
      </c>
      <c r="P1698" s="1">
        <f t="shared" si="1325"/>
        <v>-269.89262848770289</v>
      </c>
      <c r="Q1698" s="1">
        <f t="shared" si="1320"/>
        <v>30.840377153180221</v>
      </c>
      <c r="R1698">
        <f t="shared" si="1295"/>
        <v>0</v>
      </c>
      <c r="S1698" s="23">
        <f t="shared" si="1319"/>
        <v>-2.4996411226580362</v>
      </c>
      <c r="T1698">
        <f>$S1698+測地線補正!$Q$26*(lattice!$N1698/1000)^3+測地線補正!$P$26*(lattice!$N1698/1000)^2+測地線補正!$O$26*(lattice!$N1698/1000)+測地線補正!$N$26</f>
        <v>0.10737151229712594</v>
      </c>
      <c r="U1698">
        <f t="shared" ref="U1698:U1699" si="1330">-ATAN(($P$1699-$P$1697)/ABS($N$1699-$N$1697))</f>
        <v>-3.4002832796919232E-5</v>
      </c>
      <c r="V1698">
        <v>0</v>
      </c>
      <c r="W1698">
        <f t="shared" ref="W1698:W1699" si="1331">ATAN(($M$1699-$M$1697)/ABS($N$1699-$N$1697))</f>
        <v>1.1381132953287737E-4</v>
      </c>
      <c r="X1698" t="s">
        <v>3860</v>
      </c>
      <c r="Y1698">
        <f>_xlfn.XLOOKUP($F1698,設計座標!$E$13:$E$2301,設計座標!$L$13:$L$2301," ",0,1)</f>
        <v>1889.4492</v>
      </c>
      <c r="Z1698">
        <f>SQRT(($M$1698-$M$1696)^2+($N$1698-$N$1696)^2)</f>
        <v>1278.706508281555</v>
      </c>
    </row>
    <row r="1699" spans="1:28">
      <c r="A1699" t="s">
        <v>797</v>
      </c>
      <c r="B1699">
        <v>4</v>
      </c>
      <c r="C1699" t="s">
        <v>804</v>
      </c>
      <c r="D1699" t="s">
        <v>1152</v>
      </c>
      <c r="E1699" t="s">
        <v>804</v>
      </c>
      <c r="F1699" t="s">
        <v>1719</v>
      </c>
      <c r="G1699" t="s">
        <v>2744</v>
      </c>
      <c r="I1699">
        <f>_xlfn.XLOOKUP($F1699,設計座標!$E$13:$E$2301,設計座標!$G$13:$G$2301,"n/a",0,1)</f>
        <v>495.64667046136941</v>
      </c>
      <c r="J1699">
        <f>_xlfn.XLOOKUP($F1699,設計座標!$E$13:$E$2301,設計座標!$H$13:$H$2301,"n/a",0,1)</f>
        <v>-15000</v>
      </c>
      <c r="K1699">
        <f>_xlfn.XLOOKUP($F1699,設計座標!$E$13:$E$2301,設計座標!$I$13:$I$2301,"n/a",0,1)</f>
        <v>-231170.32959545997</v>
      </c>
      <c r="L1699">
        <f>_xlfn.XLOOKUP($F1699,設計座標!$E$13:$E$2301,設計座標!$J$13:$J$2301,"n/a",0,1)</f>
        <v>-270</v>
      </c>
      <c r="M1699" s="2">
        <f t="shared" si="1312"/>
        <v>-14969.052102483587</v>
      </c>
      <c r="N1699" s="2">
        <f t="shared" si="1313"/>
        <v>-231170.32959545997</v>
      </c>
      <c r="O1699" s="23">
        <f t="shared" si="1314"/>
        <v>-272.46312842796732</v>
      </c>
      <c r="P1699" s="1">
        <f t="shared" si="1325"/>
        <v>-269.86056316910498</v>
      </c>
      <c r="Q1699" s="1">
        <f t="shared" si="1320"/>
        <v>30.947897516413338</v>
      </c>
      <c r="R1699">
        <f t="shared" si="1295"/>
        <v>0</v>
      </c>
      <c r="S1699" s="23">
        <f t="shared" si="1319"/>
        <v>-2.4631284279673249</v>
      </c>
      <c r="T1699">
        <f>$S1699+測地線補正!$Q$26*(lattice!$N1699/1000)^3+測地線補正!$P$26*(lattice!$N1699/1000)^2+測地線補正!$O$26*(lattice!$N1699/1000)+測地線補正!$N$26</f>
        <v>0.13943683089500047</v>
      </c>
      <c r="U1699">
        <f t="shared" si="1330"/>
        <v>-3.4002832796919232E-5</v>
      </c>
      <c r="V1699">
        <v>0</v>
      </c>
      <c r="W1699">
        <f t="shared" si="1331"/>
        <v>1.1381132953287737E-4</v>
      </c>
      <c r="X1699" t="s">
        <v>3860</v>
      </c>
      <c r="Y1699">
        <f>_xlfn.XLOOKUP($F1699,設計座標!$E$13:$E$2301,設計座標!$L$13:$L$2301," ",0,1)</f>
        <v>1889.4492</v>
      </c>
      <c r="Z1699">
        <f>SQRT(($M$1698-$M$1696)^2+($N$1698-$N$1696)^2)</f>
        <v>1278.706508281555</v>
      </c>
    </row>
    <row r="1700" spans="1:28">
      <c r="A1700" t="s">
        <v>797</v>
      </c>
      <c r="B1700">
        <v>4</v>
      </c>
      <c r="C1700" t="s">
        <v>804</v>
      </c>
      <c r="D1700" t="s">
        <v>1152</v>
      </c>
      <c r="E1700" t="s">
        <v>804</v>
      </c>
      <c r="F1700" t="s">
        <v>1720</v>
      </c>
      <c r="G1700" t="s">
        <v>2745</v>
      </c>
      <c r="I1700">
        <f>_xlfn.XLOOKUP($F1700,設計座標!$E$13:$E$2301,設計座標!$G$13:$G$2301,"n/a",0,1)</f>
        <v>495.85661226136949</v>
      </c>
      <c r="J1700">
        <f>_xlfn.XLOOKUP($F1700,設計座標!$E$13:$E$2301,設計座標!$H$13:$H$2301,"n/a",0,1)</f>
        <v>-15000</v>
      </c>
      <c r="K1700">
        <f>_xlfn.XLOOKUP($F1700,設計座標!$E$13:$E$2301,設計座標!$I$13:$I$2301,"n/a",0,1)</f>
        <v>-231380.27139546</v>
      </c>
      <c r="L1700">
        <f>_xlfn.XLOOKUP($F1700,設計座標!$E$13:$E$2301,設計座標!$J$13:$J$2301,"n/a",0,1)</f>
        <v>-270</v>
      </c>
      <c r="M1700" s="2">
        <f t="shared" si="1312"/>
        <v>-14969.028208728101</v>
      </c>
      <c r="N1700" s="2">
        <f t="shared" si="1313"/>
        <v>-231380.27139546</v>
      </c>
      <c r="O1700" s="23">
        <f t="shared" si="1314"/>
        <v>-272.45501437986672</v>
      </c>
      <c r="P1700" s="1">
        <f t="shared" si="1325"/>
        <v>-269.85345312360568</v>
      </c>
      <c r="Q1700" s="1">
        <f t="shared" si="1320"/>
        <v>30.971791271899136</v>
      </c>
      <c r="R1700">
        <f t="shared" si="1295"/>
        <v>0</v>
      </c>
      <c r="S1700" s="23">
        <f t="shared" si="1319"/>
        <v>-2.455014379866725</v>
      </c>
      <c r="T1700">
        <f>$S1700+測地線補正!$Q$26*(lattice!$N1700/1000)^3+測地線補正!$P$26*(lattice!$N1700/1000)^2+測地線補正!$O$26*(lattice!$N1700/1000)+測地線補正!$N$26</f>
        <v>0.14654687639431585</v>
      </c>
      <c r="U1700">
        <f>-ATAN(($P$1702-$P$1700)/ABS($N$1702-$N$1700))</f>
        <v>-3.3731794274099067E-5</v>
      </c>
      <c r="V1700">
        <v>0</v>
      </c>
      <c r="W1700">
        <f>ATAN(($M$1702-$M$1700)/ABS($N$1702-$N$1700))</f>
        <v>1.1381132953384007E-4</v>
      </c>
      <c r="X1700">
        <f>SQRT(($M$1700-$M$1699)^2+($N$1700-$N$1699)^2)</f>
        <v>209.94180135971965</v>
      </c>
      <c r="Y1700">
        <f>_xlfn.XLOOKUP($F1700,設計座標!$E$13:$E$2301,設計座標!$L$13:$L$2301," ",0,1)</f>
        <v>1889.4492</v>
      </c>
      <c r="Z1700">
        <f>SQRT(($M$1701-$M$1698)^2+($N$1701-$N$1698)^2)</f>
        <v>2099.391013596729</v>
      </c>
    </row>
    <row r="1701" spans="1:28">
      <c r="A1701" t="s">
        <v>797</v>
      </c>
      <c r="B1701">
        <v>4</v>
      </c>
      <c r="C1701" t="s">
        <v>804</v>
      </c>
      <c r="D1701" t="s">
        <v>1152</v>
      </c>
      <c r="E1701" t="s">
        <v>804</v>
      </c>
      <c r="F1701" t="s">
        <v>1263</v>
      </c>
      <c r="G1701" t="s">
        <v>2745</v>
      </c>
      <c r="I1701">
        <f>_xlfn.XLOOKUP($F1701,設計座標!$E$13:$E$2301,設計座標!$G$13:$G$2301,"n/a",0,1)</f>
        <v>496.80133686136946</v>
      </c>
      <c r="J1701">
        <f>_xlfn.XLOOKUP($F1701,設計座標!$E$13:$E$2301,設計座標!$H$13:$H$2301,"n/a",0,1)</f>
        <v>-15000</v>
      </c>
      <c r="K1701">
        <f>_xlfn.XLOOKUP($F1701,設計座標!$E$13:$E$2301,設計座標!$I$13:$I$2301,"n/a",0,1)</f>
        <v>-232324.99599545999</v>
      </c>
      <c r="L1701">
        <f>_xlfn.XLOOKUP($F1701,設計座標!$E$13:$E$2301,設計座標!$J$13:$J$2301,"n/a",0,1)</f>
        <v>-270</v>
      </c>
      <c r="M1701" s="2">
        <f t="shared" si="1312"/>
        <v>-14968.920688364868</v>
      </c>
      <c r="N1701" s="2">
        <f t="shared" si="1313"/>
        <v>-232324.99599545999</v>
      </c>
      <c r="O1701" s="23">
        <f t="shared" si="1314"/>
        <v>-272.41850168517601</v>
      </c>
      <c r="P1701" s="1">
        <f t="shared" si="1325"/>
        <v>-269.82152863639067</v>
      </c>
      <c r="Q1701" s="1">
        <f t="shared" si="1320"/>
        <v>31.079311635132257</v>
      </c>
      <c r="R1701">
        <f t="shared" si="1295"/>
        <v>0</v>
      </c>
      <c r="S1701" s="23">
        <f t="shared" si="1319"/>
        <v>-2.4185016851760142</v>
      </c>
      <c r="T1701">
        <f>$S1701+測地線補正!$Q$26*(lattice!$N1701/1000)^3+測地線補正!$P$26*(lattice!$N1701/1000)^2+測地線補正!$O$26*(lattice!$N1701/1000)+測地線補正!$N$26</f>
        <v>0.17847136360935223</v>
      </c>
      <c r="U1701">
        <f t="shared" ref="U1701:U1702" si="1332">-ATAN(($P$1702-$P$1700)/ABS($N$1702-$N$1700))</f>
        <v>-3.3731794274099067E-5</v>
      </c>
      <c r="V1701">
        <v>0</v>
      </c>
      <c r="W1701">
        <f t="shared" ref="W1701:W1702" si="1333">ATAN(($M$1702-$M$1700)/ABS($N$1702-$N$1700))</f>
        <v>1.1381132953384007E-4</v>
      </c>
      <c r="X1701" t="s">
        <v>3860</v>
      </c>
      <c r="Y1701">
        <f>_xlfn.XLOOKUP($F1701,設計座標!$E$13:$E$2301,設計座標!$L$13:$L$2301," ",0,1)</f>
        <v>1889.4492</v>
      </c>
      <c r="Z1701">
        <f>SQRT(($M$1701-$M$1698)^2+($N$1701-$N$1698)^2)</f>
        <v>2099.391013596729</v>
      </c>
    </row>
    <row r="1702" spans="1:28">
      <c r="A1702" t="s">
        <v>797</v>
      </c>
      <c r="B1702">
        <v>4</v>
      </c>
      <c r="C1702" t="s">
        <v>804</v>
      </c>
      <c r="D1702" t="s">
        <v>1152</v>
      </c>
      <c r="E1702" t="s">
        <v>804</v>
      </c>
      <c r="F1702" t="s">
        <v>1721</v>
      </c>
      <c r="G1702" t="s">
        <v>2745</v>
      </c>
      <c r="I1702">
        <f>_xlfn.XLOOKUP($F1702,設計座標!$E$13:$E$2301,設計座標!$G$13:$G$2301,"n/a",0,1)</f>
        <v>497.74606146136944</v>
      </c>
      <c r="J1702">
        <f>_xlfn.XLOOKUP($F1702,設計座標!$E$13:$E$2301,設計座標!$H$13:$H$2301,"n/a",0,1)</f>
        <v>-15000</v>
      </c>
      <c r="K1702">
        <f>_xlfn.XLOOKUP($F1702,設計座標!$E$13:$E$2301,設計座標!$I$13:$I$2301,"n/a",0,1)</f>
        <v>-233269.72059545998</v>
      </c>
      <c r="L1702">
        <f>_xlfn.XLOOKUP($F1702,設計座標!$E$13:$E$2301,設計座標!$J$13:$J$2301,"n/a",0,1)</f>
        <v>-270</v>
      </c>
      <c r="M1702" s="2">
        <f t="shared" si="1312"/>
        <v>-14968.813168001634</v>
      </c>
      <c r="N1702" s="2">
        <f t="shared" si="1313"/>
        <v>-233269.72059545998</v>
      </c>
      <c r="O1702" s="23">
        <f t="shared" si="1314"/>
        <v>-272.3819889904853</v>
      </c>
      <c r="P1702" s="1">
        <f t="shared" si="1325"/>
        <v>-269.78971861187574</v>
      </c>
      <c r="Q1702" s="1">
        <f t="shared" si="1320"/>
        <v>31.186831998365374</v>
      </c>
      <c r="R1702">
        <f t="shared" si="1295"/>
        <v>0</v>
      </c>
      <c r="S1702" s="23">
        <f t="shared" si="1319"/>
        <v>-2.3819889904853029</v>
      </c>
      <c r="T1702">
        <f>$S1702+測地線補正!$Q$26*(lattice!$N1702/1000)^3+測地線補正!$P$26*(lattice!$N1702/1000)^2+測地線補正!$O$26*(lattice!$N1702/1000)+測地線補正!$N$26</f>
        <v>0.21028138812428288</v>
      </c>
      <c r="U1702">
        <f t="shared" si="1332"/>
        <v>-3.3731794274099067E-5</v>
      </c>
      <c r="V1702">
        <v>0</v>
      </c>
      <c r="W1702">
        <f t="shared" si="1333"/>
        <v>1.1381132953384007E-4</v>
      </c>
      <c r="X1702" t="s">
        <v>3860</v>
      </c>
      <c r="Y1702">
        <f>_xlfn.XLOOKUP($F1702,設計座標!$E$13:$E$2301,設計座標!$L$13:$L$2301," ",0,1)</f>
        <v>1889.4492</v>
      </c>
      <c r="Z1702">
        <f>SQRT(($M$1701-$M$1698)^2+($N$1701-$N$1698)^2)</f>
        <v>2099.391013596729</v>
      </c>
    </row>
    <row r="1703" spans="1:28">
      <c r="A1703" t="s">
        <v>797</v>
      </c>
      <c r="B1703">
        <v>4</v>
      </c>
      <c r="C1703" t="s">
        <v>804</v>
      </c>
      <c r="D1703" t="s">
        <v>1152</v>
      </c>
      <c r="E1703" t="s">
        <v>804</v>
      </c>
      <c r="F1703" t="s">
        <v>1722</v>
      </c>
      <c r="G1703" t="s">
        <v>2746</v>
      </c>
      <c r="I1703">
        <f>_xlfn.XLOOKUP($F1703,設計座標!$E$13:$E$2301,設計座標!$G$13:$G$2301,"n/a",0,1)</f>
        <v>498.27090326136948</v>
      </c>
      <c r="J1703">
        <f>_xlfn.XLOOKUP($F1703,設計座標!$E$13:$E$2301,設計座標!$H$13:$H$2301,"n/a",0,1)</f>
        <v>-15000</v>
      </c>
      <c r="K1703">
        <f>_xlfn.XLOOKUP($F1703,設計座標!$E$13:$E$2301,設計座標!$I$13:$I$2301,"n/a",0,1)</f>
        <v>-233794.56239546</v>
      </c>
      <c r="L1703">
        <f>_xlfn.XLOOKUP($F1703,設計座標!$E$13:$E$2301,設計座標!$J$13:$J$2301,"n/a",0,1)</f>
        <v>-270</v>
      </c>
      <c r="M1703" s="2">
        <f t="shared" si="1312"/>
        <v>-14968.753435058325</v>
      </c>
      <c r="N1703" s="2">
        <f t="shared" si="1313"/>
        <v>-233794.56239546</v>
      </c>
      <c r="O1703" s="23">
        <f t="shared" si="1314"/>
        <v>-272.36170436107653</v>
      </c>
      <c r="P1703" s="1">
        <f t="shared" si="1325"/>
        <v>-269.77209575699857</v>
      </c>
      <c r="Q1703" s="1">
        <f t="shared" si="1320"/>
        <v>31.24656494167597</v>
      </c>
      <c r="R1703">
        <f t="shared" si="1295"/>
        <v>0</v>
      </c>
      <c r="S1703" s="23">
        <f t="shared" si="1319"/>
        <v>-2.361704361076558</v>
      </c>
      <c r="T1703">
        <f>$S1703+測地線補正!$Q$26*(lattice!$N1703/1000)^3+測地線補正!$P$26*(lattice!$N1703/1000)^2+測地線補正!$O$26*(lattice!$N1703/1000)+測地線補正!$N$26</f>
        <v>0.22790424300142198</v>
      </c>
      <c r="U1703">
        <f>-ATAN(($P$1705-$P$1703)/ABS($N$1705-$N$1703))</f>
        <v>-3.3424536743648527E-5</v>
      </c>
      <c r="V1703">
        <v>0</v>
      </c>
      <c r="W1703">
        <f>ATAN(($M$1705-$M$1703)/ABS($N$1705-$N$1703))</f>
        <v>1.1381132953384007E-4</v>
      </c>
      <c r="X1703">
        <f>SQRT(($M$1703-$M$1702)^2+($N$1703-$N$1702)^2)</f>
        <v>524.84180339916657</v>
      </c>
      <c r="Y1703">
        <f>_xlfn.XLOOKUP($F1703,設計座標!$E$13:$E$2301,設計座標!$L$13:$L$2301," ",0,1)</f>
        <v>1889.4492</v>
      </c>
      <c r="Z1703">
        <f>SQRT(($M$1704-$M$1701)^2+($N$1704-$N$1701)^2)</f>
        <v>2414.2910156361759</v>
      </c>
    </row>
    <row r="1704" spans="1:28">
      <c r="A1704" t="s">
        <v>797</v>
      </c>
      <c r="B1704">
        <v>4</v>
      </c>
      <c r="C1704" t="s">
        <v>804</v>
      </c>
      <c r="D1704" t="s">
        <v>1152</v>
      </c>
      <c r="E1704" t="s">
        <v>804</v>
      </c>
      <c r="F1704" t="s">
        <v>1317</v>
      </c>
      <c r="G1704" t="s">
        <v>2746</v>
      </c>
      <c r="I1704">
        <f>_xlfn.XLOOKUP($F1704,設計座標!$E$13:$E$2301,設計座標!$G$13:$G$2301,"n/a",0,1)</f>
        <v>499.21562786136946</v>
      </c>
      <c r="J1704">
        <f>_xlfn.XLOOKUP($F1704,設計座標!$E$13:$E$2301,設計座標!$H$13:$H$2301,"n/a",0,1)</f>
        <v>-15000</v>
      </c>
      <c r="K1704">
        <f>_xlfn.XLOOKUP($F1704,設計座標!$E$13:$E$2301,設計座標!$I$13:$I$2301,"n/a",0,1)</f>
        <v>-234739.28699545999</v>
      </c>
      <c r="L1704">
        <f>_xlfn.XLOOKUP($F1704,設計座標!$E$13:$E$2301,設計座標!$J$13:$J$2301,"n/a",0,1)</f>
        <v>-270</v>
      </c>
      <c r="M1704" s="2">
        <f t="shared" si="1312"/>
        <v>-14968.645914695091</v>
      </c>
      <c r="N1704" s="2">
        <f t="shared" si="1313"/>
        <v>-234739.28699545999</v>
      </c>
      <c r="O1704" s="23">
        <f t="shared" si="1314"/>
        <v>-272.32519166638582</v>
      </c>
      <c r="P1704" s="1">
        <f t="shared" si="1325"/>
        <v>-269.74046242060729</v>
      </c>
      <c r="Q1704" s="1">
        <f t="shared" si="1320"/>
        <v>31.354085304909088</v>
      </c>
      <c r="R1704">
        <f t="shared" si="1295"/>
        <v>0</v>
      </c>
      <c r="S1704" s="23">
        <f t="shared" si="1319"/>
        <v>-2.3251916663858472</v>
      </c>
      <c r="T1704">
        <f>$S1704+測地線補正!$Q$26*(lattice!$N1704/1000)^3+測地線補正!$P$26*(lattice!$N1704/1000)^2+測地線補正!$O$26*(lattice!$N1704/1000)+測地線補正!$N$26</f>
        <v>0.25953757939271482</v>
      </c>
      <c r="U1704">
        <f t="shared" ref="U1704:U1705" si="1334">-ATAN(($P$1705-$P$1703)/ABS($N$1705-$N$1703))</f>
        <v>-3.3424536743648527E-5</v>
      </c>
      <c r="V1704">
        <v>0</v>
      </c>
      <c r="W1704">
        <f t="shared" ref="W1704:W1705" si="1335">ATAN(($M$1705-$M$1703)/ABS($N$1705-$N$1703))</f>
        <v>1.1381132953384007E-4</v>
      </c>
      <c r="X1704" t="s">
        <v>3860</v>
      </c>
      <c r="Y1704">
        <f>_xlfn.XLOOKUP($F1704,設計座標!$E$13:$E$2301,設計座標!$L$13:$L$2301," ",0,1)</f>
        <v>1889.4492</v>
      </c>
      <c r="Z1704">
        <f>SQRT(($M$1704-$M$1701)^2+($N$1704-$N$1701)^2)</f>
        <v>2414.2910156361759</v>
      </c>
    </row>
    <row r="1705" spans="1:28">
      <c r="A1705" t="s">
        <v>797</v>
      </c>
      <c r="B1705">
        <v>4</v>
      </c>
      <c r="C1705" t="s">
        <v>804</v>
      </c>
      <c r="D1705" t="s">
        <v>1152</v>
      </c>
      <c r="E1705" t="s">
        <v>804</v>
      </c>
      <c r="F1705" t="s">
        <v>1723</v>
      </c>
      <c r="G1705" t="s">
        <v>2746</v>
      </c>
      <c r="I1705">
        <f>_xlfn.XLOOKUP($F1705,設計座標!$E$13:$E$2301,設計座標!$G$13:$G$2301,"n/a",0,1)</f>
        <v>500.16035246136943</v>
      </c>
      <c r="J1705">
        <f>_xlfn.XLOOKUP($F1705,設計座標!$E$13:$E$2301,設計座標!$H$13:$H$2301,"n/a",0,1)</f>
        <v>-15000</v>
      </c>
      <c r="K1705">
        <f>_xlfn.XLOOKUP($F1705,設計座標!$E$13:$E$2301,設計座標!$I$13:$I$2301,"n/a",0,1)</f>
        <v>-235684.01159545998</v>
      </c>
      <c r="L1705">
        <f>_xlfn.XLOOKUP($F1705,設計座標!$E$13:$E$2301,設計座標!$J$13:$J$2301,"n/a",0,1)</f>
        <v>-270</v>
      </c>
      <c r="M1705" s="2">
        <f t="shared" si="1312"/>
        <v>-14968.538394331857</v>
      </c>
      <c r="N1705" s="2">
        <f t="shared" si="1313"/>
        <v>-235684.01159545998</v>
      </c>
      <c r="O1705" s="23">
        <f t="shared" si="1314"/>
        <v>-272.28867897169516</v>
      </c>
      <c r="P1705" s="1">
        <f t="shared" si="1325"/>
        <v>-269.70894179276439</v>
      </c>
      <c r="Q1705" s="1">
        <f t="shared" si="1320"/>
        <v>31.461605668142205</v>
      </c>
      <c r="R1705">
        <f t="shared" si="1295"/>
        <v>0</v>
      </c>
      <c r="S1705" s="23">
        <f t="shared" si="1319"/>
        <v>-2.2886789716951359</v>
      </c>
      <c r="T1705">
        <f>$S1705+測地線補正!$Q$26*(lattice!$N1705/1000)^3+測地線補正!$P$26*(lattice!$N1705/1000)^2+測地線補正!$O$26*(lattice!$N1705/1000)+測地線補正!$N$26</f>
        <v>0.29105820723559872</v>
      </c>
      <c r="U1705">
        <f t="shared" si="1334"/>
        <v>-3.3424536743648527E-5</v>
      </c>
      <c r="V1705">
        <v>0</v>
      </c>
      <c r="W1705">
        <f t="shared" si="1335"/>
        <v>1.1381132953384007E-4</v>
      </c>
      <c r="X1705" t="s">
        <v>3860</v>
      </c>
      <c r="Y1705">
        <f>_xlfn.XLOOKUP($F1705,設計座標!$E$13:$E$2301,設計座標!$L$13:$L$2301," ",0,1)</f>
        <v>1889.4492</v>
      </c>
      <c r="Z1705">
        <f>SQRT(($M$1704-$M$1701)^2+($N$1704-$N$1701)^2)</f>
        <v>2414.2910156361759</v>
      </c>
    </row>
    <row r="1706" spans="1:28">
      <c r="A1706" t="s">
        <v>797</v>
      </c>
      <c r="B1706">
        <v>4</v>
      </c>
      <c r="C1706" t="s">
        <v>804</v>
      </c>
      <c r="D1706" t="s">
        <v>1152</v>
      </c>
      <c r="E1706" t="s">
        <v>804</v>
      </c>
      <c r="F1706" t="s">
        <v>1724</v>
      </c>
      <c r="G1706" t="s">
        <v>2747</v>
      </c>
      <c r="I1706">
        <f>_xlfn.XLOOKUP($F1706,設計座標!$E$13:$E$2301,設計座標!$G$13:$G$2301,"n/a",0,1)</f>
        <v>500.37029426136951</v>
      </c>
      <c r="J1706">
        <f>_xlfn.XLOOKUP($F1706,設計座標!$E$13:$E$2301,設計座標!$H$13:$H$2301,"n/a",0,1)</f>
        <v>-15000</v>
      </c>
      <c r="K1706">
        <f>_xlfn.XLOOKUP($F1706,設計座標!$E$13:$E$2301,設計座標!$I$13:$I$2301,"n/a",0,1)</f>
        <v>-235893.95339546</v>
      </c>
      <c r="L1706">
        <f>_xlfn.XLOOKUP($F1706,設計座標!$E$13:$E$2301,設計座標!$J$13:$J$2301,"n/a",0,1)</f>
        <v>-270</v>
      </c>
      <c r="M1706" s="2">
        <f t="shared" si="1312"/>
        <v>-14968.514500576372</v>
      </c>
      <c r="N1706" s="2">
        <f t="shared" si="1313"/>
        <v>-235893.95339546</v>
      </c>
      <c r="O1706" s="23">
        <f t="shared" si="1314"/>
        <v>-272.28056492359451</v>
      </c>
      <c r="P1706" s="1">
        <f t="shared" si="1325"/>
        <v>-269.70195234601215</v>
      </c>
      <c r="Q1706" s="1">
        <f t="shared" si="1320"/>
        <v>31.485499423628006</v>
      </c>
      <c r="R1706">
        <f t="shared" si="1295"/>
        <v>0</v>
      </c>
      <c r="S1706" s="23">
        <f t="shared" si="1319"/>
        <v>-2.280564923594536</v>
      </c>
      <c r="T1706">
        <f>$S1706+測地線補正!$Q$26*(lattice!$N1706/1000)^3+測地線補正!$P$26*(lattice!$N1706/1000)^2+測地線補正!$O$26*(lattice!$N1706/1000)+測地線補正!$N$26</f>
        <v>0.29804765398783295</v>
      </c>
      <c r="U1706">
        <f>-ATAN(($P$1708-$P$1706)/ABS($N$1708-$N$1706))</f>
        <v>-3.3161212429361736E-5</v>
      </c>
      <c r="V1706">
        <v>0</v>
      </c>
      <c r="W1706">
        <f>ATAN(($M$1708-$M$1706)/ABS($N$1708-$N$1706))</f>
        <v>1.1381132953287737E-4</v>
      </c>
      <c r="X1706">
        <f>SQRT(($M$1706-$M$1705)^2+($N$1706-$N$1705)^2)</f>
        <v>209.94180135971965</v>
      </c>
      <c r="Y1706">
        <f>_xlfn.XLOOKUP($F1706,設計座標!$E$13:$E$2301,設計座標!$L$13:$L$2301," ",0,1)</f>
        <v>1889.4492</v>
      </c>
      <c r="Z1706">
        <f>SQRT(($M$1707-$M$1704)^2+($N$1707-$N$1704)^2)</f>
        <v>2099.391013596729</v>
      </c>
    </row>
    <row r="1707" spans="1:28">
      <c r="A1707" t="s">
        <v>797</v>
      </c>
      <c r="B1707">
        <v>4</v>
      </c>
      <c r="C1707" t="s">
        <v>804</v>
      </c>
      <c r="D1707" t="s">
        <v>1152</v>
      </c>
      <c r="E1707" t="s">
        <v>804</v>
      </c>
      <c r="F1707" t="s">
        <v>1371</v>
      </c>
      <c r="G1707" t="s">
        <v>2747</v>
      </c>
      <c r="I1707">
        <f>_xlfn.XLOOKUP($F1707,設計座標!$E$13:$E$2301,設計座標!$G$13:$G$2301,"n/a",0,1)</f>
        <v>501.31501886136948</v>
      </c>
      <c r="J1707">
        <f>_xlfn.XLOOKUP($F1707,設計座標!$E$13:$E$2301,設計座標!$H$13:$H$2301,"n/a",0,1)</f>
        <v>-15000</v>
      </c>
      <c r="K1707">
        <f>_xlfn.XLOOKUP($F1707,設計座標!$E$13:$E$2301,設計座標!$I$13:$I$2301,"n/a",0,1)</f>
        <v>-236838.67799545999</v>
      </c>
      <c r="L1707">
        <f>_xlfn.XLOOKUP($F1707,設計座標!$E$13:$E$2301,設計座標!$J$13:$J$2301,"n/a",0,1)</f>
        <v>-270</v>
      </c>
      <c r="M1707" s="2">
        <f t="shared" si="1312"/>
        <v>-14968.406980213138</v>
      </c>
      <c r="N1707" s="2">
        <f t="shared" si="1313"/>
        <v>-236838.67799545999</v>
      </c>
      <c r="O1707" s="23">
        <f t="shared" si="1314"/>
        <v>-272.2440522289038</v>
      </c>
      <c r="P1707" s="1">
        <f t="shared" si="1325"/>
        <v>-269.67056854125599</v>
      </c>
      <c r="Q1707" s="1">
        <f t="shared" si="1320"/>
        <v>31.593019786861124</v>
      </c>
      <c r="R1707">
        <f t="shared" si="1295"/>
        <v>0</v>
      </c>
      <c r="S1707" s="23">
        <f t="shared" si="1319"/>
        <v>-2.2440522289038252</v>
      </c>
      <c r="T1707">
        <f>$S1707+測地線補正!$Q$26*(lattice!$N1707/1000)^3+測地線補正!$P$26*(lattice!$N1707/1000)^2+測地線補正!$O$26*(lattice!$N1707/1000)+測地線補正!$N$26</f>
        <v>0.32943145874398794</v>
      </c>
      <c r="U1707">
        <f t="shared" ref="U1707:U1708" si="1336">-ATAN(($P$1708-$P$1706)/ABS($N$1708-$N$1706))</f>
        <v>-3.3161212429361736E-5</v>
      </c>
      <c r="V1707">
        <v>0</v>
      </c>
      <c r="W1707">
        <f t="shared" ref="W1707:W1708" si="1337">ATAN(($M$1708-$M$1706)/ABS($N$1708-$N$1706))</f>
        <v>1.1381132953287737E-4</v>
      </c>
      <c r="X1707" t="s">
        <v>3860</v>
      </c>
      <c r="Y1707">
        <f>_xlfn.XLOOKUP($F1707,設計座標!$E$13:$E$2301,設計座標!$L$13:$L$2301," ",0,1)</f>
        <v>1889.4492</v>
      </c>
      <c r="Z1707">
        <f>SQRT(($M$1707-$M$1704)^2+($N$1707-$N$1704)^2)</f>
        <v>2099.391013596729</v>
      </c>
    </row>
    <row r="1708" spans="1:28">
      <c r="A1708" t="s">
        <v>797</v>
      </c>
      <c r="B1708">
        <v>4</v>
      </c>
      <c r="C1708" t="s">
        <v>804</v>
      </c>
      <c r="D1708" t="s">
        <v>1152</v>
      </c>
      <c r="E1708" t="s">
        <v>804</v>
      </c>
      <c r="F1708" t="s">
        <v>1725</v>
      </c>
      <c r="G1708" t="s">
        <v>2747</v>
      </c>
      <c r="I1708">
        <f>_xlfn.XLOOKUP($F1708,設計座標!$E$13:$E$2301,設計座標!$G$13:$G$2301,"n/a",0,1)</f>
        <v>502.25974346136945</v>
      </c>
      <c r="J1708">
        <f>_xlfn.XLOOKUP($F1708,設計座標!$E$13:$E$2301,設計座標!$H$13:$H$2301,"n/a",0,1)</f>
        <v>-15000</v>
      </c>
      <c r="K1708">
        <f>_xlfn.XLOOKUP($F1708,設計座標!$E$13:$E$2301,設計座標!$I$13:$I$2301,"n/a",0,1)</f>
        <v>-237783.40259545998</v>
      </c>
      <c r="L1708">
        <f>_xlfn.XLOOKUP($F1708,設計座標!$E$13:$E$2301,設計座標!$J$13:$J$2301,"n/a",0,1)</f>
        <v>-270</v>
      </c>
      <c r="M1708" s="2">
        <f t="shared" si="1312"/>
        <v>-14968.299459849906</v>
      </c>
      <c r="N1708" s="2">
        <f t="shared" si="1313"/>
        <v>-237783.40259545998</v>
      </c>
      <c r="O1708" s="23">
        <f t="shared" si="1314"/>
        <v>-272.20753953421314</v>
      </c>
      <c r="P1708" s="1">
        <f t="shared" si="1325"/>
        <v>-269.6392959196935</v>
      </c>
      <c r="Q1708" s="1">
        <f t="shared" si="1320"/>
        <v>31.700540150094241</v>
      </c>
      <c r="R1708">
        <f t="shared" si="1295"/>
        <v>0</v>
      </c>
      <c r="S1708" s="23">
        <f t="shared" si="1319"/>
        <v>-2.2075395342131139</v>
      </c>
      <c r="T1708">
        <f>$S1708+測地線補正!$Q$26*(lattice!$N1708/1000)^3+測地線補正!$P$26*(lattice!$N1708/1000)^2+測地線補正!$O$26*(lattice!$N1708/1000)+測地線補正!$N$26</f>
        <v>0.36070408030650625</v>
      </c>
      <c r="U1708">
        <f t="shared" si="1336"/>
        <v>-3.3161212429361736E-5</v>
      </c>
      <c r="V1708">
        <v>0</v>
      </c>
      <c r="W1708">
        <f t="shared" si="1337"/>
        <v>1.1381132953287737E-4</v>
      </c>
      <c r="X1708" t="s">
        <v>3860</v>
      </c>
      <c r="Y1708">
        <f>_xlfn.XLOOKUP($F1708,設計座標!$E$13:$E$2301,設計座標!$L$13:$L$2301," ",0,1)</f>
        <v>1889.4492</v>
      </c>
      <c r="Z1708">
        <f>SQRT(($M$1707-$M$1704)^2+($N$1707-$N$1704)^2)</f>
        <v>2099.391013596729</v>
      </c>
    </row>
    <row r="1709" spans="1:28">
      <c r="A1709" t="s">
        <v>797</v>
      </c>
      <c r="B1709">
        <v>4</v>
      </c>
      <c r="C1709" t="s">
        <v>1152</v>
      </c>
      <c r="D1709" t="s">
        <v>1152</v>
      </c>
      <c r="E1709" t="s">
        <v>804</v>
      </c>
      <c r="F1709" t="s">
        <v>2168</v>
      </c>
      <c r="G1709" t="s">
        <v>2168</v>
      </c>
      <c r="I1709">
        <f>_xlfn.XLOOKUP($F1709,設計座標!$E$13:$E$2301,設計座標!$G$13:$G$2301,"n/a",0,1)</f>
        <v>502.41223936136947</v>
      </c>
      <c r="J1709">
        <f>_xlfn.XLOOKUP($F1709,設計座標!$E$13:$E$2301,設計座標!$H$13:$H$2301,"n/a",0,1)</f>
        <v>-15000</v>
      </c>
      <c r="K1709">
        <f>_xlfn.XLOOKUP($F1709,設計座標!$E$13:$E$2301,設計座標!$I$13:$I$2301,"n/a",0,1)</f>
        <v>-237935.89849545999</v>
      </c>
      <c r="L1709">
        <f>_xlfn.XLOOKUP($F1709,設計座標!$E$13:$E$2301,設計座標!$J$13:$J$2301,"n/a",0,1)</f>
        <v>-270</v>
      </c>
      <c r="M1709" s="2">
        <f t="shared" si="1312"/>
        <v>-14968.282104088703</v>
      </c>
      <c r="N1709" s="2">
        <f t="shared" si="1313"/>
        <v>-237935.89849545999</v>
      </c>
      <c r="O1709" s="23">
        <f t="shared" si="1314"/>
        <v>-272.20164571474629</v>
      </c>
      <c r="P1709" s="1">
        <f t="shared" si="1325"/>
        <v>-269.63425831989821</v>
      </c>
      <c r="Q1709" s="1">
        <f t="shared" si="1320"/>
        <v>31.717895911296566</v>
      </c>
      <c r="R1709">
        <f t="shared" si="1295"/>
        <v>0</v>
      </c>
      <c r="S1709" s="23">
        <f t="shared" si="1319"/>
        <v>-2.2016457147462707</v>
      </c>
      <c r="T1709">
        <f>$S1709+測地線補正!$Q$26*(lattice!$N1709/1000)^3+測地線補正!$P$26*(lattice!$N1709/1000)^2+測地線補正!$O$26*(lattice!$N1709/1000)+測地線補正!$N$26</f>
        <v>0.36574168010176833</v>
      </c>
      <c r="U1709">
        <v>0</v>
      </c>
      <c r="V1709">
        <v>0</v>
      </c>
      <c r="W1709">
        <v>0</v>
      </c>
      <c r="X1709">
        <f>SQRT(($M$1709-$M$1708)^2+($N$1709-$N$1708)^2)</f>
        <v>152.49590098765012</v>
      </c>
      <c r="Y1709">
        <f>_xlfn.XLOOKUP($F1709,設計座標!$E$13:$E$2301,設計座標!$L$13:$L$2301," ",0,1)</f>
        <v>0</v>
      </c>
      <c r="Z1709">
        <f>SQRT(($M$1709-$M$1707)^2+($N$1709-$N$1707)^2)</f>
        <v>1097.2205071061546</v>
      </c>
    </row>
    <row r="1710" spans="1:28">
      <c r="A1710" t="s">
        <v>797</v>
      </c>
      <c r="B1710">
        <v>4</v>
      </c>
      <c r="C1710" t="s">
        <v>805</v>
      </c>
      <c r="D1710" t="s">
        <v>806</v>
      </c>
      <c r="F1710" t="s">
        <v>433</v>
      </c>
      <c r="G1710" t="s">
        <v>2748</v>
      </c>
      <c r="I1710">
        <f>_xlfn.XLOOKUP($F1710,設計座標!$E$13:$E$2301,設計座標!$G$13:$G$2301,"n/a",0,1)</f>
        <v>502.52365900000001</v>
      </c>
      <c r="J1710">
        <f>_xlfn.XLOOKUP($F1710,設計座標!$E$13:$E$2301,設計座標!$H$13:$H$2301,"n/a",0,1)</f>
        <v>-15000</v>
      </c>
      <c r="K1710">
        <f>_xlfn.XLOOKUP($F1710,設計座標!$E$13:$E$2301,設計座標!$I$13:$I$2301,"n/a",0,1)</f>
        <v>-238159.32799671</v>
      </c>
      <c r="L1710">
        <f>_xlfn.XLOOKUP($F1710,設計座標!$E$13:$E$2301,設計座標!$J$13:$J$2301,"n/a",0,1)</f>
        <v>-50</v>
      </c>
      <c r="M1710" s="2">
        <f>_xlfn.XLOOKUP($F1710,survey_data!$A$2:$A$833,survey_data!$B$2:$B$833,"n/a",0,1)</f>
        <v>-14968.256675279999</v>
      </c>
      <c r="N1710" s="2">
        <f>_xlfn.XLOOKUP($F1710,survey_data!$A$2:$A$833,survey_data!$C$2:$C$833,"n/a",0,1)</f>
        <v>-238159.32799671</v>
      </c>
      <c r="O1710" s="23">
        <f>_xlfn.XLOOKUP($F1710,survey_data!$A$2:$A$833,survey_data!$D$2:$D$833,"n/a",0,1)</f>
        <v>-52.193010379999997</v>
      </c>
      <c r="P1710" s="1">
        <f t="shared" si="1325"/>
        <v>-49.626882669508532</v>
      </c>
      <c r="Q1710" s="1">
        <f t="shared" si="1308"/>
        <v>31.743324720000601</v>
      </c>
      <c r="R1710">
        <f t="shared" si="1295"/>
        <v>0</v>
      </c>
      <c r="S1710" s="23">
        <f t="shared" si="1309"/>
        <v>-2.1930103799999969</v>
      </c>
      <c r="T1710">
        <f>$S1710+測地線補正!$Q$26*(lattice!$N1710/1000)^3+測地線補正!$P$26*(lattice!$N1710/1000)^2+測地線補正!$O$26*(lattice!$N1710/1000)+測地線補正!$N$26</f>
        <v>0.37311733049146745</v>
      </c>
      <c r="U1710">
        <f>-ATAN(($P$1712-$P$1710)/ABS($N$1712-$N$1710))</f>
        <v>2.7796108771697595E-4</v>
      </c>
      <c r="V1710">
        <v>0</v>
      </c>
      <c r="W1710">
        <f>ATAN(($M$1712-$M$1710)/ABS($N$1712-$N$1710))</f>
        <v>-4.5157031831052474E-4</v>
      </c>
      <c r="X1710">
        <f>$Z$1711-($Y$1711+$Y$1709)/2</f>
        <v>198.43800136942758</v>
      </c>
      <c r="Y1710">
        <f>_xlfn.XLOOKUP($F1710,設計座標!$E$13:$E$2301,設計座標!$L$13:$L$2301," ",0,1)</f>
        <v>200</v>
      </c>
      <c r="Z1710">
        <f>SQRT(($M$1711-$M$1709)^2+($N$1711-$N$1709)^2)</f>
        <v>298.43800136942758</v>
      </c>
      <c r="AA1710">
        <f>_xlfn.XLOOKUP($G1710,magnet_list!$A$2:$A$592,magnet_list!$AJ$2:$AJ$592,"n/a",0,1)</f>
        <v>0.21244935000000001</v>
      </c>
      <c r="AB1710">
        <f>_xlfn.XLOOKUP($G1710,magnet_list!$A$2:$A$592,magnet_list!$L$2:$L$592,"n/a",0,1)</f>
        <v>20</v>
      </c>
    </row>
    <row r="1711" spans="1:28">
      <c r="A1711" t="s">
        <v>797</v>
      </c>
      <c r="B1711">
        <v>4</v>
      </c>
      <c r="C1711" t="s">
        <v>805</v>
      </c>
      <c r="D1711" t="s">
        <v>1152</v>
      </c>
      <c r="E1711" t="s">
        <v>804</v>
      </c>
      <c r="F1711" t="s">
        <v>778</v>
      </c>
      <c r="G1711" t="s">
        <v>2748</v>
      </c>
      <c r="I1711">
        <f>_xlfn.XLOOKUP($F1711,設計座標!$E$13:$E$2301,設計座標!$G$13:$G$2301,"n/a",0,1)</f>
        <v>502.59866749999998</v>
      </c>
      <c r="J1711">
        <f>_xlfn.XLOOKUP($F1711,設計座標!$E$13:$E$2301,設計座標!$H$13:$H$2301,"n/a",0,1)</f>
        <v>-15000</v>
      </c>
      <c r="K1711">
        <f>_xlfn.XLOOKUP($F1711,設計座標!$E$13:$E$2301,設計座標!$I$13:$I$2301,"n/a",0,1)</f>
        <v>-238234.33649670999</v>
      </c>
      <c r="L1711">
        <f>_xlfn.XLOOKUP($F1711,設計座標!$E$13:$E$2301,設計座標!$J$13:$J$2301,"n/a",0,1)</f>
        <v>-50</v>
      </c>
      <c r="M1711" s="2">
        <f t="shared" si="1312"/>
        <v>-14968.290546894523</v>
      </c>
      <c r="N1711" s="2">
        <f t="shared" si="1313"/>
        <v>-238234.33649670999</v>
      </c>
      <c r="O1711" s="23">
        <f t="shared" si="1314"/>
        <v>-52.213435200636816</v>
      </c>
      <c r="P1711" s="1">
        <f t="shared" si="1325"/>
        <v>-49.647731767058012</v>
      </c>
      <c r="Q1711" s="1">
        <f>(Q$1712-Q$1710)/($N$1712-$N$1710)*($N1711-$N$1710)+Q$1710</f>
        <v>31.709453105477287</v>
      </c>
      <c r="R1711">
        <f t="shared" si="1295"/>
        <v>0</v>
      </c>
      <c r="S1711" s="23">
        <f>(S$1712-S$1710)/($N$1712-$N$1710)*($N1711-$N$1710)+S$1710</f>
        <v>-2.2134352006368188</v>
      </c>
      <c r="T1711">
        <f>$S1711+測地線補正!$Q$26*(lattice!$N1711/1000)^3+測地線補正!$P$26*(lattice!$N1711/1000)^2+測地線補正!$O$26*(lattice!$N1711/1000)+測地線補正!$N$26</f>
        <v>0.3522682329419895</v>
      </c>
      <c r="U1711">
        <f t="shared" ref="U1711:U1712" si="1338">-ATAN(($P$1712-$P$1710)/ABS($N$1712-$N$1710))</f>
        <v>2.7796108771697595E-4</v>
      </c>
      <c r="V1711">
        <v>0</v>
      </c>
      <c r="W1711">
        <f t="shared" ref="W1711:W1712" si="1339">ATAN(($M$1712-$M$1710)/ABS($N$1712-$N$1710))</f>
        <v>-4.5157031831052474E-4</v>
      </c>
      <c r="X1711">
        <f>$Z$1711-($Y$1711+$Y$1709)/2</f>
        <v>198.43800136942758</v>
      </c>
      <c r="Y1711">
        <f>_xlfn.XLOOKUP($F1711,設計座標!$E$13:$E$2301,設計座標!$L$13:$L$2301," ",0,1)</f>
        <v>200</v>
      </c>
      <c r="Z1711">
        <f>SQRT(($M$1711-$M$1709)^2+($N$1711-$N$1709)^2)</f>
        <v>298.43800136942758</v>
      </c>
      <c r="AA1711">
        <f>_xlfn.XLOOKUP($G1711,magnet_list!$A$2:$A$592,magnet_list!$AJ$2:$AJ$592,"n/a",0,1)</f>
        <v>0.21244935000000001</v>
      </c>
      <c r="AB1711">
        <f>_xlfn.XLOOKUP($G1711,magnet_list!$A$2:$A$592,magnet_list!$L$2:$L$592,"n/a",0,1)</f>
        <v>20</v>
      </c>
    </row>
    <row r="1712" spans="1:28">
      <c r="A1712" t="s">
        <v>797</v>
      </c>
      <c r="B1712">
        <v>4</v>
      </c>
      <c r="C1712" t="s">
        <v>805</v>
      </c>
      <c r="D1712" t="s">
        <v>806</v>
      </c>
      <c r="F1712" t="s">
        <v>434</v>
      </c>
      <c r="G1712" t="s">
        <v>2748</v>
      </c>
      <c r="I1712">
        <f>_xlfn.XLOOKUP($F1712,設計座標!$E$13:$E$2301,設計座標!$G$13:$G$2301,"n/a",0,1)</f>
        <v>502.673676</v>
      </c>
      <c r="J1712">
        <f>_xlfn.XLOOKUP($F1712,設計座標!$E$13:$E$2301,設計座標!$H$13:$H$2301,"n/a",0,1)</f>
        <v>-15000</v>
      </c>
      <c r="K1712">
        <f>_xlfn.XLOOKUP($F1712,設計座標!$E$13:$E$2301,設計座標!$I$13:$I$2301,"n/a",0,1)</f>
        <v>-238309.34216427</v>
      </c>
      <c r="L1712">
        <f>_xlfn.XLOOKUP($F1712,設計座標!$E$13:$E$2301,設計座標!$J$13:$J$2301,"n/a",0,1)</f>
        <v>-50</v>
      </c>
      <c r="M1712" s="2">
        <f>_xlfn.XLOOKUP($F1712,survey_data!$A$2:$A$833,survey_data!$B$2:$B$833,"n/a",0,1)</f>
        <v>-14968.32441723</v>
      </c>
      <c r="N1712" s="2">
        <f>_xlfn.XLOOKUP($F1712,survey_data!$A$2:$A$833,survey_data!$C$2:$C$833,"n/a",0,1)</f>
        <v>-238309.34216427</v>
      </c>
      <c r="O1712" s="23">
        <f>_xlfn.XLOOKUP($F1712,survey_data!$A$2:$A$833,survey_data!$D$2:$D$833,"n/a",0,1)</f>
        <v>-52.233859250000002</v>
      </c>
      <c r="P1712" s="1">
        <f t="shared" si="1325"/>
        <v>-49.668580771770365</v>
      </c>
      <c r="Q1712" s="1">
        <f t="shared" si="1308"/>
        <v>31.675582769999892</v>
      </c>
      <c r="R1712">
        <f t="shared" si="1295"/>
        <v>0</v>
      </c>
      <c r="S1712" s="23">
        <f t="shared" si="1309"/>
        <v>-2.2338592500000019</v>
      </c>
      <c r="T1712">
        <f>$S1712+測地線補正!$Q$26*(lattice!$N1712/1000)^3+測地線補正!$P$26*(lattice!$N1712/1000)^2+測地線補正!$O$26*(lattice!$N1712/1000)+測地線補正!$N$26</f>
        <v>0.33141922822963443</v>
      </c>
      <c r="U1712">
        <f t="shared" si="1338"/>
        <v>2.7796108771697595E-4</v>
      </c>
      <c r="V1712">
        <v>0</v>
      </c>
      <c r="W1712">
        <f t="shared" si="1339"/>
        <v>-4.5157031831052474E-4</v>
      </c>
      <c r="X1712">
        <f>$Z$1711-($Y$1711+$Y$1709)/2</f>
        <v>198.43800136942758</v>
      </c>
      <c r="Y1712">
        <f>_xlfn.XLOOKUP($F1712,設計座標!$E$13:$E$2301,設計座標!$L$13:$L$2301," ",0,1)</f>
        <v>200</v>
      </c>
      <c r="Z1712">
        <f>SQRT(($M$1711-$M$1709)^2+($N$1711-$N$1709)^2)</f>
        <v>298.43800136942758</v>
      </c>
      <c r="AA1712">
        <f>_xlfn.XLOOKUP($G1712,magnet_list!$A$2:$A$592,magnet_list!$AJ$2:$AJ$592,"n/a",0,1)</f>
        <v>0.21244935000000001</v>
      </c>
      <c r="AB1712">
        <f>_xlfn.XLOOKUP($G1712,magnet_list!$A$2:$A$592,magnet_list!$L$2:$L$592,"n/a",0,1)</f>
        <v>20</v>
      </c>
    </row>
    <row r="1713" spans="1:28">
      <c r="A1713" t="s">
        <v>797</v>
      </c>
      <c r="B1713">
        <v>4</v>
      </c>
      <c r="C1713" t="s">
        <v>805</v>
      </c>
      <c r="D1713" t="s">
        <v>806</v>
      </c>
      <c r="F1713" t="s">
        <v>435</v>
      </c>
      <c r="G1713" t="s">
        <v>435</v>
      </c>
      <c r="I1713">
        <f>_xlfn.XLOOKUP($F1713,設計座標!$E$13:$E$2301,設計座標!$G$13:$G$2301,"n/a",0,1)</f>
        <v>502.92868899999996</v>
      </c>
      <c r="J1713">
        <f>_xlfn.XLOOKUP($F1713,設計座標!$E$13:$E$2301,設計座標!$H$13:$H$2301,"n/a",0,1)</f>
        <v>-15000</v>
      </c>
      <c r="K1713">
        <f>_xlfn.XLOOKUP($F1713,設計座標!$E$13:$E$2301,設計座標!$I$13:$I$2301,"n/a",0,1)</f>
        <v>-238564.35592286001</v>
      </c>
      <c r="L1713">
        <f>_xlfn.XLOOKUP($F1713,設計座標!$E$13:$E$2301,設計座標!$J$13:$J$2301,"n/a",0,1)</f>
        <v>-90</v>
      </c>
      <c r="M1713" s="2">
        <f>_xlfn.XLOOKUP($F1713,survey_data!$A$2:$A$833,survey_data!$B$2:$B$833,"n/a",0,1)</f>
        <v>-14968.249560939999</v>
      </c>
      <c r="N1713" s="2">
        <f>_xlfn.XLOOKUP($F1713,survey_data!$A$2:$A$833,survey_data!$C$2:$C$833,"n/a",0,1)</f>
        <v>-238564.35592286001</v>
      </c>
      <c r="O1713" s="23">
        <f>_xlfn.XLOOKUP($F1713,survey_data!$A$2:$A$833,survey_data!$D$2:$D$833,"n/a",0,1)</f>
        <v>-92.2168147</v>
      </c>
      <c r="P1713" s="1">
        <f t="shared" si="1325"/>
        <v>-89.652986228356539</v>
      </c>
      <c r="Q1713" s="1">
        <f t="shared" si="1308"/>
        <v>31.750439060000645</v>
      </c>
      <c r="R1713">
        <f t="shared" si="1295"/>
        <v>0</v>
      </c>
      <c r="S1713" s="23">
        <f t="shared" si="1309"/>
        <v>-2.2168147000000005</v>
      </c>
      <c r="T1713">
        <f>$S1713+測地線補正!$Q$26*(lattice!$N1713/1000)^3+測地線補正!$P$26*(lattice!$N1713/1000)^2+測地線補正!$O$26*(lattice!$N1713/1000)+測地線補正!$N$26</f>
        <v>0.34701377164345693</v>
      </c>
      <c r="U1713">
        <v>0</v>
      </c>
      <c r="V1713">
        <v>0</v>
      </c>
      <c r="W1713">
        <v>0</v>
      </c>
      <c r="X1713">
        <f>$Z$1714-($Y$1714+$Y$1711)/2</f>
        <v>190.01942869508974</v>
      </c>
      <c r="Y1713">
        <f>_xlfn.XLOOKUP($F1713,設計座標!$E$13:$E$2301,設計座標!$L$13:$L$2301," ",0,1)</f>
        <v>80</v>
      </c>
      <c r="Z1713">
        <f>SQRT(($M$1714-$M$1711)^2+($N$1714-$N$1711)^2)</f>
        <v>330.01942869508974</v>
      </c>
      <c r="AA1713">
        <f>_xlfn.XLOOKUP($G1713,magnet_list!$A$2:$A$592,magnet_list!$AJ$2:$AJ$592,"n/a",0,1)</f>
        <v>0.1074008800631841</v>
      </c>
      <c r="AB1713">
        <f>_xlfn.XLOOKUP($G1713,magnet_list!$A$2:$A$592,magnet_list!$L$2:$L$592,"n/a",0,1)</f>
        <v>20</v>
      </c>
    </row>
    <row r="1714" spans="1:28">
      <c r="A1714" t="s">
        <v>797</v>
      </c>
      <c r="B1714">
        <v>4</v>
      </c>
      <c r="C1714" t="s">
        <v>805</v>
      </c>
      <c r="D1714" t="s">
        <v>1152</v>
      </c>
      <c r="E1714" t="s">
        <v>804</v>
      </c>
      <c r="F1714" t="s">
        <v>1899</v>
      </c>
      <c r="G1714" t="s">
        <v>435</v>
      </c>
      <c r="I1714">
        <f>_xlfn.XLOOKUP($F1714,設計座標!$E$13:$E$2301,設計座標!$G$13:$G$2301,"n/a",0,1)</f>
        <v>502.92868899999996</v>
      </c>
      <c r="J1714">
        <f>_xlfn.XLOOKUP($F1714,設計座標!$E$13:$E$2301,設計座標!$H$13:$H$2301,"n/a",0,1)</f>
        <v>-15000</v>
      </c>
      <c r="K1714">
        <f>_xlfn.XLOOKUP($F1714,設計座標!$E$13:$E$2301,設計座標!$I$13:$I$2301,"n/a",0,1)</f>
        <v>-238564.35592286001</v>
      </c>
      <c r="L1714">
        <f>_xlfn.XLOOKUP($F1714,設計座標!$E$13:$E$2301,設計座標!$J$13:$J$2301,"n/a",0,1)</f>
        <v>-90</v>
      </c>
      <c r="M1714" s="2">
        <f t="shared" ref="M1714:M1750" si="1340">$J1714+$Q1714</f>
        <v>-14968.249560939999</v>
      </c>
      <c r="N1714" s="2">
        <f t="shared" ref="N1714:N1750" si="1341">$K1714</f>
        <v>-238564.35592286001</v>
      </c>
      <c r="O1714" s="23">
        <f t="shared" ref="O1714:O1750" si="1342">$L1714+$S1714</f>
        <v>-92.2168147</v>
      </c>
      <c r="P1714" s="1">
        <f t="shared" si="1325"/>
        <v>-89.652986228356539</v>
      </c>
      <c r="Q1714" s="1">
        <f>(Q$1715-Q$1713)/($N$1715-$N$1713)*($N1714-$N$1713)+Q$1713</f>
        <v>31.750439060000645</v>
      </c>
      <c r="R1714">
        <f t="shared" ref="R1714:R1777" si="1343">$N1714-$K1714</f>
        <v>0</v>
      </c>
      <c r="S1714" s="23">
        <f>(S$1715-S$1713)/($N$1715-$N$1713)*($N1714-$N$1713)+S$1713</f>
        <v>-2.2168147000000005</v>
      </c>
      <c r="T1714">
        <f>$S1714+測地線補正!$Q$26*(lattice!$N1714/1000)^3+測地線補正!$P$26*(lattice!$N1714/1000)^2+測地線補正!$O$26*(lattice!$N1714/1000)+測地線補正!$N$26</f>
        <v>0.34701377164345693</v>
      </c>
      <c r="U1714">
        <v>0</v>
      </c>
      <c r="V1714">
        <v>0</v>
      </c>
      <c r="W1714">
        <v>0</v>
      </c>
      <c r="X1714">
        <f>$Z$1714-($Y$1714+$Y$1711)/2</f>
        <v>190.01942869508974</v>
      </c>
      <c r="Y1714">
        <f>_xlfn.XLOOKUP($F1714,設計座標!$E$13:$E$2301,設計座標!$L$13:$L$2301," ",0,1)</f>
        <v>80</v>
      </c>
      <c r="Z1714">
        <f>SQRT(($M$1714-$M$1711)^2+($N$1714-$N$1711)^2)</f>
        <v>330.01942869508974</v>
      </c>
      <c r="AA1714">
        <f>_xlfn.XLOOKUP($G1714,magnet_list!$A$2:$A$592,magnet_list!$AJ$2:$AJ$592,"n/a",0,1)</f>
        <v>0.1074008800631841</v>
      </c>
      <c r="AB1714">
        <f>_xlfn.XLOOKUP($G1714,magnet_list!$A$2:$A$592,magnet_list!$L$2:$L$592,"n/a",0,1)</f>
        <v>20</v>
      </c>
    </row>
    <row r="1715" spans="1:28">
      <c r="A1715" t="s">
        <v>797</v>
      </c>
      <c r="B1715">
        <v>4</v>
      </c>
      <c r="C1715" t="s">
        <v>805</v>
      </c>
      <c r="D1715" t="s">
        <v>806</v>
      </c>
      <c r="F1715" t="s">
        <v>436</v>
      </c>
      <c r="G1715" t="s">
        <v>436</v>
      </c>
      <c r="I1715">
        <f>_xlfn.XLOOKUP($F1715,設計座標!$E$13:$E$2301,設計座標!$G$13:$G$2301,"n/a",0,1)</f>
        <v>503.12871599999994</v>
      </c>
      <c r="J1715">
        <f>_xlfn.XLOOKUP($F1715,設計座標!$E$13:$E$2301,設計座標!$H$13:$H$2301,"n/a",0,1)</f>
        <v>-15000</v>
      </c>
      <c r="K1715">
        <f>_xlfn.XLOOKUP($F1715,設計座標!$E$13:$E$2301,設計座標!$I$13:$I$2301,"n/a",0,1)</f>
        <v>-238764.37370860999</v>
      </c>
      <c r="L1715">
        <f>_xlfn.XLOOKUP($F1715,設計座標!$E$13:$E$2301,設計座標!$J$13:$J$2301,"n/a",0,1)</f>
        <v>-90</v>
      </c>
      <c r="M1715" s="2">
        <f>_xlfn.XLOOKUP($F1715,survey_data!$A$2:$A$833,survey_data!$B$2:$B$833,"n/a",0,1)</f>
        <v>-14968.17477503</v>
      </c>
      <c r="N1715" s="2">
        <f>_xlfn.XLOOKUP($F1715,survey_data!$A$2:$A$833,survey_data!$C$2:$C$833,"n/a",0,1)</f>
        <v>-238764.37370860999</v>
      </c>
      <c r="O1715" s="23">
        <f>_xlfn.XLOOKUP($F1715,survey_data!$A$2:$A$833,survey_data!$D$2:$D$833,"n/a",0,1)</f>
        <v>-92.255935930000007</v>
      </c>
      <c r="P1715" s="1">
        <f t="shared" si="1325"/>
        <v>-89.693250363975608</v>
      </c>
      <c r="Q1715" s="1">
        <f t="shared" ref="Q1715:Q1758" si="1344">$M1715-$J1715</f>
        <v>31.825224969999908</v>
      </c>
      <c r="R1715">
        <f t="shared" si="1343"/>
        <v>0</v>
      </c>
      <c r="S1715" s="23">
        <f t="shared" ref="S1715:S1758" si="1345">$O1715-$L1715</f>
        <v>-2.2559359300000068</v>
      </c>
      <c r="T1715">
        <f>$S1715+測地線補正!$Q$26*(lattice!$N1715/1000)^3+測地線補正!$P$26*(lattice!$N1715/1000)^2+測地線補正!$O$26*(lattice!$N1715/1000)+測地線補正!$N$26</f>
        <v>0.30674963602439376</v>
      </c>
      <c r="U1715">
        <v>0</v>
      </c>
      <c r="V1715">
        <v>0</v>
      </c>
      <c r="W1715">
        <v>0</v>
      </c>
      <c r="X1715">
        <f>$Z$1716-($Y$1716+$Y$1714)/2</f>
        <v>120.01779973106727</v>
      </c>
      <c r="Y1715">
        <f>_xlfn.XLOOKUP($F1715,設計座標!$E$13:$E$2301,設計座標!$L$13:$L$2301," ",0,1)</f>
        <v>80</v>
      </c>
      <c r="Z1715">
        <f>SQRT(($M$1716-$M$1714)^2+($N$1716-$N$1714)^2)</f>
        <v>200.01779973106727</v>
      </c>
      <c r="AA1715">
        <f>_xlfn.XLOOKUP($G1715,magnet_list!$A$2:$A$592,magnet_list!$AJ$2:$AJ$592,"n/a",0,1)</f>
        <v>0.1074008800631841</v>
      </c>
      <c r="AB1715">
        <f>_xlfn.XLOOKUP($G1715,magnet_list!$A$2:$A$592,magnet_list!$L$2:$L$592,"n/a",0,1)</f>
        <v>20</v>
      </c>
    </row>
    <row r="1716" spans="1:28">
      <c r="A1716" t="s">
        <v>797</v>
      </c>
      <c r="B1716">
        <v>4</v>
      </c>
      <c r="C1716" t="s">
        <v>805</v>
      </c>
      <c r="D1716" t="s">
        <v>1152</v>
      </c>
      <c r="E1716" t="s">
        <v>804</v>
      </c>
      <c r="F1716" t="s">
        <v>1900</v>
      </c>
      <c r="G1716" t="s">
        <v>436</v>
      </c>
      <c r="I1716">
        <f>_xlfn.XLOOKUP($F1716,設計座標!$E$13:$E$2301,設計座標!$G$13:$G$2301,"n/a",0,1)</f>
        <v>503.12871599999994</v>
      </c>
      <c r="J1716">
        <f>_xlfn.XLOOKUP($F1716,設計座標!$E$13:$E$2301,設計座標!$H$13:$H$2301,"n/a",0,1)</f>
        <v>-15000</v>
      </c>
      <c r="K1716">
        <f>_xlfn.XLOOKUP($F1716,設計座標!$E$13:$E$2301,設計座標!$I$13:$I$2301,"n/a",0,1)</f>
        <v>-238764.37370860999</v>
      </c>
      <c r="L1716">
        <f>_xlfn.XLOOKUP($F1716,設計座標!$E$13:$E$2301,設計座標!$J$13:$J$2301,"n/a",0,1)</f>
        <v>-90</v>
      </c>
      <c r="M1716" s="2">
        <f t="shared" si="1340"/>
        <v>-14968.17477503</v>
      </c>
      <c r="N1716" s="2">
        <f t="shared" si="1341"/>
        <v>-238764.37370860999</v>
      </c>
      <c r="O1716" s="23">
        <f t="shared" si="1342"/>
        <v>-92.255935930000007</v>
      </c>
      <c r="P1716" s="1">
        <f t="shared" si="1325"/>
        <v>-89.693250363975608</v>
      </c>
      <c r="Q1716" s="1">
        <f>(Q$1717-Q$1715)/($N$1717-$N$1715)*($N1716-$N$1715)+Q$1715</f>
        <v>31.825224969999908</v>
      </c>
      <c r="R1716">
        <f t="shared" si="1343"/>
        <v>0</v>
      </c>
      <c r="S1716" s="23">
        <f>(S$1717-S$1715)/($N$1717-$N$1715)*($N1716-$N$1715)+S$1715</f>
        <v>-2.2559359300000068</v>
      </c>
      <c r="T1716">
        <f>$S1716+測地線補正!$Q$26*(lattice!$N1716/1000)^3+測地線補正!$P$26*(lattice!$N1716/1000)^2+測地線補正!$O$26*(lattice!$N1716/1000)+測地線補正!$N$26</f>
        <v>0.30674963602439376</v>
      </c>
      <c r="U1716">
        <v>0</v>
      </c>
      <c r="V1716">
        <v>0</v>
      </c>
      <c r="W1716">
        <v>0</v>
      </c>
      <c r="X1716">
        <f>$Z$1716-($Y$1716+$Y$1714)/2</f>
        <v>120.01779973106727</v>
      </c>
      <c r="Y1716">
        <f>_xlfn.XLOOKUP($F1716,設計座標!$E$13:$E$2301,設計座標!$L$13:$L$2301," ",0,1)</f>
        <v>80</v>
      </c>
      <c r="Z1716">
        <f>SQRT(($M$1716-$M$1714)^2+($N$1716-$N$1714)^2)</f>
        <v>200.01779973106727</v>
      </c>
      <c r="AA1716">
        <f>_xlfn.XLOOKUP($G1716,magnet_list!$A$2:$A$592,magnet_list!$AJ$2:$AJ$592,"n/a",0,1)</f>
        <v>0.1074008800631841</v>
      </c>
      <c r="AB1716">
        <f>_xlfn.XLOOKUP($G1716,magnet_list!$A$2:$A$592,magnet_list!$L$2:$L$592,"n/a",0,1)</f>
        <v>20</v>
      </c>
    </row>
    <row r="1717" spans="1:28">
      <c r="A1717" t="s">
        <v>797</v>
      </c>
      <c r="B1717">
        <v>4</v>
      </c>
      <c r="C1717" t="s">
        <v>805</v>
      </c>
      <c r="D1717" t="s">
        <v>806</v>
      </c>
      <c r="F1717" t="s">
        <v>437</v>
      </c>
      <c r="G1717" t="s">
        <v>2749</v>
      </c>
      <c r="I1717">
        <f>_xlfn.XLOOKUP($F1717,設計座標!$E$13:$E$2301,設計座標!$G$13:$G$2301,"n/a",0,1)</f>
        <v>503.38371199999995</v>
      </c>
      <c r="J1717">
        <f>_xlfn.XLOOKUP($F1717,設計座標!$E$13:$E$2301,設計座標!$H$13:$H$2301,"n/a",0,1)</f>
        <v>-15000</v>
      </c>
      <c r="K1717">
        <f>_xlfn.XLOOKUP($F1717,設計座標!$E$13:$E$2301,設計座標!$I$13:$I$2301,"n/a",0,1)</f>
        <v>-239019.39296909</v>
      </c>
      <c r="L1717">
        <f>_xlfn.XLOOKUP($F1717,設計座標!$E$13:$E$2301,設計座標!$J$13:$J$2301,"n/a",0,1)</f>
        <v>-50</v>
      </c>
      <c r="M1717" s="2">
        <f>_xlfn.XLOOKUP($F1717,survey_data!$A$2:$A$833,survey_data!$B$2:$B$833,"n/a",0,1)</f>
        <v>-14968.19788319</v>
      </c>
      <c r="N1717" s="2">
        <f>_xlfn.XLOOKUP($F1717,survey_data!$A$2:$A$833,survey_data!$C$2:$C$833,"n/a",0,1)</f>
        <v>-239019.39296909</v>
      </c>
      <c r="O1717" s="23">
        <f>_xlfn.XLOOKUP($F1717,survey_data!$A$2:$A$833,survey_data!$D$2:$D$833,"n/a",0,1)</f>
        <v>-52.198233629999997</v>
      </c>
      <c r="P1717" s="1">
        <f t="shared" si="1325"/>
        <v>-49.637012385298952</v>
      </c>
      <c r="Q1717" s="1">
        <f t="shared" si="1344"/>
        <v>31.802116810000371</v>
      </c>
      <c r="R1717">
        <f t="shared" si="1343"/>
        <v>0</v>
      </c>
      <c r="S1717" s="23">
        <f t="shared" si="1345"/>
        <v>-2.1982336299999972</v>
      </c>
      <c r="T1717">
        <f>$S1717+測地線補正!$Q$26*(lattice!$N1717/1000)^3+測地線補正!$P$26*(lattice!$N1717/1000)^2+測地線補正!$O$26*(lattice!$N1717/1000)+測地線補正!$N$26</f>
        <v>0.36298761470104757</v>
      </c>
      <c r="U1717">
        <f>-ATAN(($P$1719-$P$1717)/ABS($N$1719-$N$1717))</f>
        <v>-4.0868162057442636E-4</v>
      </c>
      <c r="V1717">
        <v>0</v>
      </c>
      <c r="W1717">
        <f>ATAN(($M$1719-$M$1717)/ABS($N$1719-$N$1717))</f>
        <v>-1.028195245444702E-4</v>
      </c>
      <c r="X1717">
        <f>$Z$1718-($Y$1718+$Y$1716)/2</f>
        <v>190.02476191912007</v>
      </c>
      <c r="Y1717">
        <f>_xlfn.XLOOKUP($F1717,設計座標!$E$13:$E$2301,設計座標!$L$13:$L$2301," ",0,1)</f>
        <v>200</v>
      </c>
      <c r="Z1717">
        <f>SQRT(($M$1718-$M$1716)^2+($N$1718-$N$1716)^2)</f>
        <v>330.02476191912007</v>
      </c>
      <c r="AA1717">
        <f>_xlfn.XLOOKUP($G1717,magnet_list!$A$2:$A$592,magnet_list!$AJ$2:$AJ$592,"n/a",0,1)</f>
        <v>0.21244935000000001</v>
      </c>
      <c r="AB1717">
        <f>_xlfn.XLOOKUP($G1717,magnet_list!$A$2:$A$592,magnet_list!$L$2:$L$592,"n/a",0,1)</f>
        <v>20</v>
      </c>
    </row>
    <row r="1718" spans="1:28">
      <c r="A1718" t="s">
        <v>797</v>
      </c>
      <c r="B1718">
        <v>4</v>
      </c>
      <c r="C1718" t="s">
        <v>805</v>
      </c>
      <c r="D1718" t="s">
        <v>1152</v>
      </c>
      <c r="E1718" t="s">
        <v>804</v>
      </c>
      <c r="F1718" t="s">
        <v>779</v>
      </c>
      <c r="G1718" t="s">
        <v>2749</v>
      </c>
      <c r="I1718">
        <f>_xlfn.XLOOKUP($F1718,設計座標!$E$13:$E$2301,設計座標!$G$13:$G$2301,"n/a",0,1)</f>
        <v>503.45871749999992</v>
      </c>
      <c r="J1718">
        <f>_xlfn.XLOOKUP($F1718,設計座標!$E$13:$E$2301,設計座標!$H$13:$H$2301,"n/a",0,1)</f>
        <v>-15000</v>
      </c>
      <c r="K1718">
        <f>_xlfn.XLOOKUP($F1718,設計座標!$E$13:$E$2301,設計座標!$I$13:$I$2301,"n/a",0,1)</f>
        <v>-239094.39846909</v>
      </c>
      <c r="L1718">
        <f>_xlfn.XLOOKUP($F1718,設計座標!$E$13:$E$2301,設計座標!$J$13:$J$2301,"n/a",0,1)</f>
        <v>-50</v>
      </c>
      <c r="M1718" s="2">
        <f t="shared" si="1340"/>
        <v>-14968.205595219875</v>
      </c>
      <c r="N1718" s="2">
        <f t="shared" si="1341"/>
        <v>-239094.39846909</v>
      </c>
      <c r="O1718" s="23">
        <f t="shared" si="1342"/>
        <v>-52.167147711584093</v>
      </c>
      <c r="P1718" s="1">
        <f t="shared" si="1325"/>
        <v>-49.60635866914749</v>
      </c>
      <c r="Q1718" s="1">
        <f>(Q$1719-Q$1717)/($N$1719-$N$1717)*($N1718-$N$1717)+Q$1717</f>
        <v>31.794404780124975</v>
      </c>
      <c r="R1718">
        <f t="shared" si="1343"/>
        <v>0</v>
      </c>
      <c r="S1718" s="23">
        <f>(S$1719-S$1717)/($N$1719-$N$1717)*($N1718-$N$1717)+S$1717</f>
        <v>-2.1671477115840929</v>
      </c>
      <c r="T1718">
        <f>$S1718+測地線補正!$Q$26*(lattice!$N1718/1000)^3+測地線補正!$P$26*(lattice!$N1718/1000)^2+測地線補正!$O$26*(lattice!$N1718/1000)+測地線補正!$N$26</f>
        <v>0.39364133085251019</v>
      </c>
      <c r="U1718">
        <f t="shared" ref="U1718:U1719" si="1346">-ATAN(($P$1719-$P$1717)/ABS($N$1719-$N$1717))</f>
        <v>-4.0868162057442636E-4</v>
      </c>
      <c r="V1718">
        <v>0</v>
      </c>
      <c r="W1718">
        <f t="shared" ref="W1718:W1719" si="1347">ATAN(($M$1719-$M$1717)/ABS($N$1719-$N$1717))</f>
        <v>-1.028195245444702E-4</v>
      </c>
      <c r="X1718">
        <f>$Z$1718-($Y$1718+$Y$1716)/2</f>
        <v>190.02476191912007</v>
      </c>
      <c r="Y1718">
        <f>_xlfn.XLOOKUP($F1718,設計座標!$E$13:$E$2301,設計座標!$L$13:$L$2301," ",0,1)</f>
        <v>200</v>
      </c>
      <c r="Z1718">
        <f>SQRT(($M$1718-$M$1716)^2+($N$1718-$N$1716)^2)</f>
        <v>330.02476191912007</v>
      </c>
      <c r="AA1718">
        <f>_xlfn.XLOOKUP($G1718,magnet_list!$A$2:$A$592,magnet_list!$AJ$2:$AJ$592,"n/a",0,1)</f>
        <v>0.21244935000000001</v>
      </c>
      <c r="AB1718">
        <f>_xlfn.XLOOKUP($G1718,magnet_list!$A$2:$A$592,magnet_list!$L$2:$L$592,"n/a",0,1)</f>
        <v>20</v>
      </c>
    </row>
    <row r="1719" spans="1:28">
      <c r="A1719" t="s">
        <v>797</v>
      </c>
      <c r="B1719">
        <v>4</v>
      </c>
      <c r="C1719" t="s">
        <v>805</v>
      </c>
      <c r="D1719" t="s">
        <v>806</v>
      </c>
      <c r="F1719" t="s">
        <v>438</v>
      </c>
      <c r="G1719" t="s">
        <v>2749</v>
      </c>
      <c r="I1719">
        <f>_xlfn.XLOOKUP($F1719,設計座標!$E$13:$E$2301,設計座標!$G$13:$G$2301,"n/a",0,1)</f>
        <v>503.53372299999995</v>
      </c>
      <c r="J1719">
        <f>_xlfn.XLOOKUP($F1719,設計座標!$E$13:$E$2301,設計座標!$H$13:$H$2301,"n/a",0,1)</f>
        <v>-15000</v>
      </c>
      <c r="K1719">
        <f>_xlfn.XLOOKUP($F1719,設計座標!$E$13:$E$2301,設計座標!$I$13:$I$2301,"n/a",0,1)</f>
        <v>-239169.38257479999</v>
      </c>
      <c r="L1719">
        <f>_xlfn.XLOOKUP($F1719,設計座標!$E$13:$E$2301,設計座標!$J$13:$J$2301,"n/a",0,1)</f>
        <v>-50</v>
      </c>
      <c r="M1719" s="2">
        <f>_xlfn.XLOOKUP($F1719,survey_data!$A$2:$A$833,survey_data!$B$2:$B$833,"n/a",0,1)</f>
        <v>-14968.21330505</v>
      </c>
      <c r="N1719" s="2">
        <f>_xlfn.XLOOKUP($F1719,survey_data!$A$2:$A$833,survey_data!$C$2:$C$833,"n/a",0,1)</f>
        <v>-239169.38257479999</v>
      </c>
      <c r="O1719" s="23">
        <f>_xlfn.XLOOKUP($F1719,survey_data!$A$2:$A$833,survey_data!$D$2:$D$833,"n/a",0,1)</f>
        <v>-52.136070660000001</v>
      </c>
      <c r="P1719" s="1">
        <f t="shared" si="1325"/>
        <v>-49.575714386755394</v>
      </c>
      <c r="Q1719" s="1">
        <f t="shared" si="1344"/>
        <v>31.78669495000031</v>
      </c>
      <c r="R1719">
        <f t="shared" si="1343"/>
        <v>0</v>
      </c>
      <c r="S1719" s="23">
        <f t="shared" si="1345"/>
        <v>-2.1360706600000015</v>
      </c>
      <c r="T1719">
        <f>$S1719+測地線補正!$Q$26*(lattice!$N1719/1000)^3+測地線補正!$P$26*(lattice!$N1719/1000)^2+測地線補正!$O$26*(lattice!$N1719/1000)+測地線補正!$N$26</f>
        <v>0.42428561324460801</v>
      </c>
      <c r="U1719">
        <f t="shared" si="1346"/>
        <v>-4.0868162057442636E-4</v>
      </c>
      <c r="V1719">
        <v>0</v>
      </c>
      <c r="W1719">
        <f t="shared" si="1347"/>
        <v>-1.028195245444702E-4</v>
      </c>
      <c r="X1719">
        <f>$Z$1718-($Y$1718+$Y$1716)/2</f>
        <v>190.02476191912007</v>
      </c>
      <c r="Y1719">
        <f>_xlfn.XLOOKUP($F1719,設計座標!$E$13:$E$2301,設計座標!$L$13:$L$2301," ",0,1)</f>
        <v>200</v>
      </c>
      <c r="Z1719">
        <f>SQRT(($M$1718-$M$1716)^2+($N$1718-$N$1716)^2)</f>
        <v>330.02476191912007</v>
      </c>
      <c r="AA1719">
        <f>_xlfn.XLOOKUP($G1719,magnet_list!$A$2:$A$592,magnet_list!$AJ$2:$AJ$592,"n/a",0,1)</f>
        <v>0.21244935000000001</v>
      </c>
      <c r="AB1719">
        <f>_xlfn.XLOOKUP($G1719,magnet_list!$A$2:$A$592,magnet_list!$L$2:$L$592,"n/a",0,1)</f>
        <v>20</v>
      </c>
    </row>
    <row r="1720" spans="1:28">
      <c r="A1720" t="s">
        <v>797</v>
      </c>
      <c r="B1720">
        <v>4</v>
      </c>
      <c r="C1720" t="s">
        <v>2288</v>
      </c>
      <c r="D1720" t="s">
        <v>1152</v>
      </c>
      <c r="E1720" t="s">
        <v>804</v>
      </c>
      <c r="F1720" t="s">
        <v>2296</v>
      </c>
      <c r="G1720" t="s">
        <v>2296</v>
      </c>
      <c r="I1720">
        <f>_xlfn.XLOOKUP($F1720,設計座標!$E$13:$E$2301,設計座標!$G$13:$G$2301,"n/a",0,1)</f>
        <v>503.77675206136945</v>
      </c>
      <c r="J1720">
        <f>_xlfn.XLOOKUP($F1720,設計座標!$E$13:$E$2301,設計座標!$H$13:$H$2301,"n/a",0,1)</f>
        <v>-15000</v>
      </c>
      <c r="K1720">
        <f>_xlfn.XLOOKUP($F1720,設計座標!$E$13:$E$2301,設計座標!$I$13:$I$2301,"n/a",0,1)</f>
        <v>-239300.41119545998</v>
      </c>
      <c r="L1720">
        <f>_xlfn.XLOOKUP($F1720,設計座標!$E$13:$E$2301,設計座標!$J$13:$J$2301,"n/a",0,1)</f>
        <v>-270</v>
      </c>
      <c r="M1720" s="2">
        <f t="shared" si="1340"/>
        <v>-14968.19588367623</v>
      </c>
      <c r="N1720" s="2">
        <f t="shared" si="1341"/>
        <v>-239300.41119545998</v>
      </c>
      <c r="O1720" s="23">
        <f t="shared" si="1342"/>
        <v>-272.13822629904888</v>
      </c>
      <c r="P1720" s="1">
        <f t="shared" si="1325"/>
        <v>-269.57862791027702</v>
      </c>
      <c r="Q1720" s="1">
        <f>(Q$1749-Q$1719)/($N$1749-$N$1719)*($N1720-$N$1719)+Q$1719</f>
        <v>31.804116323771098</v>
      </c>
      <c r="R1720">
        <f t="shared" si="1343"/>
        <v>0</v>
      </c>
      <c r="S1720" s="23">
        <f t="shared" ref="S1720:S1748" si="1348">(S$1749-S$1719)/($N$1749-$N$1719)*($N1720-$N$1719)+S$1719</f>
        <v>-2.1382262990488576</v>
      </c>
      <c r="T1720">
        <f>$S1720+測地線補正!$Q$26*(lattice!$N1720/1000)^3+測地線補正!$P$26*(lattice!$N1720/1000)^2+測地線補正!$O$26*(lattice!$N1720/1000)+測地線補正!$N$26</f>
        <v>0.42137208972296469</v>
      </c>
      <c r="U1720">
        <v>0</v>
      </c>
      <c r="V1720">
        <v>0</v>
      </c>
      <c r="W1720">
        <v>0</v>
      </c>
      <c r="X1720">
        <f>$Z$1720-($Y$1720+$Y$1718)/2</f>
        <v>106.01272659888681</v>
      </c>
      <c r="Y1720">
        <f>_xlfn.XLOOKUP($F1720,設計座標!$E$13:$E$2301,設計座標!$L$13:$L$2301," ",0,1)</f>
        <v>0</v>
      </c>
      <c r="Z1720">
        <f>SQRT(($M$1720-$M$1718)^2+($N$1720-$N$1718)^2)</f>
        <v>206.01272659888681</v>
      </c>
    </row>
    <row r="1721" spans="1:28">
      <c r="A1721" t="s">
        <v>797</v>
      </c>
      <c r="B1721">
        <v>4</v>
      </c>
      <c r="C1721" t="s">
        <v>804</v>
      </c>
      <c r="D1721" t="s">
        <v>1152</v>
      </c>
      <c r="E1721" t="s">
        <v>804</v>
      </c>
      <c r="F1721" t="s">
        <v>1726</v>
      </c>
      <c r="G1721" t="s">
        <v>2750</v>
      </c>
      <c r="I1721">
        <f>_xlfn.XLOOKUP($F1721,設計座標!$E$13:$E$2301,設計座標!$G$13:$G$2301,"n/a",0,1)</f>
        <v>503.95722126136951</v>
      </c>
      <c r="J1721">
        <f>_xlfn.XLOOKUP($F1721,設計座標!$E$13:$E$2301,設計座標!$H$13:$H$2301,"n/a",0,1)</f>
        <v>-15000</v>
      </c>
      <c r="K1721">
        <f>_xlfn.XLOOKUP($F1721,設計座標!$E$13:$E$2301,設計座標!$I$13:$I$2301,"n/a",0,1)</f>
        <v>-239480.88039546</v>
      </c>
      <c r="L1721">
        <f>_xlfn.XLOOKUP($F1721,設計座標!$E$13:$E$2301,設計座標!$J$13:$J$2301,"n/a",0,1)</f>
        <v>-270</v>
      </c>
      <c r="M1721" s="2">
        <f t="shared" si="1340"/>
        <v>-14968.171888755336</v>
      </c>
      <c r="N1721" s="2">
        <f t="shared" si="1341"/>
        <v>-239480.88039546</v>
      </c>
      <c r="O1721" s="23">
        <f t="shared" si="1342"/>
        <v>-272.14119531797525</v>
      </c>
      <c r="P1721" s="1">
        <f t="shared" si="1325"/>
        <v>-269.58264422843587</v>
      </c>
      <c r="Q1721" s="1">
        <f t="shared" ref="Q1721:Q1748" si="1349">(Q$1749-Q$1719)/($N$1749-$N$1719)*($N1721-$N$1719)+Q$1719</f>
        <v>31.828111244663027</v>
      </c>
      <c r="R1721">
        <f t="shared" si="1343"/>
        <v>0</v>
      </c>
      <c r="S1721" s="23">
        <f t="shared" si="1348"/>
        <v>-2.1411953179752294</v>
      </c>
      <c r="T1721">
        <f>$S1721+測地線補正!$Q$26*(lattice!$N1721/1000)^3+測地線補正!$P$26*(lattice!$N1721/1000)^2+測地線補正!$O$26*(lattice!$N1721/1000)+測地線補正!$N$26</f>
        <v>0.41735577156415338</v>
      </c>
      <c r="U1721">
        <f>-ATAN(($P$1723-$P$1721)/ABS($N$1723-$N$1721))</f>
        <v>2.2381090902773666E-5</v>
      </c>
      <c r="V1721">
        <v>0</v>
      </c>
      <c r="W1721">
        <f>ATAN(($M$1723-$M$1721)/ABS($N$1723-$N$1721))</f>
        <v>1.3295853669440333E-4</v>
      </c>
      <c r="X1721">
        <f>SQRT(($M$1721-$M$1720)^2+($N$1721-$N$1720)^2)</f>
        <v>180.46920159518615</v>
      </c>
      <c r="Y1721">
        <f>_xlfn.XLOOKUP($F1721,設計座標!$E$13:$E$2301,設計座標!$L$13:$L$2301," ",0,1)</f>
        <v>1889.4492</v>
      </c>
      <c r="Z1721">
        <f>SQRT(($M$1722-$M$1720)^2+($N$1722-$N$1720)^2)</f>
        <v>1125.1938099455808</v>
      </c>
    </row>
    <row r="1722" spans="1:28">
      <c r="A1722" t="s">
        <v>797</v>
      </c>
      <c r="B1722">
        <v>4</v>
      </c>
      <c r="C1722" t="s">
        <v>804</v>
      </c>
      <c r="D1722" t="s">
        <v>1152</v>
      </c>
      <c r="E1722" t="s">
        <v>804</v>
      </c>
      <c r="F1722" t="s">
        <v>1208</v>
      </c>
      <c r="G1722" t="s">
        <v>2750</v>
      </c>
      <c r="I1722">
        <f>_xlfn.XLOOKUP($F1722,設計座標!$E$13:$E$2301,設計座標!$G$13:$G$2301,"n/a",0,1)</f>
        <v>504.90194586136948</v>
      </c>
      <c r="J1722">
        <f>_xlfn.XLOOKUP($F1722,設計座標!$E$13:$E$2301,設計座標!$H$13:$H$2301,"n/a",0,1)</f>
        <v>-15000</v>
      </c>
      <c r="K1722">
        <f>_xlfn.XLOOKUP($F1722,設計座標!$E$13:$E$2301,設計座標!$I$13:$I$2301,"n/a",0,1)</f>
        <v>-240425.60499545999</v>
      </c>
      <c r="L1722">
        <f>_xlfn.XLOOKUP($F1722,設計座標!$E$13:$E$2301,設計座標!$J$13:$J$2301,"n/a",0,1)</f>
        <v>-270</v>
      </c>
      <c r="M1722" s="2">
        <f t="shared" si="1340"/>
        <v>-14968.046279554201</v>
      </c>
      <c r="N1722" s="2">
        <f t="shared" si="1341"/>
        <v>-240425.60499545999</v>
      </c>
      <c r="O1722" s="23">
        <f t="shared" si="1342"/>
        <v>-272.15673761116216</v>
      </c>
      <c r="P1722" s="1">
        <f t="shared" si="1325"/>
        <v>-269.60373390707025</v>
      </c>
      <c r="Q1722" s="1">
        <f t="shared" si="1349"/>
        <v>31.953720445799057</v>
      </c>
      <c r="R1722">
        <f t="shared" si="1343"/>
        <v>0</v>
      </c>
      <c r="S1722" s="23">
        <f t="shared" si="1348"/>
        <v>-2.1567376111621477</v>
      </c>
      <c r="T1722">
        <f>$S1722+測地線補正!$Q$26*(lattice!$N1722/1000)^3+測地線補正!$P$26*(lattice!$N1722/1000)^2+測地線補正!$O$26*(lattice!$N1722/1000)+測地線補正!$N$26</f>
        <v>0.39626609292976567</v>
      </c>
      <c r="U1722">
        <f t="shared" ref="U1722:U1723" si="1350">-ATAN(($P$1723-$P$1721)/ABS($N$1723-$N$1721))</f>
        <v>2.2381090902773666E-5</v>
      </c>
      <c r="V1722">
        <v>0</v>
      </c>
      <c r="W1722">
        <f t="shared" ref="W1722:W1723" si="1351">ATAN(($M$1723-$M$1721)/ABS($N$1723-$N$1721))</f>
        <v>1.3295853669440333E-4</v>
      </c>
      <c r="X1722" t="s">
        <v>3860</v>
      </c>
      <c r="Y1722">
        <f>_xlfn.XLOOKUP($F1722,設計座標!$E$13:$E$2301,設計座標!$L$13:$L$2301," ",0,1)</f>
        <v>1889.4492</v>
      </c>
      <c r="Z1722">
        <f>SQRT(($M$1722-$M$1720)^2+($N$1722-$N$1720)^2)</f>
        <v>1125.1938099455808</v>
      </c>
    </row>
    <row r="1723" spans="1:28">
      <c r="A1723" t="s">
        <v>797</v>
      </c>
      <c r="B1723">
        <v>4</v>
      </c>
      <c r="C1723" t="s">
        <v>804</v>
      </c>
      <c r="D1723" t="s">
        <v>1152</v>
      </c>
      <c r="E1723" t="s">
        <v>804</v>
      </c>
      <c r="F1723" t="s">
        <v>1727</v>
      </c>
      <c r="G1723" t="s">
        <v>2750</v>
      </c>
      <c r="I1723">
        <f>_xlfn.XLOOKUP($F1723,設計座標!$E$13:$E$2301,設計座標!$G$13:$G$2301,"n/a",0,1)</f>
        <v>505.84667046136946</v>
      </c>
      <c r="J1723">
        <f>_xlfn.XLOOKUP($F1723,設計座標!$E$13:$E$2301,設計座標!$H$13:$H$2301,"n/a",0,1)</f>
        <v>-15000</v>
      </c>
      <c r="K1723">
        <f>_xlfn.XLOOKUP($F1723,設計座標!$E$13:$E$2301,設計座標!$I$13:$I$2301,"n/a",0,1)</f>
        <v>-241370.32959545997</v>
      </c>
      <c r="L1723">
        <f>_xlfn.XLOOKUP($F1723,設計座標!$E$13:$E$2301,設計座標!$J$13:$J$2301,"n/a",0,1)</f>
        <v>-270</v>
      </c>
      <c r="M1723" s="2">
        <f t="shared" si="1340"/>
        <v>-14967.920670353065</v>
      </c>
      <c r="N1723" s="2">
        <f t="shared" si="1341"/>
        <v>-241370.32959545997</v>
      </c>
      <c r="O1723" s="23">
        <f t="shared" si="1342"/>
        <v>-272.17227990434907</v>
      </c>
      <c r="P1723" s="1">
        <f t="shared" si="1325"/>
        <v>-269.6249321627443</v>
      </c>
      <c r="Q1723" s="1">
        <f t="shared" si="1349"/>
        <v>32.079329646935086</v>
      </c>
      <c r="R1723">
        <f t="shared" si="1343"/>
        <v>0</v>
      </c>
      <c r="S1723" s="23">
        <f t="shared" si="1348"/>
        <v>-2.1722799043490664</v>
      </c>
      <c r="T1723">
        <f>$S1723+測地線補正!$Q$26*(lattice!$N1723/1000)^3+測地線補正!$P$26*(lattice!$N1723/1000)^2+測地線補正!$O$26*(lattice!$N1723/1000)+測地線補正!$N$26</f>
        <v>0.3750678372557219</v>
      </c>
      <c r="U1723">
        <f t="shared" si="1350"/>
        <v>2.2381090902773666E-5</v>
      </c>
      <c r="V1723">
        <v>0</v>
      </c>
      <c r="W1723">
        <f t="shared" si="1351"/>
        <v>1.3295853669440333E-4</v>
      </c>
      <c r="X1723" t="s">
        <v>3860</v>
      </c>
      <c r="Y1723">
        <f>_xlfn.XLOOKUP($F1723,設計座標!$E$13:$E$2301,設計座標!$L$13:$L$2301," ",0,1)</f>
        <v>1889.4492</v>
      </c>
      <c r="Z1723">
        <f>SQRT(($M$1722-$M$1720)^2+($N$1722-$N$1720)^2)</f>
        <v>1125.1938099455808</v>
      </c>
    </row>
    <row r="1724" spans="1:28">
      <c r="A1724" t="s">
        <v>797</v>
      </c>
      <c r="B1724">
        <v>4</v>
      </c>
      <c r="C1724" t="s">
        <v>804</v>
      </c>
      <c r="D1724" t="s">
        <v>1152</v>
      </c>
      <c r="E1724" t="s">
        <v>804</v>
      </c>
      <c r="F1724" t="s">
        <v>1728</v>
      </c>
      <c r="G1724" t="s">
        <v>2751</v>
      </c>
      <c r="I1724">
        <f>_xlfn.XLOOKUP($F1724,設計座標!$E$13:$E$2301,設計座標!$G$13:$G$2301,"n/a",0,1)</f>
        <v>506.05661226136954</v>
      </c>
      <c r="J1724">
        <f>_xlfn.XLOOKUP($F1724,設計座標!$E$13:$E$2301,設計座標!$H$13:$H$2301,"n/a",0,1)</f>
        <v>-15000</v>
      </c>
      <c r="K1724">
        <f>_xlfn.XLOOKUP($F1724,設計座標!$E$13:$E$2301,設計座標!$I$13:$I$2301,"n/a",0,1)</f>
        <v>-241580.27139546</v>
      </c>
      <c r="L1724">
        <f>_xlfn.XLOOKUP($F1724,設計座標!$E$13:$E$2301,設計座標!$J$13:$J$2301,"n/a",0,1)</f>
        <v>-270</v>
      </c>
      <c r="M1724" s="2">
        <f t="shared" si="1340"/>
        <v>-14967.892756798381</v>
      </c>
      <c r="N1724" s="2">
        <f t="shared" si="1341"/>
        <v>-241580.27139546</v>
      </c>
      <c r="O1724" s="23">
        <f t="shared" si="1342"/>
        <v>-272.17573379663452</v>
      </c>
      <c r="P1724" s="1">
        <f t="shared" si="1325"/>
        <v>-269.629657629772</v>
      </c>
      <c r="Q1724" s="1">
        <f t="shared" si="1349"/>
        <v>32.107243201618715</v>
      </c>
      <c r="R1724">
        <f t="shared" si="1343"/>
        <v>0</v>
      </c>
      <c r="S1724" s="23">
        <f t="shared" si="1348"/>
        <v>-2.1757337966344896</v>
      </c>
      <c r="T1724">
        <f>$S1724+測地線補正!$Q$26*(lattice!$N1724/1000)^3+測地線補正!$P$26*(lattice!$N1724/1000)^2+測地線補正!$O$26*(lattice!$N1724/1000)+測地線補正!$N$26</f>
        <v>0.37034237022798933</v>
      </c>
      <c r="U1724">
        <f>-ATAN(($P$1726-$P$1724)/ABS($N$1726-$N$1724))</f>
        <v>2.2634696889050787E-5</v>
      </c>
      <c r="V1724">
        <v>0</v>
      </c>
      <c r="W1724">
        <f>ATAN(($M$1726-$M$1724)/ABS($N$1726-$N$1724))</f>
        <v>1.3295853669536604E-4</v>
      </c>
      <c r="X1724">
        <f>SQRT(($M$1724-$M$1723)^2+($N$1724-$N$1723)^2)</f>
        <v>209.94180185570229</v>
      </c>
      <c r="Y1724">
        <f>_xlfn.XLOOKUP($F1724,設計座標!$E$13:$E$2301,設計座標!$L$13:$L$2301," ",0,1)</f>
        <v>1889.4492</v>
      </c>
      <c r="Z1724">
        <f>SQRT(($M$1725-$M$1722)^2+($N$1725-$N$1722)^2)</f>
        <v>2099.3910185564914</v>
      </c>
    </row>
    <row r="1725" spans="1:28">
      <c r="A1725" t="s">
        <v>797</v>
      </c>
      <c r="B1725">
        <v>4</v>
      </c>
      <c r="C1725" t="s">
        <v>804</v>
      </c>
      <c r="D1725" t="s">
        <v>1152</v>
      </c>
      <c r="E1725" t="s">
        <v>804</v>
      </c>
      <c r="F1725" t="s">
        <v>1264</v>
      </c>
      <c r="G1725" t="s">
        <v>2751</v>
      </c>
      <c r="I1725">
        <f>_xlfn.XLOOKUP($F1725,設計座標!$E$13:$E$2301,設計座標!$G$13:$G$2301,"n/a",0,1)</f>
        <v>507.00133686136951</v>
      </c>
      <c r="J1725">
        <f>_xlfn.XLOOKUP($F1725,設計座標!$E$13:$E$2301,設計座標!$H$13:$H$2301,"n/a",0,1)</f>
        <v>-15000</v>
      </c>
      <c r="K1725">
        <f>_xlfn.XLOOKUP($F1725,設計座標!$E$13:$E$2301,設計座標!$I$13:$I$2301,"n/a",0,1)</f>
        <v>-242524.99599545999</v>
      </c>
      <c r="L1725">
        <f>_xlfn.XLOOKUP($F1725,設計座標!$E$13:$E$2301,設計座標!$J$13:$J$2301,"n/a",0,1)</f>
        <v>-270</v>
      </c>
      <c r="M1725" s="2">
        <f t="shared" si="1340"/>
        <v>-14967.767147597246</v>
      </c>
      <c r="N1725" s="2">
        <f t="shared" si="1341"/>
        <v>-242524.99599545999</v>
      </c>
      <c r="O1725" s="23">
        <f t="shared" si="1342"/>
        <v>-272.19127608982143</v>
      </c>
      <c r="P1725" s="1">
        <f t="shared" si="1325"/>
        <v>-269.65098765889786</v>
      </c>
      <c r="Q1725" s="1">
        <f t="shared" si="1349"/>
        <v>32.232852402754745</v>
      </c>
      <c r="R1725">
        <f t="shared" si="1343"/>
        <v>0</v>
      </c>
      <c r="S1725" s="23">
        <f t="shared" si="1348"/>
        <v>-2.1912760898214083</v>
      </c>
      <c r="T1725">
        <f>$S1725+測地線補正!$Q$26*(lattice!$N1725/1000)^3+測地線補正!$P$26*(lattice!$N1725/1000)^2+測地線補正!$O$26*(lattice!$N1725/1000)+測地線補正!$N$26</f>
        <v>0.34901234110214374</v>
      </c>
      <c r="U1725">
        <f t="shared" ref="U1725:U1726" si="1352">-ATAN(($P$1726-$P$1724)/ABS($N$1726-$N$1724))</f>
        <v>2.2634696889050787E-5</v>
      </c>
      <c r="V1725">
        <v>0</v>
      </c>
      <c r="W1725">
        <f t="shared" ref="W1725:W1726" si="1353">ATAN(($M$1726-$M$1724)/ABS($N$1726-$N$1724))</f>
        <v>1.3295853669536604E-4</v>
      </c>
      <c r="X1725" t="s">
        <v>3860</v>
      </c>
      <c r="Y1725">
        <f>_xlfn.XLOOKUP($F1725,設計座標!$E$13:$E$2301,設計座標!$L$13:$L$2301," ",0,1)</f>
        <v>1889.4492</v>
      </c>
      <c r="Z1725">
        <f>SQRT(($M$1725-$M$1722)^2+($N$1725-$N$1722)^2)</f>
        <v>2099.3910185564914</v>
      </c>
    </row>
    <row r="1726" spans="1:28">
      <c r="A1726" t="s">
        <v>797</v>
      </c>
      <c r="B1726">
        <v>4</v>
      </c>
      <c r="C1726" t="s">
        <v>804</v>
      </c>
      <c r="D1726" t="s">
        <v>1152</v>
      </c>
      <c r="E1726" t="s">
        <v>804</v>
      </c>
      <c r="F1726" t="s">
        <v>1729</v>
      </c>
      <c r="G1726" t="s">
        <v>2751</v>
      </c>
      <c r="I1726">
        <f>_xlfn.XLOOKUP($F1726,設計座標!$E$13:$E$2301,設計座標!$G$13:$G$2301,"n/a",0,1)</f>
        <v>507.94606146136948</v>
      </c>
      <c r="J1726">
        <f>_xlfn.XLOOKUP($F1726,設計座標!$E$13:$E$2301,設計座標!$H$13:$H$2301,"n/a",0,1)</f>
        <v>-15000</v>
      </c>
      <c r="K1726">
        <f>_xlfn.XLOOKUP($F1726,設計座標!$E$13:$E$2301,設計座標!$I$13:$I$2301,"n/a",0,1)</f>
        <v>-243469.72059545998</v>
      </c>
      <c r="L1726">
        <f>_xlfn.XLOOKUP($F1726,設計座標!$E$13:$E$2301,設計座標!$J$13:$J$2301,"n/a",0,1)</f>
        <v>-270</v>
      </c>
      <c r="M1726" s="2">
        <f t="shared" si="1340"/>
        <v>-14967.641538396108</v>
      </c>
      <c r="N1726" s="2">
        <f t="shared" si="1341"/>
        <v>-243469.72059545998</v>
      </c>
      <c r="O1726" s="23">
        <f t="shared" si="1342"/>
        <v>-272.20681838300834</v>
      </c>
      <c r="P1726" s="1">
        <f t="shared" si="1325"/>
        <v>-269.67242473970856</v>
      </c>
      <c r="Q1726" s="1">
        <f t="shared" si="1349"/>
        <v>32.358461603890774</v>
      </c>
      <c r="R1726">
        <f t="shared" si="1343"/>
        <v>0</v>
      </c>
      <c r="S1726" s="23">
        <f t="shared" si="1348"/>
        <v>-2.2068183830083266</v>
      </c>
      <c r="T1726">
        <f>$S1726+測地線補正!$Q$26*(lattice!$N1726/1000)^3+測地線補正!$P$26*(lattice!$N1726/1000)^2+測地線補正!$O$26*(lattice!$N1726/1000)+測地線補正!$N$26</f>
        <v>0.3275752602914197</v>
      </c>
      <c r="U1726">
        <f t="shared" si="1352"/>
        <v>2.2634696889050787E-5</v>
      </c>
      <c r="V1726">
        <v>0</v>
      </c>
      <c r="W1726">
        <f t="shared" si="1353"/>
        <v>1.3295853669536604E-4</v>
      </c>
      <c r="X1726" t="s">
        <v>3860</v>
      </c>
      <c r="Y1726">
        <f>_xlfn.XLOOKUP($F1726,設計座標!$E$13:$E$2301,設計座標!$L$13:$L$2301," ",0,1)</f>
        <v>1889.4492</v>
      </c>
      <c r="Z1726">
        <f>SQRT(($M$1725-$M$1722)^2+($N$1725-$N$1722)^2)</f>
        <v>2099.3910185564914</v>
      </c>
    </row>
    <row r="1727" spans="1:28">
      <c r="A1727" t="s">
        <v>797</v>
      </c>
      <c r="B1727">
        <v>4</v>
      </c>
      <c r="C1727" t="s">
        <v>1152</v>
      </c>
      <c r="D1727" t="s">
        <v>1152</v>
      </c>
      <c r="E1727" t="s">
        <v>804</v>
      </c>
      <c r="F1727" t="s">
        <v>2169</v>
      </c>
      <c r="G1727" t="s">
        <v>2169</v>
      </c>
      <c r="I1727">
        <f>_xlfn.XLOOKUP($F1727,設計座標!$E$13:$E$2301,設計座標!$G$13:$G$2301,"n/a",0,1)</f>
        <v>508.2409340613695</v>
      </c>
      <c r="J1727">
        <f>_xlfn.XLOOKUP($F1727,設計座標!$E$13:$E$2301,設計座標!$H$13:$H$2301,"n/a",0,1)</f>
        <v>-15000</v>
      </c>
      <c r="K1727">
        <f>_xlfn.XLOOKUP($F1727,設計座標!$E$13:$E$2301,設計座標!$I$13:$I$2301,"n/a",0,1)</f>
        <v>-243764.59319545998</v>
      </c>
      <c r="L1727">
        <f>_xlfn.XLOOKUP($F1727,設計座標!$E$13:$E$2301,設計座標!$J$13:$J$2301,"n/a",0,1)</f>
        <v>-270</v>
      </c>
      <c r="M1727" s="2">
        <f t="shared" si="1340"/>
        <v>-14967.60233256647</v>
      </c>
      <c r="N1727" s="2">
        <f t="shared" si="1341"/>
        <v>-243764.59319545998</v>
      </c>
      <c r="O1727" s="23">
        <f t="shared" si="1342"/>
        <v>-272.21166952841304</v>
      </c>
      <c r="P1727" s="1">
        <f t="shared" si="1325"/>
        <v>-269.67913761146912</v>
      </c>
      <c r="Q1727" s="1">
        <f t="shared" si="1349"/>
        <v>32.397667433529278</v>
      </c>
      <c r="R1727">
        <f t="shared" si="1343"/>
        <v>0</v>
      </c>
      <c r="S1727" s="23">
        <f t="shared" si="1348"/>
        <v>-2.2116695284130179</v>
      </c>
      <c r="T1727">
        <f>$S1727+測地線補正!$Q$26*(lattice!$N1727/1000)^3+測地線補正!$P$26*(lattice!$N1727/1000)^2+測地線補正!$O$26*(lattice!$N1727/1000)+測地線補正!$N$26</f>
        <v>0.32086238853090854</v>
      </c>
      <c r="U1727">
        <v>0</v>
      </c>
      <c r="V1727">
        <v>0</v>
      </c>
      <c r="W1727">
        <v>0</v>
      </c>
      <c r="X1727">
        <f>SQRT(($M$1727-$M$1726)^2+($N$1727-$N$1726)^2)</f>
        <v>294.87260260637731</v>
      </c>
      <c r="Y1727">
        <f>_xlfn.XLOOKUP($F1727,設計座標!$E$13:$E$2301,設計座標!$L$13:$L$2301," ",0,1)</f>
        <v>0</v>
      </c>
      <c r="Z1727">
        <f>SQRT(($M$1727-$M$1725)^2+($N$1727-$N$1725)^2)</f>
        <v>1239.597210956772</v>
      </c>
    </row>
    <row r="1728" spans="1:28">
      <c r="A1728" t="s">
        <v>797</v>
      </c>
      <c r="B1728">
        <v>4</v>
      </c>
      <c r="C1728" t="s">
        <v>804</v>
      </c>
      <c r="D1728" t="s">
        <v>1152</v>
      </c>
      <c r="E1728" t="s">
        <v>804</v>
      </c>
      <c r="F1728" t="s">
        <v>1730</v>
      </c>
      <c r="G1728" t="s">
        <v>2752</v>
      </c>
      <c r="I1728">
        <f>_xlfn.XLOOKUP($F1728,設計座標!$E$13:$E$2301,設計座標!$G$13:$G$2301,"n/a",0,1)</f>
        <v>508.47090326136953</v>
      </c>
      <c r="J1728">
        <f>_xlfn.XLOOKUP($F1728,設計座標!$E$13:$E$2301,設計座標!$H$13:$H$2301,"n/a",0,1)</f>
        <v>-15000</v>
      </c>
      <c r="K1728">
        <f>_xlfn.XLOOKUP($F1728,設計座標!$E$13:$E$2301,設計座標!$I$13:$I$2301,"n/a",0,1)</f>
        <v>-243994.56239546</v>
      </c>
      <c r="L1728">
        <f>_xlfn.XLOOKUP($F1728,設計座標!$E$13:$E$2301,設計座標!$J$13:$J$2301,"n/a",0,1)</f>
        <v>-270</v>
      </c>
      <c r="M1728" s="2">
        <f t="shared" si="1340"/>
        <v>-14967.571756197973</v>
      </c>
      <c r="N1728" s="2">
        <f t="shared" si="1341"/>
        <v>-243994.56239546</v>
      </c>
      <c r="O1728" s="23">
        <f t="shared" si="1342"/>
        <v>-272.21545290478571</v>
      </c>
      <c r="P1728" s="1">
        <f t="shared" si="1325"/>
        <v>-269.68438011467953</v>
      </c>
      <c r="Q1728" s="1">
        <f t="shared" si="1349"/>
        <v>32.428243802026401</v>
      </c>
      <c r="R1728">
        <f t="shared" si="1343"/>
        <v>0</v>
      </c>
      <c r="S1728" s="23">
        <f t="shared" si="1348"/>
        <v>-2.2154529047857316</v>
      </c>
      <c r="T1728">
        <f>$S1728+測地線補正!$Q$26*(lattice!$N1728/1000)^3+測地線補正!$P$26*(lattice!$N1728/1000)^2+測地線補正!$O$26*(lattice!$N1728/1000)+測地線補正!$N$26</f>
        <v>0.3156198853204637</v>
      </c>
      <c r="U1728">
        <f>-ATAN(($P$1730-$P$1728)/ABS($N$1730-$N$1728))</f>
        <v>2.2921907074339719E-5</v>
      </c>
      <c r="V1728">
        <v>0</v>
      </c>
      <c r="W1728">
        <f>ATAN(($M$1730-$M$1728)/ABS($N$1730-$N$1728))</f>
        <v>1.3295853669440333E-4</v>
      </c>
      <c r="X1728">
        <f>SQRT(($M$1728-$M$1727)^2+($N$1728-$N$1727)^2)</f>
        <v>229.96920203271597</v>
      </c>
      <c r="Y1728">
        <f>_xlfn.XLOOKUP($F1728,設計座標!$E$13:$E$2301,設計座標!$L$13:$L$2301," ",0,1)</f>
        <v>1889.4492</v>
      </c>
      <c r="Z1728">
        <f>SQRT(($M$1729-$M$1727)^2+($N$1729-$N$1727)^2)</f>
        <v>1174.6938103831108</v>
      </c>
    </row>
    <row r="1729" spans="1:26">
      <c r="A1729" t="s">
        <v>797</v>
      </c>
      <c r="B1729">
        <v>4</v>
      </c>
      <c r="C1729" t="s">
        <v>804</v>
      </c>
      <c r="D1729" t="s">
        <v>1152</v>
      </c>
      <c r="E1729" t="s">
        <v>804</v>
      </c>
      <c r="F1729" t="s">
        <v>1318</v>
      </c>
      <c r="G1729" t="s">
        <v>2752</v>
      </c>
      <c r="I1729">
        <f>_xlfn.XLOOKUP($F1729,設計座標!$E$13:$E$2301,設計座標!$G$13:$G$2301,"n/a",0,1)</f>
        <v>509.4156278613695</v>
      </c>
      <c r="J1729">
        <f>_xlfn.XLOOKUP($F1729,設計座標!$E$13:$E$2301,設計座標!$H$13:$H$2301,"n/a",0,1)</f>
        <v>-15000</v>
      </c>
      <c r="K1729">
        <f>_xlfn.XLOOKUP($F1729,設計座標!$E$13:$E$2301,設計座標!$I$13:$I$2301,"n/a",0,1)</f>
        <v>-244939.28699545999</v>
      </c>
      <c r="L1729">
        <f>_xlfn.XLOOKUP($F1729,設計座標!$E$13:$E$2301,設計座標!$J$13:$J$2301,"n/a",0,1)</f>
        <v>-270</v>
      </c>
      <c r="M1729" s="2">
        <f t="shared" si="1340"/>
        <v>-14967.446146996837</v>
      </c>
      <c r="N1729" s="2">
        <f t="shared" si="1341"/>
        <v>-244939.28699545999</v>
      </c>
      <c r="O1729" s="23">
        <f t="shared" si="1342"/>
        <v>-272.23099519797267</v>
      </c>
      <c r="P1729" s="1">
        <f t="shared" si="1325"/>
        <v>-269.70598235540876</v>
      </c>
      <c r="Q1729" s="1">
        <f t="shared" si="1349"/>
        <v>32.55385300316243</v>
      </c>
      <c r="R1729">
        <f t="shared" si="1343"/>
        <v>0</v>
      </c>
      <c r="S1729" s="23">
        <f t="shared" si="1348"/>
        <v>-2.2309951979726503</v>
      </c>
      <c r="T1729">
        <f>$S1729+測地線補正!$Q$26*(lattice!$N1729/1000)^3+測地線補正!$P$26*(lattice!$N1729/1000)^2+測地線補正!$O$26*(lattice!$N1729/1000)+測地線補正!$N$26</f>
        <v>0.29401764459121593</v>
      </c>
      <c r="U1729">
        <f t="shared" ref="U1729:U1730" si="1354">-ATAN(($P$1730-$P$1728)/ABS($N$1730-$N$1728))</f>
        <v>2.2921907074339719E-5</v>
      </c>
      <c r="V1729">
        <v>0</v>
      </c>
      <c r="W1729">
        <f t="shared" ref="W1729:W1730" si="1355">ATAN(($M$1730-$M$1728)/ABS($N$1730-$N$1728))</f>
        <v>1.3295853669440333E-4</v>
      </c>
      <c r="X1729" t="s">
        <v>3860</v>
      </c>
      <c r="Y1729">
        <f>_xlfn.XLOOKUP($F1729,設計座標!$E$13:$E$2301,設計座標!$L$13:$L$2301," ",0,1)</f>
        <v>1889.4492</v>
      </c>
      <c r="Z1729">
        <f>SQRT(($M$1729-$M$1727)^2+($N$1729-$N$1727)^2)</f>
        <v>1174.6938103831108</v>
      </c>
    </row>
    <row r="1730" spans="1:26">
      <c r="A1730" t="s">
        <v>797</v>
      </c>
      <c r="B1730">
        <v>4</v>
      </c>
      <c r="C1730" t="s">
        <v>804</v>
      </c>
      <c r="D1730" t="s">
        <v>1152</v>
      </c>
      <c r="E1730" t="s">
        <v>804</v>
      </c>
      <c r="F1730" t="s">
        <v>1731</v>
      </c>
      <c r="G1730" t="s">
        <v>2752</v>
      </c>
      <c r="I1730">
        <f>_xlfn.XLOOKUP($F1730,設計座標!$E$13:$E$2301,設計座標!$G$13:$G$2301,"n/a",0,1)</f>
        <v>510.36035246136947</v>
      </c>
      <c r="J1730">
        <f>_xlfn.XLOOKUP($F1730,設計座標!$E$13:$E$2301,設計座標!$H$13:$H$2301,"n/a",0,1)</f>
        <v>-15000</v>
      </c>
      <c r="K1730">
        <f>_xlfn.XLOOKUP($F1730,設計座標!$E$13:$E$2301,設計座標!$I$13:$I$2301,"n/a",0,1)</f>
        <v>-245884.01159545998</v>
      </c>
      <c r="L1730">
        <f>_xlfn.XLOOKUP($F1730,設計座標!$E$13:$E$2301,設計座標!$J$13:$J$2301,"n/a",0,1)</f>
        <v>-270</v>
      </c>
      <c r="M1730" s="2">
        <f t="shared" si="1340"/>
        <v>-14967.320537795702</v>
      </c>
      <c r="N1730" s="2">
        <f t="shared" si="1341"/>
        <v>-245884.01159545998</v>
      </c>
      <c r="O1730" s="23">
        <f t="shared" si="1342"/>
        <v>-272.24653749115959</v>
      </c>
      <c r="P1730" s="1">
        <f t="shared" si="1325"/>
        <v>-269.7276898936712</v>
      </c>
      <c r="Q1730" s="1">
        <f t="shared" si="1349"/>
        <v>32.67946220429846</v>
      </c>
      <c r="R1730">
        <f t="shared" si="1343"/>
        <v>0</v>
      </c>
      <c r="S1730" s="23">
        <f t="shared" si="1348"/>
        <v>-2.2465374911595686</v>
      </c>
      <c r="T1730">
        <f>$S1730+測地線補正!$Q$26*(lattice!$N1730/1000)^3+測地線補正!$P$26*(lattice!$N1730/1000)^2+測地線補正!$O$26*(lattice!$N1730/1000)+測地線補正!$N$26</f>
        <v>0.27231010632878649</v>
      </c>
      <c r="U1730">
        <f t="shared" si="1354"/>
        <v>2.2921907074339719E-5</v>
      </c>
      <c r="V1730">
        <v>0</v>
      </c>
      <c r="W1730">
        <f t="shared" si="1355"/>
        <v>1.3295853669440333E-4</v>
      </c>
      <c r="X1730" t="s">
        <v>3860</v>
      </c>
      <c r="Y1730">
        <f>_xlfn.XLOOKUP($F1730,設計座標!$E$13:$E$2301,設計座標!$L$13:$L$2301," ",0,1)</f>
        <v>1889.4492</v>
      </c>
      <c r="Z1730">
        <f>SQRT(($M$1729-$M$1727)^2+($N$1729-$N$1727)^2)</f>
        <v>1174.6938103831108</v>
      </c>
    </row>
    <row r="1731" spans="1:26">
      <c r="A1731" t="s">
        <v>797</v>
      </c>
      <c r="B1731">
        <v>4</v>
      </c>
      <c r="C1731" t="s">
        <v>804</v>
      </c>
      <c r="D1731" t="s">
        <v>1152</v>
      </c>
      <c r="E1731" t="s">
        <v>804</v>
      </c>
      <c r="F1731" t="s">
        <v>1732</v>
      </c>
      <c r="G1731" t="s">
        <v>2753</v>
      </c>
      <c r="I1731">
        <f>_xlfn.XLOOKUP($F1731,設計座標!$E$13:$E$2301,設計座標!$G$13:$G$2301,"n/a",0,1)</f>
        <v>510.57029426136955</v>
      </c>
      <c r="J1731">
        <f>_xlfn.XLOOKUP($F1731,設計座標!$E$13:$E$2301,設計座標!$H$13:$H$2301,"n/a",0,1)</f>
        <v>-15000</v>
      </c>
      <c r="K1731">
        <f>_xlfn.XLOOKUP($F1731,設計座標!$E$13:$E$2301,設計座標!$I$13:$I$2301,"n/a",0,1)</f>
        <v>-246093.95339546</v>
      </c>
      <c r="L1731">
        <f>_xlfn.XLOOKUP($F1731,設計座標!$E$13:$E$2301,設計座標!$J$13:$J$2301,"n/a",0,1)</f>
        <v>-270</v>
      </c>
      <c r="M1731" s="2">
        <f t="shared" si="1340"/>
        <v>-14967.292624241018</v>
      </c>
      <c r="N1731" s="2">
        <f t="shared" si="1341"/>
        <v>-246093.95339546</v>
      </c>
      <c r="O1731" s="23">
        <f t="shared" si="1342"/>
        <v>-272.24999138344498</v>
      </c>
      <c r="P1731" s="1">
        <f t="shared" si="1325"/>
        <v>-269.7325280908521</v>
      </c>
      <c r="Q1731" s="1">
        <f t="shared" si="1349"/>
        <v>32.707375758982081</v>
      </c>
      <c r="R1731">
        <f t="shared" si="1343"/>
        <v>0</v>
      </c>
      <c r="S1731" s="23">
        <f t="shared" si="1348"/>
        <v>-2.2499913834449923</v>
      </c>
      <c r="T1731">
        <f>$S1731+測地線補正!$Q$26*(lattice!$N1731/1000)^3+測地線補正!$P$26*(lattice!$N1731/1000)^2+測地線補正!$O$26*(lattice!$N1731/1000)+測地線補正!$N$26</f>
        <v>0.26747190914788077</v>
      </c>
      <c r="U1731">
        <f>-ATAN(($P$1733-$P$1731)/ABS($N$1733-$N$1731))</f>
        <v>2.3167798852092441E-5</v>
      </c>
      <c r="V1731">
        <v>0</v>
      </c>
      <c r="W1731">
        <f>ATAN(($M$1733-$M$1731)/ABS($N$1733-$N$1731))</f>
        <v>1.3295853669536604E-4</v>
      </c>
      <c r="X1731">
        <f>SQRT(($M$1731-$M$1730)^2+($N$1731-$N$1730)^2)</f>
        <v>209.94180185570229</v>
      </c>
      <c r="Y1731">
        <f>_xlfn.XLOOKUP($F1731,設計座標!$E$13:$E$2301,設計座標!$L$13:$L$2301," ",0,1)</f>
        <v>1889.4492</v>
      </c>
      <c r="Z1731">
        <f>SQRT(($M$1732-$M$1729)^2+($N$1732-$N$1729)^2)</f>
        <v>2099.3910185564914</v>
      </c>
    </row>
    <row r="1732" spans="1:26">
      <c r="A1732" t="s">
        <v>797</v>
      </c>
      <c r="B1732">
        <v>4</v>
      </c>
      <c r="C1732" t="s">
        <v>804</v>
      </c>
      <c r="D1732" t="s">
        <v>1152</v>
      </c>
      <c r="E1732" t="s">
        <v>804</v>
      </c>
      <c r="F1732" t="s">
        <v>1372</v>
      </c>
      <c r="G1732" t="s">
        <v>2753</v>
      </c>
      <c r="I1732">
        <f>_xlfn.XLOOKUP($F1732,設計座標!$E$13:$E$2301,設計座標!$G$13:$G$2301,"n/a",0,1)</f>
        <v>511.51501886136953</v>
      </c>
      <c r="J1732">
        <f>_xlfn.XLOOKUP($F1732,設計座標!$E$13:$E$2301,設計座標!$H$13:$H$2301,"n/a",0,1)</f>
        <v>-15000</v>
      </c>
      <c r="K1732">
        <f>_xlfn.XLOOKUP($F1732,設計座標!$E$13:$E$2301,設計座標!$I$13:$I$2301,"n/a",0,1)</f>
        <v>-247038.67799545999</v>
      </c>
      <c r="L1732">
        <f>_xlfn.XLOOKUP($F1732,設計座標!$E$13:$E$2301,設計座標!$J$13:$J$2301,"n/a",0,1)</f>
        <v>-270</v>
      </c>
      <c r="M1732" s="2">
        <f t="shared" si="1340"/>
        <v>-14967.167015039882</v>
      </c>
      <c r="N1732" s="2">
        <f t="shared" si="1341"/>
        <v>-247038.67799545999</v>
      </c>
      <c r="O1732" s="23">
        <f t="shared" si="1342"/>
        <v>-272.26553367663189</v>
      </c>
      <c r="P1732" s="1">
        <f t="shared" si="1325"/>
        <v>-269.75436339427023</v>
      </c>
      <c r="Q1732" s="1">
        <f t="shared" si="1349"/>
        <v>32.832984960118111</v>
      </c>
      <c r="R1732">
        <f t="shared" si="1343"/>
        <v>0</v>
      </c>
      <c r="S1732" s="23">
        <f t="shared" si="1348"/>
        <v>-2.2655336766319105</v>
      </c>
      <c r="T1732">
        <f>$S1732+測地線補正!$Q$26*(lattice!$N1732/1000)^3+測地線補正!$P$26*(lattice!$N1732/1000)^2+測地線補正!$O$26*(lattice!$N1732/1000)+測地線補正!$N$26</f>
        <v>0.24563660572975166</v>
      </c>
      <c r="U1732">
        <f t="shared" ref="U1732:U1733" si="1356">-ATAN(($P$1733-$P$1731)/ABS($N$1733-$N$1731))</f>
        <v>2.3167798852092441E-5</v>
      </c>
      <c r="V1732">
        <v>0</v>
      </c>
      <c r="W1732">
        <f t="shared" ref="W1732:W1733" si="1357">ATAN(($M$1733-$M$1731)/ABS($N$1733-$N$1731))</f>
        <v>1.3295853669536604E-4</v>
      </c>
      <c r="X1732" t="s">
        <v>3860</v>
      </c>
      <c r="Y1732">
        <f>_xlfn.XLOOKUP($F1732,設計座標!$E$13:$E$2301,設計座標!$L$13:$L$2301," ",0,1)</f>
        <v>1889.4492</v>
      </c>
      <c r="Z1732">
        <f>SQRT(($M$1732-$M$1729)^2+($N$1732-$N$1729)^2)</f>
        <v>2099.3910185564914</v>
      </c>
    </row>
    <row r="1733" spans="1:26">
      <c r="A1733" t="s">
        <v>797</v>
      </c>
      <c r="B1733">
        <v>4</v>
      </c>
      <c r="C1733" t="s">
        <v>804</v>
      </c>
      <c r="D1733" t="s">
        <v>1152</v>
      </c>
      <c r="E1733" t="s">
        <v>804</v>
      </c>
      <c r="F1733" t="s">
        <v>1733</v>
      </c>
      <c r="G1733" t="s">
        <v>2753</v>
      </c>
      <c r="I1733">
        <f>_xlfn.XLOOKUP($F1733,設計座標!$E$13:$E$2301,設計座標!$G$13:$G$2301,"n/a",0,1)</f>
        <v>512.4597434613695</v>
      </c>
      <c r="J1733">
        <f>_xlfn.XLOOKUP($F1733,設計座標!$E$13:$E$2301,設計座標!$H$13:$H$2301,"n/a",0,1)</f>
        <v>-15000</v>
      </c>
      <c r="K1733">
        <f>_xlfn.XLOOKUP($F1733,設計座標!$E$13:$E$2301,設計座標!$I$13:$I$2301,"n/a",0,1)</f>
        <v>-247983.40259545998</v>
      </c>
      <c r="L1733">
        <f>_xlfn.XLOOKUP($F1733,設計座標!$E$13:$E$2301,設計座標!$J$13:$J$2301,"n/a",0,1)</f>
        <v>-270</v>
      </c>
      <c r="M1733" s="2">
        <f t="shared" si="1340"/>
        <v>-14967.041405838745</v>
      </c>
      <c r="N1733" s="2">
        <f t="shared" si="1341"/>
        <v>-247983.40259545998</v>
      </c>
      <c r="O1733" s="23">
        <f t="shared" si="1342"/>
        <v>-272.2810759698188</v>
      </c>
      <c r="P1733" s="1">
        <f t="shared" si="1325"/>
        <v>-269.77630246986678</v>
      </c>
      <c r="Q1733" s="1">
        <f t="shared" si="1349"/>
        <v>32.95859416125414</v>
      </c>
      <c r="R1733">
        <f t="shared" si="1343"/>
        <v>0</v>
      </c>
      <c r="S1733" s="23">
        <f t="shared" si="1348"/>
        <v>-2.2810759698188288</v>
      </c>
      <c r="T1733">
        <f>$S1733+測地線補正!$Q$26*(lattice!$N1733/1000)^3+測地線補正!$P$26*(lattice!$N1733/1000)^2+測地線補正!$O$26*(lattice!$N1733/1000)+測地線補正!$N$26</f>
        <v>0.22369753013321669</v>
      </c>
      <c r="U1733">
        <f t="shared" si="1356"/>
        <v>2.3167798852092441E-5</v>
      </c>
      <c r="V1733">
        <v>0</v>
      </c>
      <c r="W1733">
        <f t="shared" si="1357"/>
        <v>1.3295853669536604E-4</v>
      </c>
      <c r="X1733" t="s">
        <v>3860</v>
      </c>
      <c r="Y1733">
        <f>_xlfn.XLOOKUP($F1733,設計座標!$E$13:$E$2301,設計座標!$L$13:$L$2301," ",0,1)</f>
        <v>1889.4492</v>
      </c>
      <c r="Z1733">
        <f>SQRT(($M$1732-$M$1729)^2+($N$1732-$N$1729)^2)</f>
        <v>2099.3910185564914</v>
      </c>
    </row>
    <row r="1734" spans="1:26">
      <c r="A1734" t="s">
        <v>797</v>
      </c>
      <c r="B1734">
        <v>4</v>
      </c>
      <c r="C1734" t="s">
        <v>2288</v>
      </c>
      <c r="D1734" t="s">
        <v>1152</v>
      </c>
      <c r="E1734" t="s">
        <v>804</v>
      </c>
      <c r="F1734" t="s">
        <v>2297</v>
      </c>
      <c r="G1734" t="s">
        <v>2297</v>
      </c>
      <c r="I1734">
        <f>_xlfn.XLOOKUP($F1734,設計座標!$E$13:$E$2301,設計座標!$G$13:$G$2301,"n/a",0,1)</f>
        <v>512.56923906136956</v>
      </c>
      <c r="J1734">
        <f>_xlfn.XLOOKUP($F1734,設計座標!$E$13:$E$2301,設計座標!$H$13:$H$2301,"n/a",0,1)</f>
        <v>-15000</v>
      </c>
      <c r="K1734">
        <f>_xlfn.XLOOKUP($F1734,設計座標!$E$13:$E$2301,設計座標!$I$13:$I$2301,"n/a",0,1)</f>
        <v>-248092.89819546</v>
      </c>
      <c r="L1734">
        <f>_xlfn.XLOOKUP($F1734,設計座標!$E$13:$E$2301,設計座標!$J$13:$J$2301,"n/a",0,1)</f>
        <v>-270</v>
      </c>
      <c r="M1734" s="2">
        <f t="shared" si="1340"/>
        <v>-14967.026847463909</v>
      </c>
      <c r="N1734" s="2">
        <f t="shared" si="1341"/>
        <v>-248092.89819546</v>
      </c>
      <c r="O1734" s="23">
        <f t="shared" si="1342"/>
        <v>-272.2828773548128</v>
      </c>
      <c r="P1734" s="1">
        <f t="shared" si="1325"/>
        <v>-269.77885193501493</v>
      </c>
      <c r="Q1734" s="1">
        <f t="shared" si="1349"/>
        <v>32.973152536090488</v>
      </c>
      <c r="R1734">
        <f t="shared" si="1343"/>
        <v>0</v>
      </c>
      <c r="S1734" s="23">
        <f t="shared" si="1348"/>
        <v>-2.2828773548128027</v>
      </c>
      <c r="T1734">
        <f>$S1734+測地線補正!$Q$26*(lattice!$N1734/1000)^3+測地線補正!$P$26*(lattice!$N1734/1000)^2+測地線補正!$O$26*(lattice!$N1734/1000)+測地線補正!$N$26</f>
        <v>0.22114806498508499</v>
      </c>
      <c r="U1734">
        <v>0</v>
      </c>
      <c r="V1734">
        <v>0</v>
      </c>
      <c r="W1734">
        <v>0</v>
      </c>
      <c r="X1734">
        <f>SQRT(($M$1734-$M$1733)^2+($N$1734-$N$1733)^2)</f>
        <v>109.49560096785395</v>
      </c>
      <c r="Y1734">
        <f>_xlfn.XLOOKUP($F1734,設計座標!$E$13:$E$2301,設計座標!$L$13:$L$2301," ",0,1)</f>
        <v>0</v>
      </c>
      <c r="Z1734">
        <f>SQRT(($M$1734-$M$1732)^2+($N$1734-$N$1732)^2)</f>
        <v>1054.2202093182486</v>
      </c>
    </row>
    <row r="1735" spans="1:26">
      <c r="A1735" t="s">
        <v>797</v>
      </c>
      <c r="B1735">
        <v>4</v>
      </c>
      <c r="C1735" t="s">
        <v>804</v>
      </c>
      <c r="D1735" t="s">
        <v>1152</v>
      </c>
      <c r="E1735" t="s">
        <v>804</v>
      </c>
      <c r="F1735" t="s">
        <v>1734</v>
      </c>
      <c r="G1735" t="s">
        <v>2754</v>
      </c>
      <c r="I1735">
        <f>_xlfn.XLOOKUP($F1735,設計座標!$E$13:$E$2301,設計座標!$G$13:$G$2301,"n/a",0,1)</f>
        <v>512.9572274613696</v>
      </c>
      <c r="J1735">
        <f>_xlfn.XLOOKUP($F1735,設計座標!$E$13:$E$2301,設計座標!$H$13:$H$2301,"n/a",0,1)</f>
        <v>-15000</v>
      </c>
      <c r="K1735">
        <f>_xlfn.XLOOKUP($F1735,設計座標!$E$13:$E$2301,設計座標!$I$13:$I$2301,"n/a",0,1)</f>
        <v>-248480.88659546</v>
      </c>
      <c r="L1735">
        <f>_xlfn.XLOOKUP($F1735,設計座標!$E$13:$E$2301,設計座標!$J$13:$J$2301,"n/a",0,1)</f>
        <v>-270</v>
      </c>
      <c r="M1735" s="2">
        <f t="shared" si="1340"/>
        <v>-14966.975261093687</v>
      </c>
      <c r="N1735" s="2">
        <f t="shared" si="1341"/>
        <v>-248480.88659546</v>
      </c>
      <c r="O1735" s="23">
        <f t="shared" si="1342"/>
        <v>-272.28926041021958</v>
      </c>
      <c r="P1735" s="1">
        <f t="shared" si="1325"/>
        <v>-269.7878968802487</v>
      </c>
      <c r="Q1735" s="1">
        <f t="shared" si="1349"/>
        <v>33.024738906313139</v>
      </c>
      <c r="R1735">
        <f t="shared" si="1343"/>
        <v>0</v>
      </c>
      <c r="S1735" s="23">
        <f t="shared" si="1348"/>
        <v>-2.2892604102195566</v>
      </c>
      <c r="T1735">
        <f>$S1735+測地線補正!$Q$26*(lattice!$N1735/1000)^3+測地線補正!$P$26*(lattice!$N1735/1000)^2+測地線補正!$O$26*(lattice!$N1735/1000)+測地線補正!$N$26</f>
        <v>0.21210311975130991</v>
      </c>
      <c r="U1735">
        <f>-ATAN(($P$1737-$P$1735)/ABS($N$1737-$N$1735))</f>
        <v>2.3443010282409336E-5</v>
      </c>
      <c r="V1735">
        <v>0</v>
      </c>
      <c r="W1735">
        <f>ATAN(($M$1737-$M$1735)/ABS($N$1737-$N$1735))</f>
        <v>1.3295853669536604E-4</v>
      </c>
      <c r="X1735">
        <f>SQRT(($M$1735-$M$1734)^2+($N$1735-$N$1734)^2)</f>
        <v>387.98840342942611</v>
      </c>
      <c r="Y1735">
        <f>_xlfn.XLOOKUP($F1735,設計座標!$E$13:$E$2301,設計座標!$L$13:$L$2301," ",0,1)</f>
        <v>1889.4492</v>
      </c>
      <c r="Z1735">
        <f>SQRT(($M$1736-$M$1734)^2+($N$1736-$N$1734)^2)</f>
        <v>1332.7130117798208</v>
      </c>
    </row>
    <row r="1736" spans="1:26">
      <c r="A1736" t="s">
        <v>797</v>
      </c>
      <c r="B1736">
        <v>4</v>
      </c>
      <c r="C1736" t="s">
        <v>804</v>
      </c>
      <c r="D1736" t="s">
        <v>1152</v>
      </c>
      <c r="E1736" t="s">
        <v>804</v>
      </c>
      <c r="F1736" t="s">
        <v>1209</v>
      </c>
      <c r="G1736" t="s">
        <v>2754</v>
      </c>
      <c r="I1736">
        <f>_xlfn.XLOOKUP($F1736,設計座標!$E$13:$E$2301,設計座標!$G$13:$G$2301,"n/a",0,1)</f>
        <v>513.90195206136957</v>
      </c>
      <c r="J1736">
        <f>_xlfn.XLOOKUP($F1736,設計座標!$E$13:$E$2301,設計座標!$H$13:$H$2301,"n/a",0,1)</f>
        <v>-15000</v>
      </c>
      <c r="K1736">
        <f>_xlfn.XLOOKUP($F1736,設計座標!$E$13:$E$2301,設計座標!$I$13:$I$2301,"n/a",0,1)</f>
        <v>-249425.61119545999</v>
      </c>
      <c r="L1736">
        <f>_xlfn.XLOOKUP($F1736,設計座標!$E$13:$E$2301,設計座標!$J$13:$J$2301,"n/a",0,1)</f>
        <v>-270</v>
      </c>
      <c r="M1736" s="2">
        <f t="shared" si="1340"/>
        <v>-14966.849651892551</v>
      </c>
      <c r="N1736" s="2">
        <f t="shared" si="1341"/>
        <v>-249425.61119545999</v>
      </c>
      <c r="O1736" s="23">
        <f t="shared" si="1342"/>
        <v>-272.30480270340649</v>
      </c>
      <c r="P1736" s="1">
        <f t="shared" si="1325"/>
        <v>-269.80999304981259</v>
      </c>
      <c r="Q1736" s="1">
        <f t="shared" si="1349"/>
        <v>33.150348107449169</v>
      </c>
      <c r="R1736">
        <f t="shared" si="1343"/>
        <v>0</v>
      </c>
      <c r="S1736" s="23">
        <f t="shared" si="1348"/>
        <v>-2.3048027034064753</v>
      </c>
      <c r="T1736">
        <f>$S1736+測地線補正!$Q$26*(lattice!$N1736/1000)^3+測地線補正!$P$26*(lattice!$N1736/1000)^2+測地線補正!$O$26*(lattice!$N1736/1000)+測地線補正!$N$26</f>
        <v>0.19000695018743641</v>
      </c>
      <c r="U1736">
        <f t="shared" ref="U1736:U1737" si="1358">-ATAN(($P$1737-$P$1735)/ABS($N$1737-$N$1735))</f>
        <v>2.3443010282409336E-5</v>
      </c>
      <c r="V1736">
        <v>0</v>
      </c>
      <c r="W1736">
        <f t="shared" ref="W1736:W1737" si="1359">ATAN(($M$1737-$M$1735)/ABS($N$1737-$N$1735))</f>
        <v>1.3295853669536604E-4</v>
      </c>
      <c r="X1736" t="s">
        <v>3860</v>
      </c>
      <c r="Y1736">
        <f>_xlfn.XLOOKUP($F1736,設計座標!$E$13:$E$2301,設計座標!$L$13:$L$2301," ",0,1)</f>
        <v>1889.4492</v>
      </c>
      <c r="Z1736">
        <f>SQRT(($M$1736-$M$1734)^2+($N$1736-$N$1734)^2)</f>
        <v>1332.7130117798208</v>
      </c>
    </row>
    <row r="1737" spans="1:26">
      <c r="A1737" t="s">
        <v>797</v>
      </c>
      <c r="B1737">
        <v>4</v>
      </c>
      <c r="C1737" t="s">
        <v>804</v>
      </c>
      <c r="D1737" t="s">
        <v>1152</v>
      </c>
      <c r="E1737" t="s">
        <v>804</v>
      </c>
      <c r="F1737" t="s">
        <v>1735</v>
      </c>
      <c r="G1737" t="s">
        <v>2754</v>
      </c>
      <c r="I1737">
        <f>_xlfn.XLOOKUP($F1737,設計座標!$E$13:$E$2301,設計座標!$G$13:$G$2301,"n/a",0,1)</f>
        <v>514.84667666136954</v>
      </c>
      <c r="J1737">
        <f>_xlfn.XLOOKUP($F1737,設計座標!$E$13:$E$2301,設計座標!$H$13:$H$2301,"n/a",0,1)</f>
        <v>-15000</v>
      </c>
      <c r="K1737">
        <f>_xlfn.XLOOKUP($F1737,設計座標!$E$13:$E$2301,設計座標!$I$13:$I$2301,"n/a",0,1)</f>
        <v>-250370.33579545998</v>
      </c>
      <c r="L1737">
        <f>_xlfn.XLOOKUP($F1737,設計座標!$E$13:$E$2301,設計座標!$J$13:$J$2301,"n/a",0,1)</f>
        <v>-270</v>
      </c>
      <c r="M1737" s="2">
        <f t="shared" si="1340"/>
        <v>-14966.724042691414</v>
      </c>
      <c r="N1737" s="2">
        <f t="shared" si="1341"/>
        <v>-250370.33579545998</v>
      </c>
      <c r="O1737" s="23">
        <f t="shared" si="1342"/>
        <v>-272.32034499659341</v>
      </c>
      <c r="P1737" s="1">
        <f t="shared" si="1325"/>
        <v>-269.8321912572805</v>
      </c>
      <c r="Q1737" s="1">
        <f t="shared" si="1349"/>
        <v>33.275957308585198</v>
      </c>
      <c r="R1737">
        <f t="shared" si="1343"/>
        <v>0</v>
      </c>
      <c r="S1737" s="23">
        <f t="shared" si="1348"/>
        <v>-2.3203449965933935</v>
      </c>
      <c r="T1737">
        <f>$S1737+測地線補正!$Q$26*(lattice!$N1737/1000)^3+測地線補正!$P$26*(lattice!$N1737/1000)^2+測地線補正!$O$26*(lattice!$N1737/1000)+測地線補正!$N$26</f>
        <v>0.16780874271949542</v>
      </c>
      <c r="U1737">
        <f t="shared" si="1358"/>
        <v>2.3443010282409336E-5</v>
      </c>
      <c r="V1737">
        <v>0</v>
      </c>
      <c r="W1737">
        <f t="shared" si="1359"/>
        <v>1.3295853669536604E-4</v>
      </c>
      <c r="X1737" t="s">
        <v>3860</v>
      </c>
      <c r="Y1737">
        <f>_xlfn.XLOOKUP($F1737,設計座標!$E$13:$E$2301,設計座標!$L$13:$L$2301," ",0,1)</f>
        <v>1889.4492</v>
      </c>
      <c r="Z1737">
        <f>SQRT(($M$1736-$M$1734)^2+($N$1736-$N$1734)^2)</f>
        <v>1332.7130117798208</v>
      </c>
    </row>
    <row r="1738" spans="1:26">
      <c r="A1738" t="s">
        <v>797</v>
      </c>
      <c r="B1738">
        <v>4</v>
      </c>
      <c r="C1738" t="s">
        <v>804</v>
      </c>
      <c r="D1738" t="s">
        <v>1152</v>
      </c>
      <c r="E1738" t="s">
        <v>804</v>
      </c>
      <c r="F1738" t="s">
        <v>1736</v>
      </c>
      <c r="G1738" t="s">
        <v>2755</v>
      </c>
      <c r="I1738">
        <f>_xlfn.XLOOKUP($F1738,設計座標!$E$13:$E$2301,設計座標!$G$13:$G$2301,"n/a",0,1)</f>
        <v>515.05661446136958</v>
      </c>
      <c r="J1738">
        <f>_xlfn.XLOOKUP($F1738,設計座標!$E$13:$E$2301,設計座標!$H$13:$H$2301,"n/a",0,1)</f>
        <v>-15000</v>
      </c>
      <c r="K1738">
        <f>_xlfn.XLOOKUP($F1738,設計座標!$E$13:$E$2301,設計座標!$I$13:$I$2301,"n/a",0,1)</f>
        <v>-250580.27359545999</v>
      </c>
      <c r="L1738">
        <f>_xlfn.XLOOKUP($F1738,設計座標!$E$13:$E$2301,設計座標!$J$13:$J$2301,"n/a",0,1)</f>
        <v>-270</v>
      </c>
      <c r="M1738" s="2">
        <f t="shared" si="1340"/>
        <v>-14966.696129668566</v>
      </c>
      <c r="N1738" s="2">
        <f t="shared" si="1341"/>
        <v>-250580.27359545999</v>
      </c>
      <c r="O1738" s="23">
        <f t="shared" si="1342"/>
        <v>-272.32379882307214</v>
      </c>
      <c r="P1738" s="1">
        <f t="shared" si="1325"/>
        <v>-269.8371379566492</v>
      </c>
      <c r="Q1738" s="1">
        <f t="shared" si="1349"/>
        <v>33.303870331434673</v>
      </c>
      <c r="R1738">
        <f t="shared" si="1343"/>
        <v>0</v>
      </c>
      <c r="S1738" s="23">
        <f t="shared" si="1348"/>
        <v>-2.3237988230721545</v>
      </c>
      <c r="T1738">
        <f>$S1738+測地線補正!$Q$26*(lattice!$N1738/1000)^3+測地線補正!$P$26*(lattice!$N1738/1000)^2+測地線補正!$O$26*(lattice!$N1738/1000)+測地線補正!$N$26</f>
        <v>0.16286204335078636</v>
      </c>
      <c r="U1738">
        <f>-ATAN(($P$1740-$P$1738)/ABS($N$1740-$N$1738))</f>
        <v>2.3681234157601247E-5</v>
      </c>
      <c r="V1738">
        <v>0</v>
      </c>
      <c r="W1738">
        <f>ATAN(($M$1740-$M$1738)/ABS($N$1740-$N$1738))</f>
        <v>1.3295853669536604E-4</v>
      </c>
      <c r="X1738">
        <f>SQRT(($M$1738-$M$1737)^2+($N$1738-$N$1737)^2)</f>
        <v>209.9378018556516</v>
      </c>
      <c r="Y1738">
        <f>_xlfn.XLOOKUP($F1738,設計座標!$E$13:$E$2301,設計座標!$L$13:$L$2301," ",0,1)</f>
        <v>1889.4492</v>
      </c>
      <c r="Z1738">
        <f>SQRT(($M$1739-$M$1736)^2+($N$1739-$N$1736)^2)</f>
        <v>2099.3870185564406</v>
      </c>
    </row>
    <row r="1739" spans="1:26">
      <c r="A1739" t="s">
        <v>797</v>
      </c>
      <c r="B1739">
        <v>4</v>
      </c>
      <c r="C1739" t="s">
        <v>804</v>
      </c>
      <c r="D1739" t="s">
        <v>1152</v>
      </c>
      <c r="E1739" t="s">
        <v>804</v>
      </c>
      <c r="F1739" t="s">
        <v>1265</v>
      </c>
      <c r="G1739" t="s">
        <v>2755</v>
      </c>
      <c r="I1739">
        <f>_xlfn.XLOOKUP($F1739,設計座標!$E$13:$E$2301,設計座標!$G$13:$G$2301,"n/a",0,1)</f>
        <v>516.00133906136955</v>
      </c>
      <c r="J1739">
        <f>_xlfn.XLOOKUP($F1739,設計座標!$E$13:$E$2301,設計座標!$H$13:$H$2301,"n/a",0,1)</f>
        <v>-15000</v>
      </c>
      <c r="K1739">
        <f>_xlfn.XLOOKUP($F1739,設計座標!$E$13:$E$2301,設計座標!$I$13:$I$2301,"n/a",0,1)</f>
        <v>-251524.99819545998</v>
      </c>
      <c r="L1739">
        <f>_xlfn.XLOOKUP($F1739,設計座標!$E$13:$E$2301,設計座標!$J$13:$J$2301,"n/a",0,1)</f>
        <v>-270</v>
      </c>
      <c r="M1739" s="2">
        <f t="shared" si="1340"/>
        <v>-14966.570520467429</v>
      </c>
      <c r="N1739" s="2">
        <f t="shared" si="1341"/>
        <v>-251524.99819545998</v>
      </c>
      <c r="O1739" s="23">
        <f t="shared" si="1342"/>
        <v>-272.33934111625905</v>
      </c>
      <c r="P1739" s="1">
        <f t="shared" si="1325"/>
        <v>-269.85945994484433</v>
      </c>
      <c r="Q1739" s="1">
        <f t="shared" si="1349"/>
        <v>33.429479532570703</v>
      </c>
      <c r="R1739">
        <f t="shared" si="1343"/>
        <v>0</v>
      </c>
      <c r="S1739" s="23">
        <f t="shared" si="1348"/>
        <v>-2.3393411162590727</v>
      </c>
      <c r="T1739">
        <f>$S1739+測地線補正!$Q$26*(lattice!$N1739/1000)^3+測地線補正!$P$26*(lattice!$N1739/1000)^2+測地線補正!$O$26*(lattice!$N1739/1000)+測地線補正!$N$26</f>
        <v>0.14054005515566259</v>
      </c>
      <c r="U1739">
        <f t="shared" ref="U1739:U1740" si="1360">-ATAN(($P$1740-$P$1738)/ABS($N$1740-$N$1738))</f>
        <v>2.3681234157601247E-5</v>
      </c>
      <c r="V1739">
        <v>0</v>
      </c>
      <c r="W1739">
        <f t="shared" ref="W1739:W1740" si="1361">ATAN(($M$1740-$M$1738)/ABS($N$1740-$N$1738))</f>
        <v>1.3295853669536604E-4</v>
      </c>
      <c r="X1739" t="s">
        <v>3860</v>
      </c>
      <c r="Y1739">
        <f>_xlfn.XLOOKUP($F1739,設計座標!$E$13:$E$2301,設計座標!$L$13:$L$2301," ",0,1)</f>
        <v>1889.4492</v>
      </c>
      <c r="Z1739">
        <f>SQRT(($M$1739-$M$1736)^2+($N$1739-$N$1736)^2)</f>
        <v>2099.3870185564406</v>
      </c>
    </row>
    <row r="1740" spans="1:26">
      <c r="A1740" t="s">
        <v>797</v>
      </c>
      <c r="B1740">
        <v>4</v>
      </c>
      <c r="C1740" t="s">
        <v>804</v>
      </c>
      <c r="D1740" t="s">
        <v>1152</v>
      </c>
      <c r="E1740" t="s">
        <v>804</v>
      </c>
      <c r="F1740" t="s">
        <v>1737</v>
      </c>
      <c r="G1740" t="s">
        <v>2755</v>
      </c>
      <c r="I1740">
        <f>_xlfn.XLOOKUP($F1740,設計座標!$E$13:$E$2301,設計座標!$G$13:$G$2301,"n/a",0,1)</f>
        <v>516.94606366136952</v>
      </c>
      <c r="J1740">
        <f>_xlfn.XLOOKUP($F1740,設計座標!$E$13:$E$2301,設計座標!$H$13:$H$2301,"n/a",0,1)</f>
        <v>-15000</v>
      </c>
      <c r="K1740">
        <f>_xlfn.XLOOKUP($F1740,設計座標!$E$13:$E$2301,設計座標!$I$13:$I$2301,"n/a",0,1)</f>
        <v>-252469.72279545997</v>
      </c>
      <c r="L1740">
        <f>_xlfn.XLOOKUP($F1740,設計座標!$E$13:$E$2301,設計座標!$J$13:$J$2301,"n/a",0,1)</f>
        <v>-270</v>
      </c>
      <c r="M1740" s="2">
        <f t="shared" si="1340"/>
        <v>-14966.444911266293</v>
      </c>
      <c r="N1740" s="2">
        <f t="shared" si="1341"/>
        <v>-252469.72279545997</v>
      </c>
      <c r="O1740" s="23">
        <f t="shared" si="1342"/>
        <v>-272.35488340944602</v>
      </c>
      <c r="P1740" s="1">
        <f t="shared" si="1325"/>
        <v>-269.88188244559166</v>
      </c>
      <c r="Q1740" s="1">
        <f t="shared" si="1349"/>
        <v>33.555088733706732</v>
      </c>
      <c r="R1740">
        <f t="shared" si="1343"/>
        <v>0</v>
      </c>
      <c r="S1740" s="23">
        <f t="shared" si="1348"/>
        <v>-2.3548834094459914</v>
      </c>
      <c r="T1740">
        <f>$S1740+測地線補正!$Q$26*(lattice!$N1740/1000)^3+測地線補正!$P$26*(lattice!$N1740/1000)^2+測地線補正!$O$26*(lattice!$N1740/1000)+測地線補正!$N$26</f>
        <v>0.11811755440833926</v>
      </c>
      <c r="U1740">
        <f t="shared" si="1360"/>
        <v>2.3681234157601247E-5</v>
      </c>
      <c r="V1740">
        <v>0</v>
      </c>
      <c r="W1740">
        <f t="shared" si="1361"/>
        <v>1.3295853669536604E-4</v>
      </c>
      <c r="X1740" t="s">
        <v>3860</v>
      </c>
      <c r="Y1740">
        <f>_xlfn.XLOOKUP($F1740,設計座標!$E$13:$E$2301,設計座標!$L$13:$L$2301," ",0,1)</f>
        <v>1889.4492</v>
      </c>
      <c r="Z1740">
        <f>SQRT(($M$1739-$M$1736)^2+($N$1739-$N$1736)^2)</f>
        <v>2099.3870185564406</v>
      </c>
    </row>
    <row r="1741" spans="1:26">
      <c r="A1741" t="s">
        <v>797</v>
      </c>
      <c r="B1741">
        <v>4</v>
      </c>
      <c r="C1741" t="s">
        <v>1152</v>
      </c>
      <c r="D1741" t="s">
        <v>1152</v>
      </c>
      <c r="E1741" t="s">
        <v>804</v>
      </c>
      <c r="F1741" t="s">
        <v>2170</v>
      </c>
      <c r="G1741" t="s">
        <v>2170</v>
      </c>
      <c r="I1741">
        <f>_xlfn.XLOOKUP($F1741,設計座標!$E$13:$E$2301,設計座標!$G$13:$G$2301,"n/a",0,1)</f>
        <v>517.22590406136953</v>
      </c>
      <c r="J1741">
        <f>_xlfn.XLOOKUP($F1741,設計座標!$E$13:$E$2301,設計座標!$H$13:$H$2301,"n/a",0,1)</f>
        <v>-15000</v>
      </c>
      <c r="K1741">
        <f>_xlfn.XLOOKUP($F1741,設計座標!$E$13:$E$2301,設計座標!$I$13:$I$2301,"n/a",0,1)</f>
        <v>-252749.56319545998</v>
      </c>
      <c r="L1741">
        <f>_xlfn.XLOOKUP($F1741,設計座標!$E$13:$E$2301,設計座標!$J$13:$J$2301,"n/a",0,1)</f>
        <v>-270</v>
      </c>
      <c r="M1741" s="2">
        <f t="shared" si="1340"/>
        <v>-14966.407704095982</v>
      </c>
      <c r="N1741" s="2">
        <f t="shared" si="1341"/>
        <v>-252749.56319545998</v>
      </c>
      <c r="O1741" s="23">
        <f t="shared" si="1342"/>
        <v>-272.35948725012332</v>
      </c>
      <c r="P1741" s="1">
        <f t="shared" si="1325"/>
        <v>-269.88854349358388</v>
      </c>
      <c r="Q1741" s="1">
        <f t="shared" si="1349"/>
        <v>33.592295904018151</v>
      </c>
      <c r="R1741">
        <f t="shared" si="1343"/>
        <v>0</v>
      </c>
      <c r="S1741" s="23">
        <f t="shared" si="1348"/>
        <v>-2.3594872501233111</v>
      </c>
      <c r="T1741">
        <f>$S1741+測地線補正!$Q$26*(lattice!$N1741/1000)^3+測地線補正!$P$26*(lattice!$N1741/1000)^2+測地線補正!$O$26*(lattice!$N1741/1000)+測地線補正!$N$26</f>
        <v>0.1114565064161448</v>
      </c>
      <c r="U1741">
        <v>0</v>
      </c>
      <c r="V1741">
        <v>0</v>
      </c>
      <c r="W1741">
        <v>0</v>
      </c>
      <c r="X1741">
        <f>SQRT(($M$1741-$M$1740)^2+($N$1741-$N$1740)^2)</f>
        <v>279.84040247352095</v>
      </c>
      <c r="Y1741">
        <f>_xlfn.XLOOKUP($F1741,設計座標!$E$13:$E$2301,設計座標!$L$13:$L$2301," ",0,1)</f>
        <v>0</v>
      </c>
      <c r="Z1741">
        <f>SQRT(($M$1741-$M$1739)^2+($N$1741-$N$1739)^2)</f>
        <v>1224.5650108239156</v>
      </c>
    </row>
    <row r="1742" spans="1:26">
      <c r="A1742" t="s">
        <v>797</v>
      </c>
      <c r="B1742">
        <v>4</v>
      </c>
      <c r="C1742" t="s">
        <v>804</v>
      </c>
      <c r="D1742" t="s">
        <v>1152</v>
      </c>
      <c r="E1742" t="s">
        <v>804</v>
      </c>
      <c r="F1742" t="s">
        <v>1738</v>
      </c>
      <c r="G1742" t="s">
        <v>2756</v>
      </c>
      <c r="I1742">
        <f>_xlfn.XLOOKUP($F1742,設計座標!$E$13:$E$2301,設計座標!$G$13:$G$2301,"n/a",0,1)</f>
        <v>517.47090946136962</v>
      </c>
      <c r="J1742">
        <f>_xlfn.XLOOKUP($F1742,設計座標!$E$13:$E$2301,設計座標!$H$13:$H$2301,"n/a",0,1)</f>
        <v>-15000</v>
      </c>
      <c r="K1742">
        <f>_xlfn.XLOOKUP($F1742,設計座標!$E$13:$E$2301,設計座標!$I$13:$I$2301,"n/a",0,1)</f>
        <v>-252994.56859546</v>
      </c>
      <c r="L1742">
        <f>_xlfn.XLOOKUP($F1742,設計座標!$E$13:$E$2301,設計座標!$J$13:$J$2301,"n/a",0,1)</f>
        <v>-270</v>
      </c>
      <c r="M1742" s="2">
        <f t="shared" si="1340"/>
        <v>-14966.375128536323</v>
      </c>
      <c r="N1742" s="2">
        <f t="shared" si="1341"/>
        <v>-252994.56859546</v>
      </c>
      <c r="O1742" s="23">
        <f t="shared" si="1342"/>
        <v>-272.36351799703004</v>
      </c>
      <c r="P1742" s="1">
        <f t="shared" si="1325"/>
        <v>-269.8943825405297</v>
      </c>
      <c r="Q1742" s="1">
        <f t="shared" si="1349"/>
        <v>33.624871463676506</v>
      </c>
      <c r="R1742">
        <f t="shared" si="1343"/>
        <v>0</v>
      </c>
      <c r="S1742" s="23">
        <f t="shared" si="1348"/>
        <v>-2.3635179970300593</v>
      </c>
      <c r="T1742">
        <f>$S1742+測地線補正!$Q$26*(lattice!$N1742/1000)^3+測地線補正!$P$26*(lattice!$N1742/1000)^2+測地線補正!$O$26*(lattice!$N1742/1000)+測地線補正!$N$26</f>
        <v>0.10561745947030921</v>
      </c>
      <c r="U1742">
        <f>-ATAN(($P$1744-$P$1742)/ABS($N$1744-$N$1742))</f>
        <v>2.3950755947008579E-5</v>
      </c>
      <c r="V1742">
        <v>0</v>
      </c>
      <c r="W1742">
        <f>ATAN(($M$1744-$M$1742)/ABS($N$1744-$N$1742))</f>
        <v>1.3295853669536604E-4</v>
      </c>
      <c r="X1742">
        <f>SQRT(($M$1742-$M$1741)^2+($N$1742-$N$1741)^2)</f>
        <v>245.00540216562302</v>
      </c>
      <c r="Y1742">
        <f>_xlfn.XLOOKUP($F1742,設計座標!$E$13:$E$2301,設計座標!$L$13:$L$2301," ",0,1)</f>
        <v>1889.4492</v>
      </c>
      <c r="Z1742">
        <f>SQRT(($M$1743-$M$1741)^2+($N$1743-$N$1741)^2)</f>
        <v>1189.7300105160175</v>
      </c>
    </row>
    <row r="1743" spans="1:26">
      <c r="A1743" t="s">
        <v>797</v>
      </c>
      <c r="B1743">
        <v>4</v>
      </c>
      <c r="C1743" t="s">
        <v>804</v>
      </c>
      <c r="D1743" t="s">
        <v>1152</v>
      </c>
      <c r="E1743" t="s">
        <v>804</v>
      </c>
      <c r="F1743" t="s">
        <v>1319</v>
      </c>
      <c r="G1743" t="s">
        <v>2756</v>
      </c>
      <c r="I1743">
        <f>_xlfn.XLOOKUP($F1743,設計座標!$E$13:$E$2301,設計座標!$G$13:$G$2301,"n/a",0,1)</f>
        <v>518.41563406136959</v>
      </c>
      <c r="J1743">
        <f>_xlfn.XLOOKUP($F1743,設計座標!$E$13:$E$2301,設計座標!$H$13:$H$2301,"n/a",0,1)</f>
        <v>-15000</v>
      </c>
      <c r="K1743">
        <f>_xlfn.XLOOKUP($F1743,設計座標!$E$13:$E$2301,設計座標!$I$13:$I$2301,"n/a",0,1)</f>
        <v>-253939.29319545999</v>
      </c>
      <c r="L1743">
        <f>_xlfn.XLOOKUP($F1743,設計座標!$E$13:$E$2301,設計座標!$J$13:$J$2301,"n/a",0,1)</f>
        <v>-270</v>
      </c>
      <c r="M1743" s="2">
        <f t="shared" si="1340"/>
        <v>-14966.249519335188</v>
      </c>
      <c r="N1743" s="2">
        <f t="shared" si="1341"/>
        <v>-253939.29319545999</v>
      </c>
      <c r="O1743" s="23">
        <f t="shared" si="1342"/>
        <v>-272.37906029021696</v>
      </c>
      <c r="P1743" s="1">
        <f t="shared" si="1325"/>
        <v>-269.91696002966694</v>
      </c>
      <c r="Q1743" s="1">
        <f t="shared" si="1349"/>
        <v>33.750480664812542</v>
      </c>
      <c r="R1743">
        <f t="shared" si="1343"/>
        <v>0</v>
      </c>
      <c r="S1743" s="23">
        <f t="shared" si="1348"/>
        <v>-2.3790602902169775</v>
      </c>
      <c r="T1743">
        <f>$S1743+測地線補正!$Q$26*(lattice!$N1743/1000)^3+測地線補正!$P$26*(lattice!$N1743/1000)^2+測地線補正!$O$26*(lattice!$N1743/1000)+測地線補正!$N$26</f>
        <v>8.3039970333041557E-2</v>
      </c>
      <c r="U1743">
        <f t="shared" ref="U1743:U1744" si="1362">-ATAN(($P$1744-$P$1742)/ABS($N$1744-$N$1742))</f>
        <v>2.3950755947008579E-5</v>
      </c>
      <c r="V1743">
        <v>0</v>
      </c>
      <c r="W1743">
        <f t="shared" ref="W1743:W1744" si="1363">ATAN(($M$1744-$M$1742)/ABS($N$1744-$N$1742))</f>
        <v>1.3295853669536604E-4</v>
      </c>
      <c r="X1743" t="s">
        <v>3860</v>
      </c>
      <c r="Y1743">
        <f>_xlfn.XLOOKUP($F1743,設計座標!$E$13:$E$2301,設計座標!$L$13:$L$2301," ",0,1)</f>
        <v>1889.4492</v>
      </c>
      <c r="Z1743">
        <f>SQRT(($M$1743-$M$1741)^2+($N$1743-$N$1741)^2)</f>
        <v>1189.7300105160175</v>
      </c>
    </row>
    <row r="1744" spans="1:26">
      <c r="A1744" t="s">
        <v>797</v>
      </c>
      <c r="B1744">
        <v>4</v>
      </c>
      <c r="C1744" t="s">
        <v>804</v>
      </c>
      <c r="D1744" t="s">
        <v>1152</v>
      </c>
      <c r="E1744" t="s">
        <v>804</v>
      </c>
      <c r="F1744" t="s">
        <v>1739</v>
      </c>
      <c r="G1744" t="s">
        <v>2756</v>
      </c>
      <c r="I1744">
        <f>_xlfn.XLOOKUP($F1744,設計座標!$E$13:$E$2301,設計座標!$G$13:$G$2301,"n/a",0,1)</f>
        <v>519.36035866136956</v>
      </c>
      <c r="J1744">
        <f>_xlfn.XLOOKUP($F1744,設計座標!$E$13:$E$2301,設計座標!$H$13:$H$2301,"n/a",0,1)</f>
        <v>-15000</v>
      </c>
      <c r="K1744">
        <f>_xlfn.XLOOKUP($F1744,設計座標!$E$13:$E$2301,設計座標!$I$13:$I$2301,"n/a",0,1)</f>
        <v>-254884.01779545998</v>
      </c>
      <c r="L1744">
        <f>_xlfn.XLOOKUP($F1744,設計座標!$E$13:$E$2301,設計座標!$J$13:$J$2301,"n/a",0,1)</f>
        <v>-270</v>
      </c>
      <c r="M1744" s="2">
        <f t="shared" si="1340"/>
        <v>-14966.123910134051</v>
      </c>
      <c r="N1744" s="2">
        <f t="shared" si="1341"/>
        <v>-254884.01779545998</v>
      </c>
      <c r="O1744" s="23">
        <f t="shared" si="1342"/>
        <v>-272.39460258340392</v>
      </c>
      <c r="P1744" s="1">
        <f t="shared" si="1325"/>
        <v>-269.93963627720183</v>
      </c>
      <c r="Q1744" s="1">
        <f t="shared" si="1349"/>
        <v>33.876089865948572</v>
      </c>
      <c r="R1744">
        <f t="shared" si="1343"/>
        <v>0</v>
      </c>
      <c r="S1744" s="23">
        <f t="shared" si="1348"/>
        <v>-2.3946025834038958</v>
      </c>
      <c r="T1744">
        <f>$S1744+測地線補正!$Q$26*(lattice!$N1744/1000)^3+測地線補正!$P$26*(lattice!$N1744/1000)^2+測地線補正!$O$26*(lattice!$N1744/1000)+測地線補正!$N$26</f>
        <v>6.0363722798179031E-2</v>
      </c>
      <c r="U1744">
        <f t="shared" si="1362"/>
        <v>2.3950755947008579E-5</v>
      </c>
      <c r="V1744">
        <v>0</v>
      </c>
      <c r="W1744">
        <f t="shared" si="1363"/>
        <v>1.3295853669536604E-4</v>
      </c>
      <c r="X1744" t="s">
        <v>3860</v>
      </c>
      <c r="Y1744">
        <f>_xlfn.XLOOKUP($F1744,設計座標!$E$13:$E$2301,設計座標!$L$13:$L$2301," ",0,1)</f>
        <v>1889.4492</v>
      </c>
      <c r="Z1744">
        <f>SQRT(($M$1743-$M$1741)^2+($N$1743-$N$1741)^2)</f>
        <v>1189.7300105160175</v>
      </c>
    </row>
    <row r="1745" spans="1:28">
      <c r="A1745" t="s">
        <v>797</v>
      </c>
      <c r="B1745">
        <v>4</v>
      </c>
      <c r="C1745" t="s">
        <v>804</v>
      </c>
      <c r="D1745" t="s">
        <v>1152</v>
      </c>
      <c r="E1745" t="s">
        <v>804</v>
      </c>
      <c r="F1745" t="s">
        <v>1740</v>
      </c>
      <c r="G1745" t="s">
        <v>2757</v>
      </c>
      <c r="I1745">
        <f>_xlfn.XLOOKUP($F1745,設計座標!$E$13:$E$2301,設計座標!$G$13:$G$2301,"n/a",0,1)</f>
        <v>519.57029646136959</v>
      </c>
      <c r="J1745">
        <f>_xlfn.XLOOKUP($F1745,設計座標!$E$13:$E$2301,設計座標!$H$13:$H$2301,"n/a",0,1)</f>
        <v>-15000</v>
      </c>
      <c r="K1745">
        <f>_xlfn.XLOOKUP($F1745,設計座標!$E$13:$E$2301,設計座標!$I$13:$I$2301,"n/a",0,1)</f>
        <v>-255093.95559545999</v>
      </c>
      <c r="L1745">
        <f>_xlfn.XLOOKUP($F1745,設計座標!$E$13:$E$2301,設計座標!$J$13:$J$2301,"n/a",0,1)</f>
        <v>-270</v>
      </c>
      <c r="M1745" s="2">
        <f t="shared" si="1340"/>
        <v>-14966.095997111202</v>
      </c>
      <c r="N1745" s="2">
        <f t="shared" si="1341"/>
        <v>-255093.95559545999</v>
      </c>
      <c r="O1745" s="23">
        <f t="shared" si="1342"/>
        <v>-272.39805640988266</v>
      </c>
      <c r="P1745" s="1">
        <f t="shared" si="1325"/>
        <v>-269.94468876182793</v>
      </c>
      <c r="Q1745" s="1">
        <f t="shared" si="1349"/>
        <v>33.90400288879804</v>
      </c>
      <c r="R1745">
        <f t="shared" si="1343"/>
        <v>0</v>
      </c>
      <c r="S1745" s="23">
        <f t="shared" si="1348"/>
        <v>-2.3980564098826571</v>
      </c>
      <c r="T1745">
        <f>$S1745+測地線補正!$Q$26*(lattice!$N1745/1000)^3+測地線補正!$P$26*(lattice!$N1745/1000)^2+測地線補正!$O$26*(lattice!$N1745/1000)+測地線補正!$N$26</f>
        <v>5.5311238172064625E-2</v>
      </c>
      <c r="U1745">
        <f>-ATAN(($P$1747-$P$1745)/ABS($N$1747-$N$1745))</f>
        <v>2.4181265628358255E-5</v>
      </c>
      <c r="V1745">
        <v>0</v>
      </c>
      <c r="W1745">
        <f>ATAN(($M$1747-$M$1745)/ABS($N$1747-$N$1745))</f>
        <v>1.3295853669536604E-4</v>
      </c>
      <c r="X1745">
        <f>SQRT(($M$1745-$M$1744)^2+($N$1745-$N$1744)^2)</f>
        <v>209.9378018556516</v>
      </c>
      <c r="Y1745">
        <f>_xlfn.XLOOKUP($F1745,設計座標!$E$13:$E$2301,設計座標!$L$13:$L$2301," ",0,1)</f>
        <v>1889.4492</v>
      </c>
      <c r="Z1745">
        <f>SQRT(($M$1746-$M$1743)^2+($N$1746-$N$1743)^2)</f>
        <v>2099.3870185564406</v>
      </c>
    </row>
    <row r="1746" spans="1:28">
      <c r="A1746" t="s">
        <v>797</v>
      </c>
      <c r="B1746">
        <v>4</v>
      </c>
      <c r="C1746" t="s">
        <v>804</v>
      </c>
      <c r="D1746" t="s">
        <v>1152</v>
      </c>
      <c r="E1746" t="s">
        <v>804</v>
      </c>
      <c r="F1746" t="s">
        <v>1373</v>
      </c>
      <c r="G1746" t="s">
        <v>2757</v>
      </c>
      <c r="I1746">
        <f>_xlfn.XLOOKUP($F1746,設計座標!$E$13:$E$2301,設計座標!$G$13:$G$2301,"n/a",0,1)</f>
        <v>520.51502106136957</v>
      </c>
      <c r="J1746">
        <f>_xlfn.XLOOKUP($F1746,設計座標!$E$13:$E$2301,設計座標!$H$13:$H$2301,"n/a",0,1)</f>
        <v>-15000</v>
      </c>
      <c r="K1746">
        <f>_xlfn.XLOOKUP($F1746,設計座標!$E$13:$E$2301,設計座標!$I$13:$I$2301,"n/a",0,1)</f>
        <v>-256038.68019545998</v>
      </c>
      <c r="L1746">
        <f>_xlfn.XLOOKUP($F1746,設計座標!$E$13:$E$2301,設計座標!$J$13:$J$2301,"n/a",0,1)</f>
        <v>-270</v>
      </c>
      <c r="M1746" s="2">
        <f t="shared" si="1340"/>
        <v>-14965.970387910065</v>
      </c>
      <c r="N1746" s="2">
        <f t="shared" si="1341"/>
        <v>-256038.68019545998</v>
      </c>
      <c r="O1746" s="23">
        <f t="shared" si="1342"/>
        <v>-272.41359870306957</v>
      </c>
      <c r="P1746" s="1">
        <f t="shared" si="1325"/>
        <v>-269.96748478180774</v>
      </c>
      <c r="Q1746" s="1">
        <f t="shared" si="1349"/>
        <v>34.029612089934069</v>
      </c>
      <c r="R1746">
        <f t="shared" si="1343"/>
        <v>0</v>
      </c>
      <c r="S1746" s="23">
        <f t="shared" si="1348"/>
        <v>-2.4135987030695754</v>
      </c>
      <c r="T1746">
        <f>$S1746+測地線補正!$Q$26*(lattice!$N1746/1000)^3+測地線補正!$P$26*(lattice!$N1746/1000)^2+測地線補正!$O$26*(lattice!$N1746/1000)+測地線補正!$N$26</f>
        <v>3.2515218192237461E-2</v>
      </c>
      <c r="U1746">
        <f t="shared" ref="U1746:U1747" si="1364">-ATAN(($P$1747-$P$1745)/ABS($N$1747-$N$1745))</f>
        <v>2.4181265628358255E-5</v>
      </c>
      <c r="V1746">
        <v>0</v>
      </c>
      <c r="W1746">
        <f t="shared" ref="W1746:W1747" si="1365">ATAN(($M$1747-$M$1745)/ABS($N$1747-$N$1745))</f>
        <v>1.3295853669536604E-4</v>
      </c>
      <c r="X1746" t="s">
        <v>3860</v>
      </c>
      <c r="Y1746">
        <f>_xlfn.XLOOKUP($F1746,設計座標!$E$13:$E$2301,設計座標!$L$13:$L$2301," ",0,1)</f>
        <v>1889.4492</v>
      </c>
      <c r="Z1746">
        <f>SQRT(($M$1746-$M$1743)^2+($N$1746-$N$1743)^2)</f>
        <v>2099.3870185564406</v>
      </c>
    </row>
    <row r="1747" spans="1:28">
      <c r="A1747" t="s">
        <v>797</v>
      </c>
      <c r="B1747">
        <v>4</v>
      </c>
      <c r="C1747" t="s">
        <v>804</v>
      </c>
      <c r="D1747" t="s">
        <v>1152</v>
      </c>
      <c r="E1747" t="s">
        <v>804</v>
      </c>
      <c r="F1747" t="s">
        <v>1741</v>
      </c>
      <c r="G1747" t="s">
        <v>2757</v>
      </c>
      <c r="I1747">
        <f>_xlfn.XLOOKUP($F1747,設計座標!$E$13:$E$2301,設計座標!$G$13:$G$2301,"n/a",0,1)</f>
        <v>521.45974566136954</v>
      </c>
      <c r="J1747">
        <f>_xlfn.XLOOKUP($F1747,設計座標!$E$13:$E$2301,設計座標!$H$13:$H$2301,"n/a",0,1)</f>
        <v>-15000</v>
      </c>
      <c r="K1747">
        <f>_xlfn.XLOOKUP($F1747,設計座標!$E$13:$E$2301,設計座標!$I$13:$I$2301,"n/a",0,1)</f>
        <v>-256983.40479545997</v>
      </c>
      <c r="L1747">
        <f>_xlfn.XLOOKUP($F1747,設計座標!$E$13:$E$2301,設計座標!$J$13:$J$2301,"n/a",0,1)</f>
        <v>-270</v>
      </c>
      <c r="M1747" s="2">
        <f t="shared" si="1340"/>
        <v>-14965.84477870893</v>
      </c>
      <c r="N1747" s="2">
        <f t="shared" si="1341"/>
        <v>-256983.40479545997</v>
      </c>
      <c r="O1747" s="23">
        <f t="shared" si="1342"/>
        <v>-272.42914099625648</v>
      </c>
      <c r="P1747" s="1">
        <f t="shared" si="1325"/>
        <v>-269.99037803483333</v>
      </c>
      <c r="Q1747" s="1">
        <f t="shared" si="1349"/>
        <v>34.155221291070099</v>
      </c>
      <c r="R1747">
        <f t="shared" si="1343"/>
        <v>0</v>
      </c>
      <c r="S1747" s="23">
        <f t="shared" si="1348"/>
        <v>-2.4291409962564936</v>
      </c>
      <c r="T1747">
        <f>$S1747+測地線補正!$Q$26*(lattice!$N1747/1000)^3+測地線補正!$P$26*(lattice!$N1747/1000)^2+測地線補正!$O$26*(lattice!$N1747/1000)+測地線補正!$N$26</f>
        <v>9.6219651666833439E-3</v>
      </c>
      <c r="U1747">
        <f t="shared" si="1364"/>
        <v>2.4181265628358255E-5</v>
      </c>
      <c r="V1747">
        <v>0</v>
      </c>
      <c r="W1747">
        <f t="shared" si="1365"/>
        <v>1.3295853669536604E-4</v>
      </c>
      <c r="X1747" t="s">
        <v>3860</v>
      </c>
      <c r="Y1747">
        <f>_xlfn.XLOOKUP($F1747,設計座標!$E$13:$E$2301,設計座標!$L$13:$L$2301," ",0,1)</f>
        <v>1889.4492</v>
      </c>
      <c r="Z1747">
        <f>SQRT(($M$1746-$M$1743)^2+($N$1746-$N$1743)^2)</f>
        <v>2099.3870185564406</v>
      </c>
    </row>
    <row r="1748" spans="1:28">
      <c r="A1748" t="s">
        <v>797</v>
      </c>
      <c r="B1748">
        <v>4</v>
      </c>
      <c r="C1748" t="s">
        <v>1152</v>
      </c>
      <c r="D1748" t="s">
        <v>1152</v>
      </c>
      <c r="E1748" t="s">
        <v>804</v>
      </c>
      <c r="F1748" t="s">
        <v>2171</v>
      </c>
      <c r="G1748" t="s">
        <v>2171</v>
      </c>
      <c r="I1748">
        <f>_xlfn.XLOOKUP($F1748,設計座標!$E$13:$E$2301,設計座標!$G$13:$G$2301,"n/a",0,1)</f>
        <v>521.61223936136957</v>
      </c>
      <c r="J1748">
        <f>_xlfn.XLOOKUP($F1748,設計座標!$E$13:$E$2301,設計座標!$H$13:$H$2301,"n/a",0,1)</f>
        <v>-15000</v>
      </c>
      <c r="K1748">
        <f>_xlfn.XLOOKUP($F1748,設計座標!$E$13:$E$2301,設計座標!$I$13:$I$2301,"n/a",0,1)</f>
        <v>-257135.89849545999</v>
      </c>
      <c r="L1748">
        <f>_xlfn.XLOOKUP($F1748,設計座標!$E$13:$E$2301,設計座標!$J$13:$J$2301,"n/a",0,1)</f>
        <v>-270</v>
      </c>
      <c r="M1748" s="2">
        <f t="shared" si="1340"/>
        <v>-14965.824503369604</v>
      </c>
      <c r="N1748" s="2">
        <f t="shared" si="1341"/>
        <v>-257135.89849545999</v>
      </c>
      <c r="O1748" s="23">
        <f t="shared" si="1342"/>
        <v>-272.43164977161234</v>
      </c>
      <c r="P1748" s="1">
        <f t="shared" si="1325"/>
        <v>-269.99408244082753</v>
      </c>
      <c r="Q1748" s="1">
        <f t="shared" si="1349"/>
        <v>34.1754966303968</v>
      </c>
      <c r="R1748">
        <f t="shared" si="1343"/>
        <v>0</v>
      </c>
      <c r="S1748" s="23">
        <f t="shared" si="1348"/>
        <v>-2.4316497716123573</v>
      </c>
      <c r="T1748">
        <f>$S1748+測地線補正!$Q$26*(lattice!$N1748/1000)^3+測地線補正!$P$26*(lattice!$N1748/1000)^2+測地線補正!$O$26*(lattice!$N1748/1000)+測地線補正!$N$26</f>
        <v>5.9175591724931476E-3</v>
      </c>
      <c r="U1748">
        <v>0</v>
      </c>
      <c r="V1748">
        <v>0</v>
      </c>
      <c r="W1748">
        <v>0</v>
      </c>
      <c r="X1748">
        <f>SQRT(($M$1748-$M$1747)^2+($N$1748-$N$1747)^2)</f>
        <v>152.49370134791064</v>
      </c>
      <c r="Y1748">
        <f>_xlfn.XLOOKUP($F1748,設計座標!$E$13:$E$2301,設計座標!$L$13:$L$2301," ",0,1)</f>
        <v>0</v>
      </c>
      <c r="Z1748">
        <f>SQRT(($M$1748-$M$1746)^2+($N$1748-$N$1746)^2)</f>
        <v>1097.2183096983053</v>
      </c>
    </row>
    <row r="1749" spans="1:28">
      <c r="A1749" t="s">
        <v>797</v>
      </c>
      <c r="B1749">
        <v>4</v>
      </c>
      <c r="C1749" t="s">
        <v>805</v>
      </c>
      <c r="D1749" t="s">
        <v>806</v>
      </c>
      <c r="F1749" t="s">
        <v>439</v>
      </c>
      <c r="G1749" t="s">
        <v>2758</v>
      </c>
      <c r="I1749">
        <f>_xlfn.XLOOKUP($F1749,設計座標!$E$13:$E$2301,設計座標!$G$13:$G$2301,"n/a",0,1)</f>
        <v>521.72416599999997</v>
      </c>
      <c r="J1749">
        <f>_xlfn.XLOOKUP($F1749,設計座標!$E$13:$E$2301,設計座標!$H$13:$H$2301,"n/a",0,1)</f>
        <v>-15000</v>
      </c>
      <c r="K1749">
        <f>_xlfn.XLOOKUP($F1749,設計座標!$E$13:$E$2301,設計座標!$I$13:$I$2301,"n/a",0,1)</f>
        <v>-257359.85748424</v>
      </c>
      <c r="L1749">
        <f>_xlfn.XLOOKUP($F1749,設計座標!$E$13:$E$2301,設計座標!$J$13:$J$2301,"n/a",0,1)</f>
        <v>-50</v>
      </c>
      <c r="M1749" s="2">
        <f>_xlfn.XLOOKUP($F1749,survey_data!$A$2:$A$833,survey_data!$B$2:$B$833,"n/a",0,1)</f>
        <v>-14965.79472611</v>
      </c>
      <c r="N1749" s="2">
        <f>_xlfn.XLOOKUP($F1749,survey_data!$A$2:$A$833,survey_data!$C$2:$C$833,"n/a",0,1)</f>
        <v>-257359.85748424</v>
      </c>
      <c r="O1749" s="23">
        <f>_xlfn.XLOOKUP($F1749,survey_data!$A$2:$A$833,survey_data!$D$2:$D$833,"n/a",0,1)</f>
        <v>-52.435334269999998</v>
      </c>
      <c r="P1749" s="1">
        <f t="shared" si="1325"/>
        <v>-49.99952744928558</v>
      </c>
      <c r="Q1749" s="1">
        <f t="shared" si="1344"/>
        <v>34.205273890000171</v>
      </c>
      <c r="R1749">
        <f t="shared" si="1343"/>
        <v>0</v>
      </c>
      <c r="S1749" s="23">
        <f t="shared" si="1345"/>
        <v>-2.4353342699999985</v>
      </c>
      <c r="T1749">
        <f>$S1749+測地線補正!$Q$26*(lattice!$N1749/1000)^3+測地線補正!$P$26*(lattice!$N1749/1000)^2+測地線補正!$O$26*(lattice!$N1749/1000)+測地線補正!$N$26</f>
        <v>4.7255071441809626E-4</v>
      </c>
      <c r="U1749">
        <f>-ATAN(($P$1751-$P$1749)/ABS($N$1751-$N$1749))</f>
        <v>5.0875880511176523E-4</v>
      </c>
      <c r="V1749">
        <v>0</v>
      </c>
      <c r="W1749">
        <f>ATAN(($M$1751-$M$1749)/ABS($N$1751-$N$1749))</f>
        <v>1.5580030552847865E-4</v>
      </c>
      <c r="X1749">
        <f>$Z$1750-($Y$1750+$Y$1748)/2</f>
        <v>198.95649165515636</v>
      </c>
      <c r="Y1749">
        <f>_xlfn.XLOOKUP($F1749,設計座標!$E$13:$E$2301,設計座標!$L$13:$L$2301," ",0,1)</f>
        <v>200</v>
      </c>
      <c r="Z1749">
        <f>SQRT(($M$1750-$M$1748)^2+($N$1750-$N$1748)^2)</f>
        <v>298.95649165515636</v>
      </c>
      <c r="AA1749">
        <f>_xlfn.XLOOKUP($G1749,magnet_list!$A$2:$A$592,magnet_list!$AJ$2:$AJ$592,"n/a",0,1)</f>
        <v>0.21244935000000001</v>
      </c>
      <c r="AB1749">
        <f>_xlfn.XLOOKUP($G1749,magnet_list!$A$2:$A$592,magnet_list!$L$2:$L$592,"n/a",0,1)</f>
        <v>20</v>
      </c>
    </row>
    <row r="1750" spans="1:28">
      <c r="A1750" t="s">
        <v>797</v>
      </c>
      <c r="B1750">
        <v>4</v>
      </c>
      <c r="C1750" t="s">
        <v>805</v>
      </c>
      <c r="D1750" t="s">
        <v>1152</v>
      </c>
      <c r="E1750" t="s">
        <v>804</v>
      </c>
      <c r="F1750" t="s">
        <v>780</v>
      </c>
      <c r="G1750" t="s">
        <v>2758</v>
      </c>
      <c r="I1750">
        <f>_xlfn.XLOOKUP($F1750,設計座標!$E$13:$E$2301,設計座標!$G$13:$G$2301,"n/a",0,1)</f>
        <v>521.79916349999996</v>
      </c>
      <c r="J1750">
        <f>_xlfn.XLOOKUP($F1750,設計座標!$E$13:$E$2301,設計座標!$H$13:$H$2301,"n/a",0,1)</f>
        <v>-15000</v>
      </c>
      <c r="K1750">
        <f>_xlfn.XLOOKUP($F1750,設計座標!$E$13:$E$2301,設計座標!$I$13:$I$2301,"n/a",0,1)</f>
        <v>-257434.85498424</v>
      </c>
      <c r="L1750">
        <f>_xlfn.XLOOKUP($F1750,設計座標!$E$13:$E$2301,設計座標!$J$13:$J$2301,"n/a",0,1)</f>
        <v>-50</v>
      </c>
      <c r="M1750" s="2">
        <f t="shared" si="1340"/>
        <v>-14965.783041476492</v>
      </c>
      <c r="N1750" s="2">
        <f t="shared" si="1341"/>
        <v>-257434.85498424</v>
      </c>
      <c r="O1750" s="23">
        <f t="shared" si="1342"/>
        <v>-52.472898854053412</v>
      </c>
      <c r="P1750" s="1">
        <f t="shared" si="1325"/>
        <v>-50.037682787836779</v>
      </c>
      <c r="Q1750" s="1">
        <f>(Q$1751-Q$1749)/($N$1751-$N$1749)*($N1750-$N$1749)+Q$1749</f>
        <v>34.216958523508588</v>
      </c>
      <c r="R1750">
        <f t="shared" si="1343"/>
        <v>0</v>
      </c>
      <c r="S1750" s="23">
        <f>(S$1751-S$1749)/($N$1751-$N$1749)*($N1750-$N$1749)+S$1749</f>
        <v>-2.4728988540534154</v>
      </c>
      <c r="T1750">
        <f>$S1750+測地線補正!$Q$26*(lattice!$N1750/1000)^3+測地線補正!$P$26*(lattice!$N1750/1000)^2+測地線補正!$O$26*(lattice!$N1750/1000)+測地線補正!$N$26</f>
        <v>-3.7682787836777587E-2</v>
      </c>
      <c r="U1750">
        <f t="shared" ref="U1750:U1751" si="1366">-ATAN(($P$1751-$P$1749)/ABS($N$1751-$N$1749))</f>
        <v>5.0875880511176523E-4</v>
      </c>
      <c r="V1750">
        <v>0</v>
      </c>
      <c r="W1750">
        <f t="shared" ref="W1750:W1751" si="1367">ATAN(($M$1751-$M$1749)/ABS($N$1751-$N$1749))</f>
        <v>1.5580030552847865E-4</v>
      </c>
      <c r="X1750">
        <f>$Z$1750-($Y$1750+$Y$1748)/2</f>
        <v>198.95649165515636</v>
      </c>
      <c r="Y1750">
        <f>_xlfn.XLOOKUP($F1750,設計座標!$E$13:$E$2301,設計座標!$L$13:$L$2301," ",0,1)</f>
        <v>200</v>
      </c>
      <c r="Z1750">
        <f>SQRT(($M$1750-$M$1748)^2+($N$1750-$N$1748)^2)</f>
        <v>298.95649165515636</v>
      </c>
      <c r="AA1750">
        <f>_xlfn.XLOOKUP($G1750,magnet_list!$A$2:$A$592,magnet_list!$AJ$2:$AJ$592,"n/a",0,1)</f>
        <v>0.21244935000000001</v>
      </c>
      <c r="AB1750">
        <f>_xlfn.XLOOKUP($G1750,magnet_list!$A$2:$A$592,magnet_list!$L$2:$L$592,"n/a",0,1)</f>
        <v>20</v>
      </c>
    </row>
    <row r="1751" spans="1:28">
      <c r="A1751" t="s">
        <v>797</v>
      </c>
      <c r="B1751">
        <v>4</v>
      </c>
      <c r="C1751" t="s">
        <v>805</v>
      </c>
      <c r="D1751" t="s">
        <v>806</v>
      </c>
      <c r="F1751" t="s">
        <v>440</v>
      </c>
      <c r="G1751" t="s">
        <v>2758</v>
      </c>
      <c r="I1751">
        <f>_xlfn.XLOOKUP($F1751,設計座標!$E$13:$E$2301,設計座標!$G$13:$G$2301,"n/a",0,1)</f>
        <v>521.87416099999996</v>
      </c>
      <c r="J1751">
        <f>_xlfn.XLOOKUP($F1751,設計座標!$E$13:$E$2301,設計座標!$H$13:$H$2301,"n/a",0,1)</f>
        <v>-15000</v>
      </c>
      <c r="K1751">
        <f>_xlfn.XLOOKUP($F1751,設計座標!$E$13:$E$2301,設計座標!$I$13:$I$2301,"n/a",0,1)</f>
        <v>-257509.86213108999</v>
      </c>
      <c r="L1751">
        <f>_xlfn.XLOOKUP($F1751,設計座標!$E$13:$E$2301,設計座標!$J$13:$J$2301,"n/a",0,1)</f>
        <v>-50</v>
      </c>
      <c r="M1751" s="2">
        <f>_xlfn.XLOOKUP($F1751,survey_data!$A$2:$A$833,survey_data!$B$2:$B$833,"n/a",0,1)</f>
        <v>-14965.771355340001</v>
      </c>
      <c r="N1751" s="2">
        <f>_xlfn.XLOOKUP($F1751,survey_data!$A$2:$A$833,survey_data!$C$2:$C$833,"n/a",0,1)</f>
        <v>-257509.86213108999</v>
      </c>
      <c r="O1751" s="23">
        <f>_xlfn.XLOOKUP($F1751,survey_data!$A$2:$A$833,survey_data!$D$2:$D$833,"n/a",0,1)</f>
        <v>-52.510468269999997</v>
      </c>
      <c r="P1751" s="1">
        <f t="shared" si="1325"/>
        <v>-50.075843640762642</v>
      </c>
      <c r="Q1751" s="1">
        <f t="shared" si="1344"/>
        <v>34.22864465999919</v>
      </c>
      <c r="R1751">
        <f t="shared" si="1343"/>
        <v>0</v>
      </c>
      <c r="S1751" s="23">
        <f t="shared" si="1345"/>
        <v>-2.5104682699999969</v>
      </c>
      <c r="T1751">
        <f>$S1751+測地線補正!$Q$26*(lattice!$N1751/1000)^3+測地線補正!$P$26*(lattice!$N1751/1000)^2+測地線補正!$O$26*(lattice!$N1751/1000)+測地線補正!$N$26</f>
        <v>-7.5843640762642162E-2</v>
      </c>
      <c r="U1751">
        <f t="shared" si="1366"/>
        <v>5.0875880511176523E-4</v>
      </c>
      <c r="V1751">
        <v>0</v>
      </c>
      <c r="W1751">
        <f t="shared" si="1367"/>
        <v>1.5580030552847865E-4</v>
      </c>
      <c r="X1751">
        <f>$Z$1750-($Y$1750+$Y$1748)/2</f>
        <v>198.95649165515636</v>
      </c>
      <c r="Y1751">
        <f>_xlfn.XLOOKUP($F1751,設計座標!$E$13:$E$2301,設計座標!$L$13:$L$2301," ",0,1)</f>
        <v>200</v>
      </c>
      <c r="Z1751">
        <f>SQRT(($M$1750-$M$1748)^2+($N$1750-$N$1748)^2)</f>
        <v>298.95649165515636</v>
      </c>
      <c r="AA1751">
        <f>_xlfn.XLOOKUP($G1751,magnet_list!$A$2:$A$592,magnet_list!$AJ$2:$AJ$592,"n/a",0,1)</f>
        <v>0.21244935000000001</v>
      </c>
      <c r="AB1751">
        <f>_xlfn.XLOOKUP($G1751,magnet_list!$A$2:$A$592,magnet_list!$L$2:$L$592,"n/a",0,1)</f>
        <v>20</v>
      </c>
    </row>
    <row r="1752" spans="1:28">
      <c r="A1752" t="s">
        <v>797</v>
      </c>
      <c r="B1752">
        <v>4</v>
      </c>
      <c r="C1752" t="s">
        <v>805</v>
      </c>
      <c r="D1752" t="s">
        <v>806</v>
      </c>
      <c r="F1752" t="s">
        <v>441</v>
      </c>
      <c r="G1752" t="s">
        <v>441</v>
      </c>
      <c r="I1752">
        <f>_xlfn.XLOOKUP($F1752,設計座標!$E$13:$E$2301,設計座標!$G$13:$G$2301,"n/a",0,1)</f>
        <v>522.1290929999999</v>
      </c>
      <c r="J1752">
        <f>_xlfn.XLOOKUP($F1752,設計座標!$E$13:$E$2301,設計座標!$H$13:$H$2301,"n/a",0,1)</f>
        <v>-15000</v>
      </c>
      <c r="K1752">
        <f>_xlfn.XLOOKUP($F1752,設計座標!$E$13:$E$2301,設計座標!$I$13:$I$2301,"n/a",0,1)</f>
        <v>-257764.81897466999</v>
      </c>
      <c r="L1752">
        <f>_xlfn.XLOOKUP($F1752,設計座標!$E$13:$E$2301,設計座標!$J$13:$J$2301,"n/a",0,1)</f>
        <v>-90</v>
      </c>
      <c r="M1752" s="2">
        <f>_xlfn.XLOOKUP($F1752,survey_data!$A$2:$A$833,survey_data!$B$2:$B$833,"n/a",0,1)</f>
        <v>-14965.719441810001</v>
      </c>
      <c r="N1752" s="2">
        <f>_xlfn.XLOOKUP($F1752,survey_data!$A$2:$A$833,survey_data!$C$2:$C$833,"n/a",0,1)</f>
        <v>-257764.81897466999</v>
      </c>
      <c r="O1752" s="23">
        <f>_xlfn.XLOOKUP($F1752,survey_data!$A$2:$A$833,survey_data!$D$2:$D$833,"n/a",0,1)</f>
        <v>-92.514082669999993</v>
      </c>
      <c r="P1752" s="1">
        <f t="shared" si="1325"/>
        <v>-90.081472924711605</v>
      </c>
      <c r="Q1752" s="1">
        <f t="shared" si="1344"/>
        <v>34.280558189999283</v>
      </c>
      <c r="R1752">
        <f t="shared" si="1343"/>
        <v>0</v>
      </c>
      <c r="S1752" s="23">
        <f t="shared" si="1345"/>
        <v>-2.5140826699999934</v>
      </c>
      <c r="T1752">
        <f>$S1752+測地線補正!$Q$26*(lattice!$N1752/1000)^3+測地線補正!$P$26*(lattice!$N1752/1000)^2+測地線補正!$O$26*(lattice!$N1752/1000)+測地線補正!$N$26</f>
        <v>-8.1472924711603278E-2</v>
      </c>
      <c r="U1752">
        <v>0</v>
      </c>
      <c r="V1752">
        <v>0</v>
      </c>
      <c r="W1752">
        <v>0</v>
      </c>
      <c r="X1752">
        <f>$Z$1753-($Y$1753+$Y$1750)/2</f>
        <v>189.96399655933016</v>
      </c>
      <c r="Y1752">
        <f>_xlfn.XLOOKUP($F1752,設計座標!$E$13:$E$2301,設計座標!$L$13:$L$2301," ",0,1)</f>
        <v>80</v>
      </c>
      <c r="Z1752">
        <f>SQRT(($M$1753-$M$1750)^2+($N$1753-$N$1750)^2)</f>
        <v>329.96399655933016</v>
      </c>
      <c r="AA1752">
        <f>_xlfn.XLOOKUP($G1752,magnet_list!$A$2:$A$592,magnet_list!$AJ$2:$AJ$592,"n/a",0,1)</f>
        <v>0.1074008800631841</v>
      </c>
      <c r="AB1752">
        <f>_xlfn.XLOOKUP($G1752,magnet_list!$A$2:$A$592,magnet_list!$L$2:$L$592,"n/a",0,1)</f>
        <v>20</v>
      </c>
    </row>
    <row r="1753" spans="1:28">
      <c r="A1753" t="s">
        <v>797</v>
      </c>
      <c r="B1753">
        <v>4</v>
      </c>
      <c r="C1753" t="s">
        <v>805</v>
      </c>
      <c r="D1753" t="s">
        <v>1152</v>
      </c>
      <c r="E1753" t="s">
        <v>804</v>
      </c>
      <c r="F1753" t="s">
        <v>1913</v>
      </c>
      <c r="G1753" t="s">
        <v>441</v>
      </c>
      <c r="I1753">
        <f>_xlfn.XLOOKUP($F1753,設計座標!$E$13:$E$2301,設計座標!$G$13:$G$2301,"n/a",0,1)</f>
        <v>522.1290929999999</v>
      </c>
      <c r="J1753">
        <f>_xlfn.XLOOKUP($F1753,設計座標!$E$13:$E$2301,設計座標!$H$13:$H$2301,"n/a",0,1)</f>
        <v>-15000</v>
      </c>
      <c r="K1753">
        <f>_xlfn.XLOOKUP($F1753,設計座標!$E$13:$E$2301,設計座標!$I$13:$I$2301,"n/a",0,1)</f>
        <v>-257764.81897466999</v>
      </c>
      <c r="L1753">
        <f>_xlfn.XLOOKUP($F1753,設計座標!$E$13:$E$2301,設計座標!$J$13:$J$2301,"n/a",0,1)</f>
        <v>-90</v>
      </c>
      <c r="M1753" s="2">
        <f t="shared" ref="M1753:M1788" si="1368">$J1753+$Q1753</f>
        <v>-14965.719441810001</v>
      </c>
      <c r="N1753" s="2">
        <f t="shared" ref="N1753:N1788" si="1369">$K1753</f>
        <v>-257764.81897466999</v>
      </c>
      <c r="O1753" s="23">
        <f t="shared" ref="O1753:O1788" si="1370">$L1753+$S1753</f>
        <v>-92.514082669999993</v>
      </c>
      <c r="P1753" s="1">
        <f t="shared" si="1325"/>
        <v>-90.081472924711605</v>
      </c>
      <c r="Q1753" s="1">
        <f>(Q$1754-Q$1752)/($N$1754-$N$1752)*($N1753-$N$1752)+Q$1752</f>
        <v>34.280558189999283</v>
      </c>
      <c r="R1753">
        <f t="shared" si="1343"/>
        <v>0</v>
      </c>
      <c r="S1753" s="23">
        <f>(S$1754-S$1752)/($N$1754-$N$1752)*($N1753-$N$1752)+S$1752</f>
        <v>-2.5140826699999934</v>
      </c>
      <c r="T1753">
        <f>$S1753+測地線補正!$Q$26*(lattice!$N1753/1000)^3+測地線補正!$P$26*(lattice!$N1753/1000)^2+測地線補正!$O$26*(lattice!$N1753/1000)+測地線補正!$N$26</f>
        <v>-8.1472924711603278E-2</v>
      </c>
      <c r="U1753">
        <v>0</v>
      </c>
      <c r="V1753">
        <v>0</v>
      </c>
      <c r="W1753">
        <v>0</v>
      </c>
      <c r="X1753">
        <f>$Z$1753-($Y$1753+$Y$1750)/2</f>
        <v>189.96399655933016</v>
      </c>
      <c r="Y1753">
        <f>_xlfn.XLOOKUP($F1753,設計座標!$E$13:$E$2301,設計座標!$L$13:$L$2301," ",0,1)</f>
        <v>80</v>
      </c>
      <c r="Z1753">
        <f>SQRT(($M$1753-$M$1750)^2+($N$1753-$N$1750)^2)</f>
        <v>329.96399655933016</v>
      </c>
      <c r="AA1753">
        <f>_xlfn.XLOOKUP($G1753,magnet_list!$A$2:$A$592,magnet_list!$AJ$2:$AJ$592,"n/a",0,1)</f>
        <v>0.1074008800631841</v>
      </c>
      <c r="AB1753">
        <f>_xlfn.XLOOKUP($G1753,magnet_list!$A$2:$A$592,magnet_list!$L$2:$L$592,"n/a",0,1)</f>
        <v>20</v>
      </c>
    </row>
    <row r="1754" spans="1:28">
      <c r="A1754" t="s">
        <v>797</v>
      </c>
      <c r="B1754">
        <v>4</v>
      </c>
      <c r="C1754" t="s">
        <v>805</v>
      </c>
      <c r="D1754" t="s">
        <v>806</v>
      </c>
      <c r="F1754" t="s">
        <v>442</v>
      </c>
      <c r="G1754" t="s">
        <v>442</v>
      </c>
      <c r="I1754">
        <f>_xlfn.XLOOKUP($F1754,設計座標!$E$13:$E$2301,設計座標!$G$13:$G$2301,"n/a",0,1)</f>
        <v>522.32916699999998</v>
      </c>
      <c r="J1754">
        <f>_xlfn.XLOOKUP($F1754,設計座標!$E$13:$E$2301,設計座標!$H$13:$H$2301,"n/a",0,1)</f>
        <v>-15000</v>
      </c>
      <c r="K1754">
        <f>_xlfn.XLOOKUP($F1754,設計座標!$E$13:$E$2301,設計座標!$I$13:$I$2301,"n/a",0,1)</f>
        <v>-257964.87945055001</v>
      </c>
      <c r="L1754">
        <f>_xlfn.XLOOKUP($F1754,設計座標!$E$13:$E$2301,設計座標!$J$13:$J$2301,"n/a",0,1)</f>
        <v>-90</v>
      </c>
      <c r="M1754" s="2">
        <f>_xlfn.XLOOKUP($F1754,survey_data!$A$2:$A$833,survey_data!$B$2:$B$833,"n/a",0,1)</f>
        <v>-14965.62393016</v>
      </c>
      <c r="N1754" s="2">
        <f>_xlfn.XLOOKUP($F1754,survey_data!$A$2:$A$833,survey_data!$C$2:$C$833,"n/a",0,1)</f>
        <v>-257964.87945055001</v>
      </c>
      <c r="O1754" s="23">
        <f>_xlfn.XLOOKUP($F1754,survey_data!$A$2:$A$833,survey_data!$D$2:$D$833,"n/a",0,1)</f>
        <v>-92.520889150000002</v>
      </c>
      <c r="P1754" s="1">
        <f t="shared" si="1325"/>
        <v>-90.089865346636273</v>
      </c>
      <c r="Q1754" s="1">
        <f t="shared" si="1344"/>
        <v>34.376069840000127</v>
      </c>
      <c r="R1754">
        <f t="shared" si="1343"/>
        <v>0</v>
      </c>
      <c r="S1754" s="23">
        <f t="shared" si="1345"/>
        <v>-2.5208891500000021</v>
      </c>
      <c r="T1754">
        <f>$S1754+測地線補正!$Q$26*(lattice!$N1754/1000)^3+測地線補正!$P$26*(lattice!$N1754/1000)^2+測地線補正!$O$26*(lattice!$N1754/1000)+測地線補正!$N$26</f>
        <v>-8.9865346636267995E-2</v>
      </c>
      <c r="U1754">
        <v>0</v>
      </c>
      <c r="V1754">
        <v>0</v>
      </c>
      <c r="W1754">
        <v>0</v>
      </c>
      <c r="X1754">
        <f>$Z$1755-($Y$1755+$Y$1753)/2</f>
        <v>120.06049867931108</v>
      </c>
      <c r="Y1754">
        <f>_xlfn.XLOOKUP($F1754,設計座標!$E$13:$E$2301,設計座標!$L$13:$L$2301," ",0,1)</f>
        <v>80</v>
      </c>
      <c r="Z1754">
        <f>SQRT(($M$1755-$M$1753)^2+($N$1755-$N$1753)^2)</f>
        <v>200.06049867931108</v>
      </c>
      <c r="AA1754">
        <f>_xlfn.XLOOKUP($G1754,magnet_list!$A$2:$A$592,magnet_list!$AJ$2:$AJ$592,"n/a",0,1)</f>
        <v>0.1074008800631841</v>
      </c>
      <c r="AB1754">
        <f>_xlfn.XLOOKUP($G1754,magnet_list!$A$2:$A$592,magnet_list!$L$2:$L$592,"n/a",0,1)</f>
        <v>20</v>
      </c>
    </row>
    <row r="1755" spans="1:28">
      <c r="A1755" t="s">
        <v>797</v>
      </c>
      <c r="B1755">
        <v>4</v>
      </c>
      <c r="C1755" t="s">
        <v>805</v>
      </c>
      <c r="D1755" t="s">
        <v>1152</v>
      </c>
      <c r="E1755" t="s">
        <v>804</v>
      </c>
      <c r="F1755" t="s">
        <v>1914</v>
      </c>
      <c r="G1755" t="s">
        <v>442</v>
      </c>
      <c r="I1755">
        <f>_xlfn.XLOOKUP($F1755,設計座標!$E$13:$E$2301,設計座標!$G$13:$G$2301,"n/a",0,1)</f>
        <v>522.32916699999998</v>
      </c>
      <c r="J1755">
        <f>_xlfn.XLOOKUP($F1755,設計座標!$E$13:$E$2301,設計座標!$H$13:$H$2301,"n/a",0,1)</f>
        <v>-15000</v>
      </c>
      <c r="K1755">
        <f>_xlfn.XLOOKUP($F1755,設計座標!$E$13:$E$2301,設計座標!$I$13:$I$2301,"n/a",0,1)</f>
        <v>-257964.87945055001</v>
      </c>
      <c r="L1755">
        <f>_xlfn.XLOOKUP($F1755,設計座標!$E$13:$E$2301,設計座標!$J$13:$J$2301,"n/a",0,1)</f>
        <v>-90</v>
      </c>
      <c r="M1755" s="2">
        <f t="shared" si="1368"/>
        <v>-14965.62393016</v>
      </c>
      <c r="N1755" s="2">
        <f t="shared" si="1369"/>
        <v>-257964.87945055001</v>
      </c>
      <c r="O1755" s="23">
        <f t="shared" si="1370"/>
        <v>-92.520889150000002</v>
      </c>
      <c r="P1755" s="1">
        <f t="shared" ref="P1755:P1818" si="1371">$L1755+$T1755</f>
        <v>-90.089865346636273</v>
      </c>
      <c r="Q1755" s="1">
        <f>(Q$1756-Q$1754)/($N$1756-$N$1754)*($N1755-$N$1754)+Q$1754</f>
        <v>34.376069840000127</v>
      </c>
      <c r="R1755">
        <f t="shared" si="1343"/>
        <v>0</v>
      </c>
      <c r="S1755" s="23">
        <f>(S$1756-S$1754)/($N$1756-$N$1754)*($N1755-$N$1754)+S$1754</f>
        <v>-2.5208891500000021</v>
      </c>
      <c r="T1755">
        <f>$S1755+測地線補正!$Q$26*(lattice!$N1755/1000)^3+測地線補正!$P$26*(lattice!$N1755/1000)^2+測地線補正!$O$26*(lattice!$N1755/1000)+測地線補正!$N$26</f>
        <v>-8.9865346636267995E-2</v>
      </c>
      <c r="U1755">
        <v>0</v>
      </c>
      <c r="V1755">
        <v>0</v>
      </c>
      <c r="W1755">
        <v>0</v>
      </c>
      <c r="X1755">
        <f>$Z$1755-($Y$1755+$Y$1753)/2</f>
        <v>120.06049867931108</v>
      </c>
      <c r="Y1755">
        <f>_xlfn.XLOOKUP($F1755,設計座標!$E$13:$E$2301,設計座標!$L$13:$L$2301," ",0,1)</f>
        <v>80</v>
      </c>
      <c r="Z1755">
        <f>SQRT(($M$1755-$M$1753)^2+($N$1755-$N$1753)^2)</f>
        <v>200.06049867931108</v>
      </c>
      <c r="AA1755">
        <f>_xlfn.XLOOKUP($G1755,magnet_list!$A$2:$A$592,magnet_list!$AJ$2:$AJ$592,"n/a",0,1)</f>
        <v>0.1074008800631841</v>
      </c>
      <c r="AB1755">
        <f>_xlfn.XLOOKUP($G1755,magnet_list!$A$2:$A$592,magnet_list!$L$2:$L$592,"n/a",0,1)</f>
        <v>20</v>
      </c>
    </row>
    <row r="1756" spans="1:28">
      <c r="A1756" t="s">
        <v>797</v>
      </c>
      <c r="B1756">
        <v>4</v>
      </c>
      <c r="C1756" t="s">
        <v>805</v>
      </c>
      <c r="D1756" t="s">
        <v>806</v>
      </c>
      <c r="F1756" t="s">
        <v>443</v>
      </c>
      <c r="G1756" t="s">
        <v>2759</v>
      </c>
      <c r="I1756">
        <f>_xlfn.XLOOKUP($F1756,設計座標!$E$13:$E$2301,設計座標!$G$13:$G$2301,"n/a",0,1)</f>
        <v>522.58413799999994</v>
      </c>
      <c r="J1756">
        <f>_xlfn.XLOOKUP($F1756,設計座標!$E$13:$E$2301,設計座標!$H$13:$H$2301,"n/a",0,1)</f>
        <v>-15000</v>
      </c>
      <c r="K1756">
        <f>_xlfn.XLOOKUP($F1756,設計座標!$E$13:$E$2301,設計座標!$I$13:$I$2301,"n/a",0,1)</f>
        <v>-258219.85476633001</v>
      </c>
      <c r="L1756">
        <f>_xlfn.XLOOKUP($F1756,設計座標!$E$13:$E$2301,設計座標!$J$13:$J$2301,"n/a",0,1)</f>
        <v>-50</v>
      </c>
      <c r="M1756" s="2">
        <f>_xlfn.XLOOKUP($F1756,survey_data!$A$2:$A$833,survey_data!$B$2:$B$833,"n/a",0,1)</f>
        <v>-14965.617176899999</v>
      </c>
      <c r="N1756" s="2">
        <f>_xlfn.XLOOKUP($F1756,survey_data!$A$2:$A$833,survey_data!$C$2:$C$833,"n/a",0,1)</f>
        <v>-258219.85476633001</v>
      </c>
      <c r="O1756" s="23">
        <f>_xlfn.XLOOKUP($F1756,survey_data!$A$2:$A$833,survey_data!$D$2:$D$833,"n/a",0,1)</f>
        <v>-52.500709919999998</v>
      </c>
      <c r="P1756" s="1">
        <f t="shared" si="1371"/>
        <v>-50.071713613831243</v>
      </c>
      <c r="Q1756" s="1">
        <f t="shared" si="1344"/>
        <v>34.382823100000678</v>
      </c>
      <c r="R1756">
        <f t="shared" si="1343"/>
        <v>0</v>
      </c>
      <c r="S1756" s="23">
        <f t="shared" si="1345"/>
        <v>-2.5007099199999985</v>
      </c>
      <c r="T1756">
        <f>$S1756+測地線補正!$Q$26*(lattice!$N1756/1000)^3+測地線補正!$P$26*(lattice!$N1756/1000)^2+測地線補正!$O$26*(lattice!$N1756/1000)+測地線補正!$N$26</f>
        <v>-7.1713613831244638E-2</v>
      </c>
      <c r="U1756">
        <f>-ATAN(($P$1758-$P$1756)/ABS($N$1758-$N$1756))</f>
        <v>-4.1332425331916481E-4</v>
      </c>
      <c r="V1756">
        <v>0</v>
      </c>
      <c r="W1756">
        <f>ATAN(($M$1758-$M$1756)/ABS($N$1758-$N$1756))</f>
        <v>2.7046570595408654E-4</v>
      </c>
      <c r="X1756">
        <f>$Z$1757-($Y$1757+$Y$1755)/2</f>
        <v>189.97631688776363</v>
      </c>
      <c r="Y1756">
        <f>_xlfn.XLOOKUP($F1756,設計座標!$E$13:$E$2301,設計座標!$L$13:$L$2301," ",0,1)</f>
        <v>200</v>
      </c>
      <c r="Z1756">
        <f>SQRT(($M$1757-$M$1755)^2+($N$1757-$N$1755)^2)</f>
        <v>329.97631688776363</v>
      </c>
      <c r="AA1756">
        <f>_xlfn.XLOOKUP($G1756,magnet_list!$A$2:$A$592,magnet_list!$AJ$2:$AJ$592,"n/a",0,1)</f>
        <v>0.21244935000000001</v>
      </c>
      <c r="AB1756">
        <f>_xlfn.XLOOKUP($G1756,magnet_list!$A$2:$A$592,magnet_list!$L$2:$L$592,"n/a",0,1)</f>
        <v>20</v>
      </c>
    </row>
    <row r="1757" spans="1:28">
      <c r="A1757" t="s">
        <v>797</v>
      </c>
      <c r="B1757">
        <v>4</v>
      </c>
      <c r="C1757" t="s">
        <v>805</v>
      </c>
      <c r="D1757" t="s">
        <v>1152</v>
      </c>
      <c r="E1757" t="s">
        <v>804</v>
      </c>
      <c r="F1757" t="s">
        <v>781</v>
      </c>
      <c r="G1757" t="s">
        <v>2759</v>
      </c>
      <c r="I1757">
        <f>_xlfn.XLOOKUP($F1757,設計座標!$E$13:$E$2301,設計座標!$G$13:$G$2301,"n/a",0,1)</f>
        <v>522.65913899999998</v>
      </c>
      <c r="J1757">
        <f>_xlfn.XLOOKUP($F1757,設計座標!$E$13:$E$2301,設計座標!$H$13:$H$2301,"n/a",0,1)</f>
        <v>-15000</v>
      </c>
      <c r="K1757">
        <f>_xlfn.XLOOKUP($F1757,設計座標!$E$13:$E$2301,設計座標!$I$13:$I$2301,"n/a",0,1)</f>
        <v>-258294.85576633</v>
      </c>
      <c r="L1757">
        <f>_xlfn.XLOOKUP($F1757,設計座標!$E$13:$E$2301,設計座標!$J$13:$J$2301,"n/a",0,1)</f>
        <v>-50</v>
      </c>
      <c r="M1757" s="2">
        <f t="shared" si="1368"/>
        <v>-14965.596891701092</v>
      </c>
      <c r="N1757" s="2">
        <f t="shared" si="1369"/>
        <v>-258294.85576633</v>
      </c>
      <c r="O1757" s="23">
        <f t="shared" si="1370"/>
        <v>-52.469112169648874</v>
      </c>
      <c r="P1757" s="1">
        <f t="shared" si="1371"/>
        <v>-50.040713578601952</v>
      </c>
      <c r="Q1757" s="1">
        <f>(Q$1758-Q$1756)/($N$1758-$N$1756)*($N1757-$N$1756)+Q$1756</f>
        <v>34.403108298907568</v>
      </c>
      <c r="R1757">
        <f t="shared" si="1343"/>
        <v>0</v>
      </c>
      <c r="S1757" s="23">
        <f>(S$1758-S$1756)/($N$1758-$N$1756)*($N1757-$N$1756)+S$1756</f>
        <v>-2.4691121696488754</v>
      </c>
      <c r="T1757">
        <f>$S1757+測地線補正!$Q$26*(lattice!$N1757/1000)^3+測地線補正!$P$26*(lattice!$N1757/1000)^2+測地線補正!$O$26*(lattice!$N1757/1000)+測地線補正!$N$26</f>
        <v>-4.0713578601950795E-2</v>
      </c>
      <c r="U1757">
        <f t="shared" ref="U1757:U1758" si="1372">-ATAN(($P$1758-$P$1756)/ABS($N$1758-$N$1756))</f>
        <v>-4.1332425331916481E-4</v>
      </c>
      <c r="V1757">
        <v>0</v>
      </c>
      <c r="W1757">
        <f t="shared" ref="W1757:W1758" si="1373">ATAN(($M$1758-$M$1756)/ABS($N$1758-$N$1756))</f>
        <v>2.7046570595408654E-4</v>
      </c>
      <c r="X1757">
        <f>$Z$1757-($Y$1757+$Y$1755)/2</f>
        <v>189.97631688776363</v>
      </c>
      <c r="Y1757">
        <f>_xlfn.XLOOKUP($F1757,設計座標!$E$13:$E$2301,設計座標!$L$13:$L$2301," ",0,1)</f>
        <v>200</v>
      </c>
      <c r="Z1757">
        <f>SQRT(($M$1757-$M$1755)^2+($N$1757-$N$1755)^2)</f>
        <v>329.97631688776363</v>
      </c>
      <c r="AA1757">
        <f>_xlfn.XLOOKUP($G1757,magnet_list!$A$2:$A$592,magnet_list!$AJ$2:$AJ$592,"n/a",0,1)</f>
        <v>0.21244935000000001</v>
      </c>
      <c r="AB1757">
        <f>_xlfn.XLOOKUP($G1757,magnet_list!$A$2:$A$592,magnet_list!$L$2:$L$592,"n/a",0,1)</f>
        <v>20</v>
      </c>
    </row>
    <row r="1758" spans="1:28">
      <c r="A1758" t="s">
        <v>797</v>
      </c>
      <c r="B1758">
        <v>4</v>
      </c>
      <c r="C1758" t="s">
        <v>805</v>
      </c>
      <c r="D1758" t="s">
        <v>806</v>
      </c>
      <c r="F1758" t="s">
        <v>444</v>
      </c>
      <c r="G1758" t="s">
        <v>2759</v>
      </c>
      <c r="I1758">
        <f>_xlfn.XLOOKUP($F1758,設計座標!$E$13:$E$2301,設計座標!$G$13:$G$2301,"n/a",0,1)</f>
        <v>522.73413999999991</v>
      </c>
      <c r="J1758">
        <f>_xlfn.XLOOKUP($F1758,設計座標!$E$13:$E$2301,設計座標!$H$13:$H$2301,"n/a",0,1)</f>
        <v>-15000</v>
      </c>
      <c r="K1758">
        <f>_xlfn.XLOOKUP($F1758,設計座標!$E$13:$E$2301,設計座標!$I$13:$I$2301,"n/a",0,1)</f>
        <v>-258369.83022760999</v>
      </c>
      <c r="L1758">
        <f>_xlfn.XLOOKUP($F1758,設計座標!$E$13:$E$2301,設計座標!$J$13:$J$2301,"n/a",0,1)</f>
        <v>-50</v>
      </c>
      <c r="M1758" s="2">
        <f>_xlfn.XLOOKUP($F1758,survey_data!$A$2:$A$833,survey_data!$B$2:$B$833,"n/a",0,1)</f>
        <v>-14965.576613679999</v>
      </c>
      <c r="N1758" s="2">
        <f>_xlfn.XLOOKUP($F1758,survey_data!$A$2:$A$833,survey_data!$C$2:$C$833,"n/a",0,1)</f>
        <v>-258369.83022760999</v>
      </c>
      <c r="O1758" s="23">
        <f>_xlfn.XLOOKUP($F1758,survey_data!$A$2:$A$833,survey_data!$D$2:$D$833,"n/a",0,1)</f>
        <v>-52.437525600000001</v>
      </c>
      <c r="P1758" s="1">
        <f t="shared" si="1371"/>
        <v>-50.009725114751525</v>
      </c>
      <c r="Q1758" s="1">
        <f t="shared" si="1344"/>
        <v>34.423386320000645</v>
      </c>
      <c r="R1758">
        <f t="shared" si="1343"/>
        <v>0</v>
      </c>
      <c r="S1758" s="23">
        <f t="shared" si="1345"/>
        <v>-2.4375256000000007</v>
      </c>
      <c r="T1758">
        <f>$S1758+測地線補正!$Q$26*(lattice!$N1758/1000)^3+測地線補正!$P$26*(lattice!$N1758/1000)^2+測地線補正!$O$26*(lattice!$N1758/1000)+測地線補正!$N$26</f>
        <v>-9.7251147515218239E-3</v>
      </c>
      <c r="U1758">
        <f t="shared" si="1372"/>
        <v>-4.1332425331916481E-4</v>
      </c>
      <c r="V1758">
        <v>0</v>
      </c>
      <c r="W1758">
        <f t="shared" si="1373"/>
        <v>2.7046570595408654E-4</v>
      </c>
      <c r="X1758">
        <f>$Z$1757-($Y$1757+$Y$1755)/2</f>
        <v>189.97631688776363</v>
      </c>
      <c r="Y1758">
        <f>_xlfn.XLOOKUP($F1758,設計座標!$E$13:$E$2301,設計座標!$L$13:$L$2301," ",0,1)</f>
        <v>200</v>
      </c>
      <c r="Z1758">
        <f>SQRT(($M$1757-$M$1755)^2+($N$1757-$N$1755)^2)</f>
        <v>329.97631688776363</v>
      </c>
      <c r="AA1758">
        <f>_xlfn.XLOOKUP($G1758,magnet_list!$A$2:$A$592,magnet_list!$AJ$2:$AJ$592,"n/a",0,1)</f>
        <v>0.21244935000000001</v>
      </c>
      <c r="AB1758">
        <f>_xlfn.XLOOKUP($G1758,magnet_list!$A$2:$A$592,magnet_list!$L$2:$L$592,"n/a",0,1)</f>
        <v>20</v>
      </c>
    </row>
    <row r="1759" spans="1:28">
      <c r="A1759" t="s">
        <v>797</v>
      </c>
      <c r="B1759">
        <v>4</v>
      </c>
      <c r="C1759" t="s">
        <v>2288</v>
      </c>
      <c r="D1759" t="s">
        <v>1152</v>
      </c>
      <c r="E1759" t="s">
        <v>804</v>
      </c>
      <c r="F1759" t="s">
        <v>2298</v>
      </c>
      <c r="G1759" t="s">
        <v>2298</v>
      </c>
      <c r="I1759">
        <f>_xlfn.XLOOKUP($F1759,設計座標!$E$13:$E$2301,設計座標!$G$13:$G$2301,"n/a",0,1)</f>
        <v>522.97675206136955</v>
      </c>
      <c r="J1759">
        <f>_xlfn.XLOOKUP($F1759,設計座標!$E$13:$E$2301,設計座標!$H$13:$H$2301,"n/a",0,1)</f>
        <v>-15000</v>
      </c>
      <c r="K1759">
        <f>_xlfn.XLOOKUP($F1759,設計座標!$E$13:$E$2301,設計座標!$I$13:$I$2301,"n/a",0,1)</f>
        <v>-258500.41119545998</v>
      </c>
      <c r="L1759">
        <f>_xlfn.XLOOKUP($F1759,設計座標!$E$13:$E$2301,設計座標!$J$13:$J$2301,"n/a",0,1)</f>
        <v>-270</v>
      </c>
      <c r="M1759" s="2">
        <f t="shared" si="1368"/>
        <v>-14965.557917254382</v>
      </c>
      <c r="N1759" s="2">
        <f t="shared" si="1369"/>
        <v>-258500.41119545998</v>
      </c>
      <c r="O1759" s="23">
        <f t="shared" si="1370"/>
        <v>-272.43409442101387</v>
      </c>
      <c r="P1759" s="1">
        <f t="shared" si="1371"/>
        <v>-270.00733707671566</v>
      </c>
      <c r="Q1759" s="1">
        <f>(Q$1787-Q$1758)/($N$1787-$N$1758)*($N1759-$N$1758)+Q$1758</f>
        <v>34.442082745618713</v>
      </c>
      <c r="R1759">
        <f t="shared" si="1343"/>
        <v>0</v>
      </c>
      <c r="S1759" s="23">
        <f t="shared" ref="S1759:S1786" si="1374">(S$1787-S$1758)/($N$1787-$N$1758)*($N1759-$N$1758)+S$1758</f>
        <v>-2.4340944210138544</v>
      </c>
      <c r="T1759">
        <f>$S1759+測地線補正!$Q$26*(lattice!$N1759/1000)^3+測地線補正!$P$26*(lattice!$N1759/1000)^2+測地線補正!$O$26*(lattice!$N1759/1000)+測地線補正!$N$26</f>
        <v>-7.3370767156328842E-3</v>
      </c>
      <c r="U1759">
        <v>0</v>
      </c>
      <c r="V1759">
        <v>0</v>
      </c>
      <c r="W1759">
        <v>0</v>
      </c>
      <c r="X1759">
        <f>$Z$1759-($Y$1759+$Y$1757)/2</f>
        <v>105.55543282486306</v>
      </c>
      <c r="Y1759">
        <f>_xlfn.XLOOKUP($F1759,設計座標!$E$13:$E$2301,設計座標!$L$13:$L$2301," ",0,1)</f>
        <v>0</v>
      </c>
      <c r="Z1759">
        <f>SQRT(($M$1759-$M$1757)^2+($N$1759-$N$1757)^2)</f>
        <v>205.55543282486306</v>
      </c>
    </row>
    <row r="1760" spans="1:28">
      <c r="A1760" t="s">
        <v>797</v>
      </c>
      <c r="B1760">
        <v>4</v>
      </c>
      <c r="C1760" t="s">
        <v>804</v>
      </c>
      <c r="D1760" t="s">
        <v>1152</v>
      </c>
      <c r="E1760" t="s">
        <v>804</v>
      </c>
      <c r="F1760" t="s">
        <v>1742</v>
      </c>
      <c r="G1760" t="s">
        <v>2760</v>
      </c>
      <c r="I1760">
        <f>_xlfn.XLOOKUP($F1760,設計座標!$E$13:$E$2301,設計座標!$G$13:$G$2301,"n/a",0,1)</f>
        <v>523.15722126136961</v>
      </c>
      <c r="J1760">
        <f>_xlfn.XLOOKUP($F1760,設計座標!$E$13:$E$2301,設計座標!$H$13:$H$2301,"n/a",0,1)</f>
        <v>-15000</v>
      </c>
      <c r="K1760">
        <f>_xlfn.XLOOKUP($F1760,設計座標!$E$13:$E$2301,設計座標!$I$13:$I$2301,"n/a",0,1)</f>
        <v>-258680.88039546</v>
      </c>
      <c r="L1760">
        <f>_xlfn.XLOOKUP($F1760,設計座標!$E$13:$E$2301,設計座標!$J$13:$J$2301,"n/a",0,1)</f>
        <v>-270</v>
      </c>
      <c r="M1760" s="2">
        <f t="shared" si="1368"/>
        <v>-14965.532077891803</v>
      </c>
      <c r="N1760" s="2">
        <f t="shared" si="1369"/>
        <v>-258680.88039546</v>
      </c>
      <c r="O1760" s="23">
        <f t="shared" si="1370"/>
        <v>-272.42935236605069</v>
      </c>
      <c r="P1760" s="1">
        <f t="shared" si="1371"/>
        <v>-270.0040396940492</v>
      </c>
      <c r="Q1760" s="1">
        <f t="shared" ref="Q1760:Q1786" si="1375">(Q$1787-Q$1758)/($N$1787-$N$1758)*($N1760-$N$1758)+Q$1758</f>
        <v>34.467922108197399</v>
      </c>
      <c r="R1760">
        <f t="shared" si="1343"/>
        <v>0</v>
      </c>
      <c r="S1760" s="23">
        <f t="shared" si="1374"/>
        <v>-2.4293523660506993</v>
      </c>
      <c r="T1760">
        <f>$S1760+測地線補正!$Q$26*(lattice!$N1760/1000)^3+測地線補正!$P$26*(lattice!$N1760/1000)^2+測地線補正!$O$26*(lattice!$N1760/1000)+測地線補正!$N$26</f>
        <v>-4.0396940491904676E-3</v>
      </c>
      <c r="U1760">
        <f>-ATAN(($P$1762-$P$1760)/ABS($N$1762-$N$1760))</f>
        <v>-1.8161119242600787E-5</v>
      </c>
      <c r="V1760">
        <v>0</v>
      </c>
      <c r="W1760">
        <f>ATAN(($M$1762-$M$1760)/ABS($N$1762-$N$1760))</f>
        <v>1.4317879395606541E-4</v>
      </c>
      <c r="X1760">
        <f>SQRT(($M$1760-$M$1759)^2+($N$1760-$N$1759)^2)</f>
        <v>180.46920184984577</v>
      </c>
      <c r="Y1760">
        <f>_xlfn.XLOOKUP($F1760,設計座標!$E$13:$E$2301,設計座標!$L$13:$L$2301," ",0,1)</f>
        <v>1889.4492</v>
      </c>
      <c r="Z1760">
        <f>SQRT(($M$1761-$M$1759)^2+($N$1761-$N$1759)^2)</f>
        <v>1125.1938115333387</v>
      </c>
    </row>
    <row r="1761" spans="1:26">
      <c r="A1761" t="s">
        <v>797</v>
      </c>
      <c r="B1761">
        <v>4</v>
      </c>
      <c r="C1761" t="s">
        <v>804</v>
      </c>
      <c r="D1761" t="s">
        <v>1152</v>
      </c>
      <c r="E1761" t="s">
        <v>804</v>
      </c>
      <c r="F1761" t="s">
        <v>1210</v>
      </c>
      <c r="G1761" t="s">
        <v>2760</v>
      </c>
      <c r="I1761">
        <f>_xlfn.XLOOKUP($F1761,設計座標!$E$13:$E$2301,設計座標!$G$13:$G$2301,"n/a",0,1)</f>
        <v>524.10194586136959</v>
      </c>
      <c r="J1761">
        <f>_xlfn.XLOOKUP($F1761,設計座標!$E$13:$E$2301,設計座標!$H$13:$H$2301,"n/a",0,1)</f>
        <v>-15000</v>
      </c>
      <c r="K1761">
        <f>_xlfn.XLOOKUP($F1761,設計座標!$E$13:$E$2301,設計座標!$I$13:$I$2301,"n/a",0,1)</f>
        <v>-259625.60499545999</v>
      </c>
      <c r="L1761">
        <f>_xlfn.XLOOKUP($F1761,設計座標!$E$13:$E$2301,設計座標!$J$13:$J$2301,"n/a",0,1)</f>
        <v>-270</v>
      </c>
      <c r="M1761" s="2">
        <f t="shared" si="1368"/>
        <v>-14965.396813362031</v>
      </c>
      <c r="N1761" s="2">
        <f t="shared" si="1369"/>
        <v>-259625.60499545999</v>
      </c>
      <c r="O1761" s="23">
        <f t="shared" si="1370"/>
        <v>-272.4045285402774</v>
      </c>
      <c r="P1761" s="1">
        <f t="shared" si="1371"/>
        <v>-269.98683512448861</v>
      </c>
      <c r="Q1761" s="1">
        <f t="shared" si="1375"/>
        <v>34.603186637969813</v>
      </c>
      <c r="R1761">
        <f t="shared" si="1343"/>
        <v>0</v>
      </c>
      <c r="S1761" s="23">
        <f t="shared" si="1374"/>
        <v>-2.404528540277413</v>
      </c>
      <c r="T1761">
        <f>$S1761+測地線補正!$Q$26*(lattice!$N1761/1000)^3+測地線補正!$P$26*(lattice!$N1761/1000)^2+測地線補正!$O$26*(lattice!$N1761/1000)+測地線補正!$N$26</f>
        <v>1.3164875511369578E-2</v>
      </c>
      <c r="U1761">
        <f t="shared" ref="U1761:U1762" si="1376">-ATAN(($P$1762-$P$1760)/ABS($N$1762-$N$1760))</f>
        <v>-1.8161119242600787E-5</v>
      </c>
      <c r="V1761">
        <v>0</v>
      </c>
      <c r="W1761">
        <f t="shared" ref="W1761:W1762" si="1377">ATAN(($M$1762-$M$1760)/ABS($N$1762-$N$1760))</f>
        <v>1.4317879395606541E-4</v>
      </c>
      <c r="X1761" t="s">
        <v>3860</v>
      </c>
      <c r="Y1761">
        <f>_xlfn.XLOOKUP($F1761,設計座標!$E$13:$E$2301,設計座標!$L$13:$L$2301," ",0,1)</f>
        <v>1889.4492</v>
      </c>
      <c r="Z1761">
        <f>SQRT(($M$1761-$M$1759)^2+($N$1761-$N$1759)^2)</f>
        <v>1125.1938115333387</v>
      </c>
    </row>
    <row r="1762" spans="1:26">
      <c r="A1762" t="s">
        <v>797</v>
      </c>
      <c r="B1762">
        <v>4</v>
      </c>
      <c r="C1762" t="s">
        <v>804</v>
      </c>
      <c r="D1762" t="s">
        <v>1152</v>
      </c>
      <c r="E1762" t="s">
        <v>804</v>
      </c>
      <c r="F1762" t="s">
        <v>1743</v>
      </c>
      <c r="G1762" t="s">
        <v>2760</v>
      </c>
      <c r="I1762">
        <f>_xlfn.XLOOKUP($F1762,設計座標!$E$13:$E$2301,設計座標!$G$13:$G$2301,"n/a",0,1)</f>
        <v>525.04667046136956</v>
      </c>
      <c r="J1762">
        <f>_xlfn.XLOOKUP($F1762,設計座標!$E$13:$E$2301,設計座標!$H$13:$H$2301,"n/a",0,1)</f>
        <v>-15000</v>
      </c>
      <c r="K1762">
        <f>_xlfn.XLOOKUP($F1762,設計座標!$E$13:$E$2301,設計座標!$I$13:$I$2301,"n/a",0,1)</f>
        <v>-260570.32959545997</v>
      </c>
      <c r="L1762">
        <f>_xlfn.XLOOKUP($F1762,設計座標!$E$13:$E$2301,設計座標!$J$13:$J$2301,"n/a",0,1)</f>
        <v>-270</v>
      </c>
      <c r="M1762" s="2">
        <f t="shared" si="1368"/>
        <v>-14965.261548832257</v>
      </c>
      <c r="N1762" s="2">
        <f t="shared" si="1369"/>
        <v>-260570.32959545997</v>
      </c>
      <c r="O1762" s="23">
        <f t="shared" si="1370"/>
        <v>-272.3797047145041</v>
      </c>
      <c r="P1762" s="1">
        <f t="shared" si="1371"/>
        <v>-269.96972518182139</v>
      </c>
      <c r="Q1762" s="1">
        <f t="shared" si="1375"/>
        <v>34.738451167742234</v>
      </c>
      <c r="R1762">
        <f t="shared" si="1343"/>
        <v>0</v>
      </c>
      <c r="S1762" s="23">
        <f t="shared" si="1374"/>
        <v>-2.3797047145041268</v>
      </c>
      <c r="T1762">
        <f>$S1762+測地線補正!$Q$26*(lattice!$N1762/1000)^3+測地線補正!$P$26*(lattice!$N1762/1000)^2+測地線補正!$O$26*(lattice!$N1762/1000)+測地線補正!$N$26</f>
        <v>3.0274818178588125E-2</v>
      </c>
      <c r="U1762">
        <f t="shared" si="1376"/>
        <v>-1.8161119242600787E-5</v>
      </c>
      <c r="V1762">
        <v>0</v>
      </c>
      <c r="W1762">
        <f t="shared" si="1377"/>
        <v>1.4317879395606541E-4</v>
      </c>
      <c r="X1762" t="s">
        <v>3860</v>
      </c>
      <c r="Y1762">
        <f>_xlfn.XLOOKUP($F1762,設計座標!$E$13:$E$2301,設計座標!$L$13:$L$2301," ",0,1)</f>
        <v>1889.4492</v>
      </c>
      <c r="Z1762">
        <f>SQRT(($M$1761-$M$1759)^2+($N$1761-$N$1759)^2)</f>
        <v>1125.1938115333387</v>
      </c>
    </row>
    <row r="1763" spans="1:26">
      <c r="A1763" t="s">
        <v>797</v>
      </c>
      <c r="B1763">
        <v>4</v>
      </c>
      <c r="C1763" t="s">
        <v>804</v>
      </c>
      <c r="D1763" t="s">
        <v>1152</v>
      </c>
      <c r="E1763" t="s">
        <v>804</v>
      </c>
      <c r="F1763" t="s">
        <v>1744</v>
      </c>
      <c r="G1763" t="s">
        <v>2761</v>
      </c>
      <c r="I1763">
        <f>_xlfn.XLOOKUP($F1763,設計座標!$E$13:$E$2301,設計座標!$G$13:$G$2301,"n/a",0,1)</f>
        <v>525.25661226136958</v>
      </c>
      <c r="J1763">
        <f>_xlfn.XLOOKUP($F1763,設計座標!$E$13:$E$2301,設計座標!$H$13:$H$2301,"n/a",0,1)</f>
        <v>-15000</v>
      </c>
      <c r="K1763">
        <f>_xlfn.XLOOKUP($F1763,設計座標!$E$13:$E$2301,設計座標!$I$13:$I$2301,"n/a",0,1)</f>
        <v>-260780.27139546</v>
      </c>
      <c r="L1763">
        <f>_xlfn.XLOOKUP($F1763,設計座標!$E$13:$E$2301,設計座標!$J$13:$J$2301,"n/a",0,1)</f>
        <v>-270</v>
      </c>
      <c r="M1763" s="2">
        <f t="shared" si="1368"/>
        <v>-14965.231489618327</v>
      </c>
      <c r="N1763" s="2">
        <f t="shared" si="1369"/>
        <v>-260780.27139546</v>
      </c>
      <c r="O1763" s="23">
        <f t="shared" si="1370"/>
        <v>-272.37418822994795</v>
      </c>
      <c r="P1763" s="1">
        <f t="shared" si="1371"/>
        <v>-269.9659356997393</v>
      </c>
      <c r="Q1763" s="1">
        <f t="shared" si="1375"/>
        <v>34.768510381672492</v>
      </c>
      <c r="R1763">
        <f t="shared" si="1343"/>
        <v>0</v>
      </c>
      <c r="S1763" s="23">
        <f t="shared" si="1374"/>
        <v>-2.37418822994796</v>
      </c>
      <c r="T1763">
        <f>$S1763+測地線補正!$Q$26*(lattice!$N1763/1000)^3+測地線補正!$P$26*(lattice!$N1763/1000)^2+測地線補正!$O$26*(lattice!$N1763/1000)+測地線補正!$N$26</f>
        <v>3.4064300260670199E-2</v>
      </c>
      <c r="U1763">
        <f>-ATAN(($P$1765-$P$1763)/ABS($N$1765-$N$1763))</f>
        <v>-1.7940327442966568E-5</v>
      </c>
      <c r="V1763">
        <v>0</v>
      </c>
      <c r="W1763">
        <f>ATAN(($M$1765-$M$1763)/ABS($N$1765-$N$1763))</f>
        <v>1.4317879395510269E-4</v>
      </c>
      <c r="X1763">
        <f>SQRT(($M$1763-$M$1762)^2+($N$1763-$N$1762)^2)</f>
        <v>209.94180215195061</v>
      </c>
      <c r="Y1763">
        <f>_xlfn.XLOOKUP($F1763,設計座標!$E$13:$E$2301,設計座標!$L$13:$L$2301," ",0,1)</f>
        <v>1889.4492</v>
      </c>
      <c r="Z1763">
        <f>SQRT(($M$1764-$M$1761)^2+($N$1764-$N$1761)^2)</f>
        <v>2099.3910215189367</v>
      </c>
    </row>
    <row r="1764" spans="1:26">
      <c r="A1764" t="s">
        <v>797</v>
      </c>
      <c r="B1764">
        <v>4</v>
      </c>
      <c r="C1764" t="s">
        <v>804</v>
      </c>
      <c r="D1764" t="s">
        <v>1152</v>
      </c>
      <c r="E1764" t="s">
        <v>804</v>
      </c>
      <c r="F1764" t="s">
        <v>1266</v>
      </c>
      <c r="G1764" t="s">
        <v>2761</v>
      </c>
      <c r="I1764">
        <f>_xlfn.XLOOKUP($F1764,設計座標!$E$13:$E$2301,設計座標!$G$13:$G$2301,"n/a",0,1)</f>
        <v>526.20133686136955</v>
      </c>
      <c r="J1764">
        <f>_xlfn.XLOOKUP($F1764,設計座標!$E$13:$E$2301,設計座標!$H$13:$H$2301,"n/a",0,1)</f>
        <v>-15000</v>
      </c>
      <c r="K1764">
        <f>_xlfn.XLOOKUP($F1764,設計座標!$E$13:$E$2301,設計座標!$I$13:$I$2301,"n/a",0,1)</f>
        <v>-261724.99599545999</v>
      </c>
      <c r="L1764">
        <f>_xlfn.XLOOKUP($F1764,設計座標!$E$13:$E$2301,設計座標!$J$13:$J$2301,"n/a",0,1)</f>
        <v>-270</v>
      </c>
      <c r="M1764" s="2">
        <f t="shared" si="1368"/>
        <v>-14965.096225088555</v>
      </c>
      <c r="N1764" s="2">
        <f t="shared" si="1369"/>
        <v>-261724.99599545999</v>
      </c>
      <c r="O1764" s="23">
        <f t="shared" si="1370"/>
        <v>-272.34936440417465</v>
      </c>
      <c r="P1764" s="1">
        <f t="shared" si="1371"/>
        <v>-269.94894048030079</v>
      </c>
      <c r="Q1764" s="1">
        <f t="shared" si="1375"/>
        <v>34.903774911444906</v>
      </c>
      <c r="R1764">
        <f t="shared" si="1343"/>
        <v>0</v>
      </c>
      <c r="S1764" s="23">
        <f t="shared" si="1374"/>
        <v>-2.3493644041746737</v>
      </c>
      <c r="T1764">
        <f>$S1764+測地線補正!$Q$26*(lattice!$N1764/1000)^3+測地線補正!$P$26*(lattice!$N1764/1000)^2+測地線補正!$O$26*(lattice!$N1764/1000)+測地線補正!$N$26</f>
        <v>5.1059519699204747E-2</v>
      </c>
      <c r="U1764">
        <f t="shared" ref="U1764:U1765" si="1378">-ATAN(($P$1765-$P$1763)/ABS($N$1765-$N$1763))</f>
        <v>-1.7940327442966568E-5</v>
      </c>
      <c r="V1764">
        <v>0</v>
      </c>
      <c r="W1764">
        <f t="shared" ref="W1764:W1765" si="1379">ATAN(($M$1765-$M$1763)/ABS($N$1765-$N$1763))</f>
        <v>1.4317879395510269E-4</v>
      </c>
      <c r="X1764" t="s">
        <v>3860</v>
      </c>
      <c r="Y1764">
        <f>_xlfn.XLOOKUP($F1764,設計座標!$E$13:$E$2301,設計座標!$L$13:$L$2301," ",0,1)</f>
        <v>1889.4492</v>
      </c>
      <c r="Z1764">
        <f>SQRT(($M$1764-$M$1761)^2+($N$1764-$N$1761)^2)</f>
        <v>2099.3910215189367</v>
      </c>
    </row>
    <row r="1765" spans="1:26">
      <c r="A1765" t="s">
        <v>797</v>
      </c>
      <c r="B1765">
        <v>4</v>
      </c>
      <c r="C1765" t="s">
        <v>804</v>
      </c>
      <c r="D1765" t="s">
        <v>1152</v>
      </c>
      <c r="E1765" t="s">
        <v>804</v>
      </c>
      <c r="F1765" t="s">
        <v>1745</v>
      </c>
      <c r="G1765" t="s">
        <v>2761</v>
      </c>
      <c r="I1765">
        <f>_xlfn.XLOOKUP($F1765,設計座標!$E$13:$E$2301,設計座標!$G$13:$G$2301,"n/a",0,1)</f>
        <v>527.14606146136953</v>
      </c>
      <c r="J1765">
        <f>_xlfn.XLOOKUP($F1765,設計座標!$E$13:$E$2301,設計座標!$H$13:$H$2301,"n/a",0,1)</f>
        <v>-15000</v>
      </c>
      <c r="K1765">
        <f>_xlfn.XLOOKUP($F1765,設計座標!$E$13:$E$2301,設計座標!$I$13:$I$2301,"n/a",0,1)</f>
        <v>-262669.72059545998</v>
      </c>
      <c r="L1765">
        <f>_xlfn.XLOOKUP($F1765,設計座標!$E$13:$E$2301,設計座標!$J$13:$J$2301,"n/a",0,1)</f>
        <v>-270</v>
      </c>
      <c r="M1765" s="2">
        <f t="shared" si="1368"/>
        <v>-14964.960960558783</v>
      </c>
      <c r="N1765" s="2">
        <f t="shared" si="1369"/>
        <v>-262669.72059545998</v>
      </c>
      <c r="O1765" s="23">
        <f t="shared" si="1370"/>
        <v>-272.32454057840141</v>
      </c>
      <c r="P1765" s="1">
        <f t="shared" si="1371"/>
        <v>-269.93203836240082</v>
      </c>
      <c r="Q1765" s="1">
        <f t="shared" si="1375"/>
        <v>35.039039441217326</v>
      </c>
      <c r="R1765">
        <f t="shared" si="1343"/>
        <v>0</v>
      </c>
      <c r="S1765" s="23">
        <f t="shared" si="1374"/>
        <v>-2.3245405784013875</v>
      </c>
      <c r="T1765">
        <f>$S1765+測地線補正!$Q$26*(lattice!$N1765/1000)^3+測地線補正!$P$26*(lattice!$N1765/1000)^2+測地線補正!$O$26*(lattice!$N1765/1000)+測地線補正!$N$26</f>
        <v>6.7961637599164737E-2</v>
      </c>
      <c r="U1765">
        <f t="shared" si="1378"/>
        <v>-1.7940327442966568E-5</v>
      </c>
      <c r="V1765">
        <v>0</v>
      </c>
      <c r="W1765">
        <f t="shared" si="1379"/>
        <v>1.4317879395510269E-4</v>
      </c>
      <c r="X1765" t="s">
        <v>3860</v>
      </c>
      <c r="Y1765">
        <f>_xlfn.XLOOKUP($F1765,設計座標!$E$13:$E$2301,設計座標!$L$13:$L$2301," ",0,1)</f>
        <v>1889.4492</v>
      </c>
      <c r="Z1765">
        <f>SQRT(($M$1764-$M$1761)^2+($N$1764-$N$1761)^2)</f>
        <v>2099.3910215189367</v>
      </c>
    </row>
    <row r="1766" spans="1:26">
      <c r="A1766" t="s">
        <v>797</v>
      </c>
      <c r="B1766">
        <v>4</v>
      </c>
      <c r="C1766" t="s">
        <v>1152</v>
      </c>
      <c r="D1766" t="s">
        <v>1152</v>
      </c>
      <c r="E1766" t="s">
        <v>804</v>
      </c>
      <c r="F1766" t="s">
        <v>2172</v>
      </c>
      <c r="G1766" t="s">
        <v>2172</v>
      </c>
      <c r="I1766">
        <f>_xlfn.XLOOKUP($F1766,設計座標!$E$13:$E$2301,設計座標!$G$13:$G$2301,"n/a",0,1)</f>
        <v>527.44093616136956</v>
      </c>
      <c r="J1766">
        <f>_xlfn.XLOOKUP($F1766,設計座標!$E$13:$E$2301,設計座標!$H$13:$H$2301,"n/a",0,1)</f>
        <v>-15000</v>
      </c>
      <c r="K1766">
        <f>_xlfn.XLOOKUP($F1766,設計座標!$E$13:$E$2301,設計座標!$I$13:$I$2301,"n/a",0,1)</f>
        <v>-262964.59529545996</v>
      </c>
      <c r="L1766">
        <f>_xlfn.XLOOKUP($F1766,設計座標!$E$13:$E$2301,設計座標!$J$13:$J$2301,"n/a",0,1)</f>
        <v>-270</v>
      </c>
      <c r="M1766" s="2">
        <f t="shared" si="1368"/>
        <v>-14964.91874075458</v>
      </c>
      <c r="N1766" s="2">
        <f t="shared" si="1369"/>
        <v>-262964.59529545996</v>
      </c>
      <c r="O1766" s="23">
        <f t="shared" si="1370"/>
        <v>-272.31679237519194</v>
      </c>
      <c r="P1766" s="1">
        <f t="shared" si="1371"/>
        <v>-269.92678170011209</v>
      </c>
      <c r="Q1766" s="1">
        <f t="shared" si="1375"/>
        <v>35.081259245419822</v>
      </c>
      <c r="R1766">
        <f t="shared" si="1343"/>
        <v>0</v>
      </c>
      <c r="S1766" s="23">
        <f t="shared" si="1374"/>
        <v>-2.3167923751919552</v>
      </c>
      <c r="T1766">
        <f>$S1766+測地線補正!$Q$26*(lattice!$N1766/1000)^3+測地線補正!$P$26*(lattice!$N1766/1000)^2+測地線補正!$O$26*(lattice!$N1766/1000)+測地線補正!$N$26</f>
        <v>7.321829988792472E-2</v>
      </c>
      <c r="U1766">
        <v>0</v>
      </c>
      <c r="V1766">
        <v>0</v>
      </c>
      <c r="W1766">
        <v>0</v>
      </c>
      <c r="X1766">
        <f>SQRT(($M$1766-$M$1765)^2+($N$1766-$N$1765)^2)</f>
        <v>294.87470302247607</v>
      </c>
      <c r="Y1766">
        <f>_xlfn.XLOOKUP($F1766,設計座標!$E$13:$E$2301,設計座標!$L$13:$L$2301," ",0,1)</f>
        <v>0</v>
      </c>
      <c r="Z1766">
        <f>SQRT(($M$1766-$M$1764)^2+($N$1766-$N$1764)^2)</f>
        <v>1239.5993127059689</v>
      </c>
    </row>
    <row r="1767" spans="1:26">
      <c r="A1767" t="s">
        <v>797</v>
      </c>
      <c r="B1767">
        <v>4</v>
      </c>
      <c r="C1767" t="s">
        <v>804</v>
      </c>
      <c r="D1767" t="s">
        <v>1152</v>
      </c>
      <c r="E1767" t="s">
        <v>804</v>
      </c>
      <c r="F1767" t="s">
        <v>1746</v>
      </c>
      <c r="G1767" t="s">
        <v>2762</v>
      </c>
      <c r="I1767">
        <f>_xlfn.XLOOKUP($F1767,設計座標!$E$13:$E$2301,設計座標!$G$13:$G$2301,"n/a",0,1)</f>
        <v>527.67090536136959</v>
      </c>
      <c r="J1767">
        <f>_xlfn.XLOOKUP($F1767,設計座標!$E$13:$E$2301,設計座標!$H$13:$H$2301,"n/a",0,1)</f>
        <v>-15000</v>
      </c>
      <c r="K1767">
        <f>_xlfn.XLOOKUP($F1767,設計座標!$E$13:$E$2301,設計座標!$I$13:$I$2301,"n/a",0,1)</f>
        <v>-263194.56449545996</v>
      </c>
      <c r="L1767">
        <f>_xlfn.XLOOKUP($F1767,設計座標!$E$13:$E$2301,設計座標!$J$13:$J$2301,"n/a",0,1)</f>
        <v>-270</v>
      </c>
      <c r="M1767" s="2">
        <f t="shared" si="1368"/>
        <v>-14964.885814041652</v>
      </c>
      <c r="N1767" s="2">
        <f t="shared" si="1369"/>
        <v>-263194.56449545996</v>
      </c>
      <c r="O1767" s="23">
        <f t="shared" si="1370"/>
        <v>-272.31074964553932</v>
      </c>
      <c r="P1767" s="1">
        <f t="shared" si="1371"/>
        <v>-269.92268832844672</v>
      </c>
      <c r="Q1767" s="1">
        <f t="shared" si="1375"/>
        <v>35.114185958347733</v>
      </c>
      <c r="R1767">
        <f t="shared" si="1343"/>
        <v>0</v>
      </c>
      <c r="S1767" s="23">
        <f t="shared" si="1374"/>
        <v>-2.3107496455392904</v>
      </c>
      <c r="T1767">
        <f>$S1767+測地線補正!$Q$26*(lattice!$N1767/1000)^3+測地線補正!$P$26*(lattice!$N1767/1000)^2+測地線補正!$O$26*(lattice!$N1767/1000)+測地線補正!$N$26</f>
        <v>7.7311671553264238E-2</v>
      </c>
      <c r="U1767">
        <f>-ATAN(($P$1769-$P$1767)/ABS($N$1769-$N$1767))</f>
        <v>-1.7690853222192468E-5</v>
      </c>
      <c r="V1767">
        <v>0</v>
      </c>
      <c r="W1767">
        <f>ATAN(($M$1769-$M$1767)/ABS($N$1769-$N$1767))</f>
        <v>1.431787939550983E-4</v>
      </c>
      <c r="X1767">
        <f>SQRT(($M$1767-$M$1766)^2+($N$1767-$N$1766)^2)</f>
        <v>229.9692023571958</v>
      </c>
      <c r="Y1767">
        <f>_xlfn.XLOOKUP($F1767,設計座標!$E$13:$E$2301,設計座標!$L$13:$L$2301," ",0,1)</f>
        <v>1889.4492</v>
      </c>
      <c r="Z1767">
        <f>SQRT(($M$1768-$M$1766)^2+($N$1768-$N$1766)^2)</f>
        <v>1174.6938120407178</v>
      </c>
    </row>
    <row r="1768" spans="1:26">
      <c r="A1768" t="s">
        <v>797</v>
      </c>
      <c r="B1768">
        <v>4</v>
      </c>
      <c r="C1768" t="s">
        <v>804</v>
      </c>
      <c r="D1768" t="s">
        <v>1152</v>
      </c>
      <c r="E1768" t="s">
        <v>804</v>
      </c>
      <c r="F1768" t="s">
        <v>1320</v>
      </c>
      <c r="G1768" t="s">
        <v>2762</v>
      </c>
      <c r="I1768">
        <f>_xlfn.XLOOKUP($F1768,設計座標!$E$13:$E$2301,設計座標!$G$13:$G$2301,"n/a",0,1)</f>
        <v>528.61562996136956</v>
      </c>
      <c r="J1768">
        <f>_xlfn.XLOOKUP($F1768,設計座標!$E$13:$E$2301,設計座標!$H$13:$H$2301,"n/a",0,1)</f>
        <v>-15000</v>
      </c>
      <c r="K1768">
        <f>_xlfn.XLOOKUP($F1768,設計座標!$E$13:$E$2301,設計座標!$I$13:$I$2301,"n/a",0,1)</f>
        <v>-264139.28909545997</v>
      </c>
      <c r="L1768">
        <f>_xlfn.XLOOKUP($F1768,設計座標!$E$13:$E$2301,設計座標!$J$13:$J$2301,"n/a",0,1)</f>
        <v>-270</v>
      </c>
      <c r="M1768" s="2">
        <f t="shared" si="1368"/>
        <v>-14964.75054951188</v>
      </c>
      <c r="N1768" s="2">
        <f t="shared" si="1369"/>
        <v>-264139.28909545997</v>
      </c>
      <c r="O1768" s="23">
        <f t="shared" si="1370"/>
        <v>-272.28592581976602</v>
      </c>
      <c r="P1768" s="1">
        <f t="shared" si="1371"/>
        <v>-269.90592967051833</v>
      </c>
      <c r="Q1768" s="1">
        <f t="shared" si="1375"/>
        <v>35.249450488120154</v>
      </c>
      <c r="R1768">
        <f t="shared" si="1343"/>
        <v>0</v>
      </c>
      <c r="S1768" s="23">
        <f t="shared" si="1374"/>
        <v>-2.2859258197660033</v>
      </c>
      <c r="T1768">
        <f>$S1768+測地線補正!$Q$26*(lattice!$N1768/1000)^3+測地線補正!$P$26*(lattice!$N1768/1000)^2+測地線補正!$O$26*(lattice!$N1768/1000)+測地線補正!$N$26</f>
        <v>9.4070329481691806E-2</v>
      </c>
      <c r="U1768">
        <f t="shared" ref="U1768:U1769" si="1380">-ATAN(($P$1769-$P$1767)/ABS($N$1769-$N$1767))</f>
        <v>-1.7690853222192468E-5</v>
      </c>
      <c r="V1768">
        <v>0</v>
      </c>
      <c r="W1768">
        <f t="shared" ref="W1768:W1769" si="1381">ATAN(($M$1769-$M$1767)/ABS($N$1769-$N$1767))</f>
        <v>1.431787939550983E-4</v>
      </c>
      <c r="X1768" t="s">
        <v>3860</v>
      </c>
      <c r="Y1768">
        <f>_xlfn.XLOOKUP($F1768,設計座標!$E$13:$E$2301,設計座標!$L$13:$L$2301," ",0,1)</f>
        <v>1889.4492</v>
      </c>
      <c r="Z1768">
        <f>SQRT(($M$1768-$M$1766)^2+($N$1768-$N$1766)^2)</f>
        <v>1174.6938120407178</v>
      </c>
    </row>
    <row r="1769" spans="1:26">
      <c r="A1769" t="s">
        <v>797</v>
      </c>
      <c r="B1769">
        <v>4</v>
      </c>
      <c r="C1769" t="s">
        <v>804</v>
      </c>
      <c r="D1769" t="s">
        <v>1152</v>
      </c>
      <c r="E1769" t="s">
        <v>804</v>
      </c>
      <c r="F1769" t="s">
        <v>1747</v>
      </c>
      <c r="G1769" t="s">
        <v>2762</v>
      </c>
      <c r="I1769">
        <f>_xlfn.XLOOKUP($F1769,設計座標!$E$13:$E$2301,設計座標!$G$13:$G$2301,"n/a",0,1)</f>
        <v>529.56035456136954</v>
      </c>
      <c r="J1769">
        <f>_xlfn.XLOOKUP($F1769,設計座標!$E$13:$E$2301,設計座標!$H$13:$H$2301,"n/a",0,1)</f>
        <v>-15000</v>
      </c>
      <c r="K1769">
        <f>_xlfn.XLOOKUP($F1769,設計座標!$E$13:$E$2301,設計座標!$I$13:$I$2301,"n/a",0,1)</f>
        <v>-265084.01369545999</v>
      </c>
      <c r="L1769">
        <f>_xlfn.XLOOKUP($F1769,設計座標!$E$13:$E$2301,設計座標!$J$13:$J$2301,"n/a",0,1)</f>
        <v>-270</v>
      </c>
      <c r="M1769" s="2">
        <f t="shared" si="1368"/>
        <v>-14964.615284982108</v>
      </c>
      <c r="N1769" s="2">
        <f t="shared" si="1369"/>
        <v>-265084.01369545999</v>
      </c>
      <c r="O1769" s="23">
        <f t="shared" si="1370"/>
        <v>-272.26110199399272</v>
      </c>
      <c r="P1769" s="1">
        <f t="shared" si="1371"/>
        <v>-269.88926235997525</v>
      </c>
      <c r="Q1769" s="1">
        <f t="shared" si="1375"/>
        <v>35.384715017892574</v>
      </c>
      <c r="R1769">
        <f t="shared" si="1343"/>
        <v>0</v>
      </c>
      <c r="S1769" s="23">
        <f t="shared" si="1374"/>
        <v>-2.2611019939927162</v>
      </c>
      <c r="T1769">
        <f>$S1769+測地線補正!$Q$26*(lattice!$N1769/1000)^3+測地線補正!$P$26*(lattice!$N1769/1000)^2+測地線補正!$O$26*(lattice!$N1769/1000)+測地線補正!$N$26</f>
        <v>0.11073764002477815</v>
      </c>
      <c r="U1769">
        <f t="shared" si="1380"/>
        <v>-1.7690853222192468E-5</v>
      </c>
      <c r="V1769">
        <v>0</v>
      </c>
      <c r="W1769">
        <f t="shared" si="1381"/>
        <v>1.431787939550983E-4</v>
      </c>
      <c r="X1769" t="s">
        <v>3860</v>
      </c>
      <c r="Y1769">
        <f>_xlfn.XLOOKUP($F1769,設計座標!$E$13:$E$2301,設計座標!$L$13:$L$2301," ",0,1)</f>
        <v>1889.4492</v>
      </c>
      <c r="Z1769">
        <f>SQRT(($M$1768-$M$1766)^2+($N$1768-$N$1766)^2)</f>
        <v>1174.6938120407178</v>
      </c>
    </row>
    <row r="1770" spans="1:26">
      <c r="A1770" t="s">
        <v>797</v>
      </c>
      <c r="B1770">
        <v>4</v>
      </c>
      <c r="C1770" t="s">
        <v>804</v>
      </c>
      <c r="D1770" t="s">
        <v>1152</v>
      </c>
      <c r="E1770" t="s">
        <v>804</v>
      </c>
      <c r="F1770" t="s">
        <v>1748</v>
      </c>
      <c r="G1770" t="s">
        <v>2763</v>
      </c>
      <c r="I1770">
        <f>_xlfn.XLOOKUP($F1770,設計座標!$E$13:$E$2301,設計座標!$G$13:$G$2301,"n/a",0,1)</f>
        <v>529.77029636136956</v>
      </c>
      <c r="J1770">
        <f>_xlfn.XLOOKUP($F1770,設計座標!$E$13:$E$2301,設計座標!$H$13:$H$2301,"n/a",0,1)</f>
        <v>-15000</v>
      </c>
      <c r="K1770">
        <f>_xlfn.XLOOKUP($F1770,設計座標!$E$13:$E$2301,設計座標!$I$13:$I$2301,"n/a",0,1)</f>
        <v>-265293.95549545996</v>
      </c>
      <c r="L1770">
        <f>_xlfn.XLOOKUP($F1770,設計座標!$E$13:$E$2301,設計座標!$J$13:$J$2301,"n/a",0,1)</f>
        <v>-270</v>
      </c>
      <c r="M1770" s="2">
        <f t="shared" si="1368"/>
        <v>-14964.585225768176</v>
      </c>
      <c r="N1770" s="2">
        <f t="shared" si="1369"/>
        <v>-265293.95549545996</v>
      </c>
      <c r="O1770" s="23">
        <f t="shared" si="1370"/>
        <v>-272.25558550943657</v>
      </c>
      <c r="P1770" s="1">
        <f t="shared" si="1371"/>
        <v>-269.88557079662019</v>
      </c>
      <c r="Q1770" s="1">
        <f t="shared" si="1375"/>
        <v>35.414774231822825</v>
      </c>
      <c r="R1770">
        <f t="shared" si="1343"/>
        <v>0</v>
      </c>
      <c r="S1770" s="23">
        <f t="shared" si="1374"/>
        <v>-2.2555855094365511</v>
      </c>
      <c r="T1770">
        <f>$S1770+測地線補正!$Q$26*(lattice!$N1770/1000)^3+測地線補正!$P$26*(lattice!$N1770/1000)^2+測地線補正!$O$26*(lattice!$N1770/1000)+測地線補正!$N$26</f>
        <v>0.1144292033798171</v>
      </c>
      <c r="U1770">
        <f>-ATAN(($P$1772-$P$1770)/ABS($N$1772-$N$1770))</f>
        <v>-1.7477775634714736E-5</v>
      </c>
      <c r="V1770">
        <v>0</v>
      </c>
      <c r="W1770">
        <f>ATAN(($M$1772-$M$1770)/ABS($N$1772-$N$1770))</f>
        <v>1.431787939550983E-4</v>
      </c>
      <c r="X1770">
        <f>SQRT(($M$1770-$M$1769)^2+($N$1770-$N$1769)^2)</f>
        <v>209.9418021518924</v>
      </c>
      <c r="Y1770">
        <f>_xlfn.XLOOKUP($F1770,設計座標!$E$13:$E$2301,設計座標!$L$13:$L$2301," ",0,1)</f>
        <v>1889.4492</v>
      </c>
      <c r="Z1770">
        <f>SQRT(($M$1771-$M$1768)^2+($N$1771-$N$1768)^2)</f>
        <v>2099.3910215189367</v>
      </c>
    </row>
    <row r="1771" spans="1:26">
      <c r="A1771" t="s">
        <v>797</v>
      </c>
      <c r="B1771">
        <v>4</v>
      </c>
      <c r="C1771" t="s">
        <v>804</v>
      </c>
      <c r="D1771" t="s">
        <v>1152</v>
      </c>
      <c r="E1771" t="s">
        <v>804</v>
      </c>
      <c r="F1771" t="s">
        <v>1374</v>
      </c>
      <c r="G1771" t="s">
        <v>2763</v>
      </c>
      <c r="I1771">
        <f>_xlfn.XLOOKUP($F1771,設計座標!$E$13:$E$2301,設計座標!$G$13:$G$2301,"n/a",0,1)</f>
        <v>530.71502096136953</v>
      </c>
      <c r="J1771">
        <f>_xlfn.XLOOKUP($F1771,設計座標!$E$13:$E$2301,設計座標!$H$13:$H$2301,"n/a",0,1)</f>
        <v>-15000</v>
      </c>
      <c r="K1771">
        <f>_xlfn.XLOOKUP($F1771,設計座標!$E$13:$E$2301,設計座標!$I$13:$I$2301,"n/a",0,1)</f>
        <v>-266238.68009545997</v>
      </c>
      <c r="L1771">
        <f>_xlfn.XLOOKUP($F1771,設計座標!$E$13:$E$2301,設計座標!$J$13:$J$2301,"n/a",0,1)</f>
        <v>-270</v>
      </c>
      <c r="M1771" s="2">
        <f t="shared" si="1368"/>
        <v>-14964.449961238404</v>
      </c>
      <c r="N1771" s="2">
        <f t="shared" si="1369"/>
        <v>-266238.68009545997</v>
      </c>
      <c r="O1771" s="23">
        <f t="shared" si="1370"/>
        <v>-272.23076168366327</v>
      </c>
      <c r="P1771" s="1">
        <f t="shared" si="1371"/>
        <v>-269.86901420100781</v>
      </c>
      <c r="Q1771" s="1">
        <f t="shared" si="1375"/>
        <v>35.550038761595246</v>
      </c>
      <c r="R1771">
        <f t="shared" si="1343"/>
        <v>0</v>
      </c>
      <c r="S1771" s="23">
        <f t="shared" si="1374"/>
        <v>-2.230761683663264</v>
      </c>
      <c r="T1771">
        <f>$S1771+測地線補正!$Q$26*(lattice!$N1771/1000)^3+測地線補正!$P$26*(lattice!$N1771/1000)^2+測地線補正!$O$26*(lattice!$N1771/1000)+測地線補正!$N$26</f>
        <v>0.13098579899218499</v>
      </c>
      <c r="U1771">
        <f t="shared" ref="U1771:U1772" si="1382">-ATAN(($P$1772-$P$1770)/ABS($N$1772-$N$1770))</f>
        <v>-1.7477775634714736E-5</v>
      </c>
      <c r="V1771">
        <v>0</v>
      </c>
      <c r="W1771">
        <f t="shared" ref="W1771:W1772" si="1383">ATAN(($M$1772-$M$1770)/ABS($N$1772-$N$1770))</f>
        <v>1.431787939550983E-4</v>
      </c>
      <c r="X1771" t="s">
        <v>3860</v>
      </c>
      <c r="Y1771">
        <f>_xlfn.XLOOKUP($F1771,設計座標!$E$13:$E$2301,設計座標!$L$13:$L$2301," ",0,1)</f>
        <v>1889.4492</v>
      </c>
      <c r="Z1771">
        <f>SQRT(($M$1771-$M$1768)^2+($N$1771-$N$1768)^2)</f>
        <v>2099.3910215189367</v>
      </c>
    </row>
    <row r="1772" spans="1:26">
      <c r="A1772" t="s">
        <v>797</v>
      </c>
      <c r="B1772">
        <v>4</v>
      </c>
      <c r="C1772" t="s">
        <v>804</v>
      </c>
      <c r="D1772" t="s">
        <v>1152</v>
      </c>
      <c r="E1772" t="s">
        <v>804</v>
      </c>
      <c r="F1772" t="s">
        <v>1749</v>
      </c>
      <c r="G1772" t="s">
        <v>2763</v>
      </c>
      <c r="I1772">
        <f>_xlfn.XLOOKUP($F1772,設計座標!$E$13:$E$2301,設計座標!$G$13:$G$2301,"n/a",0,1)</f>
        <v>531.6597455613695</v>
      </c>
      <c r="J1772">
        <f>_xlfn.XLOOKUP($F1772,設計座標!$E$13:$E$2301,設計座標!$H$13:$H$2301,"n/a",0,1)</f>
        <v>-15000</v>
      </c>
      <c r="K1772">
        <f>_xlfn.XLOOKUP($F1772,設計座標!$E$13:$E$2301,設計座標!$I$13:$I$2301,"n/a",0,1)</f>
        <v>-267183.40469545999</v>
      </c>
      <c r="L1772">
        <f>_xlfn.XLOOKUP($F1772,設計座標!$E$13:$E$2301,設計座標!$J$13:$J$2301,"n/a",0,1)</f>
        <v>-270</v>
      </c>
      <c r="M1772" s="2">
        <f t="shared" si="1368"/>
        <v>-14964.314696708632</v>
      </c>
      <c r="N1772" s="2">
        <f t="shared" si="1369"/>
        <v>-267183.40469545999</v>
      </c>
      <c r="O1772" s="23">
        <f t="shared" si="1370"/>
        <v>-272.20593785788998</v>
      </c>
      <c r="P1772" s="1">
        <f t="shared" si="1371"/>
        <v>-269.85254742742603</v>
      </c>
      <c r="Q1772" s="1">
        <f t="shared" si="1375"/>
        <v>35.685303291367667</v>
      </c>
      <c r="R1772">
        <f t="shared" si="1343"/>
        <v>0</v>
      </c>
      <c r="S1772" s="23">
        <f t="shared" si="1374"/>
        <v>-2.2059378578899769</v>
      </c>
      <c r="T1772">
        <f>$S1772+測地線補正!$Q$26*(lattice!$N1772/1000)^3+測地線補正!$P$26*(lattice!$N1772/1000)^2+測地線補正!$O$26*(lattice!$N1772/1000)+測地線補正!$N$26</f>
        <v>0.14745257257397859</v>
      </c>
      <c r="U1772">
        <f t="shared" si="1382"/>
        <v>-1.7477775634714736E-5</v>
      </c>
      <c r="V1772">
        <v>0</v>
      </c>
      <c r="W1772">
        <f t="shared" si="1383"/>
        <v>1.431787939550983E-4</v>
      </c>
      <c r="X1772" t="s">
        <v>3860</v>
      </c>
      <c r="Y1772">
        <f>_xlfn.XLOOKUP($F1772,設計座標!$E$13:$E$2301,設計座標!$L$13:$L$2301," ",0,1)</f>
        <v>1889.4492</v>
      </c>
      <c r="Z1772">
        <f>SQRT(($M$1771-$M$1768)^2+($N$1771-$N$1768)^2)</f>
        <v>2099.3910215189367</v>
      </c>
    </row>
    <row r="1773" spans="1:26">
      <c r="A1773" t="s">
        <v>797</v>
      </c>
      <c r="B1773">
        <v>4</v>
      </c>
      <c r="C1773" t="s">
        <v>2288</v>
      </c>
      <c r="D1773" t="s">
        <v>1152</v>
      </c>
      <c r="E1773" t="s">
        <v>804</v>
      </c>
      <c r="F1773" t="s">
        <v>2299</v>
      </c>
      <c r="G1773" t="s">
        <v>2299</v>
      </c>
      <c r="I1773">
        <f>_xlfn.XLOOKUP($F1773,設計座標!$E$13:$E$2301,設計座標!$G$13:$G$2301,"n/a",0,1)</f>
        <v>531.82324116136954</v>
      </c>
      <c r="J1773">
        <f>_xlfn.XLOOKUP($F1773,設計座標!$E$13:$E$2301,設計座標!$H$13:$H$2301,"n/a",0,1)</f>
        <v>-15000</v>
      </c>
      <c r="K1773">
        <f>_xlfn.XLOOKUP($F1773,設計座標!$E$13:$E$2301,設計座標!$I$13:$I$2301,"n/a",0,1)</f>
        <v>-267346.90029545996</v>
      </c>
      <c r="L1773">
        <f>_xlfn.XLOOKUP($F1773,設計座標!$E$13:$E$2301,設計座標!$J$13:$J$2301,"n/a",0,1)</f>
        <v>-270</v>
      </c>
      <c r="M1773" s="2">
        <f t="shared" si="1368"/>
        <v>-14964.291287605647</v>
      </c>
      <c r="N1773" s="2">
        <f t="shared" si="1369"/>
        <v>-267346.90029545996</v>
      </c>
      <c r="O1773" s="23">
        <f t="shared" si="1370"/>
        <v>-272.20164180559169</v>
      </c>
      <c r="P1773" s="1">
        <f t="shared" si="1371"/>
        <v>-269.84970672739155</v>
      </c>
      <c r="Q1773" s="1">
        <f t="shared" si="1375"/>
        <v>35.708712394352659</v>
      </c>
      <c r="R1773">
        <f t="shared" si="1343"/>
        <v>0</v>
      </c>
      <c r="S1773" s="23">
        <f t="shared" si="1374"/>
        <v>-2.2016418055916689</v>
      </c>
      <c r="T1773">
        <f>$S1773+測地線補正!$Q$26*(lattice!$N1773/1000)^3+測地線補正!$P$26*(lattice!$N1773/1000)^2+測地線補正!$O$26*(lattice!$N1773/1000)+測地線補正!$N$26</f>
        <v>0.15029327260842407</v>
      </c>
      <c r="U1773">
        <v>0</v>
      </c>
      <c r="V1773">
        <v>0</v>
      </c>
      <c r="W1773">
        <v>0</v>
      </c>
      <c r="X1773">
        <f>SQRT(($M$1773-$M$1772)^2+($N$1773-$N$1772)^2)</f>
        <v>163.49560167580921</v>
      </c>
      <c r="Y1773">
        <f>_xlfn.XLOOKUP($F1773,設計座標!$E$13:$E$2301,設計座標!$L$13:$L$2301," ",0,1)</f>
        <v>0</v>
      </c>
      <c r="Z1773">
        <f>SQRT(($M$1773-$M$1771)^2+($N$1773-$N$1771)^2)</f>
        <v>1108.2202113593312</v>
      </c>
    </row>
    <row r="1774" spans="1:26">
      <c r="A1774" t="s">
        <v>797</v>
      </c>
      <c r="B1774">
        <v>4</v>
      </c>
      <c r="C1774" t="s">
        <v>804</v>
      </c>
      <c r="D1774" t="s">
        <v>1152</v>
      </c>
      <c r="E1774" t="s">
        <v>804</v>
      </c>
      <c r="F1774" t="s">
        <v>1750</v>
      </c>
      <c r="G1774" t="s">
        <v>2764</v>
      </c>
      <c r="I1774">
        <f>_xlfn.XLOOKUP($F1774,設計座標!$E$13:$E$2301,設計座標!$G$13:$G$2301,"n/a",0,1)</f>
        <v>532.15722336136957</v>
      </c>
      <c r="J1774">
        <f>_xlfn.XLOOKUP($F1774,設計座標!$E$13:$E$2301,設計座標!$H$13:$H$2301,"n/a",0,1)</f>
        <v>-15000</v>
      </c>
      <c r="K1774">
        <f>_xlfn.XLOOKUP($F1774,設計座標!$E$13:$E$2301,設計座標!$I$13:$I$2301,"n/a",0,1)</f>
        <v>-267680.88249545993</v>
      </c>
      <c r="L1774">
        <f>_xlfn.XLOOKUP($F1774,設計座標!$E$13:$E$2301,設計座標!$J$13:$J$2301,"n/a",0,1)</f>
        <v>-270</v>
      </c>
      <c r="M1774" s="2">
        <f t="shared" si="1368"/>
        <v>-14964.243468436722</v>
      </c>
      <c r="N1774" s="2">
        <f t="shared" si="1369"/>
        <v>-267680.88249545993</v>
      </c>
      <c r="O1774" s="23">
        <f t="shared" si="1370"/>
        <v>-272.1928660036869</v>
      </c>
      <c r="P1774" s="1">
        <f t="shared" si="1371"/>
        <v>-269.843912142085</v>
      </c>
      <c r="Q1774" s="1">
        <f t="shared" si="1375"/>
        <v>35.756531563278024</v>
      </c>
      <c r="R1774">
        <f t="shared" si="1343"/>
        <v>0</v>
      </c>
      <c r="S1774" s="23">
        <f t="shared" si="1374"/>
        <v>-2.1928660036868832</v>
      </c>
      <c r="T1774">
        <f>$S1774+測地線補正!$Q$26*(lattice!$N1774/1000)^3+測地線補正!$P$26*(lattice!$N1774/1000)^2+測地線補正!$O$26*(lattice!$N1774/1000)+測地線補正!$N$26</f>
        <v>0.15608785791501467</v>
      </c>
      <c r="U1774">
        <f>-ATAN(($P$1776-$P$1774)/ABS($N$1776-$N$1774))</f>
        <v>-1.7239873388263552E-5</v>
      </c>
      <c r="V1774">
        <v>0</v>
      </c>
      <c r="W1774">
        <f>ATAN(($M$1776-$M$1774)/ABS($N$1776-$N$1774))</f>
        <v>1.431787939550983E-4</v>
      </c>
      <c r="X1774">
        <f>SQRT(($M$1774-$M$1773)^2+($N$1774-$N$1773)^2)</f>
        <v>333.9822034233149</v>
      </c>
      <c r="Y1774">
        <f>_xlfn.XLOOKUP($F1774,設計座標!$E$13:$E$2301,設計座標!$L$13:$L$2301," ",0,1)</f>
        <v>1889.4492</v>
      </c>
      <c r="Z1774">
        <f>SQRT(($M$1775-$M$1773)^2+($N$1775-$N$1773)^2)</f>
        <v>1278.706813106837</v>
      </c>
    </row>
    <row r="1775" spans="1:26">
      <c r="A1775" t="s">
        <v>797</v>
      </c>
      <c r="B1775">
        <v>4</v>
      </c>
      <c r="C1775" t="s">
        <v>804</v>
      </c>
      <c r="D1775" t="s">
        <v>1152</v>
      </c>
      <c r="E1775" t="s">
        <v>804</v>
      </c>
      <c r="F1775" t="s">
        <v>1211</v>
      </c>
      <c r="G1775" t="s">
        <v>2764</v>
      </c>
      <c r="I1775">
        <f>_xlfn.XLOOKUP($F1775,設計座標!$E$13:$E$2301,設計座標!$G$13:$G$2301,"n/a",0,1)</f>
        <v>533.10194796136955</v>
      </c>
      <c r="J1775">
        <f>_xlfn.XLOOKUP($F1775,設計座標!$E$13:$E$2301,設計座標!$H$13:$H$2301,"n/a",0,1)</f>
        <v>-15000</v>
      </c>
      <c r="K1775">
        <f>_xlfn.XLOOKUP($F1775,設計座標!$E$13:$E$2301,設計座標!$I$13:$I$2301,"n/a",0,1)</f>
        <v>-268625.60709545994</v>
      </c>
      <c r="L1775">
        <f>_xlfn.XLOOKUP($F1775,設計座標!$E$13:$E$2301,設計座標!$J$13:$J$2301,"n/a",0,1)</f>
        <v>-270</v>
      </c>
      <c r="M1775" s="2">
        <f t="shared" si="1368"/>
        <v>-14964.10820390695</v>
      </c>
      <c r="N1775" s="2">
        <f t="shared" si="1369"/>
        <v>-268625.60709545994</v>
      </c>
      <c r="O1775" s="23">
        <f t="shared" si="1370"/>
        <v>-272.16804217791361</v>
      </c>
      <c r="P1775" s="1">
        <f t="shared" si="1371"/>
        <v>-269.82758116571222</v>
      </c>
      <c r="Q1775" s="1">
        <f t="shared" si="1375"/>
        <v>35.891796093050445</v>
      </c>
      <c r="R1775">
        <f t="shared" si="1343"/>
        <v>0</v>
      </c>
      <c r="S1775" s="23">
        <f t="shared" si="1374"/>
        <v>-2.1680421779135961</v>
      </c>
      <c r="T1775">
        <f>$S1775+測地線補正!$Q$26*(lattice!$N1775/1000)^3+測地線補正!$P$26*(lattice!$N1775/1000)^2+測地線補正!$O$26*(lattice!$N1775/1000)+測地線補正!$N$26</f>
        <v>0.17241883428775551</v>
      </c>
      <c r="U1775">
        <f t="shared" ref="U1775:U1776" si="1384">-ATAN(($P$1776-$P$1774)/ABS($N$1776-$N$1774))</f>
        <v>-1.7239873388263552E-5</v>
      </c>
      <c r="V1775">
        <v>0</v>
      </c>
      <c r="W1775">
        <f t="shared" ref="W1775:W1776" si="1385">ATAN(($M$1776-$M$1774)/ABS($N$1776-$N$1774))</f>
        <v>1.431787939550983E-4</v>
      </c>
      <c r="X1775" t="s">
        <v>3860</v>
      </c>
      <c r="Y1775">
        <f>_xlfn.XLOOKUP($F1775,設計座標!$E$13:$E$2301,設計座標!$L$13:$L$2301," ",0,1)</f>
        <v>1889.4492</v>
      </c>
      <c r="Z1775">
        <f>SQRT(($M$1775-$M$1773)^2+($N$1775-$N$1773)^2)</f>
        <v>1278.706813106837</v>
      </c>
    </row>
    <row r="1776" spans="1:26">
      <c r="A1776" t="s">
        <v>797</v>
      </c>
      <c r="B1776">
        <v>4</v>
      </c>
      <c r="C1776" t="s">
        <v>804</v>
      </c>
      <c r="D1776" t="s">
        <v>1152</v>
      </c>
      <c r="E1776" t="s">
        <v>804</v>
      </c>
      <c r="F1776" t="s">
        <v>1751</v>
      </c>
      <c r="G1776" t="s">
        <v>2764</v>
      </c>
      <c r="I1776">
        <f>_xlfn.XLOOKUP($F1776,設計座標!$E$13:$E$2301,設計座標!$G$13:$G$2301,"n/a",0,1)</f>
        <v>534.04667256136952</v>
      </c>
      <c r="J1776">
        <f>_xlfn.XLOOKUP($F1776,設計座標!$E$13:$E$2301,設計座標!$H$13:$H$2301,"n/a",0,1)</f>
        <v>-15000</v>
      </c>
      <c r="K1776">
        <f>_xlfn.XLOOKUP($F1776,設計座標!$E$13:$E$2301,設計座標!$I$13:$I$2301,"n/a",0,1)</f>
        <v>-269570.33169545996</v>
      </c>
      <c r="L1776">
        <f>_xlfn.XLOOKUP($F1776,設計座標!$E$13:$E$2301,設計座標!$J$13:$J$2301,"n/a",0,1)</f>
        <v>-270</v>
      </c>
      <c r="M1776" s="2">
        <f t="shared" si="1368"/>
        <v>-14963.972939377178</v>
      </c>
      <c r="N1776" s="2">
        <f t="shared" si="1369"/>
        <v>-269570.33169545996</v>
      </c>
      <c r="O1776" s="23">
        <f t="shared" si="1370"/>
        <v>-272.14321835214031</v>
      </c>
      <c r="P1776" s="1">
        <f t="shared" si="1371"/>
        <v>-269.81133827710022</v>
      </c>
      <c r="Q1776" s="1">
        <f t="shared" si="1375"/>
        <v>36.027060622822866</v>
      </c>
      <c r="R1776">
        <f t="shared" si="1343"/>
        <v>0</v>
      </c>
      <c r="S1776" s="23">
        <f t="shared" si="1374"/>
        <v>-2.143218352140309</v>
      </c>
      <c r="T1776">
        <f>$S1776+測地線補正!$Q$26*(lattice!$N1776/1000)^3+測地線補正!$P$26*(lattice!$N1776/1000)^2+測地線補正!$O$26*(lattice!$N1776/1000)+測地線補正!$N$26</f>
        <v>0.18866172289975913</v>
      </c>
      <c r="U1776">
        <f t="shared" si="1384"/>
        <v>-1.7239873388263552E-5</v>
      </c>
      <c r="V1776">
        <v>0</v>
      </c>
      <c r="W1776">
        <f t="shared" si="1385"/>
        <v>1.431787939550983E-4</v>
      </c>
      <c r="X1776" t="s">
        <v>3860</v>
      </c>
      <c r="Y1776">
        <f>_xlfn.XLOOKUP($F1776,設計座標!$E$13:$E$2301,設計座標!$L$13:$L$2301," ",0,1)</f>
        <v>1889.4492</v>
      </c>
      <c r="Z1776">
        <f>SQRT(($M$1775-$M$1773)^2+($N$1775-$N$1773)^2)</f>
        <v>1278.706813106837</v>
      </c>
    </row>
    <row r="1777" spans="1:28">
      <c r="A1777" t="s">
        <v>797</v>
      </c>
      <c r="B1777">
        <v>4</v>
      </c>
      <c r="C1777" t="s">
        <v>804</v>
      </c>
      <c r="D1777" t="s">
        <v>1152</v>
      </c>
      <c r="E1777" t="s">
        <v>804</v>
      </c>
      <c r="F1777" t="s">
        <v>1752</v>
      </c>
      <c r="G1777" t="s">
        <v>2765</v>
      </c>
      <c r="I1777">
        <f>_xlfn.XLOOKUP($F1777,設計座標!$E$13:$E$2301,設計座標!$G$13:$G$2301,"n/a",0,1)</f>
        <v>534.25661436136954</v>
      </c>
      <c r="J1777">
        <f>_xlfn.XLOOKUP($F1777,設計座標!$E$13:$E$2301,設計座標!$H$13:$H$2301,"n/a",0,1)</f>
        <v>-15000</v>
      </c>
      <c r="K1777">
        <f>_xlfn.XLOOKUP($F1777,設計座標!$E$13:$E$2301,設計座標!$I$13:$I$2301,"n/a",0,1)</f>
        <v>-269780.27349545993</v>
      </c>
      <c r="L1777">
        <f>_xlfn.XLOOKUP($F1777,設計座標!$E$13:$E$2301,設計座標!$J$13:$J$2301,"n/a",0,1)</f>
        <v>-270</v>
      </c>
      <c r="M1777" s="2">
        <f t="shared" si="1368"/>
        <v>-14963.942880163248</v>
      </c>
      <c r="N1777" s="2">
        <f t="shared" si="1369"/>
        <v>-269780.27349545993</v>
      </c>
      <c r="O1777" s="23">
        <f t="shared" si="1370"/>
        <v>-272.13770186758416</v>
      </c>
      <c r="P1777" s="1">
        <f t="shared" si="1371"/>
        <v>-269.80774058840512</v>
      </c>
      <c r="Q1777" s="1">
        <f t="shared" si="1375"/>
        <v>36.057119836753117</v>
      </c>
      <c r="R1777">
        <f t="shared" si="1343"/>
        <v>0</v>
      </c>
      <c r="S1777" s="23">
        <f t="shared" si="1374"/>
        <v>-2.1377018675841439</v>
      </c>
      <c r="T1777">
        <f>$S1777+測地線補正!$Q$26*(lattice!$N1777/1000)^3+測地線補正!$P$26*(lattice!$N1777/1000)^2+測地線補正!$O$26*(lattice!$N1777/1000)+測地線補正!$N$26</f>
        <v>0.19225941159489834</v>
      </c>
      <c r="U1777">
        <f>-ATAN(($P$1779-$P$1777)/ABS($N$1779-$N$1777))</f>
        <v>-1.7034463242231968E-5</v>
      </c>
      <c r="V1777">
        <v>0</v>
      </c>
      <c r="W1777">
        <f>ATAN(($M$1779-$M$1777)/ABS($N$1779-$N$1777))</f>
        <v>1.4317879395606099E-4</v>
      </c>
      <c r="X1777">
        <f>SQRT(($M$1777-$M$1776)^2+($N$1777-$N$1776)^2)</f>
        <v>209.9418021518924</v>
      </c>
      <c r="Y1777">
        <f>_xlfn.XLOOKUP($F1777,設計座標!$E$13:$E$2301,設計座標!$L$13:$L$2301," ",0,1)</f>
        <v>1889.4492</v>
      </c>
      <c r="Z1777">
        <f>SQRT(($M$1778-$M$1775)^2+($N$1778-$N$1775)^2)</f>
        <v>2099.3910215189367</v>
      </c>
    </row>
    <row r="1778" spans="1:28">
      <c r="A1778" t="s">
        <v>797</v>
      </c>
      <c r="B1778">
        <v>4</v>
      </c>
      <c r="C1778" t="s">
        <v>804</v>
      </c>
      <c r="D1778" t="s">
        <v>1152</v>
      </c>
      <c r="E1778" t="s">
        <v>804</v>
      </c>
      <c r="F1778" t="s">
        <v>1267</v>
      </c>
      <c r="G1778" t="s">
        <v>2765</v>
      </c>
      <c r="I1778">
        <f>_xlfn.XLOOKUP($F1778,設計座標!$E$13:$E$2301,設計座標!$G$13:$G$2301,"n/a",0,1)</f>
        <v>535.20133896136952</v>
      </c>
      <c r="J1778">
        <f>_xlfn.XLOOKUP($F1778,設計座標!$E$13:$E$2301,設計座標!$H$13:$H$2301,"n/a",0,1)</f>
        <v>-15000</v>
      </c>
      <c r="K1778">
        <f>_xlfn.XLOOKUP($F1778,設計座標!$E$13:$E$2301,設計座標!$I$13:$I$2301,"n/a",0,1)</f>
        <v>-270724.99809545995</v>
      </c>
      <c r="L1778">
        <f>_xlfn.XLOOKUP($F1778,設計座標!$E$13:$E$2301,設計座標!$J$13:$J$2301,"n/a",0,1)</f>
        <v>-270</v>
      </c>
      <c r="M1778" s="2">
        <f t="shared" si="1368"/>
        <v>-14963.807615633474</v>
      </c>
      <c r="N1778" s="2">
        <f t="shared" si="1369"/>
        <v>-270724.99809545995</v>
      </c>
      <c r="O1778" s="23">
        <f t="shared" si="1370"/>
        <v>-272.11287804181086</v>
      </c>
      <c r="P1778" s="1">
        <f t="shared" si="1371"/>
        <v>-269.79160443072783</v>
      </c>
      <c r="Q1778" s="1">
        <f t="shared" si="1375"/>
        <v>36.192384366525538</v>
      </c>
      <c r="R1778">
        <f t="shared" ref="R1778:R1841" si="1386">$N1778-$K1778</f>
        <v>0</v>
      </c>
      <c r="S1778" s="23">
        <f t="shared" si="1374"/>
        <v>-2.1128780418108568</v>
      </c>
      <c r="T1778">
        <f>$S1778+測地線補正!$Q$26*(lattice!$N1778/1000)^3+測地線補正!$P$26*(lattice!$N1778/1000)^2+測地線補正!$O$26*(lattice!$N1778/1000)+測地線補正!$N$26</f>
        <v>0.20839556927216996</v>
      </c>
      <c r="U1778">
        <f t="shared" ref="U1778:U1779" si="1387">-ATAN(($P$1779-$P$1777)/ABS($N$1779-$N$1777))</f>
        <v>-1.7034463242231968E-5</v>
      </c>
      <c r="V1778">
        <v>0</v>
      </c>
      <c r="W1778">
        <f t="shared" ref="W1778:W1779" si="1388">ATAN(($M$1779-$M$1777)/ABS($N$1779-$N$1777))</f>
        <v>1.4317879395606099E-4</v>
      </c>
      <c r="X1778" t="s">
        <v>3860</v>
      </c>
      <c r="Y1778">
        <f>_xlfn.XLOOKUP($F1778,設計座標!$E$13:$E$2301,設計座標!$L$13:$L$2301," ",0,1)</f>
        <v>1889.4492</v>
      </c>
      <c r="Z1778">
        <f>SQRT(($M$1778-$M$1775)^2+($N$1778-$N$1775)^2)</f>
        <v>2099.3910215189367</v>
      </c>
    </row>
    <row r="1779" spans="1:28">
      <c r="A1779" t="s">
        <v>797</v>
      </c>
      <c r="B1779">
        <v>4</v>
      </c>
      <c r="C1779" t="s">
        <v>804</v>
      </c>
      <c r="D1779" t="s">
        <v>1152</v>
      </c>
      <c r="E1779" t="s">
        <v>804</v>
      </c>
      <c r="F1779" t="s">
        <v>1753</v>
      </c>
      <c r="G1779" t="s">
        <v>2765</v>
      </c>
      <c r="I1779">
        <f>_xlfn.XLOOKUP($F1779,設計座標!$E$13:$E$2301,設計座標!$G$13:$G$2301,"n/a",0,1)</f>
        <v>536.14606356136949</v>
      </c>
      <c r="J1779">
        <f>_xlfn.XLOOKUP($F1779,設計座標!$E$13:$E$2301,設計座標!$H$13:$H$2301,"n/a",0,1)</f>
        <v>-15000</v>
      </c>
      <c r="K1779">
        <f>_xlfn.XLOOKUP($F1779,設計座標!$E$13:$E$2301,設計座標!$I$13:$I$2301,"n/a",0,1)</f>
        <v>-271669.72269545996</v>
      </c>
      <c r="L1779">
        <f>_xlfn.XLOOKUP($F1779,設計座標!$E$13:$E$2301,設計座標!$J$13:$J$2301,"n/a",0,1)</f>
        <v>-270</v>
      </c>
      <c r="M1779" s="2">
        <f t="shared" si="1368"/>
        <v>-14963.672351103702</v>
      </c>
      <c r="N1779" s="2">
        <f t="shared" si="1369"/>
        <v>-271669.72269545996</v>
      </c>
      <c r="O1779" s="23">
        <f t="shared" si="1370"/>
        <v>-272.08805421603756</v>
      </c>
      <c r="P1779" s="1">
        <f t="shared" si="1371"/>
        <v>-269.77555483545655</v>
      </c>
      <c r="Q1779" s="1">
        <f t="shared" si="1375"/>
        <v>36.327648896297958</v>
      </c>
      <c r="R1779">
        <f t="shared" si="1386"/>
        <v>0</v>
      </c>
      <c r="S1779" s="23">
        <f t="shared" si="1374"/>
        <v>-2.0880542160375697</v>
      </c>
      <c r="T1779">
        <f>$S1779+測地線補正!$Q$26*(lattice!$N1779/1000)^3+測地線補正!$P$26*(lattice!$N1779/1000)^2+測地線補正!$O$26*(lattice!$N1779/1000)+測地線補正!$N$26</f>
        <v>0.2244451645434784</v>
      </c>
      <c r="U1779">
        <f t="shared" si="1387"/>
        <v>-1.7034463242231968E-5</v>
      </c>
      <c r="V1779">
        <v>0</v>
      </c>
      <c r="W1779">
        <f t="shared" si="1388"/>
        <v>1.4317879395606099E-4</v>
      </c>
      <c r="X1779" t="s">
        <v>3860</v>
      </c>
      <c r="Y1779">
        <f>_xlfn.XLOOKUP($F1779,設計座標!$E$13:$E$2301,設計座標!$L$13:$L$2301," ",0,1)</f>
        <v>1889.4492</v>
      </c>
      <c r="Z1779">
        <f>SQRT(($M$1778-$M$1775)^2+($N$1778-$N$1775)^2)</f>
        <v>2099.3910215189367</v>
      </c>
    </row>
    <row r="1780" spans="1:28">
      <c r="A1780" t="s">
        <v>797</v>
      </c>
      <c r="B1780">
        <v>4</v>
      </c>
      <c r="C1780" t="s">
        <v>804</v>
      </c>
      <c r="D1780" t="s">
        <v>1152</v>
      </c>
      <c r="E1780" t="s">
        <v>804</v>
      </c>
      <c r="F1780" t="s">
        <v>1754</v>
      </c>
      <c r="G1780" t="s">
        <v>2766</v>
      </c>
      <c r="I1780">
        <f>_xlfn.XLOOKUP($F1780,設計座標!$E$13:$E$2301,設計座標!$G$13:$G$2301,"n/a",0,1)</f>
        <v>536.67090536136959</v>
      </c>
      <c r="J1780">
        <f>_xlfn.XLOOKUP($F1780,設計座標!$E$13:$E$2301,設計座標!$H$13:$H$2301,"n/a",0,1)</f>
        <v>-15000</v>
      </c>
      <c r="K1780">
        <f>_xlfn.XLOOKUP($F1780,設計座標!$E$13:$E$2301,設計座標!$I$13:$I$2301,"n/a",0,1)</f>
        <v>-272194.56449545996</v>
      </c>
      <c r="L1780">
        <f>_xlfn.XLOOKUP($F1780,設計座標!$E$13:$E$2301,設計座標!$J$13:$J$2301,"n/a",0,1)</f>
        <v>-270</v>
      </c>
      <c r="M1780" s="2">
        <f t="shared" si="1368"/>
        <v>-14963.597204887246</v>
      </c>
      <c r="N1780" s="2">
        <f t="shared" si="1369"/>
        <v>-272194.56449545996</v>
      </c>
      <c r="O1780" s="23">
        <f t="shared" si="1370"/>
        <v>-272.07426333835559</v>
      </c>
      <c r="P1780" s="1">
        <f t="shared" si="1371"/>
        <v>-269.76667563233372</v>
      </c>
      <c r="Q1780" s="1">
        <f t="shared" si="1375"/>
        <v>36.402795112752898</v>
      </c>
      <c r="R1780">
        <f t="shared" si="1386"/>
        <v>0</v>
      </c>
      <c r="S1780" s="23">
        <f t="shared" si="1374"/>
        <v>-2.0742633383556104</v>
      </c>
      <c r="T1780">
        <f>$S1780+測地線補正!$Q$26*(lattice!$N1780/1000)^3+測地線補正!$P$26*(lattice!$N1780/1000)^2+測地線補正!$O$26*(lattice!$N1780/1000)+測地線補正!$N$26</f>
        <v>0.23332436766627196</v>
      </c>
      <c r="U1780">
        <f>-ATAN(($P$1782-$P$1780)/ABS($N$1782-$N$1780))</f>
        <v>-1.6802678074672941E-5</v>
      </c>
      <c r="V1780">
        <v>0</v>
      </c>
      <c r="W1780">
        <f>ATAN(($M$1782-$M$1780)/ABS($N$1782-$N$1780))</f>
        <v>1.431787939550983E-4</v>
      </c>
      <c r="X1780">
        <f>SQRT(($M$1780-$M$1779)^2+($N$1780-$N$1779)^2)</f>
        <v>524.84180537966699</v>
      </c>
      <c r="Y1780">
        <f>_xlfn.XLOOKUP($F1780,設計座標!$E$13:$E$2301,設計座標!$L$13:$L$2301," ",0,1)</f>
        <v>1889.4492</v>
      </c>
      <c r="Z1780">
        <f>SQRT(($M$1781-$M$1778)^2+($N$1781-$N$1778)^2)</f>
        <v>2414.2910247467112</v>
      </c>
    </row>
    <row r="1781" spans="1:28">
      <c r="A1781" t="s">
        <v>797</v>
      </c>
      <c r="B1781">
        <v>4</v>
      </c>
      <c r="C1781" t="s">
        <v>804</v>
      </c>
      <c r="D1781" t="s">
        <v>1152</v>
      </c>
      <c r="E1781" t="s">
        <v>804</v>
      </c>
      <c r="F1781" t="s">
        <v>1321</v>
      </c>
      <c r="G1781" t="s">
        <v>2766</v>
      </c>
      <c r="I1781">
        <f>_xlfn.XLOOKUP($F1781,設計座標!$E$13:$E$2301,設計座標!$G$13:$G$2301,"n/a",0,1)</f>
        <v>537.61562996136956</v>
      </c>
      <c r="J1781">
        <f>_xlfn.XLOOKUP($F1781,設計座標!$E$13:$E$2301,設計座標!$H$13:$H$2301,"n/a",0,1)</f>
        <v>-15000</v>
      </c>
      <c r="K1781">
        <f>_xlfn.XLOOKUP($F1781,設計座標!$E$13:$E$2301,設計座標!$I$13:$I$2301,"n/a",0,1)</f>
        <v>-273139.28909545997</v>
      </c>
      <c r="L1781">
        <f>_xlfn.XLOOKUP($F1781,設計座標!$E$13:$E$2301,設計座標!$J$13:$J$2301,"n/a",0,1)</f>
        <v>-270</v>
      </c>
      <c r="M1781" s="2">
        <f t="shared" si="1368"/>
        <v>-14963.461940357474</v>
      </c>
      <c r="N1781" s="2">
        <f t="shared" si="1369"/>
        <v>-273139.28909545997</v>
      </c>
      <c r="O1781" s="23">
        <f t="shared" si="1370"/>
        <v>-272.0494395125823</v>
      </c>
      <c r="P1781" s="1">
        <f t="shared" si="1371"/>
        <v>-269.7507593248821</v>
      </c>
      <c r="Q1781" s="1">
        <f t="shared" si="1375"/>
        <v>36.538059642525319</v>
      </c>
      <c r="R1781">
        <f t="shared" si="1386"/>
        <v>0</v>
      </c>
      <c r="S1781" s="23">
        <f t="shared" si="1374"/>
        <v>-2.0494395125823237</v>
      </c>
      <c r="T1781">
        <f>$S1781+測地線補正!$Q$26*(lattice!$N1781/1000)^3+測地線補正!$P$26*(lattice!$N1781/1000)^2+測地線補正!$O$26*(lattice!$N1781/1000)+測地線補正!$N$26</f>
        <v>0.24924067511792258</v>
      </c>
      <c r="U1781">
        <f t="shared" ref="U1781:U1782" si="1389">-ATAN(($P$1782-$P$1780)/ABS($N$1782-$N$1780))</f>
        <v>-1.6802678074672941E-5</v>
      </c>
      <c r="V1781">
        <v>0</v>
      </c>
      <c r="W1781">
        <f t="shared" ref="W1781:W1782" si="1390">ATAN(($M$1782-$M$1780)/ABS($N$1782-$N$1780))</f>
        <v>1.431787939550983E-4</v>
      </c>
      <c r="X1781" t="s">
        <v>3860</v>
      </c>
      <c r="Y1781">
        <f>_xlfn.XLOOKUP($F1781,設計座標!$E$13:$E$2301,設計座標!$L$13:$L$2301," ",0,1)</f>
        <v>1889.4492</v>
      </c>
      <c r="Z1781">
        <f>SQRT(($M$1781-$M$1778)^2+($N$1781-$N$1778)^2)</f>
        <v>2414.2910247467112</v>
      </c>
    </row>
    <row r="1782" spans="1:28">
      <c r="A1782" t="s">
        <v>797</v>
      </c>
      <c r="B1782">
        <v>4</v>
      </c>
      <c r="C1782" t="s">
        <v>804</v>
      </c>
      <c r="D1782" t="s">
        <v>1152</v>
      </c>
      <c r="E1782" t="s">
        <v>804</v>
      </c>
      <c r="F1782" t="s">
        <v>1755</v>
      </c>
      <c r="G1782" t="s">
        <v>2766</v>
      </c>
      <c r="I1782">
        <f>_xlfn.XLOOKUP($F1782,設計座標!$E$13:$E$2301,設計座標!$G$13:$G$2301,"n/a",0,1)</f>
        <v>538.56035456136954</v>
      </c>
      <c r="J1782">
        <f>_xlfn.XLOOKUP($F1782,設計座標!$E$13:$E$2301,設計座標!$H$13:$H$2301,"n/a",0,1)</f>
        <v>-15000</v>
      </c>
      <c r="K1782">
        <f>_xlfn.XLOOKUP($F1782,設計座標!$E$13:$E$2301,設計座標!$I$13:$I$2301,"n/a",0,1)</f>
        <v>-274084.01369545999</v>
      </c>
      <c r="L1782">
        <f>_xlfn.XLOOKUP($F1782,設計座標!$E$13:$E$2301,設計座標!$J$13:$J$2301,"n/a",0,1)</f>
        <v>-270</v>
      </c>
      <c r="M1782" s="2">
        <f t="shared" si="1368"/>
        <v>-14963.326675827702</v>
      </c>
      <c r="N1782" s="2">
        <f t="shared" si="1369"/>
        <v>-274084.01369545999</v>
      </c>
      <c r="O1782" s="23">
        <f t="shared" si="1370"/>
        <v>-272.02461568680906</v>
      </c>
      <c r="P1782" s="1">
        <f t="shared" si="1371"/>
        <v>-269.73492782568468</v>
      </c>
      <c r="Q1782" s="1">
        <f t="shared" si="1375"/>
        <v>36.67332417229774</v>
      </c>
      <c r="R1782">
        <f t="shared" si="1386"/>
        <v>0</v>
      </c>
      <c r="S1782" s="23">
        <f t="shared" si="1374"/>
        <v>-2.0246156868090366</v>
      </c>
      <c r="T1782">
        <f>$S1782+測地線補正!$Q$26*(lattice!$N1782/1000)^3+測地線補正!$P$26*(lattice!$N1782/1000)^2+測地線補正!$O$26*(lattice!$N1782/1000)+測地線補正!$N$26</f>
        <v>0.26507217431531038</v>
      </c>
      <c r="U1782">
        <f t="shared" si="1389"/>
        <v>-1.6802678074672941E-5</v>
      </c>
      <c r="V1782">
        <v>0</v>
      </c>
      <c r="W1782">
        <f t="shared" si="1390"/>
        <v>1.431787939550983E-4</v>
      </c>
      <c r="X1782" t="s">
        <v>3860</v>
      </c>
      <c r="Y1782">
        <f>_xlfn.XLOOKUP($F1782,設計座標!$E$13:$E$2301,設計座標!$L$13:$L$2301," ",0,1)</f>
        <v>1889.4492</v>
      </c>
      <c r="Z1782">
        <f>SQRT(($M$1781-$M$1778)^2+($N$1781-$N$1778)^2)</f>
        <v>2414.2910247467112</v>
      </c>
    </row>
    <row r="1783" spans="1:28">
      <c r="A1783" t="s">
        <v>797</v>
      </c>
      <c r="B1783">
        <v>4</v>
      </c>
      <c r="C1783" t="s">
        <v>804</v>
      </c>
      <c r="D1783" t="s">
        <v>1152</v>
      </c>
      <c r="E1783" t="s">
        <v>804</v>
      </c>
      <c r="F1783" t="s">
        <v>1756</v>
      </c>
      <c r="G1783" t="s">
        <v>2767</v>
      </c>
      <c r="I1783">
        <f>_xlfn.XLOOKUP($F1783,設計座標!$E$13:$E$2301,設計座標!$G$13:$G$2301,"n/a",0,1)</f>
        <v>538.77029636136956</v>
      </c>
      <c r="J1783">
        <f>_xlfn.XLOOKUP($F1783,設計座標!$E$13:$E$2301,設計座標!$H$13:$H$2301,"n/a",0,1)</f>
        <v>-15000</v>
      </c>
      <c r="K1783">
        <f>_xlfn.XLOOKUP($F1783,設計座標!$E$13:$E$2301,設計座標!$I$13:$I$2301,"n/a",0,1)</f>
        <v>-274293.95549545996</v>
      </c>
      <c r="L1783">
        <f>_xlfn.XLOOKUP($F1783,設計座標!$E$13:$E$2301,設計座標!$J$13:$J$2301,"n/a",0,1)</f>
        <v>-270</v>
      </c>
      <c r="M1783" s="2">
        <f t="shared" si="1368"/>
        <v>-14963.296616613772</v>
      </c>
      <c r="N1783" s="2">
        <f t="shared" si="1369"/>
        <v>-274293.95549545996</v>
      </c>
      <c r="O1783" s="23">
        <f t="shared" si="1370"/>
        <v>-272.01909920225285</v>
      </c>
      <c r="P1783" s="1">
        <f t="shared" si="1371"/>
        <v>-269.73142111279327</v>
      </c>
      <c r="Q1783" s="1">
        <f t="shared" si="1375"/>
        <v>36.703383386227991</v>
      </c>
      <c r="R1783">
        <f t="shared" si="1386"/>
        <v>0</v>
      </c>
      <c r="S1783" s="23">
        <f t="shared" si="1374"/>
        <v>-2.0190992022528711</v>
      </c>
      <c r="T1783">
        <f>$S1783+測地線補正!$Q$26*(lattice!$N1783/1000)^3+測地線補正!$P$26*(lattice!$N1783/1000)^2+測地線補正!$O$26*(lattice!$N1783/1000)+測地線補正!$N$26</f>
        <v>0.26857888720675738</v>
      </c>
      <c r="U1783">
        <f>-ATAN(($P$1785-$P$1783)/ABS($N$1785-$N$1783))</f>
        <v>-1.6604982137218648E-5</v>
      </c>
      <c r="V1783">
        <v>0</v>
      </c>
      <c r="W1783">
        <f>ATAN(($M$1785-$M$1783)/ABS($N$1785-$N$1783))</f>
        <v>1.431787939550983E-4</v>
      </c>
      <c r="X1783">
        <f>SQRT(($M$1783-$M$1782)^2+($N$1783-$N$1782)^2)</f>
        <v>209.9418021518924</v>
      </c>
      <c r="Y1783">
        <f>_xlfn.XLOOKUP($F1783,設計座標!$E$13:$E$2301,設計座標!$L$13:$L$2301," ",0,1)</f>
        <v>1889.4492</v>
      </c>
      <c r="Z1783">
        <f>SQRT(($M$1784-$M$1781)^2+($N$1784-$N$1781)^2)</f>
        <v>2099.3910215189367</v>
      </c>
    </row>
    <row r="1784" spans="1:28">
      <c r="A1784" t="s">
        <v>797</v>
      </c>
      <c r="B1784">
        <v>4</v>
      </c>
      <c r="C1784" t="s">
        <v>804</v>
      </c>
      <c r="D1784" t="s">
        <v>1152</v>
      </c>
      <c r="E1784" t="s">
        <v>804</v>
      </c>
      <c r="F1784" t="s">
        <v>1375</v>
      </c>
      <c r="G1784" t="s">
        <v>2767</v>
      </c>
      <c r="I1784">
        <f>_xlfn.XLOOKUP($F1784,設計座標!$E$13:$E$2301,設計座標!$G$13:$G$2301,"n/a",0,1)</f>
        <v>539.71502096136953</v>
      </c>
      <c r="J1784">
        <f>_xlfn.XLOOKUP($F1784,設計座標!$E$13:$E$2301,設計座標!$H$13:$H$2301,"n/a",0,1)</f>
        <v>-15000</v>
      </c>
      <c r="K1784">
        <f>_xlfn.XLOOKUP($F1784,設計座標!$E$13:$E$2301,設計座標!$I$13:$I$2301,"n/a",0,1)</f>
        <v>-275238.68009545997</v>
      </c>
      <c r="L1784">
        <f>_xlfn.XLOOKUP($F1784,設計座標!$E$13:$E$2301,設計座標!$J$13:$J$2301,"n/a",0,1)</f>
        <v>-270</v>
      </c>
      <c r="M1784" s="2">
        <f t="shared" si="1368"/>
        <v>-14963.161352084</v>
      </c>
      <c r="N1784" s="2">
        <f t="shared" si="1369"/>
        <v>-275238.68009545997</v>
      </c>
      <c r="O1784" s="23">
        <f t="shared" si="1370"/>
        <v>-271.99427537647961</v>
      </c>
      <c r="P1784" s="1">
        <f t="shared" si="1371"/>
        <v>-269.7156923362345</v>
      </c>
      <c r="Q1784" s="1">
        <f t="shared" si="1375"/>
        <v>36.838647916000411</v>
      </c>
      <c r="R1784">
        <f t="shared" si="1386"/>
        <v>0</v>
      </c>
      <c r="S1784" s="23">
        <f t="shared" si="1374"/>
        <v>-1.9942753764795842</v>
      </c>
      <c r="T1784">
        <f>$S1784+測地線補正!$Q$26*(lattice!$N1784/1000)^3+測地線補正!$P$26*(lattice!$N1784/1000)^2+測地線補正!$O$26*(lattice!$N1784/1000)+測地線補正!$N$26</f>
        <v>0.28430766376551708</v>
      </c>
      <c r="U1784">
        <f t="shared" ref="U1784:U1785" si="1391">-ATAN(($P$1785-$P$1783)/ABS($N$1785-$N$1783))</f>
        <v>-1.6604982137218648E-5</v>
      </c>
      <c r="V1784">
        <v>0</v>
      </c>
      <c r="W1784">
        <f t="shared" ref="W1784:W1785" si="1392">ATAN(($M$1785-$M$1783)/ABS($N$1785-$N$1783))</f>
        <v>1.431787939550983E-4</v>
      </c>
      <c r="X1784" t="s">
        <v>3860</v>
      </c>
      <c r="Y1784">
        <f>_xlfn.XLOOKUP($F1784,設計座標!$E$13:$E$2301,設計座標!$L$13:$L$2301," ",0,1)</f>
        <v>1889.4492</v>
      </c>
      <c r="Z1784">
        <f>SQRT(($M$1784-$M$1781)^2+($N$1784-$N$1781)^2)</f>
        <v>2099.3910215189367</v>
      </c>
    </row>
    <row r="1785" spans="1:28">
      <c r="A1785" t="s">
        <v>797</v>
      </c>
      <c r="B1785">
        <v>4</v>
      </c>
      <c r="C1785" t="s">
        <v>804</v>
      </c>
      <c r="D1785" t="s">
        <v>1152</v>
      </c>
      <c r="E1785" t="s">
        <v>804</v>
      </c>
      <c r="F1785" t="s">
        <v>1757</v>
      </c>
      <c r="G1785" t="s">
        <v>2767</v>
      </c>
      <c r="I1785">
        <f>_xlfn.XLOOKUP($F1785,設計座標!$E$13:$E$2301,設計座標!$G$13:$G$2301,"n/a",0,1)</f>
        <v>540.6597455613695</v>
      </c>
      <c r="J1785">
        <f>_xlfn.XLOOKUP($F1785,設計座標!$E$13:$E$2301,設計座標!$H$13:$H$2301,"n/a",0,1)</f>
        <v>-15000</v>
      </c>
      <c r="K1785">
        <f>_xlfn.XLOOKUP($F1785,設計座標!$E$13:$E$2301,設計座標!$I$13:$I$2301,"n/a",0,1)</f>
        <v>-276183.40469545999</v>
      </c>
      <c r="L1785">
        <f>_xlfn.XLOOKUP($F1785,設計座標!$E$13:$E$2301,設計座標!$J$13:$J$2301,"n/a",0,1)</f>
        <v>-270</v>
      </c>
      <c r="M1785" s="2">
        <f t="shared" si="1368"/>
        <v>-14963.026087554228</v>
      </c>
      <c r="N1785" s="2">
        <f t="shared" si="1369"/>
        <v>-276183.40469545999</v>
      </c>
      <c r="O1785" s="23">
        <f t="shared" si="1370"/>
        <v>-271.96945155070631</v>
      </c>
      <c r="P1785" s="1">
        <f t="shared" si="1371"/>
        <v>-269.7000468425752</v>
      </c>
      <c r="Q1785" s="1">
        <f t="shared" si="1375"/>
        <v>36.973912445772832</v>
      </c>
      <c r="R1785">
        <f t="shared" si="1386"/>
        <v>0</v>
      </c>
      <c r="S1785" s="23">
        <f t="shared" si="1374"/>
        <v>-1.9694515507062973</v>
      </c>
      <c r="T1785">
        <f>$S1785+測地線補正!$Q$26*(lattice!$N1785/1000)^3+測地線補正!$P$26*(lattice!$N1785/1000)^2+測地線補正!$O$26*(lattice!$N1785/1000)+測地線補正!$N$26</f>
        <v>0.29995315742478978</v>
      </c>
      <c r="U1785">
        <f t="shared" si="1391"/>
        <v>-1.6604982137218648E-5</v>
      </c>
      <c r="V1785">
        <v>0</v>
      </c>
      <c r="W1785">
        <f t="shared" si="1392"/>
        <v>1.431787939550983E-4</v>
      </c>
      <c r="X1785" t="s">
        <v>3860</v>
      </c>
      <c r="Y1785">
        <f>_xlfn.XLOOKUP($F1785,設計座標!$E$13:$E$2301,設計座標!$L$13:$L$2301," ",0,1)</f>
        <v>1889.4492</v>
      </c>
      <c r="Z1785">
        <f>SQRT(($M$1784-$M$1781)^2+($N$1784-$N$1781)^2)</f>
        <v>2099.3910215189367</v>
      </c>
    </row>
    <row r="1786" spans="1:28">
      <c r="A1786" t="s">
        <v>797</v>
      </c>
      <c r="B1786">
        <v>4</v>
      </c>
      <c r="C1786" t="s">
        <v>1152</v>
      </c>
      <c r="D1786" t="s">
        <v>1152</v>
      </c>
      <c r="E1786" t="s">
        <v>804</v>
      </c>
      <c r="F1786" t="s">
        <v>2173</v>
      </c>
      <c r="G1786" t="s">
        <v>2173</v>
      </c>
      <c r="I1786">
        <f>_xlfn.XLOOKUP($F1786,設計座標!$E$13:$E$2301,設計座標!$G$13:$G$2301,"n/a",0,1)</f>
        <v>540.81224146136958</v>
      </c>
      <c r="J1786">
        <f>_xlfn.XLOOKUP($F1786,設計座標!$E$13:$E$2301,設計座標!$H$13:$H$2301,"n/a",0,1)</f>
        <v>-15000</v>
      </c>
      <c r="K1786">
        <f>_xlfn.XLOOKUP($F1786,設計座標!$E$13:$E$2301,設計座標!$I$13:$I$2301,"n/a",0,1)</f>
        <v>-276335.90059545997</v>
      </c>
      <c r="L1786">
        <f>_xlfn.XLOOKUP($F1786,設計座標!$E$13:$E$2301,設計座標!$J$13:$J$2301,"n/a",0,1)</f>
        <v>-270</v>
      </c>
      <c r="M1786" s="2">
        <f t="shared" si="1368"/>
        <v>-14963.004253375033</v>
      </c>
      <c r="N1786" s="2">
        <f t="shared" si="1369"/>
        <v>-276335.90059545997</v>
      </c>
      <c r="O1786" s="23">
        <f t="shared" si="1370"/>
        <v>-271.96544452934501</v>
      </c>
      <c r="P1786" s="1">
        <f t="shared" si="1371"/>
        <v>-269.69752913291723</v>
      </c>
      <c r="Q1786" s="1">
        <f t="shared" si="1375"/>
        <v>36.99574662496719</v>
      </c>
      <c r="R1786">
        <f t="shared" si="1386"/>
        <v>0</v>
      </c>
      <c r="S1786" s="23">
        <f t="shared" si="1374"/>
        <v>-1.9654445293450031</v>
      </c>
      <c r="T1786">
        <f>$S1786+測地線補正!$Q$26*(lattice!$N1786/1000)^3+測地線補正!$P$26*(lattice!$N1786/1000)^2+測地線補正!$O$26*(lattice!$N1786/1000)+測地線補正!$N$26</f>
        <v>0.30247086708274806</v>
      </c>
      <c r="U1786">
        <v>0</v>
      </c>
      <c r="V1786">
        <v>0</v>
      </c>
      <c r="W1786">
        <v>0</v>
      </c>
      <c r="X1786">
        <f>SQRT(($M$1786-$M$1785)^2+($N$1786-$N$1785)^2)</f>
        <v>152.49590156307562</v>
      </c>
      <c r="Y1786">
        <f>_xlfn.XLOOKUP($F1786,設計座標!$E$13:$E$2301,設計座標!$L$13:$L$2301," ",0,1)</f>
        <v>0</v>
      </c>
      <c r="Z1786">
        <f>SQRT(($M$1786-$M$1784)^2+($N$1786-$N$1784)^2)</f>
        <v>1097.2205112465977</v>
      </c>
    </row>
    <row r="1787" spans="1:28">
      <c r="A1787" t="s">
        <v>797</v>
      </c>
      <c r="B1787">
        <v>4</v>
      </c>
      <c r="C1787" t="s">
        <v>805</v>
      </c>
      <c r="D1787" t="s">
        <v>806</v>
      </c>
      <c r="F1787" t="s">
        <v>445</v>
      </c>
      <c r="G1787" t="s">
        <v>2768</v>
      </c>
      <c r="I1787">
        <f>_xlfn.XLOOKUP($F1787,設計座標!$E$13:$E$2301,設計座標!$G$13:$G$2301,"n/a",0,1)</f>
        <v>540.92082399999993</v>
      </c>
      <c r="J1787">
        <f>_xlfn.XLOOKUP($F1787,設計座標!$E$13:$E$2301,設計座標!$H$13:$H$2301,"n/a",0,1)</f>
        <v>-15000</v>
      </c>
      <c r="K1787">
        <f>_xlfn.XLOOKUP($F1787,設計座標!$E$13:$E$2301,設計座標!$I$13:$I$2301,"n/a",0,1)</f>
        <v>-276556.49439950002</v>
      </c>
      <c r="L1787">
        <f>_xlfn.XLOOKUP($F1787,設計座標!$E$13:$E$2301,設計座標!$J$13:$J$2301,"n/a",0,1)</f>
        <v>-50</v>
      </c>
      <c r="M1787" s="2">
        <f>_xlfn.XLOOKUP($F1787,survey_data!$A$2:$A$833,survey_data!$B$2:$B$833,"n/a",0,1)</f>
        <v>-14962.97266902</v>
      </c>
      <c r="N1787" s="2">
        <f>_xlfn.XLOOKUP($F1787,survey_data!$A$2:$A$833,survey_data!$C$2:$C$833,"n/a",0,1)</f>
        <v>-276556.49439950002</v>
      </c>
      <c r="O1787" s="23">
        <f>_xlfn.XLOOKUP($F1787,survey_data!$A$2:$A$833,survey_data!$D$2:$D$833,"n/a",0,1)</f>
        <v>-51.95964815</v>
      </c>
      <c r="P1787" s="1">
        <f t="shared" si="1371"/>
        <v>-49.693890928215581</v>
      </c>
      <c r="Q1787" s="1">
        <f t="shared" ref="Q1787:Q1834" si="1393">$M1787-$J1787</f>
        <v>37.027330979999533</v>
      </c>
      <c r="R1787">
        <f t="shared" si="1386"/>
        <v>0</v>
      </c>
      <c r="S1787" s="23">
        <f t="shared" ref="S1787:S1834" si="1394">$O1787-$L1787</f>
        <v>-1.9596481499999996</v>
      </c>
      <c r="T1787">
        <f>$S1787+測地線補正!$Q$26*(lattice!$N1787/1000)^3+測地線補正!$P$26*(lattice!$N1787/1000)^2+測地線補正!$O$26*(lattice!$N1787/1000)+測地線補正!$N$26</f>
        <v>0.30610907178442281</v>
      </c>
      <c r="U1787">
        <f>-ATAN(($P$1789-$P$1787)/ABS($N$1789-$N$1787))</f>
        <v>2.8418338956701745E-4</v>
      </c>
      <c r="V1787">
        <v>0</v>
      </c>
      <c r="W1787">
        <f>ATAN(($M$1789-$M$1787)/ABS($N$1789-$N$1787))</f>
        <v>3.1244624109559634E-5</v>
      </c>
      <c r="X1787">
        <f>$Z$1788-($Y$1788+$Y$1786)/2</f>
        <v>195.59130598713472</v>
      </c>
      <c r="Y1787">
        <f>_xlfn.XLOOKUP($F1787,設計座標!$E$13:$E$2301,設計座標!$L$13:$L$2301," ",0,1)</f>
        <v>200</v>
      </c>
      <c r="Z1787">
        <f>SQRT(($M$1788-$M$1786)^2+($N$1788-$N$1786)^2)</f>
        <v>295.59130598713472</v>
      </c>
      <c r="AA1787">
        <f>_xlfn.XLOOKUP($G1787,magnet_list!$A$2:$A$592,magnet_list!$AJ$2:$AJ$592,"n/a",0,1)</f>
        <v>0.21244935000000001</v>
      </c>
      <c r="AB1787">
        <f>_xlfn.XLOOKUP($G1787,magnet_list!$A$2:$A$592,magnet_list!$L$2:$L$592,"n/a",0,1)</f>
        <v>20</v>
      </c>
    </row>
    <row r="1788" spans="1:28">
      <c r="A1788" t="s">
        <v>797</v>
      </c>
      <c r="B1788">
        <v>4</v>
      </c>
      <c r="C1788" t="s">
        <v>805</v>
      </c>
      <c r="D1788" t="s">
        <v>1152</v>
      </c>
      <c r="E1788" t="s">
        <v>804</v>
      </c>
      <c r="F1788" t="s">
        <v>782</v>
      </c>
      <c r="G1788" t="s">
        <v>2768</v>
      </c>
      <c r="I1788">
        <f>_xlfn.XLOOKUP($F1788,設計座標!$E$13:$E$2301,設計座標!$G$13:$G$2301,"n/a",0,1)</f>
        <v>540.99582149999981</v>
      </c>
      <c r="J1788">
        <f>_xlfn.XLOOKUP($F1788,設計座標!$E$13:$E$2301,設計座標!$H$13:$H$2301,"n/a",0,1)</f>
        <v>-15000</v>
      </c>
      <c r="K1788">
        <f>_xlfn.XLOOKUP($F1788,設計座標!$E$13:$E$2301,設計座標!$I$13:$I$2301,"n/a",0,1)</f>
        <v>-276631.49189950002</v>
      </c>
      <c r="L1788">
        <f>_xlfn.XLOOKUP($F1788,設計座標!$E$13:$E$2301,設計座標!$J$13:$J$2301,"n/a",0,1)</f>
        <v>-50</v>
      </c>
      <c r="M1788" s="2">
        <f t="shared" si="1368"/>
        <v>-14962.970325751303</v>
      </c>
      <c r="N1788" s="2">
        <f t="shared" si="1369"/>
        <v>-276631.49189950002</v>
      </c>
      <c r="O1788" s="23">
        <f t="shared" si="1370"/>
        <v>-51.98022617590231</v>
      </c>
      <c r="P1788" s="1">
        <f t="shared" si="1371"/>
        <v>-49.715203713378166</v>
      </c>
      <c r="Q1788" s="1">
        <f>(Q$1789-Q$1787)/($N$1789-$N$1787)*($N1788-$N$1787)+Q$1787</f>
        <v>37.029674248696949</v>
      </c>
      <c r="R1788">
        <f t="shared" si="1386"/>
        <v>0</v>
      </c>
      <c r="S1788" s="23">
        <f>(S$1789-S$1787)/($N$1789-$N$1787)*($N1788-$N$1787)+S$1787</f>
        <v>-1.9802261759023065</v>
      </c>
      <c r="T1788">
        <f>$S1788+測地線補正!$Q$26*(lattice!$N1788/1000)^3+測地線補正!$P$26*(lattice!$N1788/1000)^2+測地線補正!$O$26*(lattice!$N1788/1000)+測地線補正!$N$26</f>
        <v>0.28479628662183543</v>
      </c>
      <c r="U1788">
        <f t="shared" ref="U1788:U1789" si="1395">-ATAN(($P$1789-$P$1787)/ABS($N$1789-$N$1787))</f>
        <v>2.8418338956701745E-4</v>
      </c>
      <c r="V1788">
        <v>0</v>
      </c>
      <c r="W1788">
        <f t="shared" ref="W1788:W1789" si="1396">ATAN(($M$1789-$M$1787)/ABS($N$1789-$N$1787))</f>
        <v>3.1244624109559634E-5</v>
      </c>
      <c r="X1788">
        <f>$Z$1788-($Y$1788+$Y$1786)/2</f>
        <v>195.59130598713472</v>
      </c>
      <c r="Y1788">
        <f>_xlfn.XLOOKUP($F1788,設計座標!$E$13:$E$2301,設計座標!$L$13:$L$2301," ",0,1)</f>
        <v>200</v>
      </c>
      <c r="Z1788">
        <f>SQRT(($M$1788-$M$1786)^2+($N$1788-$N$1786)^2)</f>
        <v>295.59130598713472</v>
      </c>
      <c r="AA1788">
        <f>_xlfn.XLOOKUP($G1788,magnet_list!$A$2:$A$592,magnet_list!$AJ$2:$AJ$592,"n/a",0,1)</f>
        <v>0.21244935000000001</v>
      </c>
      <c r="AB1788">
        <f>_xlfn.XLOOKUP($G1788,magnet_list!$A$2:$A$592,magnet_list!$L$2:$L$592,"n/a",0,1)</f>
        <v>20</v>
      </c>
    </row>
    <row r="1789" spans="1:28">
      <c r="A1789" t="s">
        <v>797</v>
      </c>
      <c r="B1789">
        <v>4</v>
      </c>
      <c r="C1789" t="s">
        <v>805</v>
      </c>
      <c r="D1789" t="s">
        <v>806</v>
      </c>
      <c r="F1789" t="s">
        <v>446</v>
      </c>
      <c r="G1789" t="s">
        <v>2768</v>
      </c>
      <c r="I1789">
        <f>_xlfn.XLOOKUP($F1789,設計座標!$E$13:$E$2301,設計座標!$G$13:$G$2301,"n/a",0,1)</f>
        <v>541.07081899999991</v>
      </c>
      <c r="J1789">
        <f>_xlfn.XLOOKUP($F1789,設計座標!$E$13:$E$2301,設計座標!$H$13:$H$2301,"n/a",0,1)</f>
        <v>-15000</v>
      </c>
      <c r="K1789">
        <f>_xlfn.XLOOKUP($F1789,設計座標!$E$13:$E$2301,設計座標!$I$13:$I$2301,"n/a",0,1)</f>
        <v>-276706.46963950002</v>
      </c>
      <c r="L1789">
        <f>_xlfn.XLOOKUP($F1789,設計座標!$E$13:$E$2301,設計座標!$J$13:$J$2301,"n/a",0,1)</f>
        <v>-50</v>
      </c>
      <c r="M1789" s="2">
        <f>_xlfn.XLOOKUP($F1789,survey_data!$A$2:$A$833,survey_data!$B$2:$B$833,"n/a",0,1)</f>
        <v>-14962.967983099999</v>
      </c>
      <c r="N1789" s="2">
        <f>_xlfn.XLOOKUP($F1789,survey_data!$A$2:$A$833,survey_data!$C$2:$C$833,"n/a",0,1)</f>
        <v>-276706.46963950002</v>
      </c>
      <c r="O1789" s="23">
        <f>_xlfn.XLOOKUP($F1789,survey_data!$A$2:$A$833,survey_data!$D$2:$D$833,"n/a",0,1)</f>
        <v>-52.000798779999997</v>
      </c>
      <c r="P1789" s="1">
        <f t="shared" si="1371"/>
        <v>-49.736511401417253</v>
      </c>
      <c r="Q1789" s="1">
        <f t="shared" si="1393"/>
        <v>37.032016900000599</v>
      </c>
      <c r="R1789">
        <f t="shared" si="1386"/>
        <v>0</v>
      </c>
      <c r="S1789" s="23">
        <f t="shared" si="1394"/>
        <v>-2.0007987799999967</v>
      </c>
      <c r="T1789">
        <f>$S1789+測地線補正!$Q$26*(lattice!$N1789/1000)^3+測地線補正!$P$26*(lattice!$N1789/1000)^2+測地線補正!$O$26*(lattice!$N1789/1000)+測地線補正!$N$26</f>
        <v>0.26348859858274465</v>
      </c>
      <c r="U1789">
        <f t="shared" si="1395"/>
        <v>2.8418338956701745E-4</v>
      </c>
      <c r="V1789">
        <v>0</v>
      </c>
      <c r="W1789">
        <f t="shared" si="1396"/>
        <v>3.1244624109559634E-5</v>
      </c>
      <c r="X1789">
        <f>$Z$1788-($Y$1788+$Y$1786)/2</f>
        <v>195.59130598713472</v>
      </c>
      <c r="Y1789">
        <f>_xlfn.XLOOKUP($F1789,設計座標!$E$13:$E$2301,設計座標!$L$13:$L$2301," ",0,1)</f>
        <v>200</v>
      </c>
      <c r="Z1789">
        <f>SQRT(($M$1788-$M$1786)^2+($N$1788-$N$1786)^2)</f>
        <v>295.59130598713472</v>
      </c>
      <c r="AA1789">
        <f>_xlfn.XLOOKUP($G1789,magnet_list!$A$2:$A$592,magnet_list!$AJ$2:$AJ$592,"n/a",0,1)</f>
        <v>0.21244935000000001</v>
      </c>
      <c r="AB1789">
        <f>_xlfn.XLOOKUP($G1789,magnet_list!$A$2:$A$592,magnet_list!$L$2:$L$592,"n/a",0,1)</f>
        <v>20</v>
      </c>
    </row>
    <row r="1790" spans="1:28">
      <c r="A1790" t="s">
        <v>797</v>
      </c>
      <c r="B1790">
        <v>4</v>
      </c>
      <c r="C1790" t="s">
        <v>805</v>
      </c>
      <c r="D1790" t="s">
        <v>806</v>
      </c>
      <c r="F1790" t="s">
        <v>447</v>
      </c>
      <c r="G1790" t="s">
        <v>447</v>
      </c>
      <c r="I1790">
        <f>_xlfn.XLOOKUP($F1790,設計座標!$E$13:$E$2301,設計座標!$G$13:$G$2301,"n/a",0,1)</f>
        <v>541.32585499999982</v>
      </c>
      <c r="J1790">
        <f>_xlfn.XLOOKUP($F1790,設計座標!$E$13:$E$2301,設計座標!$H$13:$H$2301,"n/a",0,1)</f>
        <v>-15000</v>
      </c>
      <c r="K1790">
        <f>_xlfn.XLOOKUP($F1790,設計座標!$E$13:$E$2301,設計座標!$I$13:$I$2301,"n/a",0,1)</f>
        <v>-276961.50386805</v>
      </c>
      <c r="L1790">
        <f>_xlfn.XLOOKUP($F1790,設計座標!$E$13:$E$2301,設計座標!$J$13:$J$2301,"n/a",0,1)</f>
        <v>-90</v>
      </c>
      <c r="M1790" s="2">
        <f>_xlfn.XLOOKUP($F1790,survey_data!$A$2:$A$833,survey_data!$B$2:$B$833,"n/a",0,1)</f>
        <v>-14962.80128618</v>
      </c>
      <c r="N1790" s="2">
        <f>_xlfn.XLOOKUP($F1790,survey_data!$A$2:$A$833,survey_data!$C$2:$C$833,"n/a",0,1)</f>
        <v>-276961.50386805</v>
      </c>
      <c r="O1790" s="23">
        <f>_xlfn.XLOOKUP($F1790,survey_data!$A$2:$A$833,survey_data!$D$2:$D$833,"n/a",0,1)</f>
        <v>-92.075121539999998</v>
      </c>
      <c r="P1790" s="1">
        <f t="shared" si="1371"/>
        <v>-89.81333839890695</v>
      </c>
      <c r="Q1790" s="1">
        <f t="shared" si="1393"/>
        <v>37.198713820000194</v>
      </c>
      <c r="R1790">
        <f t="shared" si="1386"/>
        <v>0</v>
      </c>
      <c r="S1790" s="23">
        <f t="shared" si="1394"/>
        <v>-2.0751215399999978</v>
      </c>
      <c r="T1790">
        <f>$S1790+測地線補正!$Q$26*(lattice!$N1790/1000)^3+測地線補正!$P$26*(lattice!$N1790/1000)^2+測地線補正!$O$26*(lattice!$N1790/1000)+測地線補正!$N$26</f>
        <v>0.18666160109304974</v>
      </c>
      <c r="U1790">
        <v>0</v>
      </c>
      <c r="V1790">
        <v>0</v>
      </c>
      <c r="W1790">
        <v>0</v>
      </c>
      <c r="X1790">
        <f>$Z$1791-($Y$1791+$Y$1788)/2</f>
        <v>190.01201184291835</v>
      </c>
      <c r="Y1790">
        <f>_xlfn.XLOOKUP($F1790,設計座標!$E$13:$E$2301,設計座標!$L$13:$L$2301," ",0,1)</f>
        <v>80</v>
      </c>
      <c r="Z1790">
        <f>SQRT(($M$1791-$M$1788)^2+($N$1791-$N$1788)^2)</f>
        <v>330.01201184291835</v>
      </c>
      <c r="AA1790">
        <f>_xlfn.XLOOKUP($G1790,magnet_list!$A$2:$A$592,magnet_list!$AJ$2:$AJ$592,"n/a",0,1)</f>
        <v>0.1074008800631841</v>
      </c>
      <c r="AB1790">
        <f>_xlfn.XLOOKUP($G1790,magnet_list!$A$2:$A$592,magnet_list!$L$2:$L$592,"n/a",0,1)</f>
        <v>20</v>
      </c>
    </row>
    <row r="1791" spans="1:28">
      <c r="A1791" t="s">
        <v>797</v>
      </c>
      <c r="B1791">
        <v>4</v>
      </c>
      <c r="C1791" t="s">
        <v>805</v>
      </c>
      <c r="D1791" t="s">
        <v>1152</v>
      </c>
      <c r="E1791" t="s">
        <v>804</v>
      </c>
      <c r="F1791" t="s">
        <v>1901</v>
      </c>
      <c r="G1791" t="s">
        <v>447</v>
      </c>
      <c r="I1791">
        <f>_xlfn.XLOOKUP($F1791,設計座標!$E$13:$E$2301,設計座標!$G$13:$G$2301,"n/a",0,1)</f>
        <v>541.32585499999982</v>
      </c>
      <c r="J1791">
        <f>_xlfn.XLOOKUP($F1791,設計座標!$E$13:$E$2301,設計座標!$H$13:$H$2301,"n/a",0,1)</f>
        <v>-15000</v>
      </c>
      <c r="K1791">
        <f>_xlfn.XLOOKUP($F1791,設計座標!$E$13:$E$2301,設計座標!$I$13:$I$2301,"n/a",0,1)</f>
        <v>-276961.50386805</v>
      </c>
      <c r="L1791">
        <f>_xlfn.XLOOKUP($F1791,設計座標!$E$13:$E$2301,設計座標!$J$13:$J$2301,"n/a",0,1)</f>
        <v>-90</v>
      </c>
      <c r="M1791" s="2">
        <f t="shared" ref="M1791:M1826" si="1397">$J1791+$Q1791</f>
        <v>-14962.80128618</v>
      </c>
      <c r="N1791" s="2">
        <f t="shared" ref="N1791:N1826" si="1398">$K1791</f>
        <v>-276961.50386805</v>
      </c>
      <c r="O1791" s="23">
        <f t="shared" ref="O1791:O1826" si="1399">$L1791+$S1791</f>
        <v>-92.075121539999998</v>
      </c>
      <c r="P1791" s="1">
        <f t="shared" si="1371"/>
        <v>-89.81333839890695</v>
      </c>
      <c r="Q1791" s="1">
        <f>(Q$1792-Q$1790)/($N$1792-$N$1790)*($N1791-$N$1790)+Q$1790</f>
        <v>37.198713820000194</v>
      </c>
      <c r="R1791">
        <f t="shared" si="1386"/>
        <v>0</v>
      </c>
      <c r="S1791" s="23">
        <f>(S$1792-S$1790)/($N$1792-$N$1790)*($N1791-$N$1790)+S$1790</f>
        <v>-2.0751215399999978</v>
      </c>
      <c r="T1791">
        <f>$S1791+測地線補正!$Q$26*(lattice!$N1791/1000)^3+測地線補正!$P$26*(lattice!$N1791/1000)^2+測地線補正!$O$26*(lattice!$N1791/1000)+測地線補正!$N$26</f>
        <v>0.18666160109304974</v>
      </c>
      <c r="U1791">
        <v>0</v>
      </c>
      <c r="V1791">
        <v>0</v>
      </c>
      <c r="W1791">
        <v>0</v>
      </c>
      <c r="X1791">
        <f>$Z$1791-($Y$1791+$Y$1788)/2</f>
        <v>190.01201184291835</v>
      </c>
      <c r="Y1791">
        <f>_xlfn.XLOOKUP($F1791,設計座標!$E$13:$E$2301,設計座標!$L$13:$L$2301," ",0,1)</f>
        <v>80</v>
      </c>
      <c r="Z1791">
        <f>SQRT(($M$1791-$M$1788)^2+($N$1791-$N$1788)^2)</f>
        <v>330.01201184291835</v>
      </c>
      <c r="AA1791">
        <f>_xlfn.XLOOKUP($G1791,magnet_list!$A$2:$A$592,magnet_list!$AJ$2:$AJ$592,"n/a",0,1)</f>
        <v>0.1074008800631841</v>
      </c>
      <c r="AB1791">
        <f>_xlfn.XLOOKUP($G1791,magnet_list!$A$2:$A$592,magnet_list!$L$2:$L$592,"n/a",0,1)</f>
        <v>20</v>
      </c>
    </row>
    <row r="1792" spans="1:28">
      <c r="A1792" t="s">
        <v>797</v>
      </c>
      <c r="B1792">
        <v>4</v>
      </c>
      <c r="C1792" t="s">
        <v>805</v>
      </c>
      <c r="D1792" t="s">
        <v>806</v>
      </c>
      <c r="F1792" t="s">
        <v>448</v>
      </c>
      <c r="G1792" t="s">
        <v>448</v>
      </c>
      <c r="I1792">
        <f>_xlfn.XLOOKUP($F1792,設計座標!$E$13:$E$2301,設計座標!$G$13:$G$2301,"n/a",0,1)</f>
        <v>541.52577299999984</v>
      </c>
      <c r="J1792">
        <f>_xlfn.XLOOKUP($F1792,設計座標!$E$13:$E$2301,設計座標!$H$13:$H$2301,"n/a",0,1)</f>
        <v>-15000</v>
      </c>
      <c r="K1792">
        <f>_xlfn.XLOOKUP($F1792,設計座標!$E$13:$E$2301,設計座標!$I$13:$I$2301,"n/a",0,1)</f>
        <v>-277161.43484454998</v>
      </c>
      <c r="L1792">
        <f>_xlfn.XLOOKUP($F1792,設計座標!$E$13:$E$2301,設計座標!$J$13:$J$2301,"n/a",0,1)</f>
        <v>-90</v>
      </c>
      <c r="M1792" s="2">
        <f>_xlfn.XLOOKUP($F1792,survey_data!$A$2:$A$833,survey_data!$B$2:$B$833,"n/a",0,1)</f>
        <v>-14962.679013229999</v>
      </c>
      <c r="N1792" s="2">
        <f>_xlfn.XLOOKUP($F1792,survey_data!$A$2:$A$833,survey_data!$C$2:$C$833,"n/a",0,1)</f>
        <v>-277161.43484454998</v>
      </c>
      <c r="O1792" s="23">
        <f>_xlfn.XLOOKUP($F1792,survey_data!$A$2:$A$833,survey_data!$D$2:$D$833,"n/a",0,1)</f>
        <v>-92.096995750000005</v>
      </c>
      <c r="P1792" s="1">
        <f t="shared" si="1371"/>
        <v>-89.837179956254715</v>
      </c>
      <c r="Q1792" s="1">
        <f t="shared" si="1393"/>
        <v>37.320986770000673</v>
      </c>
      <c r="R1792">
        <f t="shared" si="1386"/>
        <v>0</v>
      </c>
      <c r="S1792" s="23">
        <f t="shared" si="1394"/>
        <v>-2.0969957500000049</v>
      </c>
      <c r="T1792">
        <f>$S1792+測地線補正!$Q$26*(lattice!$N1792/1000)^3+測地線補正!$P$26*(lattice!$N1792/1000)^2+測地線補正!$O$26*(lattice!$N1792/1000)+測地線補正!$N$26</f>
        <v>0.16282004374529158</v>
      </c>
      <c r="U1792">
        <v>0</v>
      </c>
      <c r="V1792">
        <v>0</v>
      </c>
      <c r="W1792">
        <v>0</v>
      </c>
      <c r="X1792">
        <f>$Z$1793-($Y$1793+$Y$1791)/2</f>
        <v>119.93101388956404</v>
      </c>
      <c r="Y1792">
        <f>_xlfn.XLOOKUP($F1792,設計座標!$E$13:$E$2301,設計座標!$L$13:$L$2301," ",0,1)</f>
        <v>80</v>
      </c>
      <c r="Z1792">
        <f>SQRT(($M$1793-$M$1791)^2+($N$1793-$N$1791)^2)</f>
        <v>199.93101388956404</v>
      </c>
      <c r="AA1792">
        <f>_xlfn.XLOOKUP($G1792,magnet_list!$A$2:$A$592,magnet_list!$AJ$2:$AJ$592,"n/a",0,1)</f>
        <v>0.1074008800631841</v>
      </c>
      <c r="AB1792">
        <f>_xlfn.XLOOKUP($G1792,magnet_list!$A$2:$A$592,magnet_list!$L$2:$L$592,"n/a",0,1)</f>
        <v>20</v>
      </c>
    </row>
    <row r="1793" spans="1:28">
      <c r="A1793" t="s">
        <v>797</v>
      </c>
      <c r="B1793">
        <v>4</v>
      </c>
      <c r="C1793" t="s">
        <v>805</v>
      </c>
      <c r="D1793" t="s">
        <v>1152</v>
      </c>
      <c r="E1793" t="s">
        <v>804</v>
      </c>
      <c r="F1793" t="s">
        <v>1902</v>
      </c>
      <c r="G1793" t="s">
        <v>448</v>
      </c>
      <c r="I1793">
        <f>_xlfn.XLOOKUP($F1793,設計座標!$E$13:$E$2301,設計座標!$G$13:$G$2301,"n/a",0,1)</f>
        <v>541.52577299999984</v>
      </c>
      <c r="J1793">
        <f>_xlfn.XLOOKUP($F1793,設計座標!$E$13:$E$2301,設計座標!$H$13:$H$2301,"n/a",0,1)</f>
        <v>-15000</v>
      </c>
      <c r="K1793">
        <f>_xlfn.XLOOKUP($F1793,設計座標!$E$13:$E$2301,設計座標!$I$13:$I$2301,"n/a",0,1)</f>
        <v>-277161.43484454998</v>
      </c>
      <c r="L1793">
        <f>_xlfn.XLOOKUP($F1793,設計座標!$E$13:$E$2301,設計座標!$J$13:$J$2301,"n/a",0,1)</f>
        <v>-90</v>
      </c>
      <c r="M1793" s="2">
        <f t="shared" si="1397"/>
        <v>-14962.679013229999</v>
      </c>
      <c r="N1793" s="2">
        <f t="shared" si="1398"/>
        <v>-277161.43484454998</v>
      </c>
      <c r="O1793" s="23">
        <f t="shared" si="1399"/>
        <v>-92.096995750000005</v>
      </c>
      <c r="P1793" s="1">
        <f t="shared" si="1371"/>
        <v>-89.837179956254715</v>
      </c>
      <c r="Q1793" s="1">
        <f>(Q$1794-Q$1792)/($N$1794-$N$1792)*($N1793-$N$1792)+Q$1792</f>
        <v>37.320986770000673</v>
      </c>
      <c r="R1793">
        <f t="shared" si="1386"/>
        <v>0</v>
      </c>
      <c r="S1793" s="23">
        <f>(S$1794-S$1792)/($N$1794-$N$1792)*($N1793-$N$1792)+S$1792</f>
        <v>-2.0969957500000049</v>
      </c>
      <c r="T1793">
        <f>$S1793+測地線補正!$Q$26*(lattice!$N1793/1000)^3+測地線補正!$P$26*(lattice!$N1793/1000)^2+測地線補正!$O$26*(lattice!$N1793/1000)+測地線補正!$N$26</f>
        <v>0.16282004374529158</v>
      </c>
      <c r="U1793">
        <v>0</v>
      </c>
      <c r="V1793">
        <v>0</v>
      </c>
      <c r="W1793">
        <v>0</v>
      </c>
      <c r="X1793">
        <f>$Z$1793-($Y$1793+$Y$1791)/2</f>
        <v>119.93101388956404</v>
      </c>
      <c r="Y1793">
        <f>_xlfn.XLOOKUP($F1793,設計座標!$E$13:$E$2301,設計座標!$L$13:$L$2301," ",0,1)</f>
        <v>80</v>
      </c>
      <c r="Z1793">
        <f>SQRT(($M$1793-$M$1791)^2+($N$1793-$N$1791)^2)</f>
        <v>199.93101388956404</v>
      </c>
      <c r="AA1793">
        <f>_xlfn.XLOOKUP($G1793,magnet_list!$A$2:$A$592,magnet_list!$AJ$2:$AJ$592,"n/a",0,1)</f>
        <v>0.1074008800631841</v>
      </c>
      <c r="AB1793">
        <f>_xlfn.XLOOKUP($G1793,magnet_list!$A$2:$A$592,magnet_list!$L$2:$L$592,"n/a",0,1)</f>
        <v>20</v>
      </c>
    </row>
    <row r="1794" spans="1:28">
      <c r="A1794" t="s">
        <v>797</v>
      </c>
      <c r="B1794">
        <v>4</v>
      </c>
      <c r="C1794" t="s">
        <v>805</v>
      </c>
      <c r="D1794" t="s">
        <v>806</v>
      </c>
      <c r="F1794" t="s">
        <v>449</v>
      </c>
      <c r="G1794" t="s">
        <v>2769</v>
      </c>
      <c r="I1794">
        <f>_xlfn.XLOOKUP($F1794,設計座標!$E$13:$E$2301,設計座標!$G$13:$G$2301,"n/a",0,1)</f>
        <v>541.78077299999984</v>
      </c>
      <c r="J1794">
        <f>_xlfn.XLOOKUP($F1794,設計座標!$E$13:$E$2301,設計座標!$H$13:$H$2301,"n/a",0,1)</f>
        <v>-15000</v>
      </c>
      <c r="K1794">
        <f>_xlfn.XLOOKUP($F1794,設計座標!$E$13:$E$2301,設計座標!$I$13:$I$2301,"n/a",0,1)</f>
        <v>-277416.44731649</v>
      </c>
      <c r="L1794">
        <f>_xlfn.XLOOKUP($F1794,設計座標!$E$13:$E$2301,設計座標!$J$13:$J$2301,"n/a",0,1)</f>
        <v>-50</v>
      </c>
      <c r="M1794" s="2">
        <f>_xlfn.XLOOKUP($F1794,survey_data!$A$2:$A$833,survey_data!$B$2:$B$833,"n/a",0,1)</f>
        <v>-14962.609106129999</v>
      </c>
      <c r="N1794" s="2">
        <f>_xlfn.XLOOKUP($F1794,survey_data!$A$2:$A$833,survey_data!$C$2:$C$833,"n/a",0,1)</f>
        <v>-277416.44731649</v>
      </c>
      <c r="O1794" s="23">
        <f>_xlfn.XLOOKUP($F1794,survey_data!$A$2:$A$833,survey_data!$D$2:$D$833,"n/a",0,1)</f>
        <v>-52.127970079999997</v>
      </c>
      <c r="P1794" s="1">
        <f t="shared" si="1371"/>
        <v>-49.870668964116021</v>
      </c>
      <c r="Q1794" s="1">
        <f t="shared" si="1393"/>
        <v>37.390893870000582</v>
      </c>
      <c r="R1794">
        <f t="shared" si="1386"/>
        <v>0</v>
      </c>
      <c r="S1794" s="23">
        <f t="shared" si="1394"/>
        <v>-2.1279700799999972</v>
      </c>
      <c r="T1794">
        <f>$S1794+測地線補正!$Q$26*(lattice!$N1794/1000)^3+測地線補正!$P$26*(lattice!$N1794/1000)^2+測地線補正!$O$26*(lattice!$N1794/1000)+測地線補正!$N$26</f>
        <v>0.12933103588397876</v>
      </c>
      <c r="U1794">
        <f>-ATAN(($P$1796-$P$1794)/ABS($N$1796-$N$1794))</f>
        <v>-6.0003675924325255E-4</v>
      </c>
      <c r="V1794">
        <v>0</v>
      </c>
      <c r="W1794">
        <f>ATAN(($M$1796-$M$1794)/ABS($N$1796-$N$1794))</f>
        <v>-3.2448051418321361E-5</v>
      </c>
      <c r="X1794">
        <f>$Z$1795-($Y$1795+$Y$1793)/2</f>
        <v>190.01097883783382</v>
      </c>
      <c r="Y1794">
        <f>_xlfn.XLOOKUP($F1794,設計座標!$E$13:$E$2301,設計座標!$L$13:$L$2301," ",0,1)</f>
        <v>200</v>
      </c>
      <c r="Z1794">
        <f>SQRT(($M$1795-$M$1793)^2+($N$1795-$N$1793)^2)</f>
        <v>330.01097883783382</v>
      </c>
      <c r="AA1794">
        <f>_xlfn.XLOOKUP($G1794,magnet_list!$A$2:$A$592,magnet_list!$AJ$2:$AJ$592,"n/a",0,1)</f>
        <v>0.21244935000000001</v>
      </c>
      <c r="AB1794">
        <f>_xlfn.XLOOKUP($G1794,magnet_list!$A$2:$A$592,magnet_list!$L$2:$L$592,"n/a",0,1)</f>
        <v>20</v>
      </c>
    </row>
    <row r="1795" spans="1:28">
      <c r="A1795" t="s">
        <v>797</v>
      </c>
      <c r="B1795">
        <v>4</v>
      </c>
      <c r="C1795" t="s">
        <v>805</v>
      </c>
      <c r="D1795" t="s">
        <v>1152</v>
      </c>
      <c r="E1795" t="s">
        <v>804</v>
      </c>
      <c r="F1795" t="s">
        <v>783</v>
      </c>
      <c r="G1795" t="s">
        <v>2769</v>
      </c>
      <c r="I1795">
        <f>_xlfn.XLOOKUP($F1795,設計座標!$E$13:$E$2301,設計座標!$G$13:$G$2301,"n/a",0,1)</f>
        <v>541.85577149999983</v>
      </c>
      <c r="J1795">
        <f>_xlfn.XLOOKUP($F1795,設計座標!$E$13:$E$2301,設計座標!$H$13:$H$2301,"n/a",0,1)</f>
        <v>-15000</v>
      </c>
      <c r="K1795">
        <f>_xlfn.XLOOKUP($F1795,設計座標!$E$13:$E$2301,設計座標!$I$13:$I$2301,"n/a",0,1)</f>
        <v>-277491.44581649004</v>
      </c>
      <c r="L1795">
        <f>_xlfn.XLOOKUP($F1795,設計座標!$E$13:$E$2301,設計座標!$J$13:$J$2301,"n/a",0,1)</f>
        <v>-50</v>
      </c>
      <c r="M1795" s="2">
        <f t="shared" si="1397"/>
        <v>-14962.611539685184</v>
      </c>
      <c r="N1795" s="2">
        <f t="shared" si="1398"/>
        <v>-277491.44581649004</v>
      </c>
      <c r="O1795" s="23">
        <f t="shared" si="1399"/>
        <v>-52.08222726684658</v>
      </c>
      <c r="P1795" s="1">
        <f t="shared" si="1371"/>
        <v>-49.825666844571636</v>
      </c>
      <c r="Q1795" s="1">
        <f>(Q$1796-Q$1794)/($N$1796-$N$1794)*($N1795-$N$1794)+Q$1794</f>
        <v>37.388460314815433</v>
      </c>
      <c r="R1795">
        <f t="shared" si="1386"/>
        <v>0</v>
      </c>
      <c r="S1795" s="23">
        <f>(S$1796-S$1794)/($N$1796-$N$1794)*($N1795-$N$1794)+S$1794</f>
        <v>-2.0822272668465795</v>
      </c>
      <c r="T1795">
        <f>$S1795+測地線補正!$Q$26*(lattice!$N1795/1000)^3+測地線補正!$P$26*(lattice!$N1795/1000)^2+測地線補正!$O$26*(lattice!$N1795/1000)+測地線補正!$N$26</f>
        <v>0.17433315542836225</v>
      </c>
      <c r="U1795">
        <f t="shared" ref="U1795:U1796" si="1400">-ATAN(($P$1796-$P$1794)/ABS($N$1796-$N$1794))</f>
        <v>-6.0003675924325255E-4</v>
      </c>
      <c r="V1795">
        <v>0</v>
      </c>
      <c r="W1795">
        <f t="shared" ref="W1795:W1796" si="1401">ATAN(($M$1796-$M$1794)/ABS($N$1796-$N$1794))</f>
        <v>-3.2448051418321361E-5</v>
      </c>
      <c r="X1795">
        <f>$Z$1795-($Y$1795+$Y$1793)/2</f>
        <v>190.01097883783382</v>
      </c>
      <c r="Y1795">
        <f>_xlfn.XLOOKUP($F1795,設計座標!$E$13:$E$2301,設計座標!$L$13:$L$2301," ",0,1)</f>
        <v>200</v>
      </c>
      <c r="Z1795">
        <f>SQRT(($M$1795-$M$1793)^2+($N$1795-$N$1793)^2)</f>
        <v>330.01097883783382</v>
      </c>
      <c r="AA1795">
        <f>_xlfn.XLOOKUP($G1795,magnet_list!$A$2:$A$592,magnet_list!$AJ$2:$AJ$592,"n/a",0,1)</f>
        <v>0.21244935000000001</v>
      </c>
      <c r="AB1795">
        <f>_xlfn.XLOOKUP($G1795,magnet_list!$A$2:$A$592,magnet_list!$L$2:$L$592,"n/a",0,1)</f>
        <v>20</v>
      </c>
    </row>
    <row r="1796" spans="1:28">
      <c r="A1796" t="s">
        <v>797</v>
      </c>
      <c r="B1796">
        <v>4</v>
      </c>
      <c r="C1796" t="s">
        <v>805</v>
      </c>
      <c r="D1796" t="s">
        <v>806</v>
      </c>
      <c r="F1796" t="s">
        <v>450</v>
      </c>
      <c r="G1796" t="s">
        <v>2769</v>
      </c>
      <c r="I1796">
        <f>_xlfn.XLOOKUP($F1796,設計座標!$E$13:$E$2301,設計座標!$G$13:$G$2301,"n/a",0,1)</f>
        <v>541.93076999999982</v>
      </c>
      <c r="J1796">
        <f>_xlfn.XLOOKUP($F1796,設計座標!$E$13:$E$2301,設計座標!$H$13:$H$2301,"n/a",0,1)</f>
        <v>-15000</v>
      </c>
      <c r="K1796">
        <f>_xlfn.XLOOKUP($F1796,設計座標!$E$13:$E$2301,設計座標!$I$13:$I$2301,"n/a",0,1)</f>
        <v>-277566.43814137002</v>
      </c>
      <c r="L1796">
        <f>_xlfn.XLOOKUP($F1796,設計座標!$E$13:$E$2301,設計座標!$J$13:$J$2301,"n/a",0,1)</f>
        <v>-50</v>
      </c>
      <c r="M1796" s="2">
        <f>_xlfn.XLOOKUP($F1796,survey_data!$A$2:$A$833,survey_data!$B$2:$B$833,"n/a",0,1)</f>
        <v>-14962.613973039999</v>
      </c>
      <c r="N1796" s="2">
        <f>_xlfn.XLOOKUP($F1796,survey_data!$A$2:$A$833,survey_data!$C$2:$C$833,"n/a",0,1)</f>
        <v>-277566.43814137002</v>
      </c>
      <c r="O1796" s="23">
        <f>_xlfn.XLOOKUP($F1796,survey_data!$A$2:$A$833,survey_data!$D$2:$D$833,"n/a",0,1)</f>
        <v>-52.036488220000003</v>
      </c>
      <c r="P1796" s="1">
        <f t="shared" si="1371"/>
        <v>-49.780668944837466</v>
      </c>
      <c r="Q1796" s="1">
        <f t="shared" si="1393"/>
        <v>37.386026960000891</v>
      </c>
      <c r="R1796">
        <f t="shared" si="1386"/>
        <v>0</v>
      </c>
      <c r="S1796" s="23">
        <f t="shared" si="1394"/>
        <v>-2.0364882200000025</v>
      </c>
      <c r="T1796">
        <f>$S1796+測地線補正!$Q$26*(lattice!$N1796/1000)^3+測地線補正!$P$26*(lattice!$N1796/1000)^2+測地線補正!$O$26*(lattice!$N1796/1000)+測地線補正!$N$26</f>
        <v>0.21933105516253248</v>
      </c>
      <c r="U1796">
        <f t="shared" si="1400"/>
        <v>-6.0003675924325255E-4</v>
      </c>
      <c r="V1796">
        <v>0</v>
      </c>
      <c r="W1796">
        <f t="shared" si="1401"/>
        <v>-3.2448051418321361E-5</v>
      </c>
      <c r="X1796">
        <f>$Z$1795-($Y$1795+$Y$1793)/2</f>
        <v>190.01097883783382</v>
      </c>
      <c r="Y1796">
        <f>_xlfn.XLOOKUP($F1796,設計座標!$E$13:$E$2301,設計座標!$L$13:$L$2301," ",0,1)</f>
        <v>200</v>
      </c>
      <c r="Z1796">
        <f>SQRT(($M$1795-$M$1793)^2+($N$1795-$N$1793)^2)</f>
        <v>330.01097883783382</v>
      </c>
      <c r="AA1796">
        <f>_xlfn.XLOOKUP($G1796,magnet_list!$A$2:$A$592,magnet_list!$AJ$2:$AJ$592,"n/a",0,1)</f>
        <v>0.21244935000000001</v>
      </c>
      <c r="AB1796">
        <f>_xlfn.XLOOKUP($G1796,magnet_list!$A$2:$A$592,magnet_list!$L$2:$L$592,"n/a",0,1)</f>
        <v>20</v>
      </c>
    </row>
    <row r="1797" spans="1:28">
      <c r="A1797" t="s">
        <v>797</v>
      </c>
      <c r="B1797">
        <v>4</v>
      </c>
      <c r="C1797" t="s">
        <v>2288</v>
      </c>
      <c r="D1797" t="s">
        <v>1152</v>
      </c>
      <c r="E1797" t="s">
        <v>804</v>
      </c>
      <c r="F1797" t="s">
        <v>2300</v>
      </c>
      <c r="G1797" t="s">
        <v>2300</v>
      </c>
      <c r="I1797">
        <f>_xlfn.XLOOKUP($F1797,設計座標!$E$13:$E$2301,設計座標!$G$13:$G$2301,"n/a",0,1)</f>
        <v>542.17675416136956</v>
      </c>
      <c r="J1797">
        <f>_xlfn.XLOOKUP($F1797,設計座標!$E$13:$E$2301,設計座標!$H$13:$H$2301,"n/a",0,1)</f>
        <v>-15000</v>
      </c>
      <c r="K1797">
        <f>_xlfn.XLOOKUP($F1797,設計座標!$E$13:$E$2301,設計座標!$I$13:$I$2301,"n/a",0,1)</f>
        <v>-277700.41329545999</v>
      </c>
      <c r="L1797">
        <f>_xlfn.XLOOKUP($F1797,設計座標!$E$13:$E$2301,設計座標!$J$13:$J$2301,"n/a",0,1)</f>
        <v>-270</v>
      </c>
      <c r="M1797" s="2">
        <f t="shared" si="1397"/>
        <v>-14962.597571577731</v>
      </c>
      <c r="N1797" s="2">
        <f t="shared" si="1398"/>
        <v>-277700.41329545999</v>
      </c>
      <c r="O1797" s="23">
        <f t="shared" si="1399"/>
        <v>-272.03684026465743</v>
      </c>
      <c r="P1797" s="1">
        <f t="shared" si="1371"/>
        <v>-269.78234634178403</v>
      </c>
      <c r="Q1797" s="1">
        <f>(Q$1825-Q$1796)/($N$1825-$N$1796)*($N1797-$N$1796)+Q$1796</f>
        <v>37.402428422269359</v>
      </c>
      <c r="R1797">
        <f t="shared" si="1386"/>
        <v>0</v>
      </c>
      <c r="S1797" s="23">
        <f t="shared" ref="S1797:S1824" si="1402">(S$1825-S$1796)/($N$1825-$N$1796)*($N1797-$N$1796)+S$1796</f>
        <v>-2.0368402646574477</v>
      </c>
      <c r="T1797">
        <f>$S1797+測地線補正!$Q$26*(lattice!$N1797/1000)^3+測地線補正!$P$26*(lattice!$N1797/1000)^2+測地線補正!$O$26*(lattice!$N1797/1000)+測地線補正!$N$26</f>
        <v>0.21765365821598492</v>
      </c>
      <c r="U1797">
        <v>0</v>
      </c>
      <c r="V1797">
        <v>0</v>
      </c>
      <c r="W1797">
        <v>0</v>
      </c>
      <c r="X1797">
        <f>$Z$1797-($Y$1797+$Y$1795)/2</f>
        <v>108.96747943678756</v>
      </c>
      <c r="Y1797">
        <f>_xlfn.XLOOKUP($F1797,設計座標!$E$13:$E$2301,設計座標!$L$13:$L$2301," ",0,1)</f>
        <v>0</v>
      </c>
      <c r="Z1797">
        <f>SQRT(($M$1797-$M$1795)^2+($N$1797-$N$1795)^2)</f>
        <v>208.96747943678756</v>
      </c>
    </row>
    <row r="1798" spans="1:28">
      <c r="A1798" t="s">
        <v>797</v>
      </c>
      <c r="B1798">
        <v>4</v>
      </c>
      <c r="C1798" t="s">
        <v>804</v>
      </c>
      <c r="D1798" t="s">
        <v>1152</v>
      </c>
      <c r="E1798" t="s">
        <v>804</v>
      </c>
      <c r="F1798" t="s">
        <v>1758</v>
      </c>
      <c r="G1798" t="s">
        <v>2770</v>
      </c>
      <c r="I1798">
        <f>_xlfn.XLOOKUP($F1798,設計座標!$E$13:$E$2301,設計座標!$G$13:$G$2301,"n/a",0,1)</f>
        <v>542.35722336136962</v>
      </c>
      <c r="J1798">
        <f>_xlfn.XLOOKUP($F1798,設計座標!$E$13:$E$2301,設計座標!$H$13:$H$2301,"n/a",0,1)</f>
        <v>-15000</v>
      </c>
      <c r="K1798">
        <f>_xlfn.XLOOKUP($F1798,設計座標!$E$13:$E$2301,設計座標!$I$13:$I$2301,"n/a",0,1)</f>
        <v>-277880.88249545998</v>
      </c>
      <c r="L1798">
        <f>_xlfn.XLOOKUP($F1798,設計座標!$E$13:$E$2301,設計座標!$J$13:$J$2301,"n/a",0,1)</f>
        <v>-270</v>
      </c>
      <c r="M1798" s="2">
        <f t="shared" si="1397"/>
        <v>-14962.575478236658</v>
      </c>
      <c r="N1798" s="2">
        <f t="shared" si="1398"/>
        <v>-277880.88249545998</v>
      </c>
      <c r="O1798" s="23">
        <f t="shared" si="1399"/>
        <v>-272.03731448107561</v>
      </c>
      <c r="P1798" s="1">
        <f t="shared" si="1371"/>
        <v>-269.78460844434841</v>
      </c>
      <c r="Q1798" s="1">
        <f t="shared" ref="Q1798:Q1824" si="1403">(Q$1825-Q$1796)/($N$1825-$N$1796)*($N1798-$N$1796)+Q$1796</f>
        <v>37.424521763340891</v>
      </c>
      <c r="R1798">
        <f t="shared" si="1386"/>
        <v>0</v>
      </c>
      <c r="S1798" s="23">
        <f t="shared" si="1402"/>
        <v>-2.0373144810755961</v>
      </c>
      <c r="T1798">
        <f>$S1798+測地線補正!$Q$26*(lattice!$N1798/1000)^3+測地線補正!$P$26*(lattice!$N1798/1000)^2+測地線補正!$O$26*(lattice!$N1798/1000)+測地線補正!$N$26</f>
        <v>0.21539155565156576</v>
      </c>
      <c r="U1798">
        <f>-ATAN(($P$1800-$P$1798)/ABS($N$1800-$N$1798))</f>
        <v>1.2628432786913989E-5</v>
      </c>
      <c r="V1798">
        <v>0</v>
      </c>
      <c r="W1798">
        <f>ATAN(($M$1800-$M$1798)/ABS($N$1800-$N$1798))</f>
        <v>1.2242167062900323E-4</v>
      </c>
      <c r="X1798">
        <f>SQRT(($M$1798-$M$1797)^2+($N$1798-$N$1797)^2)</f>
        <v>180.46920135234413</v>
      </c>
      <c r="Y1798">
        <f>_xlfn.XLOOKUP($F1798,設計座標!$E$13:$E$2301,設計座標!$L$13:$L$2301," ",0,1)</f>
        <v>1889.4492</v>
      </c>
      <c r="Z1798">
        <f>SQRT(($M$1799-$M$1797)^2+($N$1799-$N$1797)^2)</f>
        <v>1125.1938084316848</v>
      </c>
    </row>
    <row r="1799" spans="1:28">
      <c r="A1799" t="s">
        <v>797</v>
      </c>
      <c r="B1799">
        <v>4</v>
      </c>
      <c r="C1799" t="s">
        <v>804</v>
      </c>
      <c r="D1799" t="s">
        <v>1152</v>
      </c>
      <c r="E1799" t="s">
        <v>804</v>
      </c>
      <c r="F1799" t="s">
        <v>1212</v>
      </c>
      <c r="G1799" t="s">
        <v>2770</v>
      </c>
      <c r="I1799">
        <f>_xlfn.XLOOKUP($F1799,設計座標!$E$13:$E$2301,設計座標!$G$13:$G$2301,"n/a",0,1)</f>
        <v>543.30194796136959</v>
      </c>
      <c r="J1799">
        <f>_xlfn.XLOOKUP($F1799,設計座標!$E$13:$E$2301,設計座標!$H$13:$H$2301,"n/a",0,1)</f>
        <v>-15000</v>
      </c>
      <c r="K1799">
        <f>_xlfn.XLOOKUP($F1799,設計座標!$E$13:$E$2301,設計座標!$I$13:$I$2301,"n/a",0,1)</f>
        <v>-278825.60709546</v>
      </c>
      <c r="L1799">
        <f>_xlfn.XLOOKUP($F1799,設計座標!$E$13:$E$2301,設計座標!$J$13:$J$2301,"n/a",0,1)</f>
        <v>-270</v>
      </c>
      <c r="M1799" s="2">
        <f t="shared" si="1397"/>
        <v>-14962.459823472265</v>
      </c>
      <c r="N1799" s="2">
        <f t="shared" si="1398"/>
        <v>-278825.60709546</v>
      </c>
      <c r="O1799" s="23">
        <f t="shared" si="1399"/>
        <v>-272.0397969208268</v>
      </c>
      <c r="P1799" s="1">
        <f t="shared" si="1371"/>
        <v>-269.79649849708954</v>
      </c>
      <c r="Q1799" s="1">
        <f t="shared" si="1403"/>
        <v>37.540176527735404</v>
      </c>
      <c r="R1799">
        <f t="shared" si="1386"/>
        <v>0</v>
      </c>
      <c r="S1799" s="23">
        <f t="shared" si="1402"/>
        <v>-2.0397969208268032</v>
      </c>
      <c r="T1799">
        <f>$S1799+測地線補正!$Q$26*(lattice!$N1799/1000)^3+測地線補正!$P$26*(lattice!$N1799/1000)^2+測地線補正!$O$26*(lattice!$N1799/1000)+測地線補正!$N$26</f>
        <v>0.20350150291045188</v>
      </c>
      <c r="U1799">
        <f t="shared" ref="U1799:U1800" si="1404">-ATAN(($P$1800-$P$1798)/ABS($N$1800-$N$1798))</f>
        <v>1.2628432786913989E-5</v>
      </c>
      <c r="V1799">
        <v>0</v>
      </c>
      <c r="W1799">
        <f t="shared" ref="W1799:W1800" si="1405">ATAN(($M$1800-$M$1798)/ABS($N$1800-$N$1798))</f>
        <v>1.2242167062900323E-4</v>
      </c>
      <c r="X1799" t="s">
        <v>3860</v>
      </c>
      <c r="Y1799">
        <f>_xlfn.XLOOKUP($F1799,設計座標!$E$13:$E$2301,設計座標!$L$13:$L$2301," ",0,1)</f>
        <v>1889.4492</v>
      </c>
      <c r="Z1799">
        <f>SQRT(($M$1799-$M$1797)^2+($N$1799-$N$1797)^2)</f>
        <v>1125.1938084316848</v>
      </c>
    </row>
    <row r="1800" spans="1:28">
      <c r="A1800" t="s">
        <v>797</v>
      </c>
      <c r="B1800">
        <v>4</v>
      </c>
      <c r="C1800" t="s">
        <v>804</v>
      </c>
      <c r="D1800" t="s">
        <v>1152</v>
      </c>
      <c r="E1800" t="s">
        <v>804</v>
      </c>
      <c r="F1800" t="s">
        <v>1759</v>
      </c>
      <c r="G1800" t="s">
        <v>2770</v>
      </c>
      <c r="I1800">
        <f>_xlfn.XLOOKUP($F1800,設計座標!$E$13:$E$2301,設計座標!$G$13:$G$2301,"n/a",0,1)</f>
        <v>544.24667256136956</v>
      </c>
      <c r="J1800">
        <f>_xlfn.XLOOKUP($F1800,設計座標!$E$13:$E$2301,設計座標!$H$13:$H$2301,"n/a",0,1)</f>
        <v>-15000</v>
      </c>
      <c r="K1800">
        <f>_xlfn.XLOOKUP($F1800,設計座標!$E$13:$E$2301,設計座標!$I$13:$I$2301,"n/a",0,1)</f>
        <v>-279770.33169546002</v>
      </c>
      <c r="L1800">
        <f>_xlfn.XLOOKUP($F1800,設計座標!$E$13:$E$2301,設計座標!$J$13:$J$2301,"n/a",0,1)</f>
        <v>-270</v>
      </c>
      <c r="M1800" s="2">
        <f t="shared" si="1397"/>
        <v>-14962.34416870787</v>
      </c>
      <c r="N1800" s="2">
        <f t="shared" si="1398"/>
        <v>-279770.33169546002</v>
      </c>
      <c r="O1800" s="23">
        <f t="shared" si="1399"/>
        <v>-272.04227936057799</v>
      </c>
      <c r="P1800" s="1">
        <f t="shared" si="1371"/>
        <v>-269.80846922657616</v>
      </c>
      <c r="Q1800" s="1">
        <f t="shared" si="1403"/>
        <v>37.655831292129918</v>
      </c>
      <c r="R1800">
        <f t="shared" si="1386"/>
        <v>0</v>
      </c>
      <c r="S1800" s="23">
        <f t="shared" si="1402"/>
        <v>-2.0422793605780103</v>
      </c>
      <c r="T1800">
        <f>$S1800+測地線補正!$Q$26*(lattice!$N1800/1000)^3+測地線補正!$P$26*(lattice!$N1800/1000)^2+測地線補正!$O$26*(lattice!$N1800/1000)+測地線補正!$N$26</f>
        <v>0.19153077342382985</v>
      </c>
      <c r="U1800">
        <f t="shared" si="1404"/>
        <v>1.2628432786913989E-5</v>
      </c>
      <c r="V1800">
        <v>0</v>
      </c>
      <c r="W1800">
        <f t="shared" si="1405"/>
        <v>1.2242167062900323E-4</v>
      </c>
      <c r="X1800" t="s">
        <v>3860</v>
      </c>
      <c r="Y1800">
        <f>_xlfn.XLOOKUP($F1800,設計座標!$E$13:$E$2301,設計座標!$L$13:$L$2301," ",0,1)</f>
        <v>1889.4492</v>
      </c>
      <c r="Z1800">
        <f>SQRT(($M$1799-$M$1797)^2+($N$1799-$N$1797)^2)</f>
        <v>1125.1938084316848</v>
      </c>
    </row>
    <row r="1801" spans="1:28">
      <c r="A1801" t="s">
        <v>797</v>
      </c>
      <c r="B1801">
        <v>4</v>
      </c>
      <c r="C1801" t="s">
        <v>804</v>
      </c>
      <c r="D1801" t="s">
        <v>1152</v>
      </c>
      <c r="E1801" t="s">
        <v>804</v>
      </c>
      <c r="F1801" t="s">
        <v>1760</v>
      </c>
      <c r="G1801" t="s">
        <v>2771</v>
      </c>
      <c r="I1801">
        <f>_xlfn.XLOOKUP($F1801,設計座標!$E$13:$E$2301,設計座標!$G$13:$G$2301,"n/a",0,1)</f>
        <v>544.45661436136959</v>
      </c>
      <c r="J1801">
        <f>_xlfn.XLOOKUP($F1801,設計座標!$E$13:$E$2301,設計座標!$H$13:$H$2301,"n/a",0,1)</f>
        <v>-15000</v>
      </c>
      <c r="K1801">
        <f>_xlfn.XLOOKUP($F1801,設計座標!$E$13:$E$2301,設計座標!$I$13:$I$2301,"n/a",0,1)</f>
        <v>-279980.27349545999</v>
      </c>
      <c r="L1801">
        <f>_xlfn.XLOOKUP($F1801,設計座標!$E$13:$E$2301,設計座標!$J$13:$J$2301,"n/a",0,1)</f>
        <v>-270</v>
      </c>
      <c r="M1801" s="2">
        <f t="shared" si="1397"/>
        <v>-14962.318467281852</v>
      </c>
      <c r="N1801" s="2">
        <f t="shared" si="1398"/>
        <v>-279980.27349545999</v>
      </c>
      <c r="O1801" s="23">
        <f t="shared" si="1399"/>
        <v>-272.04283102173912</v>
      </c>
      <c r="P1801" s="1">
        <f t="shared" si="1371"/>
        <v>-269.81114031393383</v>
      </c>
      <c r="Q1801" s="1">
        <f t="shared" si="1403"/>
        <v>37.681532718149263</v>
      </c>
      <c r="R1801">
        <f t="shared" si="1386"/>
        <v>0</v>
      </c>
      <c r="S1801" s="23">
        <f t="shared" si="1402"/>
        <v>-2.042831021739115</v>
      </c>
      <c r="T1801">
        <f>$S1801+測地線補正!$Q$26*(lattice!$N1801/1000)^3+測地線補正!$P$26*(lattice!$N1801/1000)^2+測地線補正!$O$26*(lattice!$N1801/1000)+測地線補正!$N$26</f>
        <v>0.18885968606617509</v>
      </c>
      <c r="U1801">
        <f>-ATAN(($P$1803-$P$1801)/ABS($N$1803-$N$1801))</f>
        <v>1.2816410396250031E-5</v>
      </c>
      <c r="V1801">
        <v>0</v>
      </c>
      <c r="W1801">
        <f>ATAN(($M$1803-$M$1801)/ABS($N$1803-$N$1801))</f>
        <v>1.2242167062996595E-4</v>
      </c>
      <c r="X1801">
        <f>SQRT(($M$1801-$M$1800)^2+($N$1801-$N$1800)^2)</f>
        <v>209.94180157317717</v>
      </c>
      <c r="Y1801">
        <f>_xlfn.XLOOKUP($F1801,設計座標!$E$13:$E$2301,設計座標!$L$13:$L$2301," ",0,1)</f>
        <v>1889.4492</v>
      </c>
      <c r="Z1801">
        <f>SQRT(($M$1802-$M$1799)^2+($N$1802-$N$1799)^2)</f>
        <v>2099.3910157318587</v>
      </c>
    </row>
    <row r="1802" spans="1:28">
      <c r="A1802" t="s">
        <v>797</v>
      </c>
      <c r="B1802">
        <v>4</v>
      </c>
      <c r="C1802" t="s">
        <v>804</v>
      </c>
      <c r="D1802" t="s">
        <v>1152</v>
      </c>
      <c r="E1802" t="s">
        <v>804</v>
      </c>
      <c r="F1802" t="s">
        <v>1268</v>
      </c>
      <c r="G1802" t="s">
        <v>2771</v>
      </c>
      <c r="I1802">
        <f>_xlfn.XLOOKUP($F1802,設計座標!$E$13:$E$2301,設計座標!$G$13:$G$2301,"n/a",0,1)</f>
        <v>545.40133896136956</v>
      </c>
      <c r="J1802">
        <f>_xlfn.XLOOKUP($F1802,設計座標!$E$13:$E$2301,設計座標!$H$13:$H$2301,"n/a",0,1)</f>
        <v>-15000</v>
      </c>
      <c r="K1802">
        <f>_xlfn.XLOOKUP($F1802,設計座標!$E$13:$E$2301,設計座標!$I$13:$I$2301,"n/a",0,1)</f>
        <v>-280924.99809546</v>
      </c>
      <c r="L1802">
        <f>_xlfn.XLOOKUP($F1802,設計座標!$E$13:$E$2301,設計座標!$J$13:$J$2301,"n/a",0,1)</f>
        <v>-270</v>
      </c>
      <c r="M1802" s="2">
        <f t="shared" si="1397"/>
        <v>-14962.202812517457</v>
      </c>
      <c r="N1802" s="2">
        <f t="shared" si="1398"/>
        <v>-280924.99809546</v>
      </c>
      <c r="O1802" s="23">
        <f t="shared" si="1399"/>
        <v>-272.04531346149031</v>
      </c>
      <c r="P1802" s="1">
        <f t="shared" si="1371"/>
        <v>-269.82320871642418</v>
      </c>
      <c r="Q1802" s="1">
        <f t="shared" si="1403"/>
        <v>37.797187482543777</v>
      </c>
      <c r="R1802">
        <f t="shared" si="1386"/>
        <v>0</v>
      </c>
      <c r="S1802" s="23">
        <f t="shared" si="1402"/>
        <v>-2.0453134614903221</v>
      </c>
      <c r="T1802">
        <f>$S1802+測地線補正!$Q$26*(lattice!$N1802/1000)^3+測地線補正!$P$26*(lattice!$N1802/1000)^2+測地線補正!$O$26*(lattice!$N1802/1000)+測地線補正!$N$26</f>
        <v>0.17679128357585205</v>
      </c>
      <c r="U1802">
        <f t="shared" ref="U1802:U1803" si="1406">-ATAN(($P$1803-$P$1801)/ABS($N$1803-$N$1801))</f>
        <v>1.2816410396250031E-5</v>
      </c>
      <c r="V1802">
        <v>0</v>
      </c>
      <c r="W1802">
        <f t="shared" ref="W1802:W1803" si="1407">ATAN(($M$1803-$M$1801)/ABS($N$1803-$N$1801))</f>
        <v>1.2242167062996595E-4</v>
      </c>
      <c r="X1802" t="s">
        <v>3860</v>
      </c>
      <c r="Y1802">
        <f>_xlfn.XLOOKUP($F1802,設計座標!$E$13:$E$2301,設計座標!$L$13:$L$2301," ",0,1)</f>
        <v>1889.4492</v>
      </c>
      <c r="Z1802">
        <f>SQRT(($M$1802-$M$1799)^2+($N$1802-$N$1799)^2)</f>
        <v>2099.3910157318587</v>
      </c>
    </row>
    <row r="1803" spans="1:28">
      <c r="A1803" t="s">
        <v>797</v>
      </c>
      <c r="B1803">
        <v>4</v>
      </c>
      <c r="C1803" t="s">
        <v>804</v>
      </c>
      <c r="D1803" t="s">
        <v>1152</v>
      </c>
      <c r="E1803" t="s">
        <v>804</v>
      </c>
      <c r="F1803" t="s">
        <v>1761</v>
      </c>
      <c r="G1803" t="s">
        <v>2771</v>
      </c>
      <c r="I1803">
        <f>_xlfn.XLOOKUP($F1803,設計座標!$E$13:$E$2301,設計座標!$G$13:$G$2301,"n/a",0,1)</f>
        <v>546.34606356136953</v>
      </c>
      <c r="J1803">
        <f>_xlfn.XLOOKUP($F1803,設計座標!$E$13:$E$2301,設計座標!$H$13:$H$2301,"n/a",0,1)</f>
        <v>-15000</v>
      </c>
      <c r="K1803">
        <f>_xlfn.XLOOKUP($F1803,設計座標!$E$13:$E$2301,設計座標!$I$13:$I$2301,"n/a",0,1)</f>
        <v>-281869.72269546002</v>
      </c>
      <c r="L1803">
        <f>_xlfn.XLOOKUP($F1803,設計座標!$E$13:$E$2301,設計座標!$J$13:$J$2301,"n/a",0,1)</f>
        <v>-270</v>
      </c>
      <c r="M1803" s="2">
        <f t="shared" si="1397"/>
        <v>-14962.087157753062</v>
      </c>
      <c r="N1803" s="2">
        <f t="shared" si="1398"/>
        <v>-281869.72269546002</v>
      </c>
      <c r="O1803" s="23">
        <f t="shared" si="1399"/>
        <v>-272.04779590124156</v>
      </c>
      <c r="P1803" s="1">
        <f t="shared" si="1371"/>
        <v>-269.83535627030523</v>
      </c>
      <c r="Q1803" s="1">
        <f t="shared" si="1403"/>
        <v>37.91284224693829</v>
      </c>
      <c r="R1803">
        <f t="shared" si="1386"/>
        <v>0</v>
      </c>
      <c r="S1803" s="23">
        <f t="shared" si="1402"/>
        <v>-2.0477959012415297</v>
      </c>
      <c r="T1803">
        <f>$S1803+測地線補正!$Q$26*(lattice!$N1803/1000)^3+測地線補正!$P$26*(lattice!$N1803/1000)^2+測地線補正!$O$26*(lattice!$N1803/1000)+測地線補正!$N$26</f>
        <v>0.16464372969479135</v>
      </c>
      <c r="U1803">
        <f t="shared" si="1406"/>
        <v>1.2816410396250031E-5</v>
      </c>
      <c r="V1803">
        <v>0</v>
      </c>
      <c r="W1803">
        <f t="shared" si="1407"/>
        <v>1.2242167062996595E-4</v>
      </c>
      <c r="X1803" t="s">
        <v>3860</v>
      </c>
      <c r="Y1803">
        <f>_xlfn.XLOOKUP($F1803,設計座標!$E$13:$E$2301,設計座標!$L$13:$L$2301," ",0,1)</f>
        <v>1889.4492</v>
      </c>
      <c r="Z1803">
        <f>SQRT(($M$1802-$M$1799)^2+($N$1802-$N$1799)^2)</f>
        <v>2099.3910157318587</v>
      </c>
    </row>
    <row r="1804" spans="1:28">
      <c r="A1804" t="s">
        <v>797</v>
      </c>
      <c r="B1804">
        <v>4</v>
      </c>
      <c r="C1804" t="s">
        <v>1152</v>
      </c>
      <c r="D1804" t="s">
        <v>1152</v>
      </c>
      <c r="E1804" t="s">
        <v>804</v>
      </c>
      <c r="F1804" t="s">
        <v>2174</v>
      </c>
      <c r="G1804" t="s">
        <v>2174</v>
      </c>
      <c r="I1804">
        <f>_xlfn.XLOOKUP($F1804,設計座標!$E$13:$E$2301,設計座標!$G$13:$G$2301,"n/a",0,1)</f>
        <v>546.64093616136961</v>
      </c>
      <c r="J1804">
        <f>_xlfn.XLOOKUP($F1804,設計座標!$E$13:$E$2301,設計座標!$H$13:$H$2301,"n/a",0,1)</f>
        <v>-15000</v>
      </c>
      <c r="K1804">
        <f>_xlfn.XLOOKUP($F1804,設計座標!$E$13:$E$2301,設計座標!$I$13:$I$2301,"n/a",0,1)</f>
        <v>-282164.59529546002</v>
      </c>
      <c r="L1804">
        <f>_xlfn.XLOOKUP($F1804,設計座標!$E$13:$E$2301,設計座標!$J$13:$J$2301,"n/a",0,1)</f>
        <v>-270</v>
      </c>
      <c r="M1804" s="2">
        <f t="shared" si="1397"/>
        <v>-14962.051058956567</v>
      </c>
      <c r="N1804" s="2">
        <f t="shared" si="1398"/>
        <v>-282164.59529546002</v>
      </c>
      <c r="O1804" s="23">
        <f t="shared" si="1399"/>
        <v>-272.0485707338899</v>
      </c>
      <c r="P1804" s="1">
        <f t="shared" si="1371"/>
        <v>-269.83916393095154</v>
      </c>
      <c r="Q1804" s="1">
        <f t="shared" si="1403"/>
        <v>37.948941043433479</v>
      </c>
      <c r="R1804">
        <f t="shared" si="1386"/>
        <v>0</v>
      </c>
      <c r="S1804" s="23">
        <f t="shared" si="1402"/>
        <v>-2.048570733889882</v>
      </c>
      <c r="T1804">
        <f>$S1804+測地線補正!$Q$26*(lattice!$N1804/1000)^3+測地線補正!$P$26*(lattice!$N1804/1000)^2+測地線補正!$O$26*(lattice!$N1804/1000)+測地線補正!$N$26</f>
        <v>0.16083606904847492</v>
      </c>
      <c r="U1804">
        <v>0</v>
      </c>
      <c r="V1804">
        <v>0</v>
      </c>
      <c r="W1804">
        <v>0</v>
      </c>
      <c r="X1804">
        <f>SQRT(($M$1804-$M$1803)^2+($N$1804-$N$1803)^2)</f>
        <v>294.87260220963992</v>
      </c>
      <c r="Y1804">
        <f>_xlfn.XLOOKUP($F1804,設計座標!$E$13:$E$2301,設計座標!$L$13:$L$2301," ",0,1)</f>
        <v>0</v>
      </c>
      <c r="Z1804">
        <f>SQRT(($M$1804-$M$1802)^2+($N$1804-$N$1802)^2)</f>
        <v>1239.5972092889806</v>
      </c>
    </row>
    <row r="1805" spans="1:28">
      <c r="A1805" t="s">
        <v>797</v>
      </c>
      <c r="B1805">
        <v>4</v>
      </c>
      <c r="C1805" t="s">
        <v>804</v>
      </c>
      <c r="D1805" t="s">
        <v>1152</v>
      </c>
      <c r="E1805" t="s">
        <v>804</v>
      </c>
      <c r="F1805" t="s">
        <v>1762</v>
      </c>
      <c r="G1805" t="s">
        <v>2772</v>
      </c>
      <c r="I1805">
        <f>_xlfn.XLOOKUP($F1805,設計座標!$E$13:$E$2301,設計座標!$G$13:$G$2301,"n/a",0,1)</f>
        <v>546.87090536136964</v>
      </c>
      <c r="J1805">
        <f>_xlfn.XLOOKUP($F1805,設計座標!$E$13:$E$2301,設計座標!$H$13:$H$2301,"n/a",0,1)</f>
        <v>-15000</v>
      </c>
      <c r="K1805">
        <f>_xlfn.XLOOKUP($F1805,設計座標!$E$13:$E$2301,設計座標!$I$13:$I$2301,"n/a",0,1)</f>
        <v>-282394.56449546001</v>
      </c>
      <c r="L1805">
        <f>_xlfn.XLOOKUP($F1805,設計座標!$E$13:$E$2301,設計座標!$J$13:$J$2301,"n/a",0,1)</f>
        <v>-270</v>
      </c>
      <c r="M1805" s="2">
        <f t="shared" si="1397"/>
        <v>-14962.022905742768</v>
      </c>
      <c r="N1805" s="2">
        <f t="shared" si="1398"/>
        <v>-282394.56449546001</v>
      </c>
      <c r="O1805" s="23">
        <f t="shared" si="1399"/>
        <v>-272.04917502077268</v>
      </c>
      <c r="P1805" s="1">
        <f t="shared" si="1371"/>
        <v>-269.84213879259323</v>
      </c>
      <c r="Q1805" s="1">
        <f t="shared" si="1403"/>
        <v>37.977094257231442</v>
      </c>
      <c r="R1805">
        <f t="shared" si="1386"/>
        <v>0</v>
      </c>
      <c r="S1805" s="23">
        <f t="shared" si="1402"/>
        <v>-2.0491750207726764</v>
      </c>
      <c r="T1805">
        <f>$S1805+測地線補正!$Q$26*(lattice!$N1805/1000)^3+測地線補正!$P$26*(lattice!$N1805/1000)^2+測地線補正!$O$26*(lattice!$N1805/1000)+測地線補正!$N$26</f>
        <v>0.15786120740677467</v>
      </c>
      <c r="U1805">
        <f>-ATAN(($P$1807-$P$1805)/ABS($N$1807-$N$1805))</f>
        <v>1.3028148218450942E-5</v>
      </c>
      <c r="V1805">
        <v>0</v>
      </c>
      <c r="W1805">
        <f>ATAN(($M$1807-$M$1805)/ABS($N$1807-$N$1805))</f>
        <v>1.2242167062900323E-4</v>
      </c>
      <c r="X1805">
        <f>SQRT(($M$1805-$M$1804)^2+($N$1805-$N$1804)^2)</f>
        <v>229.96920172327401</v>
      </c>
      <c r="Y1805">
        <f>_xlfn.XLOOKUP($F1805,設計座標!$E$13:$E$2301,設計座標!$L$13:$L$2301," ",0,1)</f>
        <v>1889.4492</v>
      </c>
      <c r="Z1805">
        <f>SQRT(($M$1806-$M$1804)^2+($N$1806-$N$1804)^2)</f>
        <v>1174.6938088026147</v>
      </c>
    </row>
    <row r="1806" spans="1:28">
      <c r="A1806" t="s">
        <v>797</v>
      </c>
      <c r="B1806">
        <v>4</v>
      </c>
      <c r="C1806" t="s">
        <v>804</v>
      </c>
      <c r="D1806" t="s">
        <v>1152</v>
      </c>
      <c r="E1806" t="s">
        <v>804</v>
      </c>
      <c r="F1806" t="s">
        <v>1322</v>
      </c>
      <c r="G1806" t="s">
        <v>2772</v>
      </c>
      <c r="I1806">
        <f>_xlfn.XLOOKUP($F1806,設計座標!$E$13:$E$2301,設計座標!$G$13:$G$2301,"n/a",0,1)</f>
        <v>547.81562996136961</v>
      </c>
      <c r="J1806">
        <f>_xlfn.XLOOKUP($F1806,設計座標!$E$13:$E$2301,設計座標!$H$13:$H$2301,"n/a",0,1)</f>
        <v>-15000</v>
      </c>
      <c r="K1806">
        <f>_xlfn.XLOOKUP($F1806,設計座標!$E$13:$E$2301,設計座標!$I$13:$I$2301,"n/a",0,1)</f>
        <v>-283339.28909546003</v>
      </c>
      <c r="L1806">
        <f>_xlfn.XLOOKUP($F1806,設計座標!$E$13:$E$2301,設計座標!$J$13:$J$2301,"n/a",0,1)</f>
        <v>-270</v>
      </c>
      <c r="M1806" s="2">
        <f t="shared" si="1397"/>
        <v>-14961.907250978375</v>
      </c>
      <c r="N1806" s="2">
        <f t="shared" si="1398"/>
        <v>-283339.28909546003</v>
      </c>
      <c r="O1806" s="23">
        <f t="shared" si="1399"/>
        <v>-272.05165746052387</v>
      </c>
      <c r="P1806" s="1">
        <f t="shared" si="1371"/>
        <v>-269.85440810608884</v>
      </c>
      <c r="Q1806" s="1">
        <f t="shared" si="1403"/>
        <v>38.092749021625956</v>
      </c>
      <c r="R1806">
        <f t="shared" si="1386"/>
        <v>0</v>
      </c>
      <c r="S1806" s="23">
        <f t="shared" si="1402"/>
        <v>-2.051657460523884</v>
      </c>
      <c r="T1806">
        <f>$S1806+測地線補正!$Q$26*(lattice!$N1806/1000)^3+測地線補正!$P$26*(lattice!$N1806/1000)^2+測地線補正!$O$26*(lattice!$N1806/1000)+測地線補正!$N$26</f>
        <v>0.14559189391117555</v>
      </c>
      <c r="U1806">
        <f t="shared" ref="U1806:U1807" si="1408">-ATAN(($P$1807-$P$1805)/ABS($N$1807-$N$1805))</f>
        <v>1.3028148218450942E-5</v>
      </c>
      <c r="V1806">
        <v>0</v>
      </c>
      <c r="W1806">
        <f t="shared" ref="W1806:W1807" si="1409">ATAN(($M$1807-$M$1805)/ABS($N$1807-$N$1805))</f>
        <v>1.2242167062900323E-4</v>
      </c>
      <c r="X1806" t="s">
        <v>3860</v>
      </c>
      <c r="Y1806">
        <f>_xlfn.XLOOKUP($F1806,設計座標!$E$13:$E$2301,設計座標!$L$13:$L$2301," ",0,1)</f>
        <v>1889.4492</v>
      </c>
      <c r="Z1806">
        <f>SQRT(($M$1806-$M$1804)^2+($N$1806-$N$1804)^2)</f>
        <v>1174.6938088026147</v>
      </c>
    </row>
    <row r="1807" spans="1:28">
      <c r="A1807" t="s">
        <v>797</v>
      </c>
      <c r="B1807">
        <v>4</v>
      </c>
      <c r="C1807" t="s">
        <v>804</v>
      </c>
      <c r="D1807" t="s">
        <v>1152</v>
      </c>
      <c r="E1807" t="s">
        <v>804</v>
      </c>
      <c r="F1807" t="s">
        <v>1763</v>
      </c>
      <c r="G1807" t="s">
        <v>2772</v>
      </c>
      <c r="I1807">
        <f>_xlfn.XLOOKUP($F1807,設計座標!$E$13:$E$2301,設計座標!$G$13:$G$2301,"n/a",0,1)</f>
        <v>548.76035456136958</v>
      </c>
      <c r="J1807">
        <f>_xlfn.XLOOKUP($F1807,設計座標!$E$13:$E$2301,設計座標!$H$13:$H$2301,"n/a",0,1)</f>
        <v>-15000</v>
      </c>
      <c r="K1807">
        <f>_xlfn.XLOOKUP($F1807,設計座標!$E$13:$E$2301,設計座標!$I$13:$I$2301,"n/a",0,1)</f>
        <v>-284284.01369546005</v>
      </c>
      <c r="L1807">
        <f>_xlfn.XLOOKUP($F1807,設計座標!$E$13:$E$2301,設計座標!$J$13:$J$2301,"n/a",0,1)</f>
        <v>-270</v>
      </c>
      <c r="M1807" s="2">
        <f t="shared" si="1397"/>
        <v>-14961.79159621398</v>
      </c>
      <c r="N1807" s="2">
        <f t="shared" si="1398"/>
        <v>-284284.01369546005</v>
      </c>
      <c r="O1807" s="23">
        <f t="shared" si="1399"/>
        <v>-272.05413990027512</v>
      </c>
      <c r="P1807" s="1">
        <f t="shared" si="1371"/>
        <v>-269.86675481682346</v>
      </c>
      <c r="Q1807" s="1">
        <f t="shared" si="1403"/>
        <v>38.208403786020469</v>
      </c>
      <c r="R1807">
        <f t="shared" si="1386"/>
        <v>0</v>
      </c>
      <c r="S1807" s="23">
        <f t="shared" si="1402"/>
        <v>-2.0541399002750911</v>
      </c>
      <c r="T1807">
        <f>$S1807+測地線補正!$Q$26*(lattice!$N1807/1000)^3+測地線補正!$P$26*(lattice!$N1807/1000)^2+測地線補正!$O$26*(lattice!$N1807/1000)+測地線補正!$N$26</f>
        <v>0.13324518317654088</v>
      </c>
      <c r="U1807">
        <f t="shared" si="1408"/>
        <v>1.3028148218450942E-5</v>
      </c>
      <c r="V1807">
        <v>0</v>
      </c>
      <c r="W1807">
        <f t="shared" si="1409"/>
        <v>1.2242167062900323E-4</v>
      </c>
      <c r="X1807" t="s">
        <v>3860</v>
      </c>
      <c r="Y1807">
        <f>_xlfn.XLOOKUP($F1807,設計座標!$E$13:$E$2301,設計座標!$L$13:$L$2301," ",0,1)</f>
        <v>1889.4492</v>
      </c>
      <c r="Z1807">
        <f>SQRT(($M$1806-$M$1804)^2+($N$1806-$N$1804)^2)</f>
        <v>1174.6938088026147</v>
      </c>
    </row>
    <row r="1808" spans="1:28">
      <c r="A1808" t="s">
        <v>797</v>
      </c>
      <c r="B1808">
        <v>4</v>
      </c>
      <c r="C1808" t="s">
        <v>804</v>
      </c>
      <c r="D1808" t="s">
        <v>1152</v>
      </c>
      <c r="E1808" t="s">
        <v>804</v>
      </c>
      <c r="F1808" t="s">
        <v>1764</v>
      </c>
      <c r="G1808" t="s">
        <v>2773</v>
      </c>
      <c r="I1808">
        <f>_xlfn.XLOOKUP($F1808,設計座標!$E$13:$E$2301,設計座標!$G$13:$G$2301,"n/a",0,1)</f>
        <v>548.97029636136961</v>
      </c>
      <c r="J1808">
        <f>_xlfn.XLOOKUP($F1808,設計座標!$E$13:$E$2301,設計座標!$H$13:$H$2301,"n/a",0,1)</f>
        <v>-15000</v>
      </c>
      <c r="K1808">
        <f>_xlfn.XLOOKUP($F1808,設計座標!$E$13:$E$2301,設計座標!$I$13:$I$2301,"n/a",0,1)</f>
        <v>-284493.95549546002</v>
      </c>
      <c r="L1808">
        <f>_xlfn.XLOOKUP($F1808,設計座標!$E$13:$E$2301,設計座標!$J$13:$J$2301,"n/a",0,1)</f>
        <v>-270</v>
      </c>
      <c r="M1808" s="2">
        <f t="shared" si="1397"/>
        <v>-14961.765894787961</v>
      </c>
      <c r="N1808" s="2">
        <f t="shared" si="1398"/>
        <v>-284493.95549546002</v>
      </c>
      <c r="O1808" s="23">
        <f t="shared" si="1399"/>
        <v>-272.05469156143619</v>
      </c>
      <c r="P1808" s="1">
        <f t="shared" si="1371"/>
        <v>-269.8695090113909</v>
      </c>
      <c r="Q1808" s="1">
        <f t="shared" si="1403"/>
        <v>38.234105212039815</v>
      </c>
      <c r="R1808">
        <f t="shared" si="1386"/>
        <v>0</v>
      </c>
      <c r="S1808" s="23">
        <f t="shared" si="1402"/>
        <v>-2.0546915614361954</v>
      </c>
      <c r="T1808">
        <f>$S1808+測地線補正!$Q$26*(lattice!$N1808/1000)^3+測地線補正!$P$26*(lattice!$N1808/1000)^2+測地線補正!$O$26*(lattice!$N1808/1000)+測地線補正!$N$26</f>
        <v>0.1304909886090948</v>
      </c>
      <c r="U1808">
        <f>-ATAN(($P$1810-$P$1808)/ABS($N$1810-$N$1808))</f>
        <v>1.3208411619264094E-5</v>
      </c>
      <c r="V1808">
        <v>0</v>
      </c>
      <c r="W1808">
        <f>ATAN(($M$1810-$M$1808)/ABS($N$1810-$N$1808))</f>
        <v>1.2242167062996595E-4</v>
      </c>
      <c r="X1808">
        <f>SQRT(($M$1808-$M$1807)^2+($N$1808-$N$1807)^2)</f>
        <v>209.94180157317717</v>
      </c>
      <c r="Y1808">
        <f>_xlfn.XLOOKUP($F1808,設計座標!$E$13:$E$2301,設計座標!$L$13:$L$2301," ",0,1)</f>
        <v>1889.4492</v>
      </c>
      <c r="Z1808">
        <f>SQRT(($M$1809-$M$1806)^2+($N$1809-$N$1806)^2)</f>
        <v>2099.3910157318587</v>
      </c>
    </row>
    <row r="1809" spans="1:26">
      <c r="A1809" t="s">
        <v>797</v>
      </c>
      <c r="B1809">
        <v>4</v>
      </c>
      <c r="C1809" t="s">
        <v>804</v>
      </c>
      <c r="D1809" t="s">
        <v>1152</v>
      </c>
      <c r="E1809" t="s">
        <v>804</v>
      </c>
      <c r="F1809" t="s">
        <v>1376</v>
      </c>
      <c r="G1809" t="s">
        <v>2773</v>
      </c>
      <c r="I1809">
        <f>_xlfn.XLOOKUP($F1809,設計座標!$E$13:$E$2301,設計座標!$G$13:$G$2301,"n/a",0,1)</f>
        <v>549.91502096136958</v>
      </c>
      <c r="J1809">
        <f>_xlfn.XLOOKUP($F1809,設計座標!$E$13:$E$2301,設計座標!$H$13:$H$2301,"n/a",0,1)</f>
        <v>-15000</v>
      </c>
      <c r="K1809">
        <f>_xlfn.XLOOKUP($F1809,設計座標!$E$13:$E$2301,設計座標!$I$13:$I$2301,"n/a",0,1)</f>
        <v>-285438.68009546003</v>
      </c>
      <c r="L1809">
        <f>_xlfn.XLOOKUP($F1809,設計座標!$E$13:$E$2301,設計座標!$J$13:$J$2301,"n/a",0,1)</f>
        <v>-270</v>
      </c>
      <c r="M1809" s="2">
        <f t="shared" si="1397"/>
        <v>-14961.650240023566</v>
      </c>
      <c r="N1809" s="2">
        <f t="shared" si="1398"/>
        <v>-285438.68009546003</v>
      </c>
      <c r="O1809" s="23">
        <f t="shared" si="1399"/>
        <v>-272.05717400118738</v>
      </c>
      <c r="P1809" s="1">
        <f t="shared" si="1371"/>
        <v>-269.88194938683313</v>
      </c>
      <c r="Q1809" s="1">
        <f t="shared" si="1403"/>
        <v>38.349759976434328</v>
      </c>
      <c r="R1809">
        <f t="shared" si="1386"/>
        <v>0</v>
      </c>
      <c r="S1809" s="23">
        <f t="shared" si="1402"/>
        <v>-2.0571740011874029</v>
      </c>
      <c r="T1809">
        <f>$S1809+測地線補正!$Q$26*(lattice!$N1809/1000)^3+測地線補正!$P$26*(lattice!$N1809/1000)^2+測地線補正!$O$26*(lattice!$N1809/1000)+測地線補正!$N$26</f>
        <v>0.11805061316686483</v>
      </c>
      <c r="U1809">
        <f t="shared" ref="U1809:U1810" si="1410">-ATAN(($P$1810-$P$1808)/ABS($N$1810-$N$1808))</f>
        <v>1.3208411619264094E-5</v>
      </c>
      <c r="V1809">
        <v>0</v>
      </c>
      <c r="W1809">
        <f t="shared" ref="W1809:W1810" si="1411">ATAN(($M$1810-$M$1808)/ABS($N$1810-$N$1808))</f>
        <v>1.2242167062996595E-4</v>
      </c>
      <c r="X1809" t="s">
        <v>3860</v>
      </c>
      <c r="Y1809">
        <f>_xlfn.XLOOKUP($F1809,設計座標!$E$13:$E$2301,設計座標!$L$13:$L$2301," ",0,1)</f>
        <v>1889.4492</v>
      </c>
      <c r="Z1809">
        <f>SQRT(($M$1809-$M$1806)^2+($N$1809-$N$1806)^2)</f>
        <v>2099.3910157318587</v>
      </c>
    </row>
    <row r="1810" spans="1:26">
      <c r="A1810" t="s">
        <v>797</v>
      </c>
      <c r="B1810">
        <v>4</v>
      </c>
      <c r="C1810" t="s">
        <v>804</v>
      </c>
      <c r="D1810" t="s">
        <v>1152</v>
      </c>
      <c r="E1810" t="s">
        <v>804</v>
      </c>
      <c r="F1810" t="s">
        <v>1765</v>
      </c>
      <c r="G1810" t="s">
        <v>2773</v>
      </c>
      <c r="I1810">
        <f>_xlfn.XLOOKUP($F1810,設計座標!$E$13:$E$2301,設計座標!$G$13:$G$2301,"n/a",0,1)</f>
        <v>550.85974556136955</v>
      </c>
      <c r="J1810">
        <f>_xlfn.XLOOKUP($F1810,設計座標!$E$13:$E$2301,設計座標!$H$13:$H$2301,"n/a",0,1)</f>
        <v>-15000</v>
      </c>
      <c r="K1810">
        <f>_xlfn.XLOOKUP($F1810,設計座標!$E$13:$E$2301,設計座標!$I$13:$I$2301,"n/a",0,1)</f>
        <v>-286383.40469546005</v>
      </c>
      <c r="L1810">
        <f>_xlfn.XLOOKUP($F1810,設計座標!$E$13:$E$2301,設計座標!$J$13:$J$2301,"n/a",0,1)</f>
        <v>-270</v>
      </c>
      <c r="M1810" s="2">
        <f t="shared" si="1397"/>
        <v>-14961.534585259171</v>
      </c>
      <c r="N1810" s="2">
        <f t="shared" si="1398"/>
        <v>-286383.40469546005</v>
      </c>
      <c r="O1810" s="23">
        <f t="shared" si="1399"/>
        <v>-272.05965644093862</v>
      </c>
      <c r="P1810" s="1">
        <f t="shared" si="1371"/>
        <v>-269.89446563415964</v>
      </c>
      <c r="Q1810" s="1">
        <f t="shared" si="1403"/>
        <v>38.465414740828841</v>
      </c>
      <c r="R1810">
        <f t="shared" si="1386"/>
        <v>0</v>
      </c>
      <c r="S1810" s="23">
        <f t="shared" si="1402"/>
        <v>-2.05965644093861</v>
      </c>
      <c r="T1810">
        <f>$S1810+測地線補正!$Q$26*(lattice!$N1810/1000)^3+測地線補正!$P$26*(lattice!$N1810/1000)^2+測地線補正!$O$26*(lattice!$N1810/1000)+測地線補正!$N$26</f>
        <v>0.10553436584036802</v>
      </c>
      <c r="U1810">
        <f t="shared" si="1410"/>
        <v>1.3208411619264094E-5</v>
      </c>
      <c r="V1810">
        <v>0</v>
      </c>
      <c r="W1810">
        <f t="shared" si="1411"/>
        <v>1.2242167062996595E-4</v>
      </c>
      <c r="X1810" t="s">
        <v>3860</v>
      </c>
      <c r="Y1810">
        <f>_xlfn.XLOOKUP($F1810,設計座標!$E$13:$E$2301,設計座標!$L$13:$L$2301," ",0,1)</f>
        <v>1889.4492</v>
      </c>
      <c r="Z1810">
        <f>SQRT(($M$1809-$M$1806)^2+($N$1809-$N$1806)^2)</f>
        <v>2099.3910157318587</v>
      </c>
    </row>
    <row r="1811" spans="1:26">
      <c r="A1811" t="s">
        <v>797</v>
      </c>
      <c r="B1811">
        <v>4</v>
      </c>
      <c r="C1811" t="s">
        <v>2288</v>
      </c>
      <c r="D1811" t="s">
        <v>1152</v>
      </c>
      <c r="E1811" t="s">
        <v>804</v>
      </c>
      <c r="F1811" t="s">
        <v>2301</v>
      </c>
      <c r="G1811" t="s">
        <v>2301</v>
      </c>
      <c r="I1811">
        <f>_xlfn.XLOOKUP($F1811,設計座標!$E$13:$E$2301,設計座標!$G$13:$G$2301,"n/a",0,1)</f>
        <v>551.02324146136959</v>
      </c>
      <c r="J1811">
        <f>_xlfn.XLOOKUP($F1811,設計座標!$E$13:$E$2301,設計座標!$H$13:$H$2301,"n/a",0,1)</f>
        <v>-15000</v>
      </c>
      <c r="K1811">
        <f>_xlfn.XLOOKUP($F1811,設計座標!$E$13:$E$2301,設計座標!$I$13:$I$2301,"n/a",0,1)</f>
        <v>-286546.90059546003</v>
      </c>
      <c r="L1811">
        <f>_xlfn.XLOOKUP($F1811,設計座標!$E$13:$E$2301,設計座標!$J$13:$J$2301,"n/a",0,1)</f>
        <v>-270</v>
      </c>
      <c r="M1811" s="2">
        <f t="shared" si="1397"/>
        <v>-14961.514569817851</v>
      </c>
      <c r="N1811" s="2">
        <f t="shared" si="1398"/>
        <v>-286546.90059546003</v>
      </c>
      <c r="O1811" s="23">
        <f t="shared" si="1399"/>
        <v>-272.06008605685133</v>
      </c>
      <c r="P1811" s="1">
        <f t="shared" si="1371"/>
        <v>-269.89663937157195</v>
      </c>
      <c r="Q1811" s="1">
        <f t="shared" si="1403"/>
        <v>38.485430182147894</v>
      </c>
      <c r="R1811">
        <f t="shared" si="1386"/>
        <v>0</v>
      </c>
      <c r="S1811" s="23">
        <f t="shared" si="1402"/>
        <v>-2.0600860568513526</v>
      </c>
      <c r="T1811">
        <f>$S1811+測地線補正!$Q$26*(lattice!$N1811/1000)^3+測地線補正!$P$26*(lattice!$N1811/1000)^2+測地線補正!$O$26*(lattice!$N1811/1000)+測地線補正!$N$26</f>
        <v>0.10336062842807059</v>
      </c>
      <c r="U1811">
        <v>0</v>
      </c>
      <c r="V1811">
        <v>0</v>
      </c>
      <c r="W1811">
        <v>0</v>
      </c>
      <c r="X1811">
        <f>SQRT(($M$1811-$M$1810)^2+($N$1811-$N$1810)^2)</f>
        <v>163.49590122514178</v>
      </c>
      <c r="Y1811">
        <f>_xlfn.XLOOKUP($F1811,設計座標!$E$13:$E$2301,設計座標!$L$13:$L$2301," ",0,1)</f>
        <v>0</v>
      </c>
      <c r="Z1811">
        <f>SQRT(($M$1811-$M$1809)^2+($N$1811-$N$1809)^2)</f>
        <v>1108.2205083044823</v>
      </c>
    </row>
    <row r="1812" spans="1:26">
      <c r="A1812" t="s">
        <v>797</v>
      </c>
      <c r="B1812">
        <v>4</v>
      </c>
      <c r="C1812" t="s">
        <v>804</v>
      </c>
      <c r="D1812" t="s">
        <v>1152</v>
      </c>
      <c r="E1812" t="s">
        <v>804</v>
      </c>
      <c r="F1812" t="s">
        <v>1766</v>
      </c>
      <c r="G1812" t="s">
        <v>2774</v>
      </c>
      <c r="I1812">
        <f>_xlfn.XLOOKUP($F1812,設計座標!$E$13:$E$2301,設計座標!$G$13:$G$2301,"n/a",0,1)</f>
        <v>551.35722326136965</v>
      </c>
      <c r="J1812">
        <f>_xlfn.XLOOKUP($F1812,設計座標!$E$13:$E$2301,設計座標!$H$13:$H$2301,"n/a",0,1)</f>
        <v>-15000</v>
      </c>
      <c r="K1812">
        <f>_xlfn.XLOOKUP($F1812,設計座標!$E$13:$E$2301,設計座標!$I$13:$I$2301,"n/a",0,1)</f>
        <v>-286880.88239546004</v>
      </c>
      <c r="L1812">
        <f>_xlfn.XLOOKUP($F1812,設計座標!$E$13:$E$2301,設計座標!$J$13:$J$2301,"n/a",0,1)</f>
        <v>-270</v>
      </c>
      <c r="M1812" s="2">
        <f t="shared" si="1397"/>
        <v>-14961.473683207732</v>
      </c>
      <c r="N1812" s="2">
        <f t="shared" si="1398"/>
        <v>-286880.88239546004</v>
      </c>
      <c r="O1812" s="23">
        <f t="shared" si="1399"/>
        <v>-272.06096365620306</v>
      </c>
      <c r="P1812" s="1">
        <f t="shared" si="1371"/>
        <v>-269.90108676434431</v>
      </c>
      <c r="Q1812" s="1">
        <f t="shared" si="1403"/>
        <v>38.526316792267984</v>
      </c>
      <c r="R1812">
        <f t="shared" si="1386"/>
        <v>0</v>
      </c>
      <c r="S1812" s="23">
        <f t="shared" si="1402"/>
        <v>-2.0609636562030578</v>
      </c>
      <c r="T1812">
        <f>$S1812+測地線補正!$Q$26*(lattice!$N1812/1000)^3+測地線補正!$P$26*(lattice!$N1812/1000)^2+測地線補正!$O$26*(lattice!$N1812/1000)+測地線補正!$N$26</f>
        <v>9.8913235655712972E-2</v>
      </c>
      <c r="U1812">
        <f>-ATAN(($P$1814-$P$1812)/ABS($N$1814-$N$1812))</f>
        <v>1.3409005386420532E-5</v>
      </c>
      <c r="V1812">
        <v>0</v>
      </c>
      <c r="W1812">
        <f>ATAN(($M$1814-$M$1812)/ABS($N$1814-$N$1812))</f>
        <v>1.2242167062996595E-4</v>
      </c>
      <c r="X1812">
        <f>SQRT(($M$1812-$M$1811)^2+($N$1812-$N$1811)^2)</f>
        <v>333.98180250271218</v>
      </c>
      <c r="Y1812">
        <f>_xlfn.XLOOKUP($F1812,設計座標!$E$13:$E$2301,設計座標!$L$13:$L$2301," ",0,1)</f>
        <v>1889.4492</v>
      </c>
      <c r="Z1812">
        <f>SQRT(($M$1813-$M$1811)^2+($N$1813-$N$1811)^2)</f>
        <v>1278.7064095820529</v>
      </c>
    </row>
    <row r="1813" spans="1:26">
      <c r="A1813" t="s">
        <v>797</v>
      </c>
      <c r="B1813">
        <v>4</v>
      </c>
      <c r="C1813" t="s">
        <v>804</v>
      </c>
      <c r="D1813" t="s">
        <v>1152</v>
      </c>
      <c r="E1813" t="s">
        <v>804</v>
      </c>
      <c r="F1813" t="s">
        <v>1213</v>
      </c>
      <c r="G1813" t="s">
        <v>2774</v>
      </c>
      <c r="I1813">
        <f>_xlfn.XLOOKUP($F1813,設計座標!$E$13:$E$2301,設計座標!$G$13:$G$2301,"n/a",0,1)</f>
        <v>552.30194786136963</v>
      </c>
      <c r="J1813">
        <f>_xlfn.XLOOKUP($F1813,設計座標!$E$13:$E$2301,設計座標!$H$13:$H$2301,"n/a",0,1)</f>
        <v>-15000</v>
      </c>
      <c r="K1813">
        <f>_xlfn.XLOOKUP($F1813,設計座標!$E$13:$E$2301,設計座標!$I$13:$I$2301,"n/a",0,1)</f>
        <v>-287825.60699546005</v>
      </c>
      <c r="L1813">
        <f>_xlfn.XLOOKUP($F1813,設計座標!$E$13:$E$2301,設計座標!$J$13:$J$2301,"n/a",0,1)</f>
        <v>-270</v>
      </c>
      <c r="M1813" s="2">
        <f t="shared" si="1397"/>
        <v>-14961.358028443337</v>
      </c>
      <c r="N1813" s="2">
        <f t="shared" si="1398"/>
        <v>-287825.60699546005</v>
      </c>
      <c r="O1813" s="23">
        <f t="shared" si="1399"/>
        <v>-272.06344609595425</v>
      </c>
      <c r="P1813" s="1">
        <f t="shared" si="1371"/>
        <v>-269.91371751278791</v>
      </c>
      <c r="Q1813" s="1">
        <f t="shared" si="1403"/>
        <v>38.641971556662497</v>
      </c>
      <c r="R1813">
        <f t="shared" si="1386"/>
        <v>0</v>
      </c>
      <c r="S1813" s="23">
        <f t="shared" si="1402"/>
        <v>-2.0634460959542649</v>
      </c>
      <c r="T1813">
        <f>$S1813+測地線補正!$Q$26*(lattice!$N1813/1000)^3+測地線補正!$P$26*(lattice!$N1813/1000)^2+測地線補正!$O$26*(lattice!$N1813/1000)+測地線補正!$N$26</f>
        <v>8.6282487212096859E-2</v>
      </c>
      <c r="U1813">
        <f t="shared" ref="U1813:U1814" si="1412">-ATAN(($P$1814-$P$1812)/ABS($N$1814-$N$1812))</f>
        <v>1.3409005386420532E-5</v>
      </c>
      <c r="V1813">
        <v>0</v>
      </c>
      <c r="W1813">
        <f t="shared" ref="W1813:W1814" si="1413">ATAN(($M$1814-$M$1812)/ABS($N$1814-$N$1812))</f>
        <v>1.2242167062996595E-4</v>
      </c>
      <c r="X1813" t="s">
        <v>3860</v>
      </c>
      <c r="Y1813">
        <f>_xlfn.XLOOKUP($F1813,設計座標!$E$13:$E$2301,設計座標!$L$13:$L$2301," ",0,1)</f>
        <v>1889.4492</v>
      </c>
      <c r="Z1813">
        <f>SQRT(($M$1813-$M$1811)^2+($N$1813-$N$1811)^2)</f>
        <v>1278.7064095820529</v>
      </c>
    </row>
    <row r="1814" spans="1:26">
      <c r="A1814" t="s">
        <v>797</v>
      </c>
      <c r="B1814">
        <v>4</v>
      </c>
      <c r="C1814" t="s">
        <v>804</v>
      </c>
      <c r="D1814" t="s">
        <v>1152</v>
      </c>
      <c r="E1814" t="s">
        <v>804</v>
      </c>
      <c r="F1814" t="s">
        <v>1767</v>
      </c>
      <c r="G1814" t="s">
        <v>2774</v>
      </c>
      <c r="I1814">
        <f>_xlfn.XLOOKUP($F1814,設計座標!$E$13:$E$2301,設計座標!$G$13:$G$2301,"n/a",0,1)</f>
        <v>553.2466724613696</v>
      </c>
      <c r="J1814">
        <f>_xlfn.XLOOKUP($F1814,設計座標!$E$13:$E$2301,設計座標!$H$13:$H$2301,"n/a",0,1)</f>
        <v>-15000</v>
      </c>
      <c r="K1814">
        <f>_xlfn.XLOOKUP($F1814,設計座標!$E$13:$E$2301,設計座標!$I$13:$I$2301,"n/a",0,1)</f>
        <v>-288770.33159546007</v>
      </c>
      <c r="L1814">
        <f>_xlfn.XLOOKUP($F1814,設計座標!$E$13:$E$2301,設計座標!$J$13:$J$2301,"n/a",0,1)</f>
        <v>-270</v>
      </c>
      <c r="M1814" s="2">
        <f t="shared" si="1397"/>
        <v>-14961.242373678942</v>
      </c>
      <c r="N1814" s="2">
        <f t="shared" si="1398"/>
        <v>-288770.33159546007</v>
      </c>
      <c r="O1814" s="23">
        <f t="shared" si="1399"/>
        <v>-272.0659285357055</v>
      </c>
      <c r="P1814" s="1">
        <f t="shared" si="1371"/>
        <v>-269.926422398846</v>
      </c>
      <c r="Q1814" s="1">
        <f t="shared" si="1403"/>
        <v>38.75762632105701</v>
      </c>
      <c r="R1814">
        <f t="shared" si="1386"/>
        <v>0</v>
      </c>
      <c r="S1814" s="23">
        <f t="shared" si="1402"/>
        <v>-2.065928535705472</v>
      </c>
      <c r="T1814">
        <f>$S1814+測地線補正!$Q$26*(lattice!$N1814/1000)^3+測地線補正!$P$26*(lattice!$N1814/1000)^2+測地線補正!$O$26*(lattice!$N1814/1000)+測地線補正!$N$26</f>
        <v>7.3577601153979932E-2</v>
      </c>
      <c r="U1814">
        <f t="shared" si="1412"/>
        <v>1.3409005386420532E-5</v>
      </c>
      <c r="V1814">
        <v>0</v>
      </c>
      <c r="W1814">
        <f t="shared" si="1413"/>
        <v>1.2242167062996595E-4</v>
      </c>
      <c r="X1814" t="s">
        <v>3860</v>
      </c>
      <c r="Y1814">
        <f>_xlfn.XLOOKUP($F1814,設計座標!$E$13:$E$2301,設計座標!$L$13:$L$2301," ",0,1)</f>
        <v>1889.4492</v>
      </c>
      <c r="Z1814">
        <f>SQRT(($M$1813-$M$1811)^2+($N$1813-$N$1811)^2)</f>
        <v>1278.7064095820529</v>
      </c>
    </row>
    <row r="1815" spans="1:26">
      <c r="A1815" t="s">
        <v>797</v>
      </c>
      <c r="B1815">
        <v>4</v>
      </c>
      <c r="C1815" t="s">
        <v>804</v>
      </c>
      <c r="D1815" t="s">
        <v>1152</v>
      </c>
      <c r="E1815" t="s">
        <v>804</v>
      </c>
      <c r="F1815" t="s">
        <v>1768</v>
      </c>
      <c r="G1815" t="s">
        <v>2775</v>
      </c>
      <c r="I1815">
        <f>_xlfn.XLOOKUP($F1815,設計座標!$E$13:$E$2301,設計座標!$G$13:$G$2301,"n/a",0,1)</f>
        <v>553.45661426136962</v>
      </c>
      <c r="J1815">
        <f>_xlfn.XLOOKUP($F1815,設計座標!$E$13:$E$2301,設計座標!$H$13:$H$2301,"n/a",0,1)</f>
        <v>-15000</v>
      </c>
      <c r="K1815">
        <f>_xlfn.XLOOKUP($F1815,設計座標!$E$13:$E$2301,設計座標!$I$13:$I$2301,"n/a",0,1)</f>
        <v>-288980.27339546004</v>
      </c>
      <c r="L1815">
        <f>_xlfn.XLOOKUP($F1815,設計座標!$E$13:$E$2301,設計座標!$J$13:$J$2301,"n/a",0,1)</f>
        <v>-270</v>
      </c>
      <c r="M1815" s="2">
        <f t="shared" si="1397"/>
        <v>-14961.216672252924</v>
      </c>
      <c r="N1815" s="2">
        <f t="shared" si="1398"/>
        <v>-288980.27339546004</v>
      </c>
      <c r="O1815" s="23">
        <f t="shared" si="1399"/>
        <v>-272.06648019686656</v>
      </c>
      <c r="P1815" s="1">
        <f t="shared" si="1371"/>
        <v>-269.92925574639463</v>
      </c>
      <c r="Q1815" s="1">
        <f t="shared" si="1403"/>
        <v>38.783327747076356</v>
      </c>
      <c r="R1815">
        <f t="shared" si="1386"/>
        <v>0</v>
      </c>
      <c r="S1815" s="23">
        <f t="shared" si="1402"/>
        <v>-2.0664801968665767</v>
      </c>
      <c r="T1815">
        <f>$S1815+測地線補正!$Q$26*(lattice!$N1815/1000)^3+測地線補正!$P$26*(lattice!$N1815/1000)^2+測地線補正!$O$26*(lattice!$N1815/1000)+測地線補正!$N$26</f>
        <v>7.0744253605349305E-2</v>
      </c>
      <c r="U1815">
        <f>-ATAN(($P$1817-$P$1815)/ABS($N$1817-$N$1815))</f>
        <v>1.3581601345931996E-5</v>
      </c>
      <c r="V1815">
        <v>0</v>
      </c>
      <c r="W1815">
        <f>ATAN(($M$1817-$M$1815)/ABS($N$1817-$N$1815))</f>
        <v>1.2242167062900323E-4</v>
      </c>
      <c r="X1815">
        <f>SQRT(($M$1815-$M$1814)^2+($N$1815-$N$1814)^2)</f>
        <v>209.94180157317717</v>
      </c>
      <c r="Y1815">
        <f>_xlfn.XLOOKUP($F1815,設計座標!$E$13:$E$2301,設計座標!$L$13:$L$2301," ",0,1)</f>
        <v>1889.4492</v>
      </c>
      <c r="Z1815">
        <f>SQRT(($M$1816-$M$1813)^2+($N$1816-$N$1813)^2)</f>
        <v>2099.3910157318587</v>
      </c>
    </row>
    <row r="1816" spans="1:26">
      <c r="A1816" t="s">
        <v>797</v>
      </c>
      <c r="B1816">
        <v>4</v>
      </c>
      <c r="C1816" t="s">
        <v>804</v>
      </c>
      <c r="D1816" t="s">
        <v>1152</v>
      </c>
      <c r="E1816" t="s">
        <v>804</v>
      </c>
      <c r="F1816" t="s">
        <v>1269</v>
      </c>
      <c r="G1816" t="s">
        <v>2775</v>
      </c>
      <c r="I1816">
        <f>_xlfn.XLOOKUP($F1816,設計座標!$E$13:$E$2301,設計座標!$G$13:$G$2301,"n/a",0,1)</f>
        <v>554.4013388613696</v>
      </c>
      <c r="J1816">
        <f>_xlfn.XLOOKUP($F1816,設計座標!$E$13:$E$2301,設計座標!$H$13:$H$2301,"n/a",0,1)</f>
        <v>-15000</v>
      </c>
      <c r="K1816">
        <f>_xlfn.XLOOKUP($F1816,設計座標!$E$13:$E$2301,設計座標!$I$13:$I$2301,"n/a",0,1)</f>
        <v>-289924.99799546006</v>
      </c>
      <c r="L1816">
        <f>_xlfn.XLOOKUP($F1816,設計座標!$E$13:$E$2301,設計座標!$J$13:$J$2301,"n/a",0,1)</f>
        <v>-270</v>
      </c>
      <c r="M1816" s="2">
        <f t="shared" si="1397"/>
        <v>-14961.101017488529</v>
      </c>
      <c r="N1816" s="2">
        <f t="shared" si="1398"/>
        <v>-289924.99799546006</v>
      </c>
      <c r="O1816" s="23">
        <f t="shared" si="1399"/>
        <v>-272.06896263661781</v>
      </c>
      <c r="P1816" s="1">
        <f t="shared" si="1371"/>
        <v>-269.94205031316449</v>
      </c>
      <c r="Q1816" s="1">
        <f t="shared" si="1403"/>
        <v>38.898982511470869</v>
      </c>
      <c r="R1816">
        <f t="shared" si="1386"/>
        <v>0</v>
      </c>
      <c r="S1816" s="23">
        <f t="shared" si="1402"/>
        <v>-2.0689626366177838</v>
      </c>
      <c r="T1816">
        <f>$S1816+測地線補正!$Q$26*(lattice!$N1816/1000)^3+測地線補正!$P$26*(lattice!$N1816/1000)^2+測地線補正!$O$26*(lattice!$N1816/1000)+測地線補正!$N$26</f>
        <v>5.7949686835531145E-2</v>
      </c>
      <c r="U1816">
        <f t="shared" ref="U1816:U1817" si="1414">-ATAN(($P$1817-$P$1815)/ABS($N$1817-$N$1815))</f>
        <v>1.3581601345931996E-5</v>
      </c>
      <c r="V1816">
        <v>0</v>
      </c>
      <c r="W1816">
        <f t="shared" ref="W1816:W1817" si="1415">ATAN(($M$1817-$M$1815)/ABS($N$1817-$N$1815))</f>
        <v>1.2242167062900323E-4</v>
      </c>
      <c r="X1816" t="s">
        <v>3860</v>
      </c>
      <c r="Y1816">
        <f>_xlfn.XLOOKUP($F1816,設計座標!$E$13:$E$2301,設計座標!$L$13:$L$2301," ",0,1)</f>
        <v>1889.4492</v>
      </c>
      <c r="Z1816">
        <f>SQRT(($M$1816-$M$1813)^2+($N$1816-$N$1813)^2)</f>
        <v>2099.3910157318587</v>
      </c>
    </row>
    <row r="1817" spans="1:26">
      <c r="A1817" t="s">
        <v>797</v>
      </c>
      <c r="B1817">
        <v>4</v>
      </c>
      <c r="C1817" t="s">
        <v>804</v>
      </c>
      <c r="D1817" t="s">
        <v>1152</v>
      </c>
      <c r="E1817" t="s">
        <v>804</v>
      </c>
      <c r="F1817" t="s">
        <v>1769</v>
      </c>
      <c r="G1817" t="s">
        <v>2775</v>
      </c>
      <c r="I1817">
        <f>_xlfn.XLOOKUP($F1817,設計座標!$E$13:$E$2301,設計座標!$G$13:$G$2301,"n/a",0,1)</f>
        <v>555.34606346136957</v>
      </c>
      <c r="J1817">
        <f>_xlfn.XLOOKUP($F1817,設計座標!$E$13:$E$2301,設計座標!$H$13:$H$2301,"n/a",0,1)</f>
        <v>-15000</v>
      </c>
      <c r="K1817">
        <f>_xlfn.XLOOKUP($F1817,設計座標!$E$13:$E$2301,設計座標!$I$13:$I$2301,"n/a",0,1)</f>
        <v>-290869.72259546007</v>
      </c>
      <c r="L1817">
        <f>_xlfn.XLOOKUP($F1817,設計座標!$E$13:$E$2301,設計座標!$J$13:$J$2301,"n/a",0,1)</f>
        <v>-270</v>
      </c>
      <c r="M1817" s="2">
        <f t="shared" si="1397"/>
        <v>-14960.985362724135</v>
      </c>
      <c r="N1817" s="2">
        <f t="shared" si="1398"/>
        <v>-290869.72259546007</v>
      </c>
      <c r="O1817" s="23">
        <f t="shared" si="1399"/>
        <v>-272.071445076369</v>
      </c>
      <c r="P1817" s="1">
        <f t="shared" si="1371"/>
        <v>-269.954917492194</v>
      </c>
      <c r="Q1817" s="1">
        <f t="shared" si="1403"/>
        <v>39.014637275865383</v>
      </c>
      <c r="R1817">
        <f t="shared" si="1386"/>
        <v>0</v>
      </c>
      <c r="S1817" s="23">
        <f t="shared" si="1402"/>
        <v>-2.0714450763689913</v>
      </c>
      <c r="T1817">
        <f>$S1817+測地線補正!$Q$26*(lattice!$N1817/1000)^3+測地線補正!$P$26*(lattice!$N1817/1000)^2+測地線補正!$O$26*(lattice!$N1817/1000)+測地線補正!$N$26</f>
        <v>4.508250780598444E-2</v>
      </c>
      <c r="U1817">
        <f t="shared" si="1414"/>
        <v>1.3581601345931996E-5</v>
      </c>
      <c r="V1817">
        <v>0</v>
      </c>
      <c r="W1817">
        <f t="shared" si="1415"/>
        <v>1.2242167062900323E-4</v>
      </c>
      <c r="X1817" t="s">
        <v>3860</v>
      </c>
      <c r="Y1817">
        <f>_xlfn.XLOOKUP($F1817,設計座標!$E$13:$E$2301,設計座標!$L$13:$L$2301," ",0,1)</f>
        <v>1889.4492</v>
      </c>
      <c r="Z1817">
        <f>SQRT(($M$1816-$M$1813)^2+($N$1816-$N$1813)^2)</f>
        <v>2099.3910157318587</v>
      </c>
    </row>
    <row r="1818" spans="1:26">
      <c r="A1818" t="s">
        <v>797</v>
      </c>
      <c r="B1818">
        <v>4</v>
      </c>
      <c r="C1818" t="s">
        <v>804</v>
      </c>
      <c r="D1818" t="s">
        <v>1152</v>
      </c>
      <c r="E1818" t="s">
        <v>804</v>
      </c>
      <c r="F1818" t="s">
        <v>1770</v>
      </c>
      <c r="G1818" t="s">
        <v>2776</v>
      </c>
      <c r="I1818">
        <f>_xlfn.XLOOKUP($F1818,設計座標!$E$13:$E$2301,設計座標!$G$13:$G$2301,"n/a",0,1)</f>
        <v>555.87090526136967</v>
      </c>
      <c r="J1818">
        <f>_xlfn.XLOOKUP($F1818,設計座標!$E$13:$E$2301,設計座標!$H$13:$H$2301,"n/a",0,1)</f>
        <v>-15000</v>
      </c>
      <c r="K1818">
        <f>_xlfn.XLOOKUP($F1818,設計座標!$E$13:$E$2301,設計座標!$I$13:$I$2301,"n/a",0,1)</f>
        <v>-291394.56439546007</v>
      </c>
      <c r="L1818">
        <f>_xlfn.XLOOKUP($F1818,設計座標!$E$13:$E$2301,設計座標!$J$13:$J$2301,"n/a",0,1)</f>
        <v>-270</v>
      </c>
      <c r="M1818" s="2">
        <f t="shared" si="1397"/>
        <v>-14960.921110713842</v>
      </c>
      <c r="N1818" s="2">
        <f t="shared" si="1398"/>
        <v>-291394.56439546007</v>
      </c>
      <c r="O1818" s="23">
        <f t="shared" si="1399"/>
        <v>-272.07282419590013</v>
      </c>
      <c r="P1818" s="1">
        <f t="shared" si="1371"/>
        <v>-269.96209697675778</v>
      </c>
      <c r="Q1818" s="1">
        <f t="shared" si="1403"/>
        <v>39.078889286158535</v>
      </c>
      <c r="R1818">
        <f t="shared" si="1386"/>
        <v>0</v>
      </c>
      <c r="S1818" s="23">
        <f t="shared" si="1402"/>
        <v>-2.0728241959001381</v>
      </c>
      <c r="T1818">
        <f>$S1818+測地線補正!$Q$26*(lattice!$N1818/1000)^3+測地線補正!$P$26*(lattice!$N1818/1000)^2+測地線補正!$O$26*(lattice!$N1818/1000)+測地線補正!$N$26</f>
        <v>3.7903023242248812E-2</v>
      </c>
      <c r="U1818">
        <f>-ATAN(($P$1820-$P$1818)/ABS($N$1820-$N$1818))</f>
        <v>1.3775650334161529E-5</v>
      </c>
      <c r="V1818">
        <v>0</v>
      </c>
      <c r="W1818">
        <f>ATAN(($M$1820-$M$1818)/ABS($N$1820-$N$1818))</f>
        <v>1.2242167062996595E-4</v>
      </c>
      <c r="X1818">
        <f>SQRT(($M$1818-$M$1817)^2+($N$1818-$N$1817)^2)</f>
        <v>524.84180393291388</v>
      </c>
      <c r="Y1818">
        <f>_xlfn.XLOOKUP($F1818,設計座標!$E$13:$E$2301,設計座標!$L$13:$L$2301," ",0,1)</f>
        <v>1889.4492</v>
      </c>
      <c r="Z1818">
        <f>SQRT(($M$1819-$M$1816)^2+($N$1819-$N$1816)^2)</f>
        <v>2414.2910180915951</v>
      </c>
    </row>
    <row r="1819" spans="1:26">
      <c r="A1819" t="s">
        <v>797</v>
      </c>
      <c r="B1819">
        <v>4</v>
      </c>
      <c r="C1819" t="s">
        <v>804</v>
      </c>
      <c r="D1819" t="s">
        <v>1152</v>
      </c>
      <c r="E1819" t="s">
        <v>804</v>
      </c>
      <c r="F1819" t="s">
        <v>1323</v>
      </c>
      <c r="G1819" t="s">
        <v>2776</v>
      </c>
      <c r="I1819">
        <f>_xlfn.XLOOKUP($F1819,設計座標!$E$13:$E$2301,設計座標!$G$13:$G$2301,"n/a",0,1)</f>
        <v>556.81562986136964</v>
      </c>
      <c r="J1819">
        <f>_xlfn.XLOOKUP($F1819,設計座標!$E$13:$E$2301,設計座標!$H$13:$H$2301,"n/a",0,1)</f>
        <v>-15000</v>
      </c>
      <c r="K1819">
        <f>_xlfn.XLOOKUP($F1819,設計座標!$E$13:$E$2301,設計座標!$I$13:$I$2301,"n/a",0,1)</f>
        <v>-292339.28899546008</v>
      </c>
      <c r="L1819">
        <f>_xlfn.XLOOKUP($F1819,設計座標!$E$13:$E$2301,設計座標!$J$13:$J$2301,"n/a",0,1)</f>
        <v>-270</v>
      </c>
      <c r="M1819" s="2">
        <f t="shared" si="1397"/>
        <v>-14960.805455949447</v>
      </c>
      <c r="N1819" s="2">
        <f t="shared" si="1398"/>
        <v>-292339.28899546008</v>
      </c>
      <c r="O1819" s="23">
        <f t="shared" si="1399"/>
        <v>-272.07530663565137</v>
      </c>
      <c r="P1819" s="1">
        <f t="shared" ref="P1819:P1882" si="1416">$L1819+$T1819</f>
        <v>-269.97507574345627</v>
      </c>
      <c r="Q1819" s="1">
        <f t="shared" si="1403"/>
        <v>39.194544050553048</v>
      </c>
      <c r="R1819">
        <f t="shared" si="1386"/>
        <v>0</v>
      </c>
      <c r="S1819" s="23">
        <f t="shared" si="1402"/>
        <v>-2.0753066356513457</v>
      </c>
      <c r="T1819">
        <f>$S1819+測地線補正!$Q$26*(lattice!$N1819/1000)^3+測地線補正!$P$26*(lattice!$N1819/1000)^2+測地線補正!$O$26*(lattice!$N1819/1000)+測地線補正!$N$26</f>
        <v>2.4924256543741086E-2</v>
      </c>
      <c r="U1819">
        <f t="shared" ref="U1819:U1820" si="1417">-ATAN(($P$1820-$P$1818)/ABS($N$1820-$N$1818))</f>
        <v>1.3775650334161529E-5</v>
      </c>
      <c r="V1819">
        <v>0</v>
      </c>
      <c r="W1819">
        <f t="shared" ref="W1819:W1820" si="1418">ATAN(($M$1820-$M$1818)/ABS($N$1820-$N$1818))</f>
        <v>1.2242167062996595E-4</v>
      </c>
      <c r="X1819" t="s">
        <v>3860</v>
      </c>
      <c r="Y1819">
        <f>_xlfn.XLOOKUP($F1819,設計座標!$E$13:$E$2301,設計座標!$L$13:$L$2301," ",0,1)</f>
        <v>1889.4492</v>
      </c>
      <c r="Z1819">
        <f>SQRT(($M$1819-$M$1816)^2+($N$1819-$N$1816)^2)</f>
        <v>2414.2910180915951</v>
      </c>
    </row>
    <row r="1820" spans="1:26">
      <c r="A1820" t="s">
        <v>797</v>
      </c>
      <c r="B1820">
        <v>4</v>
      </c>
      <c r="C1820" t="s">
        <v>804</v>
      </c>
      <c r="D1820" t="s">
        <v>1152</v>
      </c>
      <c r="E1820" t="s">
        <v>804</v>
      </c>
      <c r="F1820" t="s">
        <v>1771</v>
      </c>
      <c r="G1820" t="s">
        <v>2776</v>
      </c>
      <c r="I1820">
        <f>_xlfn.XLOOKUP($F1820,設計座標!$E$13:$E$2301,設計座標!$G$13:$G$2301,"n/a",0,1)</f>
        <v>557.76035446136962</v>
      </c>
      <c r="J1820">
        <f>_xlfn.XLOOKUP($F1820,設計座標!$E$13:$E$2301,設計座標!$H$13:$H$2301,"n/a",0,1)</f>
        <v>-15000</v>
      </c>
      <c r="K1820">
        <f>_xlfn.XLOOKUP($F1820,設計座標!$E$13:$E$2301,設計座標!$I$13:$I$2301,"n/a",0,1)</f>
        <v>-293284.0135954601</v>
      </c>
      <c r="L1820">
        <f>_xlfn.XLOOKUP($F1820,設計座標!$E$13:$E$2301,設計座標!$J$13:$J$2301,"n/a",0,1)</f>
        <v>-270</v>
      </c>
      <c r="M1820" s="2">
        <f t="shared" si="1397"/>
        <v>-14960.689801185052</v>
      </c>
      <c r="N1820" s="2">
        <f t="shared" si="1398"/>
        <v>-293284.0135954601</v>
      </c>
      <c r="O1820" s="23">
        <f t="shared" si="1399"/>
        <v>-272.07778907540256</v>
      </c>
      <c r="P1820" s="1">
        <f t="shared" si="1416"/>
        <v>-269.98812536826279</v>
      </c>
      <c r="Q1820" s="1">
        <f t="shared" si="1403"/>
        <v>39.310198814947562</v>
      </c>
      <c r="R1820">
        <f t="shared" si="1386"/>
        <v>0</v>
      </c>
      <c r="S1820" s="23">
        <f t="shared" si="1402"/>
        <v>-2.0777890754025528</v>
      </c>
      <c r="T1820">
        <f>$S1820+測地線補正!$Q$26*(lattice!$N1820/1000)^3+測地線補正!$P$26*(lattice!$N1820/1000)^2+測地線補正!$O$26*(lattice!$N1820/1000)+測地線補正!$N$26</f>
        <v>1.1874631737203378E-2</v>
      </c>
      <c r="U1820">
        <f t="shared" si="1417"/>
        <v>1.3775650334161529E-5</v>
      </c>
      <c r="V1820">
        <v>0</v>
      </c>
      <c r="W1820">
        <f t="shared" si="1418"/>
        <v>1.2242167062996595E-4</v>
      </c>
      <c r="X1820" t="s">
        <v>3860</v>
      </c>
      <c r="Y1820">
        <f>_xlfn.XLOOKUP($F1820,設計座標!$E$13:$E$2301,設計座標!$L$13:$L$2301," ",0,1)</f>
        <v>1889.4492</v>
      </c>
      <c r="Z1820">
        <f>SQRT(($M$1819-$M$1816)^2+($N$1819-$N$1816)^2)</f>
        <v>2414.2910180915951</v>
      </c>
    </row>
    <row r="1821" spans="1:26">
      <c r="A1821" t="s">
        <v>797</v>
      </c>
      <c r="B1821">
        <v>4</v>
      </c>
      <c r="C1821" t="s">
        <v>804</v>
      </c>
      <c r="D1821" t="s">
        <v>1152</v>
      </c>
      <c r="E1821" t="s">
        <v>804</v>
      </c>
      <c r="F1821" t="s">
        <v>1772</v>
      </c>
      <c r="G1821" t="s">
        <v>2777</v>
      </c>
      <c r="I1821">
        <f>_xlfn.XLOOKUP($F1821,設計座標!$E$13:$E$2301,設計座標!$G$13:$G$2301,"n/a",0,1)</f>
        <v>557.97029626136964</v>
      </c>
      <c r="J1821">
        <f>_xlfn.XLOOKUP($F1821,設計座標!$E$13:$E$2301,設計座標!$H$13:$H$2301,"n/a",0,1)</f>
        <v>-15000</v>
      </c>
      <c r="K1821">
        <f>_xlfn.XLOOKUP($F1821,設計座標!$E$13:$E$2301,設計座標!$I$13:$I$2301,"n/a",0,1)</f>
        <v>-293493.95539546007</v>
      </c>
      <c r="L1821">
        <f>_xlfn.XLOOKUP($F1821,設計座標!$E$13:$E$2301,設計座標!$J$13:$J$2301,"n/a",0,1)</f>
        <v>-270</v>
      </c>
      <c r="M1821" s="2">
        <f t="shared" si="1397"/>
        <v>-14960.664099759033</v>
      </c>
      <c r="N1821" s="2">
        <f t="shared" si="1398"/>
        <v>-293493.95539546007</v>
      </c>
      <c r="O1821" s="23">
        <f t="shared" si="1399"/>
        <v>-272.07834073656363</v>
      </c>
      <c r="P1821" s="1">
        <f t="shared" si="1416"/>
        <v>-269.9910348801443</v>
      </c>
      <c r="Q1821" s="1">
        <f t="shared" si="1403"/>
        <v>39.335900240966907</v>
      </c>
      <c r="R1821">
        <f t="shared" si="1386"/>
        <v>0</v>
      </c>
      <c r="S1821" s="23">
        <f t="shared" si="1402"/>
        <v>-2.078340736563657</v>
      </c>
      <c r="T1821">
        <f>$S1821+測地線補正!$Q$26*(lattice!$N1821/1000)^3+測地線補正!$P$26*(lattice!$N1821/1000)^2+測地線補正!$O$26*(lattice!$N1821/1000)+測地線補正!$N$26</f>
        <v>8.9651198556823797E-3</v>
      </c>
      <c r="U1821">
        <f>-ATAN(($P$1823-$P$1821)/ABS($N$1823-$N$1821))</f>
        <v>1.3940532085120383E-5</v>
      </c>
      <c r="V1821">
        <v>0</v>
      </c>
      <c r="W1821">
        <f>ATAN(($M$1823-$M$1821)/ABS($N$1823-$N$1821))</f>
        <v>1.2242167062900323E-4</v>
      </c>
      <c r="X1821">
        <f>SQRT(($M$1821-$M$1820)^2+($N$1821-$N$1820)^2)</f>
        <v>209.94180157317717</v>
      </c>
      <c r="Y1821">
        <f>_xlfn.XLOOKUP($F1821,設計座標!$E$13:$E$2301,設計座標!$L$13:$L$2301," ",0,1)</f>
        <v>1889.4492</v>
      </c>
      <c r="Z1821">
        <f>SQRT(($M$1822-$M$1819)^2+($N$1822-$N$1819)^2)</f>
        <v>2099.3910157318587</v>
      </c>
    </row>
    <row r="1822" spans="1:26">
      <c r="A1822" t="s">
        <v>797</v>
      </c>
      <c r="B1822">
        <v>4</v>
      </c>
      <c r="C1822" t="s">
        <v>804</v>
      </c>
      <c r="D1822" t="s">
        <v>1152</v>
      </c>
      <c r="E1822" t="s">
        <v>804</v>
      </c>
      <c r="F1822" t="s">
        <v>1377</v>
      </c>
      <c r="G1822" t="s">
        <v>2777</v>
      </c>
      <c r="I1822">
        <f>_xlfn.XLOOKUP($F1822,設計座標!$E$13:$E$2301,設計座標!$G$13:$G$2301,"n/a",0,1)</f>
        <v>558.91502086136961</v>
      </c>
      <c r="J1822">
        <f>_xlfn.XLOOKUP($F1822,設計座標!$E$13:$E$2301,設計座標!$H$13:$H$2301,"n/a",0,1)</f>
        <v>-15000</v>
      </c>
      <c r="K1822">
        <f>_xlfn.XLOOKUP($F1822,設計座標!$E$13:$E$2301,設計座標!$I$13:$I$2301,"n/a",0,1)</f>
        <v>-294438.67999546009</v>
      </c>
      <c r="L1822">
        <f>_xlfn.XLOOKUP($F1822,設計座標!$E$13:$E$2301,設計座標!$J$13:$J$2301,"n/a",0,1)</f>
        <v>-270</v>
      </c>
      <c r="M1822" s="2">
        <f t="shared" si="1397"/>
        <v>-14960.548444994638</v>
      </c>
      <c r="N1822" s="2">
        <f t="shared" si="1398"/>
        <v>-294438.67999546009</v>
      </c>
      <c r="O1822" s="23">
        <f t="shared" si="1399"/>
        <v>-272.08082317631488</v>
      </c>
      <c r="P1822" s="1">
        <f t="shared" si="1416"/>
        <v>-270.00417017736646</v>
      </c>
      <c r="Q1822" s="1">
        <f t="shared" si="1403"/>
        <v>39.451555005361421</v>
      </c>
      <c r="R1822">
        <f t="shared" si="1386"/>
        <v>0</v>
      </c>
      <c r="S1822" s="23">
        <f t="shared" si="1402"/>
        <v>-2.0808231763148646</v>
      </c>
      <c r="T1822">
        <f>$S1822+測地線補正!$Q$26*(lattice!$N1822/1000)^3+測地線補正!$P$26*(lattice!$N1822/1000)^2+測地線補正!$O$26*(lattice!$N1822/1000)+測地線補正!$N$26</f>
        <v>-4.1701773664473141E-3</v>
      </c>
      <c r="U1822">
        <f t="shared" ref="U1822:U1823" si="1419">-ATAN(($P$1823-$P$1821)/ABS($N$1823-$N$1821))</f>
        <v>1.3940532085120383E-5</v>
      </c>
      <c r="V1822">
        <v>0</v>
      </c>
      <c r="W1822">
        <f t="shared" ref="W1822:W1823" si="1420">ATAN(($M$1823-$M$1821)/ABS($N$1823-$N$1821))</f>
        <v>1.2242167062900323E-4</v>
      </c>
      <c r="X1822" t="s">
        <v>3860</v>
      </c>
      <c r="Y1822">
        <f>_xlfn.XLOOKUP($F1822,設計座標!$E$13:$E$2301,設計座標!$L$13:$L$2301," ",0,1)</f>
        <v>1889.4492</v>
      </c>
      <c r="Z1822">
        <f>SQRT(($M$1822-$M$1819)^2+($N$1822-$N$1819)^2)</f>
        <v>2099.3910157318587</v>
      </c>
    </row>
    <row r="1823" spans="1:26">
      <c r="A1823" t="s">
        <v>797</v>
      </c>
      <c r="B1823">
        <v>4</v>
      </c>
      <c r="C1823" t="s">
        <v>804</v>
      </c>
      <c r="D1823" t="s">
        <v>1152</v>
      </c>
      <c r="E1823" t="s">
        <v>804</v>
      </c>
      <c r="F1823" t="s">
        <v>1773</v>
      </c>
      <c r="G1823" t="s">
        <v>2777</v>
      </c>
      <c r="I1823">
        <f>_xlfn.XLOOKUP($F1823,設計座標!$E$13:$E$2301,設計座標!$G$13:$G$2301,"n/a",0,1)</f>
        <v>559.85974546136958</v>
      </c>
      <c r="J1823">
        <f>_xlfn.XLOOKUP($F1823,設計座標!$E$13:$E$2301,設計座標!$H$13:$H$2301,"n/a",0,1)</f>
        <v>-15000</v>
      </c>
      <c r="K1823">
        <f>_xlfn.XLOOKUP($F1823,設計座標!$E$13:$E$2301,設計座標!$I$13:$I$2301,"n/a",0,1)</f>
        <v>-295383.4045954601</v>
      </c>
      <c r="L1823">
        <f>_xlfn.XLOOKUP($F1823,設計座標!$E$13:$E$2301,設計座標!$J$13:$J$2301,"n/a",0,1)</f>
        <v>-270</v>
      </c>
      <c r="M1823" s="2">
        <f t="shared" si="1397"/>
        <v>-14960.432790230245</v>
      </c>
      <c r="N1823" s="2">
        <f t="shared" si="1398"/>
        <v>-295383.4045954601</v>
      </c>
      <c r="O1823" s="23">
        <f t="shared" si="1399"/>
        <v>-272.08330561606607</v>
      </c>
      <c r="P1823" s="1">
        <f t="shared" si="1416"/>
        <v>-270.01737480734181</v>
      </c>
      <c r="Q1823" s="1">
        <f t="shared" si="1403"/>
        <v>39.567209769755934</v>
      </c>
      <c r="R1823">
        <f t="shared" si="1386"/>
        <v>0</v>
      </c>
      <c r="S1823" s="23">
        <f t="shared" si="1402"/>
        <v>-2.0833056160660717</v>
      </c>
      <c r="T1823">
        <f>$S1823+測地線補正!$Q$26*(lattice!$N1823/1000)^3+測地線補正!$P$26*(lattice!$N1823/1000)^2+測地線補正!$O$26*(lattice!$N1823/1000)+測地線補正!$N$26</f>
        <v>-1.7374807341836496E-2</v>
      </c>
      <c r="U1823">
        <f t="shared" si="1419"/>
        <v>1.3940532085120383E-5</v>
      </c>
      <c r="V1823">
        <v>0</v>
      </c>
      <c r="W1823">
        <f t="shared" si="1420"/>
        <v>1.2242167062900323E-4</v>
      </c>
      <c r="X1823" t="s">
        <v>3860</v>
      </c>
      <c r="Y1823">
        <f>_xlfn.XLOOKUP($F1823,設計座標!$E$13:$E$2301,設計座標!$L$13:$L$2301," ",0,1)</f>
        <v>1889.4492</v>
      </c>
      <c r="Z1823">
        <f>SQRT(($M$1822-$M$1819)^2+($N$1822-$N$1819)^2)</f>
        <v>2099.3910157318587</v>
      </c>
    </row>
    <row r="1824" spans="1:26">
      <c r="A1824" t="s">
        <v>797</v>
      </c>
      <c r="B1824">
        <v>4</v>
      </c>
      <c r="C1824" t="s">
        <v>1152</v>
      </c>
      <c r="D1824" t="s">
        <v>1152</v>
      </c>
      <c r="E1824" t="s">
        <v>804</v>
      </c>
      <c r="F1824" t="s">
        <v>2175</v>
      </c>
      <c r="G1824" t="s">
        <v>2175</v>
      </c>
      <c r="I1824">
        <f>_xlfn.XLOOKUP($F1824,設計座標!$E$13:$E$2301,設計座標!$G$13:$G$2301,"n/a",0,1)</f>
        <v>560.01224136136966</v>
      </c>
      <c r="J1824">
        <f>_xlfn.XLOOKUP($F1824,設計座標!$E$13:$E$2301,設計座標!$H$13:$H$2301,"n/a",0,1)</f>
        <v>-15000</v>
      </c>
      <c r="K1824">
        <f>_xlfn.XLOOKUP($F1824,設計座標!$E$13:$E$2301,設計座標!$I$13:$I$2301,"n/a",0,1)</f>
        <v>-295535.90049546008</v>
      </c>
      <c r="L1824">
        <f>_xlfn.XLOOKUP($F1824,設計座標!$E$13:$E$2301,設計座標!$J$13:$J$2301,"n/a",0,1)</f>
        <v>-270</v>
      </c>
      <c r="M1824" s="2">
        <f t="shared" si="1397"/>
        <v>-14960.41412142731</v>
      </c>
      <c r="N1824" s="2">
        <f t="shared" si="1398"/>
        <v>-295535.90049546008</v>
      </c>
      <c r="O1824" s="23">
        <f t="shared" si="1399"/>
        <v>-272.08370632743112</v>
      </c>
      <c r="P1824" s="1">
        <f t="shared" si="1416"/>
        <v>-270.01951272981501</v>
      </c>
      <c r="Q1824" s="1">
        <f t="shared" si="1403"/>
        <v>39.585878572691335</v>
      </c>
      <c r="R1824">
        <f t="shared" si="1386"/>
        <v>0</v>
      </c>
      <c r="S1824" s="23">
        <f t="shared" si="1402"/>
        <v>-2.0837063274311149</v>
      </c>
      <c r="T1824">
        <f>$S1824+測地線補正!$Q$26*(lattice!$N1824/1000)^3+測地線補正!$P$26*(lattice!$N1824/1000)^2+測地線補正!$O$26*(lattice!$N1824/1000)+測地線補正!$N$26</f>
        <v>-1.9512729815021723E-2</v>
      </c>
      <c r="U1824">
        <v>0</v>
      </c>
      <c r="V1824">
        <v>0</v>
      </c>
      <c r="W1824">
        <v>0</v>
      </c>
      <c r="X1824">
        <f>SQRT(($M$1824-$M$1823)^2+($N$1824-$N$1823)^2)</f>
        <v>152.49590114271291</v>
      </c>
      <c r="Y1824">
        <f>_xlfn.XLOOKUP($F1824,設計座標!$E$13:$E$2301,設計座標!$L$13:$L$2301," ",0,1)</f>
        <v>0</v>
      </c>
      <c r="Z1824">
        <f>SQRT(($M$1824-$M$1822)^2+($N$1824-$N$1822)^2)</f>
        <v>1097.2205082220535</v>
      </c>
    </row>
    <row r="1825" spans="1:28">
      <c r="A1825" t="s">
        <v>797</v>
      </c>
      <c r="B1825">
        <v>4</v>
      </c>
      <c r="C1825" t="s">
        <v>805</v>
      </c>
      <c r="D1825" t="s">
        <v>806</v>
      </c>
      <c r="F1825" t="s">
        <v>451</v>
      </c>
      <c r="G1825" t="s">
        <v>2778</v>
      </c>
      <c r="I1825">
        <f>_xlfn.XLOOKUP($F1825,設計座標!$E$13:$E$2301,設計座標!$G$13:$G$2301,"n/a",0,1)</f>
        <v>560.11321299999975</v>
      </c>
      <c r="J1825">
        <f>_xlfn.XLOOKUP($F1825,設計座標!$E$13:$E$2301,設計座標!$H$13:$H$2301,"n/a",0,1)</f>
        <v>-15000</v>
      </c>
      <c r="K1825">
        <f>_xlfn.XLOOKUP($F1825,設計座標!$E$13:$E$2301,設計座標!$I$13:$I$2301,"n/a",0,1)</f>
        <v>-295748.94061364001</v>
      </c>
      <c r="L1825">
        <f>_xlfn.XLOOKUP($F1825,設計座標!$E$13:$E$2301,設計座標!$J$13:$J$2301,"n/a",0,1)</f>
        <v>-50</v>
      </c>
      <c r="M1825" s="2">
        <f>_xlfn.XLOOKUP($F1825,survey_data!$A$2:$A$833,survey_data!$B$2:$B$833,"n/a",0,1)</f>
        <v>-14960.3880407</v>
      </c>
      <c r="N1825" s="2">
        <f>_xlfn.XLOOKUP($F1825,survey_data!$A$2:$A$833,survey_data!$C$2:$C$833,"n/a",0,1)</f>
        <v>-295748.94061364001</v>
      </c>
      <c r="O1825" s="23">
        <f>_xlfn.XLOOKUP($F1825,survey_data!$A$2:$A$833,survey_data!$D$2:$D$833,"n/a",0,1)</f>
        <v>-52.084266130000003</v>
      </c>
      <c r="P1825" s="1">
        <f t="shared" si="1416"/>
        <v>-50.022502443749232</v>
      </c>
      <c r="Q1825" s="1">
        <f t="shared" si="1393"/>
        <v>39.611959300000308</v>
      </c>
      <c r="R1825">
        <f t="shared" si="1386"/>
        <v>0</v>
      </c>
      <c r="S1825" s="23">
        <f t="shared" si="1394"/>
        <v>-2.0842661300000032</v>
      </c>
      <c r="T1825">
        <f>$S1825+測地線補正!$Q$26*(lattice!$N1825/1000)^3+測地線補正!$P$26*(lattice!$N1825/1000)^2+測地線補正!$O$26*(lattice!$N1825/1000)+測地線補正!$N$26</f>
        <v>-2.2502443749234269E-2</v>
      </c>
      <c r="U1825">
        <f>-ATAN(($P$1827-$P$1825)/ABS($N$1827-$N$1825))</f>
        <v>3.1310371363035594E-4</v>
      </c>
      <c r="V1825">
        <v>0</v>
      </c>
      <c r="W1825">
        <f>ATAN(($M$1827-$M$1825)/ABS($N$1827-$N$1825))</f>
        <v>-1.161465050402025E-4</v>
      </c>
      <c r="X1825">
        <f>$Z$1826-($Y$1826+$Y$1824)/2</f>
        <v>188.04761870359056</v>
      </c>
      <c r="Y1825">
        <f>_xlfn.XLOOKUP($F1825,設計座標!$E$13:$E$2301,設計座標!$L$13:$L$2301," ",0,1)</f>
        <v>200</v>
      </c>
      <c r="Z1825">
        <f>SQRT(($M$1826-$M$1824)^2+($N$1826-$N$1824)^2)</f>
        <v>288.04761870359056</v>
      </c>
      <c r="AA1825">
        <f>_xlfn.XLOOKUP($G1825,magnet_list!$A$2:$A$592,magnet_list!$AJ$2:$AJ$592,"n/a",0,1)</f>
        <v>0.21244935000000001</v>
      </c>
      <c r="AB1825">
        <f>_xlfn.XLOOKUP($G1825,magnet_list!$A$2:$A$592,magnet_list!$L$2:$L$592,"n/a",0,1)</f>
        <v>20</v>
      </c>
    </row>
    <row r="1826" spans="1:28">
      <c r="A1826" t="s">
        <v>797</v>
      </c>
      <c r="B1826">
        <v>4</v>
      </c>
      <c r="C1826" t="s">
        <v>805</v>
      </c>
      <c r="D1826" t="s">
        <v>1152</v>
      </c>
      <c r="E1826" t="s">
        <v>804</v>
      </c>
      <c r="F1826" t="s">
        <v>784</v>
      </c>
      <c r="G1826" t="s">
        <v>2778</v>
      </c>
      <c r="I1826">
        <f>_xlfn.XLOOKUP($F1826,設計座標!$E$13:$E$2301,設計座標!$G$13:$G$2301,"n/a",0,1)</f>
        <v>560.18822049999983</v>
      </c>
      <c r="J1826">
        <f>_xlfn.XLOOKUP($F1826,設計座標!$E$13:$E$2301,設計座標!$H$13:$H$2301,"n/a",0,1)</f>
        <v>-15000</v>
      </c>
      <c r="K1826">
        <f>_xlfn.XLOOKUP($F1826,設計座標!$E$13:$E$2301,設計座標!$I$13:$I$2301,"n/a",0,1)</f>
        <v>-295823.94811364001</v>
      </c>
      <c r="L1826">
        <f>_xlfn.XLOOKUP($F1826,設計座標!$E$13:$E$2301,設計座標!$J$13:$J$2301,"n/a",0,1)</f>
        <v>-50</v>
      </c>
      <c r="M1826" s="2">
        <f t="shared" si="1397"/>
        <v>-14960.396752559016</v>
      </c>
      <c r="N1826" s="2">
        <f t="shared" si="1398"/>
        <v>-295823.94811364001</v>
      </c>
      <c r="O1826" s="23">
        <f t="shared" si="1399"/>
        <v>-52.106894687154707</v>
      </c>
      <c r="P1826" s="1">
        <f t="shared" si="1416"/>
        <v>-50.045987356005192</v>
      </c>
      <c r="Q1826" s="1">
        <f>(Q$1827-Q$1825)/($N$1827-$N$1825)*($N1826-$N$1825)+Q$1825</f>
        <v>39.603247440984333</v>
      </c>
      <c r="R1826">
        <f t="shared" si="1386"/>
        <v>0</v>
      </c>
      <c r="S1826" s="23">
        <f>(S$1827-S$1825)/($N$1827-$N$1825)*($N1826-$N$1825)+S$1825</f>
        <v>-2.1068946871547105</v>
      </c>
      <c r="T1826">
        <f>$S1826+測地線補正!$Q$26*(lattice!$N1826/1000)^3+測地線補正!$P$26*(lattice!$N1826/1000)^2+測地線補正!$O$26*(lattice!$N1826/1000)+測地線補正!$N$26</f>
        <v>-4.5987356005193769E-2</v>
      </c>
      <c r="U1826">
        <f t="shared" ref="U1826:U1827" si="1421">-ATAN(($P$1827-$P$1825)/ABS($N$1827-$N$1825))</f>
        <v>3.1310371363035594E-4</v>
      </c>
      <c r="V1826">
        <v>0</v>
      </c>
      <c r="W1826">
        <f t="shared" ref="W1826:W1827" si="1422">ATAN(($M$1827-$M$1825)/ABS($N$1827-$N$1825))</f>
        <v>-1.161465050402025E-4</v>
      </c>
      <c r="X1826">
        <f>$Z$1826-($Y$1826+$Y$1824)/2</f>
        <v>188.04761870359056</v>
      </c>
      <c r="Y1826">
        <f>_xlfn.XLOOKUP($F1826,設計座標!$E$13:$E$2301,設計座標!$L$13:$L$2301," ",0,1)</f>
        <v>200</v>
      </c>
      <c r="Z1826">
        <f>SQRT(($M$1826-$M$1824)^2+($N$1826-$N$1824)^2)</f>
        <v>288.04761870359056</v>
      </c>
      <c r="AA1826">
        <f>_xlfn.XLOOKUP($G1826,magnet_list!$A$2:$A$592,magnet_list!$AJ$2:$AJ$592,"n/a",0,1)</f>
        <v>0.21244935000000001</v>
      </c>
      <c r="AB1826">
        <f>_xlfn.XLOOKUP($G1826,magnet_list!$A$2:$A$592,magnet_list!$L$2:$L$592,"n/a",0,1)</f>
        <v>20</v>
      </c>
    </row>
    <row r="1827" spans="1:28">
      <c r="A1827" t="s">
        <v>797</v>
      </c>
      <c r="B1827">
        <v>4</v>
      </c>
      <c r="C1827" t="s">
        <v>805</v>
      </c>
      <c r="D1827" t="s">
        <v>806</v>
      </c>
      <c r="F1827" t="s">
        <v>452</v>
      </c>
      <c r="G1827" t="s">
        <v>2778</v>
      </c>
      <c r="I1827">
        <f>_xlfn.XLOOKUP($F1827,設計座標!$E$13:$E$2301,設計座標!$G$13:$G$2301,"n/a",0,1)</f>
        <v>560.2632279999998</v>
      </c>
      <c r="J1827">
        <f>_xlfn.XLOOKUP($F1827,設計座標!$E$13:$E$2301,設計座標!$H$13:$H$2301,"n/a",0,1)</f>
        <v>-15000</v>
      </c>
      <c r="K1827">
        <f>_xlfn.XLOOKUP($F1827,設計座標!$E$13:$E$2301,設計座標!$I$13:$I$2301,"n/a",0,1)</f>
        <v>-295898.94021902001</v>
      </c>
      <c r="L1827">
        <f>_xlfn.XLOOKUP($F1827,設計座標!$E$13:$E$2301,設計座標!$J$13:$J$2301,"n/a",0,1)</f>
        <v>-50</v>
      </c>
      <c r="M1827" s="2">
        <f>_xlfn.XLOOKUP($F1827,survey_data!$A$2:$A$833,survey_data!$B$2:$B$833,"n/a",0,1)</f>
        <v>-14960.40546263</v>
      </c>
      <c r="N1827" s="2">
        <f>_xlfn.XLOOKUP($F1827,survey_data!$A$2:$A$833,survey_data!$C$2:$C$833,"n/a",0,1)</f>
        <v>-295898.94021902001</v>
      </c>
      <c r="O1827" s="23">
        <f>_xlfn.XLOOKUP($F1827,survey_data!$A$2:$A$833,survey_data!$D$2:$D$833,"n/a",0,1)</f>
        <v>-52.129518599999997</v>
      </c>
      <c r="P1827" s="1">
        <f t="shared" si="1416"/>
        <v>-50.069467878771533</v>
      </c>
      <c r="Q1827" s="1">
        <f t="shared" si="1393"/>
        <v>39.594537369999671</v>
      </c>
      <c r="R1827">
        <f t="shared" si="1386"/>
        <v>0</v>
      </c>
      <c r="S1827" s="23">
        <f t="shared" si="1394"/>
        <v>-2.1295185999999973</v>
      </c>
      <c r="T1827">
        <f>$S1827+測地線補正!$Q$26*(lattice!$N1827/1000)^3+測地線補正!$P$26*(lattice!$N1827/1000)^2+測地線補正!$O$26*(lattice!$N1827/1000)+測地線補正!$N$26</f>
        <v>-6.946787877153171E-2</v>
      </c>
      <c r="U1827">
        <f t="shared" si="1421"/>
        <v>3.1310371363035594E-4</v>
      </c>
      <c r="V1827">
        <v>0</v>
      </c>
      <c r="W1827">
        <f t="shared" si="1422"/>
        <v>-1.161465050402025E-4</v>
      </c>
      <c r="X1827">
        <f>$Z$1826-($Y$1826+$Y$1824)/2</f>
        <v>188.04761870359056</v>
      </c>
      <c r="Y1827">
        <f>_xlfn.XLOOKUP($F1827,設計座標!$E$13:$E$2301,設計座標!$L$13:$L$2301," ",0,1)</f>
        <v>200</v>
      </c>
      <c r="Z1827">
        <f>SQRT(($M$1826-$M$1824)^2+($N$1826-$N$1824)^2)</f>
        <v>288.04761870359056</v>
      </c>
      <c r="AA1827">
        <f>_xlfn.XLOOKUP($G1827,magnet_list!$A$2:$A$592,magnet_list!$AJ$2:$AJ$592,"n/a",0,1)</f>
        <v>0.21244935000000001</v>
      </c>
      <c r="AB1827">
        <f>_xlfn.XLOOKUP($G1827,magnet_list!$A$2:$A$592,magnet_list!$L$2:$L$592,"n/a",0,1)</f>
        <v>20</v>
      </c>
    </row>
    <row r="1828" spans="1:28">
      <c r="A1828" t="s">
        <v>797</v>
      </c>
      <c r="B1828">
        <v>4</v>
      </c>
      <c r="C1828" t="s">
        <v>805</v>
      </c>
      <c r="D1828" t="s">
        <v>806</v>
      </c>
      <c r="F1828" t="s">
        <v>453</v>
      </c>
      <c r="G1828" t="s">
        <v>453</v>
      </c>
      <c r="I1828">
        <f>_xlfn.XLOOKUP($F1828,設計座標!$E$13:$E$2301,設計座標!$G$13:$G$2301,"n/a",0,1)</f>
        <v>560.5181799999998</v>
      </c>
      <c r="J1828">
        <f>_xlfn.XLOOKUP($F1828,設計座標!$E$13:$E$2301,設計座標!$H$13:$H$2301,"n/a",0,1)</f>
        <v>-15000</v>
      </c>
      <c r="K1828">
        <f>_xlfn.XLOOKUP($F1828,設計座標!$E$13:$E$2301,設計座標!$I$13:$I$2301,"n/a",0,1)</f>
        <v>-296153.92548189999</v>
      </c>
      <c r="L1828">
        <f>_xlfn.XLOOKUP($F1828,設計座標!$E$13:$E$2301,設計座標!$J$13:$J$2301,"n/a",0,1)</f>
        <v>-90</v>
      </c>
      <c r="M1828" s="2">
        <f>_xlfn.XLOOKUP($F1828,survey_data!$A$2:$A$833,survey_data!$B$2:$B$833,"n/a",0,1)</f>
        <v>-14960.33345604</v>
      </c>
      <c r="N1828" s="2">
        <f>_xlfn.XLOOKUP($F1828,survey_data!$A$2:$A$833,survey_data!$C$2:$C$833,"n/a",0,1)</f>
        <v>-296153.92548189999</v>
      </c>
      <c r="O1828" s="23">
        <f>_xlfn.XLOOKUP($F1828,survey_data!$A$2:$A$833,survey_data!$D$2:$D$833,"n/a",0,1)</f>
        <v>-92.18145131</v>
      </c>
      <c r="P1828" s="1">
        <f t="shared" si="1416"/>
        <v>-90.124316416818161</v>
      </c>
      <c r="Q1828" s="1">
        <f t="shared" si="1393"/>
        <v>39.666543960000126</v>
      </c>
      <c r="R1828">
        <f t="shared" si="1386"/>
        <v>0</v>
      </c>
      <c r="S1828" s="23">
        <f t="shared" si="1394"/>
        <v>-2.1814513099999999</v>
      </c>
      <c r="T1828">
        <f>$S1828+測地線補正!$Q$26*(lattice!$N1828/1000)^3+測地線補正!$P$26*(lattice!$N1828/1000)^2+測地線補正!$O$26*(lattice!$N1828/1000)+測地線補正!$N$26</f>
        <v>-0.1243164168181663</v>
      </c>
      <c r="U1828">
        <v>0</v>
      </c>
      <c r="V1828">
        <v>0</v>
      </c>
      <c r="W1828">
        <v>0</v>
      </c>
      <c r="X1828">
        <f>$Z$1829-($Y$1829+$Y$1826)/2</f>
        <v>189.97737433077111</v>
      </c>
      <c r="Y1828">
        <f>_xlfn.XLOOKUP($F1828,設計座標!$E$13:$E$2301,設計座標!$L$13:$L$2301," ",0,1)</f>
        <v>80</v>
      </c>
      <c r="Z1828">
        <f>SQRT(($M$1829-$M$1826)^2+($N$1829-$N$1826)^2)</f>
        <v>329.97737433077111</v>
      </c>
      <c r="AA1828">
        <f>_xlfn.XLOOKUP($G1828,magnet_list!$A$2:$A$592,magnet_list!$AJ$2:$AJ$592,"n/a",0,1)</f>
        <v>0.1074008800631841</v>
      </c>
      <c r="AB1828">
        <f>_xlfn.XLOOKUP($G1828,magnet_list!$A$2:$A$592,magnet_list!$L$2:$L$592,"n/a",0,1)</f>
        <v>20</v>
      </c>
    </row>
    <row r="1829" spans="1:28">
      <c r="A1829" t="s">
        <v>797</v>
      </c>
      <c r="B1829">
        <v>4</v>
      </c>
      <c r="C1829" t="s">
        <v>805</v>
      </c>
      <c r="D1829" t="s">
        <v>1152</v>
      </c>
      <c r="E1829" t="s">
        <v>804</v>
      </c>
      <c r="F1829" t="s">
        <v>1903</v>
      </c>
      <c r="G1829" t="s">
        <v>453</v>
      </c>
      <c r="I1829">
        <f>_xlfn.XLOOKUP($F1829,設計座標!$E$13:$E$2301,設計座標!$G$13:$G$2301,"n/a",0,1)</f>
        <v>560.5181799999998</v>
      </c>
      <c r="J1829">
        <f>_xlfn.XLOOKUP($F1829,設計座標!$E$13:$E$2301,設計座標!$H$13:$H$2301,"n/a",0,1)</f>
        <v>-15000</v>
      </c>
      <c r="K1829">
        <f>_xlfn.XLOOKUP($F1829,設計座標!$E$13:$E$2301,設計座標!$I$13:$I$2301,"n/a",0,1)</f>
        <v>-296153.92548189999</v>
      </c>
      <c r="L1829">
        <f>_xlfn.XLOOKUP($F1829,設計座標!$E$13:$E$2301,設計座標!$J$13:$J$2301,"n/a",0,1)</f>
        <v>-90</v>
      </c>
      <c r="M1829" s="2">
        <f t="shared" ref="M1829:M1865" si="1423">$J1829+$Q1829</f>
        <v>-14960.33345604</v>
      </c>
      <c r="N1829" s="2">
        <f t="shared" ref="N1829:N1865" si="1424">$K1829</f>
        <v>-296153.92548189999</v>
      </c>
      <c r="O1829" s="23">
        <f t="shared" ref="O1829:O1865" si="1425">$L1829+$S1829</f>
        <v>-92.18145131</v>
      </c>
      <c r="P1829" s="1">
        <f t="shared" si="1416"/>
        <v>-90.124316416818161</v>
      </c>
      <c r="Q1829" s="1">
        <f>(Q$1830-Q$1828)/($N$1830-$N$1828)*($N1829-$N$1828)+Q$1828</f>
        <v>39.666543960000126</v>
      </c>
      <c r="R1829">
        <f t="shared" si="1386"/>
        <v>0</v>
      </c>
      <c r="S1829" s="23">
        <f>(S$1830-S$1828)/($N$1830-$N$1828)*($N1829-$N$1828)+S$1828</f>
        <v>-2.1814513099999999</v>
      </c>
      <c r="T1829">
        <f>$S1829+測地線補正!$Q$26*(lattice!$N1829/1000)^3+測地線補正!$P$26*(lattice!$N1829/1000)^2+測地線補正!$O$26*(lattice!$N1829/1000)+測地線補正!$N$26</f>
        <v>-0.1243164168181663</v>
      </c>
      <c r="U1829">
        <v>0</v>
      </c>
      <c r="V1829">
        <v>0</v>
      </c>
      <c r="W1829">
        <v>0</v>
      </c>
      <c r="X1829">
        <f>$Z$1829-($Y$1829+$Y$1826)/2</f>
        <v>189.97737433077111</v>
      </c>
      <c r="Y1829">
        <f>_xlfn.XLOOKUP($F1829,設計座標!$E$13:$E$2301,設計座標!$L$13:$L$2301," ",0,1)</f>
        <v>80</v>
      </c>
      <c r="Z1829">
        <f>SQRT(($M$1829-$M$1826)^2+($N$1829-$N$1826)^2)</f>
        <v>329.97737433077111</v>
      </c>
      <c r="AA1829">
        <f>_xlfn.XLOOKUP($G1829,magnet_list!$A$2:$A$592,magnet_list!$AJ$2:$AJ$592,"n/a",0,1)</f>
        <v>0.1074008800631841</v>
      </c>
      <c r="AB1829">
        <f>_xlfn.XLOOKUP($G1829,magnet_list!$A$2:$A$592,magnet_list!$L$2:$L$592,"n/a",0,1)</f>
        <v>20</v>
      </c>
    </row>
    <row r="1830" spans="1:28">
      <c r="A1830" t="s">
        <v>797</v>
      </c>
      <c r="B1830">
        <v>4</v>
      </c>
      <c r="C1830" t="s">
        <v>805</v>
      </c>
      <c r="D1830" t="s">
        <v>806</v>
      </c>
      <c r="F1830" t="s">
        <v>454</v>
      </c>
      <c r="G1830" t="s">
        <v>454</v>
      </c>
      <c r="I1830">
        <f>_xlfn.XLOOKUP($F1830,設計座標!$E$13:$E$2301,設計座標!$G$13:$G$2301,"n/a",0,1)</f>
        <v>560.71818599999983</v>
      </c>
      <c r="J1830">
        <f>_xlfn.XLOOKUP($F1830,設計座標!$E$13:$E$2301,設計座標!$H$13:$H$2301,"n/a",0,1)</f>
        <v>-15000</v>
      </c>
      <c r="K1830">
        <f>_xlfn.XLOOKUP($F1830,設計座標!$E$13:$E$2301,設計座標!$I$13:$I$2301,"n/a",0,1)</f>
        <v>-296353.91258104</v>
      </c>
      <c r="L1830">
        <f>_xlfn.XLOOKUP($F1830,設計座標!$E$13:$E$2301,設計座標!$J$13:$J$2301,"n/a",0,1)</f>
        <v>-90</v>
      </c>
      <c r="M1830" s="2">
        <f>_xlfn.XLOOKUP($F1830,survey_data!$A$2:$A$833,survey_data!$B$2:$B$833,"n/a",0,1)</f>
        <v>-14960.275140059999</v>
      </c>
      <c r="N1830" s="2">
        <f>_xlfn.XLOOKUP($F1830,survey_data!$A$2:$A$833,survey_data!$C$2:$C$833,"n/a",0,1)</f>
        <v>-296353.91258104</v>
      </c>
      <c r="O1830" s="23">
        <f>_xlfn.XLOOKUP($F1830,survey_data!$A$2:$A$833,survey_data!$D$2:$D$833,"n/a",0,1)</f>
        <v>-92.216380049999998</v>
      </c>
      <c r="P1830" s="1">
        <f t="shared" si="1416"/>
        <v>-90.161535536729644</v>
      </c>
      <c r="Q1830" s="1">
        <f t="shared" si="1393"/>
        <v>39.724859940000897</v>
      </c>
      <c r="R1830">
        <f t="shared" si="1386"/>
        <v>0</v>
      </c>
      <c r="S1830" s="23">
        <f t="shared" si="1394"/>
        <v>-2.2163800499999979</v>
      </c>
      <c r="T1830">
        <f>$S1830+測地線補正!$Q$26*(lattice!$N1830/1000)^3+測地線補正!$P$26*(lattice!$N1830/1000)^2+測地線補正!$O$26*(lattice!$N1830/1000)+測地線補正!$N$26</f>
        <v>-0.16153553672964471</v>
      </c>
      <c r="U1830">
        <v>0</v>
      </c>
      <c r="V1830">
        <v>0</v>
      </c>
      <c r="W1830">
        <v>0</v>
      </c>
      <c r="X1830">
        <f>$Z$1831-($Y$1831+$Y$1829)/2</f>
        <v>119.98710764244146</v>
      </c>
      <c r="Y1830">
        <f>_xlfn.XLOOKUP($F1830,設計座標!$E$13:$E$2301,設計座標!$L$13:$L$2301," ",0,1)</f>
        <v>80</v>
      </c>
      <c r="Z1830">
        <f>SQRT(($M$1831-$M$1829)^2+($N$1831-$N$1829)^2)</f>
        <v>199.98710764244146</v>
      </c>
      <c r="AA1830">
        <f>_xlfn.XLOOKUP($G1830,magnet_list!$A$2:$A$592,magnet_list!$AJ$2:$AJ$592,"n/a",0,1)</f>
        <v>0.1074008800631841</v>
      </c>
      <c r="AB1830">
        <f>_xlfn.XLOOKUP($G1830,magnet_list!$A$2:$A$592,magnet_list!$L$2:$L$592,"n/a",0,1)</f>
        <v>20</v>
      </c>
    </row>
    <row r="1831" spans="1:28">
      <c r="A1831" t="s">
        <v>797</v>
      </c>
      <c r="B1831">
        <v>4</v>
      </c>
      <c r="C1831" t="s">
        <v>805</v>
      </c>
      <c r="D1831" t="s">
        <v>1152</v>
      </c>
      <c r="E1831" t="s">
        <v>804</v>
      </c>
      <c r="F1831" t="s">
        <v>1904</v>
      </c>
      <c r="G1831" t="s">
        <v>454</v>
      </c>
      <c r="I1831">
        <f>_xlfn.XLOOKUP($F1831,設計座標!$E$13:$E$2301,設計座標!$G$13:$G$2301,"n/a",0,1)</f>
        <v>560.71818599999983</v>
      </c>
      <c r="J1831">
        <f>_xlfn.XLOOKUP($F1831,設計座標!$E$13:$E$2301,設計座標!$H$13:$H$2301,"n/a",0,1)</f>
        <v>-15000</v>
      </c>
      <c r="K1831">
        <f>_xlfn.XLOOKUP($F1831,設計座標!$E$13:$E$2301,設計座標!$I$13:$I$2301,"n/a",0,1)</f>
        <v>-296353.91258104</v>
      </c>
      <c r="L1831">
        <f>_xlfn.XLOOKUP($F1831,設計座標!$E$13:$E$2301,設計座標!$J$13:$J$2301,"n/a",0,1)</f>
        <v>-90</v>
      </c>
      <c r="M1831" s="2">
        <f t="shared" si="1423"/>
        <v>-14960.275140059999</v>
      </c>
      <c r="N1831" s="2">
        <f t="shared" si="1424"/>
        <v>-296353.91258104</v>
      </c>
      <c r="O1831" s="23">
        <f t="shared" si="1425"/>
        <v>-92.216380049999998</v>
      </c>
      <c r="P1831" s="1">
        <f t="shared" si="1416"/>
        <v>-90.161535536729644</v>
      </c>
      <c r="Q1831" s="1">
        <f>(Q$1832-Q$1830)/($N$1832-$N$1830)*($N1831-$N$1830)+Q$1830</f>
        <v>39.724859940000897</v>
      </c>
      <c r="R1831">
        <f t="shared" si="1386"/>
        <v>0</v>
      </c>
      <c r="S1831" s="23">
        <f>(S$1832-S$1830)/($N$1832-$N$1830)*($N1831-$N$1830)+S$1830</f>
        <v>-2.2163800499999979</v>
      </c>
      <c r="T1831">
        <f>$S1831+測地線補正!$Q$26*(lattice!$N1831/1000)^3+測地線補正!$P$26*(lattice!$N1831/1000)^2+測地線補正!$O$26*(lattice!$N1831/1000)+測地線補正!$N$26</f>
        <v>-0.16153553672964471</v>
      </c>
      <c r="U1831">
        <v>0</v>
      </c>
      <c r="V1831">
        <v>0</v>
      </c>
      <c r="W1831">
        <v>0</v>
      </c>
      <c r="X1831">
        <f>$Z$1831-($Y$1831+$Y$1829)/2</f>
        <v>119.98710764244146</v>
      </c>
      <c r="Y1831">
        <f>_xlfn.XLOOKUP($F1831,設計座標!$E$13:$E$2301,設計座標!$L$13:$L$2301," ",0,1)</f>
        <v>80</v>
      </c>
      <c r="Z1831">
        <f>SQRT(($M$1831-$M$1829)^2+($N$1831-$N$1829)^2)</f>
        <v>199.98710764244146</v>
      </c>
      <c r="AA1831">
        <f>_xlfn.XLOOKUP($G1831,magnet_list!$A$2:$A$592,magnet_list!$AJ$2:$AJ$592,"n/a",0,1)</f>
        <v>0.1074008800631841</v>
      </c>
      <c r="AB1831">
        <f>_xlfn.XLOOKUP($G1831,magnet_list!$A$2:$A$592,magnet_list!$L$2:$L$592,"n/a",0,1)</f>
        <v>20</v>
      </c>
    </row>
    <row r="1832" spans="1:28">
      <c r="A1832" t="s">
        <v>797</v>
      </c>
      <c r="B1832">
        <v>4</v>
      </c>
      <c r="C1832" t="s">
        <v>805</v>
      </c>
      <c r="D1832" t="s">
        <v>806</v>
      </c>
      <c r="F1832" t="s">
        <v>455</v>
      </c>
      <c r="G1832" t="s">
        <v>2779</v>
      </c>
      <c r="I1832">
        <f>_xlfn.XLOOKUP($F1832,設計座標!$E$13:$E$2301,設計座標!$G$13:$G$2301,"n/a",0,1)</f>
        <v>560.97316299999977</v>
      </c>
      <c r="J1832">
        <f>_xlfn.XLOOKUP($F1832,設計座標!$E$13:$E$2301,設計座標!$H$13:$H$2301,"n/a",0,1)</f>
        <v>-15000</v>
      </c>
      <c r="K1832">
        <f>_xlfn.XLOOKUP($F1832,設計座標!$E$13:$E$2301,設計座標!$I$13:$I$2301,"n/a",0,1)</f>
        <v>-296608.86577685998</v>
      </c>
      <c r="L1832">
        <f>_xlfn.XLOOKUP($F1832,設計座標!$E$13:$E$2301,設計座標!$J$13:$J$2301,"n/a",0,1)</f>
        <v>-50</v>
      </c>
      <c r="M1832" s="2">
        <f>_xlfn.XLOOKUP($F1832,survey_data!$A$2:$A$833,survey_data!$B$2:$B$833,"n/a",0,1)</f>
        <v>-14960.30901578</v>
      </c>
      <c r="N1832" s="2">
        <f>_xlfn.XLOOKUP($F1832,survey_data!$A$2:$A$833,survey_data!$C$2:$C$833,"n/a",0,1)</f>
        <v>-296608.86577685998</v>
      </c>
      <c r="O1832" s="23">
        <f>_xlfn.XLOOKUP($F1832,survey_data!$A$2:$A$833,survey_data!$D$2:$D$833,"n/a",0,1)</f>
        <v>-52.139515500000002</v>
      </c>
      <c r="P1832" s="1">
        <f t="shared" si="1416"/>
        <v>-50.087595287365843</v>
      </c>
      <c r="Q1832" s="1">
        <f t="shared" si="1393"/>
        <v>39.690984220000246</v>
      </c>
      <c r="R1832">
        <f t="shared" si="1386"/>
        <v>0</v>
      </c>
      <c r="S1832" s="23">
        <f t="shared" si="1394"/>
        <v>-2.1395155000000017</v>
      </c>
      <c r="T1832">
        <f>$S1832+測地線補正!$Q$26*(lattice!$N1832/1000)^3+測地線補正!$P$26*(lattice!$N1832/1000)^2+測地線補正!$O$26*(lattice!$N1832/1000)+測地線補正!$N$26</f>
        <v>-8.7595287365845431E-2</v>
      </c>
      <c r="U1832">
        <f>-ATAN(($P$1834-$P$1832)/ABS($N$1834-$N$1832))</f>
        <v>3.6268594297081699E-5</v>
      </c>
      <c r="V1832">
        <v>0</v>
      </c>
      <c r="W1832">
        <f>ATAN(($M$1834-$M$1832)/ABS($N$1834-$N$1832))</f>
        <v>6.1479970963241508E-4</v>
      </c>
      <c r="X1832">
        <f>$Z$1833-($Y$1833+$Y$1831)/2</f>
        <v>189.95319604679628</v>
      </c>
      <c r="Y1832">
        <f>_xlfn.XLOOKUP($F1832,設計座標!$E$13:$E$2301,設計座標!$L$13:$L$2301," ",0,1)</f>
        <v>200</v>
      </c>
      <c r="Z1832">
        <f>SQRT(($M$1833-$M$1831)^2+($N$1833-$N$1831)^2)</f>
        <v>329.95319604679628</v>
      </c>
      <c r="AA1832">
        <f>_xlfn.XLOOKUP($G1832,magnet_list!$A$2:$A$592,magnet_list!$AJ$2:$AJ$592,"n/a",0,1)</f>
        <v>0.21244935000000001</v>
      </c>
      <c r="AB1832">
        <f>_xlfn.XLOOKUP($G1832,magnet_list!$A$2:$A$592,magnet_list!$L$2:$L$592,"n/a",0,1)</f>
        <v>20</v>
      </c>
    </row>
    <row r="1833" spans="1:28">
      <c r="A1833" t="s">
        <v>797</v>
      </c>
      <c r="B1833">
        <v>4</v>
      </c>
      <c r="C1833" t="s">
        <v>805</v>
      </c>
      <c r="D1833" t="s">
        <v>1152</v>
      </c>
      <c r="E1833" t="s">
        <v>804</v>
      </c>
      <c r="F1833" t="s">
        <v>785</v>
      </c>
      <c r="G1833" t="s">
        <v>2779</v>
      </c>
      <c r="I1833">
        <f>_xlfn.XLOOKUP($F1833,設計座標!$E$13:$E$2301,設計座標!$G$13:$G$2301,"n/a",0,1)</f>
        <v>561.04816299999982</v>
      </c>
      <c r="J1833">
        <f>_xlfn.XLOOKUP($F1833,設計座標!$E$13:$E$2301,設計座標!$H$13:$H$2301,"n/a",0,1)</f>
        <v>-15000</v>
      </c>
      <c r="K1833">
        <f>_xlfn.XLOOKUP($F1833,設計座標!$E$13:$E$2301,設計座標!$I$13:$I$2301,"n/a",0,1)</f>
        <v>-296683.86577685998</v>
      </c>
      <c r="L1833">
        <f>_xlfn.XLOOKUP($F1833,設計座標!$E$13:$E$2301,設計座標!$J$13:$J$2301,"n/a",0,1)</f>
        <v>-50</v>
      </c>
      <c r="M1833" s="2">
        <f t="shared" si="1423"/>
        <v>-14960.262905795968</v>
      </c>
      <c r="N1833" s="2">
        <f t="shared" si="1424"/>
        <v>-296683.86577685998</v>
      </c>
      <c r="O1833" s="23">
        <f t="shared" si="1425"/>
        <v>-52.141374244985641</v>
      </c>
      <c r="P1833" s="1">
        <f t="shared" si="1416"/>
        <v>-50.090315218608069</v>
      </c>
      <c r="Q1833" s="1">
        <f>(Q$1834-Q$1832)/($N$1834-$N$1832)*($N1833-$N$1832)+Q$1832</f>
        <v>39.737094204032211</v>
      </c>
      <c r="R1833">
        <f t="shared" si="1386"/>
        <v>0</v>
      </c>
      <c r="S1833" s="23">
        <f>(S$1834-S$1832)/($N$1834-$N$1832)*($N1833-$N$1832)+S$1832</f>
        <v>-2.1413742449856423</v>
      </c>
      <c r="T1833">
        <f>$S1833+測地線補正!$Q$26*(lattice!$N1833/1000)^3+測地線補正!$P$26*(lattice!$N1833/1000)^2+測地線補正!$O$26*(lattice!$N1833/1000)+測地線補正!$N$26</f>
        <v>-9.0315218608065573E-2</v>
      </c>
      <c r="U1833">
        <f t="shared" ref="U1833:U1834" si="1426">-ATAN(($P$1834-$P$1832)/ABS($N$1834-$N$1832))</f>
        <v>3.6268594297081699E-5</v>
      </c>
      <c r="V1833">
        <v>0</v>
      </c>
      <c r="W1833">
        <f t="shared" ref="W1833:W1834" si="1427">ATAN(($M$1834-$M$1832)/ABS($N$1834-$N$1832))</f>
        <v>6.1479970963241508E-4</v>
      </c>
      <c r="X1833">
        <f>$Z$1833-($Y$1833+$Y$1831)/2</f>
        <v>189.95319604679628</v>
      </c>
      <c r="Y1833">
        <f>_xlfn.XLOOKUP($F1833,設計座標!$E$13:$E$2301,設計座標!$L$13:$L$2301," ",0,1)</f>
        <v>200</v>
      </c>
      <c r="Z1833">
        <f>SQRT(($M$1833-$M$1831)^2+($N$1833-$N$1831)^2)</f>
        <v>329.95319604679628</v>
      </c>
      <c r="AA1833">
        <f>_xlfn.XLOOKUP($G1833,magnet_list!$A$2:$A$592,magnet_list!$AJ$2:$AJ$592,"n/a",0,1)</f>
        <v>0.21244935000000001</v>
      </c>
      <c r="AB1833">
        <f>_xlfn.XLOOKUP($G1833,magnet_list!$A$2:$A$592,magnet_list!$L$2:$L$592,"n/a",0,1)</f>
        <v>20</v>
      </c>
    </row>
    <row r="1834" spans="1:28">
      <c r="A1834" t="s">
        <v>797</v>
      </c>
      <c r="B1834">
        <v>4</v>
      </c>
      <c r="C1834" t="s">
        <v>805</v>
      </c>
      <c r="D1834" t="s">
        <v>806</v>
      </c>
      <c r="F1834" t="s">
        <v>456</v>
      </c>
      <c r="G1834" t="s">
        <v>2779</v>
      </c>
      <c r="I1834">
        <f>_xlfn.XLOOKUP($F1834,設計座標!$E$13:$E$2301,設計座標!$G$13:$G$2301,"n/a",0,1)</f>
        <v>561.12316299999986</v>
      </c>
      <c r="J1834">
        <f>_xlfn.XLOOKUP($F1834,設計座標!$E$13:$E$2301,設計座標!$H$13:$H$2301,"n/a",0,1)</f>
        <v>-15000</v>
      </c>
      <c r="K1834">
        <f>_xlfn.XLOOKUP($F1834,設計座標!$E$13:$E$2301,設計座標!$I$13:$I$2301,"n/a",0,1)</f>
        <v>-296758.86133953999</v>
      </c>
      <c r="L1834">
        <f>_xlfn.XLOOKUP($F1834,設計座標!$E$13:$E$2301,設計座標!$J$13:$J$2301,"n/a",0,1)</f>
        <v>-50</v>
      </c>
      <c r="M1834" s="2">
        <f>_xlfn.XLOOKUP($F1834,survey_data!$A$2:$A$833,survey_data!$B$2:$B$833,"n/a",0,1)</f>
        <v>-14960.216798539999</v>
      </c>
      <c r="N1834" s="2">
        <f>_xlfn.XLOOKUP($F1834,survey_data!$A$2:$A$833,survey_data!$C$2:$C$833,"n/a",0,1)</f>
        <v>-296758.86133953999</v>
      </c>
      <c r="O1834" s="23">
        <f>_xlfn.XLOOKUP($F1834,survey_data!$A$2:$A$833,survey_data!$D$2:$D$833,"n/a",0,1)</f>
        <v>-52.143232879999999</v>
      </c>
      <c r="P1834" s="1">
        <f t="shared" si="1416"/>
        <v>-50.093035415577432</v>
      </c>
      <c r="Q1834" s="1">
        <f t="shared" si="1393"/>
        <v>39.783201460000782</v>
      </c>
      <c r="R1834">
        <f t="shared" si="1386"/>
        <v>0</v>
      </c>
      <c r="S1834" s="23">
        <f t="shared" si="1394"/>
        <v>-2.1432328799999993</v>
      </c>
      <c r="T1834">
        <f>$S1834+測地線補正!$Q$26*(lattice!$N1834/1000)^3+測地線補正!$P$26*(lattice!$N1834/1000)^2+測地線補正!$O$26*(lattice!$N1834/1000)+測地線補正!$N$26</f>
        <v>-9.3035415577432667E-2</v>
      </c>
      <c r="U1834">
        <f t="shared" si="1426"/>
        <v>3.6268594297081699E-5</v>
      </c>
      <c r="V1834">
        <v>0</v>
      </c>
      <c r="W1834">
        <f t="shared" si="1427"/>
        <v>6.1479970963241508E-4</v>
      </c>
      <c r="X1834">
        <f>$Z$1833-($Y$1833+$Y$1831)/2</f>
        <v>189.95319604679628</v>
      </c>
      <c r="Y1834">
        <f>_xlfn.XLOOKUP($F1834,設計座標!$E$13:$E$2301,設計座標!$L$13:$L$2301," ",0,1)</f>
        <v>200</v>
      </c>
      <c r="Z1834">
        <f>SQRT(($M$1833-$M$1831)^2+($N$1833-$N$1831)^2)</f>
        <v>329.95319604679628</v>
      </c>
      <c r="AA1834">
        <f>_xlfn.XLOOKUP($G1834,magnet_list!$A$2:$A$592,magnet_list!$AJ$2:$AJ$592,"n/a",0,1)</f>
        <v>0.21244935000000001</v>
      </c>
      <c r="AB1834">
        <f>_xlfn.XLOOKUP($G1834,magnet_list!$A$2:$A$592,magnet_list!$L$2:$L$592,"n/a",0,1)</f>
        <v>20</v>
      </c>
    </row>
    <row r="1835" spans="1:28">
      <c r="A1835" t="s">
        <v>797</v>
      </c>
      <c r="B1835">
        <v>5</v>
      </c>
      <c r="C1835" t="s">
        <v>2288</v>
      </c>
      <c r="D1835" t="s">
        <v>1152</v>
      </c>
      <c r="E1835" t="s">
        <v>804</v>
      </c>
      <c r="F1835" t="s">
        <v>2302</v>
      </c>
      <c r="G1835" t="s">
        <v>2302</v>
      </c>
      <c r="I1835">
        <f>_xlfn.XLOOKUP($F1835,設計座標!$E$13:$E$2301,設計座標!$G$13:$G$2301,"n/a",0,1)</f>
        <v>564.1272240613697</v>
      </c>
      <c r="J1835">
        <f>_xlfn.XLOOKUP($F1835,設計座標!$E$13:$E$2301,設計座標!$H$13:$H$2301,"n/a",0,1)</f>
        <v>-15000</v>
      </c>
      <c r="K1835">
        <f>_xlfn.XLOOKUP($F1835,設計座標!$E$13:$E$2301,設計座標!$I$13:$I$2301,"n/a",0,1)</f>
        <v>-299650.88319546008</v>
      </c>
      <c r="L1835">
        <f>_xlfn.XLOOKUP($F1835,設計座標!$E$13:$E$2301,設計座標!$J$13:$J$2301,"n/a",0,1)</f>
        <v>-270</v>
      </c>
      <c r="M1835" s="2">
        <f t="shared" si="1423"/>
        <v>-14959.844593482734</v>
      </c>
      <c r="N1835" s="2">
        <f t="shared" si="1424"/>
        <v>-299650.88319546008</v>
      </c>
      <c r="O1835" s="23">
        <f t="shared" si="1425"/>
        <v>-272.06641311763718</v>
      </c>
      <c r="P1835" s="1">
        <f t="shared" si="1416"/>
        <v>-270.04976160363259</v>
      </c>
      <c r="Q1835" s="1">
        <f>(Q$1864-Q$1834)/($N$1864-$N$1834)*($N1835-$N$1834)+Q$1834</f>
        <v>40.155406517265696</v>
      </c>
      <c r="R1835">
        <f t="shared" si="1386"/>
        <v>0</v>
      </c>
      <c r="S1835" s="23">
        <f t="shared" ref="S1835:S1863" si="1428">(S$1864-S$1834)/($N$1864-$N$1834)*($N1835-$N$1834)+S$1834</f>
        <v>-2.0664131176371576</v>
      </c>
      <c r="T1835">
        <f>$S1835+測地線補正!$Q$26*(lattice!$N1835/1000)^3+測地線補正!$P$26*(lattice!$N1835/1000)^2+測地線補正!$O$26*(lattice!$N1835/1000)+測地線補正!$N$26</f>
        <v>-4.9761603632589635E-2</v>
      </c>
      <c r="U1835">
        <v>0</v>
      </c>
      <c r="V1835">
        <v>0</v>
      </c>
      <c r="W1835">
        <v>0</v>
      </c>
      <c r="X1835">
        <f>$Z$1835-($Y$1835+$Y$1833)/2</f>
        <v>2867.0174480884943</v>
      </c>
      <c r="Y1835">
        <f>_xlfn.XLOOKUP($F1835,設計座標!$E$13:$E$2301,設計座標!$L$13:$L$2301," ",0,1)</f>
        <v>0</v>
      </c>
      <c r="Z1835">
        <f>SQRT(($M$1835-$M$1833)^2+($N$1835-$N$1833)^2)</f>
        <v>2967.0174480884943</v>
      </c>
    </row>
    <row r="1836" spans="1:28">
      <c r="A1836" t="s">
        <v>797</v>
      </c>
      <c r="B1836">
        <v>5</v>
      </c>
      <c r="C1836" t="s">
        <v>804</v>
      </c>
      <c r="D1836" t="s">
        <v>1152</v>
      </c>
      <c r="E1836" t="s">
        <v>804</v>
      </c>
      <c r="F1836" t="s">
        <v>1774</v>
      </c>
      <c r="G1836" t="s">
        <v>2780</v>
      </c>
      <c r="I1836">
        <f>_xlfn.XLOOKUP($F1836,設計座標!$E$13:$E$2301,設計座標!$G$13:$G$2301,"n/a",0,1)</f>
        <v>564.25722366136972</v>
      </c>
      <c r="J1836">
        <f>_xlfn.XLOOKUP($F1836,設計座標!$E$13:$E$2301,設計座標!$H$13:$H$2301,"n/a",0,1)</f>
        <v>-15000</v>
      </c>
      <c r="K1836">
        <f>_xlfn.XLOOKUP($F1836,設計座標!$E$13:$E$2301,設計座標!$I$13:$I$2301,"n/a",0,1)</f>
        <v>-299780.88279546006</v>
      </c>
      <c r="L1836">
        <f>_xlfn.XLOOKUP($F1836,設計座標!$E$13:$E$2301,設計座標!$J$13:$J$2301,"n/a",0,1)</f>
        <v>-270</v>
      </c>
      <c r="M1836" s="2">
        <f t="shared" si="1423"/>
        <v>-14959.827862451306</v>
      </c>
      <c r="N1836" s="2">
        <f t="shared" si="1424"/>
        <v>-299780.88279546006</v>
      </c>
      <c r="O1836" s="23">
        <f t="shared" si="1425"/>
        <v>-272.06295998385161</v>
      </c>
      <c r="P1836" s="1">
        <f t="shared" si="1416"/>
        <v>-270.04783097078416</v>
      </c>
      <c r="Q1836" s="1">
        <f t="shared" ref="Q1836:Q1863" si="1429">(Q$1864-Q$1834)/($N$1864-$N$1834)*($N1836-$N$1834)+Q$1834</f>
        <v>40.172137548693883</v>
      </c>
      <c r="R1836">
        <f t="shared" si="1386"/>
        <v>0</v>
      </c>
      <c r="S1836" s="23">
        <f t="shared" si="1428"/>
        <v>-2.0629599838515951</v>
      </c>
      <c r="T1836">
        <f>$S1836+測地線補正!$Q$26*(lattice!$N1836/1000)^3+測地線補正!$P$26*(lattice!$N1836/1000)^2+測地線補正!$O$26*(lattice!$N1836/1000)+測地線補正!$N$26</f>
        <v>-4.7830970784161986E-2</v>
      </c>
      <c r="U1836">
        <f>-ATAN(($P$1838-$P$1836)/ABS($N$1838-$N$1836))</f>
        <v>-1.4777502180845155E-5</v>
      </c>
      <c r="V1836">
        <v>0</v>
      </c>
      <c r="W1836">
        <f>ATAN(($M$1838-$M$1836)/ABS($N$1838-$N$1836))</f>
        <v>1.2870063704701444E-4</v>
      </c>
      <c r="X1836">
        <f>SQRT(($M$1836-$M$1835)^2+($N$1836-$N$1835)^2)</f>
        <v>129.99960107662818</v>
      </c>
      <c r="Y1836">
        <f>_xlfn.XLOOKUP($F1836,設計座標!$E$13:$E$2301,設計座標!$L$13:$L$2301," ",0,1)</f>
        <v>1889.4492</v>
      </c>
      <c r="Z1836">
        <f>SQRT(($M$1837-$M$1835)^2+($N$1837-$N$1835)^2)</f>
        <v>1074.7242089007843</v>
      </c>
    </row>
    <row r="1837" spans="1:28">
      <c r="A1837" t="s">
        <v>797</v>
      </c>
      <c r="B1837">
        <v>5</v>
      </c>
      <c r="C1837" t="s">
        <v>804</v>
      </c>
      <c r="D1837" t="s">
        <v>1152</v>
      </c>
      <c r="E1837" t="s">
        <v>804</v>
      </c>
      <c r="F1837" t="s">
        <v>1214</v>
      </c>
      <c r="G1837" t="s">
        <v>2780</v>
      </c>
      <c r="I1837">
        <f>_xlfn.XLOOKUP($F1837,設計座標!$E$13:$E$2301,設計座標!$G$13:$G$2301,"n/a",0,1)</f>
        <v>565.20194826136969</v>
      </c>
      <c r="J1837">
        <f>_xlfn.XLOOKUP($F1837,設計座標!$E$13:$E$2301,設計座標!$H$13:$H$2301,"n/a",0,1)</f>
        <v>-15000</v>
      </c>
      <c r="K1837">
        <f>_xlfn.XLOOKUP($F1837,設計座標!$E$13:$E$2301,設計座標!$I$13:$I$2301,"n/a",0,1)</f>
        <v>-300725.60739546007</v>
      </c>
      <c r="L1837">
        <f>_xlfn.XLOOKUP($F1837,設計座標!$E$13:$E$2301,設計座標!$J$13:$J$2301,"n/a",0,1)</f>
        <v>-270</v>
      </c>
      <c r="M1837" s="2">
        <f t="shared" si="1423"/>
        <v>-14959.706275792782</v>
      </c>
      <c r="N1837" s="2">
        <f t="shared" si="1424"/>
        <v>-300725.60739546007</v>
      </c>
      <c r="O1837" s="23">
        <f t="shared" si="1425"/>
        <v>-272.0378655956049</v>
      </c>
      <c r="P1837" s="1">
        <f t="shared" si="1416"/>
        <v>-270.0338379185165</v>
      </c>
      <c r="Q1837" s="1">
        <f t="shared" si="1429"/>
        <v>40.293724207218879</v>
      </c>
      <c r="R1837">
        <f t="shared" si="1386"/>
        <v>0</v>
      </c>
      <c r="S1837" s="23">
        <f t="shared" si="1428"/>
        <v>-2.0378655956049188</v>
      </c>
      <c r="T1837">
        <f>$S1837+測地線補正!$Q$26*(lattice!$N1837/1000)^3+測地線補正!$P$26*(lattice!$N1837/1000)^2+測地線補正!$O$26*(lattice!$N1837/1000)+測地線補正!$N$26</f>
        <v>-3.3837918516516519E-2</v>
      </c>
      <c r="U1837">
        <f t="shared" ref="U1837:U1838" si="1430">-ATAN(($P$1838-$P$1836)/ABS($N$1838-$N$1836))</f>
        <v>-1.4777502180845155E-5</v>
      </c>
      <c r="V1837">
        <v>0</v>
      </c>
      <c r="W1837">
        <f t="shared" ref="W1837:W1838" si="1431">ATAN(($M$1838-$M$1836)/ABS($N$1838-$N$1836))</f>
        <v>1.2870063704701444E-4</v>
      </c>
      <c r="X1837" t="s">
        <v>3860</v>
      </c>
      <c r="Y1837">
        <f>_xlfn.XLOOKUP($F1837,設計座標!$E$13:$E$2301,設計座標!$L$13:$L$2301," ",0,1)</f>
        <v>1889.4492</v>
      </c>
      <c r="Z1837">
        <f>SQRT(($M$1837-$M$1835)^2+($N$1837-$N$1835)^2)</f>
        <v>1074.7242089007843</v>
      </c>
    </row>
    <row r="1838" spans="1:28">
      <c r="A1838" t="s">
        <v>797</v>
      </c>
      <c r="B1838">
        <v>5</v>
      </c>
      <c r="C1838" t="s">
        <v>804</v>
      </c>
      <c r="D1838" t="s">
        <v>1152</v>
      </c>
      <c r="E1838" t="s">
        <v>804</v>
      </c>
      <c r="F1838" t="s">
        <v>1775</v>
      </c>
      <c r="G1838" t="s">
        <v>2780</v>
      </c>
      <c r="I1838">
        <f>_xlfn.XLOOKUP($F1838,設計座標!$E$13:$E$2301,設計座標!$G$13:$G$2301,"n/a",0,1)</f>
        <v>566.14667286136967</v>
      </c>
      <c r="J1838">
        <f>_xlfn.XLOOKUP($F1838,設計座標!$E$13:$E$2301,設計座標!$H$13:$H$2301,"n/a",0,1)</f>
        <v>-15000</v>
      </c>
      <c r="K1838">
        <f>_xlfn.XLOOKUP($F1838,設計座標!$E$13:$E$2301,設計座標!$I$13:$I$2301,"n/a",0,1)</f>
        <v>-301670.33199546009</v>
      </c>
      <c r="L1838">
        <f>_xlfn.XLOOKUP($F1838,設計座標!$E$13:$E$2301,設計座標!$J$13:$J$2301,"n/a",0,1)</f>
        <v>-270</v>
      </c>
      <c r="M1838" s="2">
        <f t="shared" si="1423"/>
        <v>-14959.584689134255</v>
      </c>
      <c r="N1838" s="2">
        <f t="shared" si="1424"/>
        <v>-301670.33199546009</v>
      </c>
      <c r="O1838" s="23">
        <f t="shared" si="1425"/>
        <v>-272.01277120735824</v>
      </c>
      <c r="P1838" s="1">
        <f t="shared" si="1416"/>
        <v>-270.01990963110853</v>
      </c>
      <c r="Q1838" s="1">
        <f t="shared" si="1429"/>
        <v>40.415310865743876</v>
      </c>
      <c r="R1838">
        <f t="shared" si="1386"/>
        <v>0</v>
      </c>
      <c r="S1838" s="23">
        <f t="shared" si="1428"/>
        <v>-2.0127712073582424</v>
      </c>
      <c r="T1838">
        <f>$S1838+測地線補正!$Q$26*(lattice!$N1838/1000)^3+測地線補正!$P$26*(lattice!$N1838/1000)^2+測地線補正!$O$26*(lattice!$N1838/1000)+測地線補正!$N$26</f>
        <v>-1.9909631108531167E-2</v>
      </c>
      <c r="U1838">
        <f t="shared" si="1430"/>
        <v>-1.4777502180845155E-5</v>
      </c>
      <c r="V1838">
        <v>0</v>
      </c>
      <c r="W1838">
        <f t="shared" si="1431"/>
        <v>1.2870063704701444E-4</v>
      </c>
      <c r="X1838" t="s">
        <v>3860</v>
      </c>
      <c r="Y1838">
        <f>_xlfn.XLOOKUP($F1838,設計座標!$E$13:$E$2301,設計座標!$L$13:$L$2301," ",0,1)</f>
        <v>1889.4492</v>
      </c>
      <c r="Z1838">
        <f>SQRT(($M$1837-$M$1835)^2+($N$1837-$N$1835)^2)</f>
        <v>1074.7242089007843</v>
      </c>
    </row>
    <row r="1839" spans="1:28">
      <c r="A1839" t="s">
        <v>797</v>
      </c>
      <c r="B1839">
        <v>5</v>
      </c>
      <c r="C1839" t="s">
        <v>804</v>
      </c>
      <c r="D1839" t="s">
        <v>1152</v>
      </c>
      <c r="E1839" t="s">
        <v>804</v>
      </c>
      <c r="F1839" t="s">
        <v>1776</v>
      </c>
      <c r="G1839" t="s">
        <v>2781</v>
      </c>
      <c r="I1839">
        <f>_xlfn.XLOOKUP($F1839,設計座標!$E$13:$E$2301,設計座標!$G$13:$G$2301,"n/a",0,1)</f>
        <v>566.3566106613697</v>
      </c>
      <c r="J1839">
        <f>_xlfn.XLOOKUP($F1839,設計座標!$E$13:$E$2301,設計座標!$H$13:$H$2301,"n/a",0,1)</f>
        <v>-15000</v>
      </c>
      <c r="K1839">
        <f>_xlfn.XLOOKUP($F1839,設計座標!$E$13:$E$2301,設計座標!$I$13:$I$2301,"n/a",0,1)</f>
        <v>-301880.26979546004</v>
      </c>
      <c r="L1839">
        <f>_xlfn.XLOOKUP($F1839,設計座標!$E$13:$E$2301,設計座標!$J$13:$J$2301,"n/a",0,1)</f>
        <v>-270</v>
      </c>
      <c r="M1839" s="2">
        <f t="shared" si="1423"/>
        <v>-14959.557670005506</v>
      </c>
      <c r="N1839" s="2">
        <f t="shared" si="1424"/>
        <v>-301880.26979546004</v>
      </c>
      <c r="O1839" s="23">
        <f t="shared" si="1425"/>
        <v>-272.00719470319939</v>
      </c>
      <c r="P1839" s="1">
        <f t="shared" si="1416"/>
        <v>-270.01682319700211</v>
      </c>
      <c r="Q1839" s="1">
        <f t="shared" si="1429"/>
        <v>40.442329994493228</v>
      </c>
      <c r="R1839">
        <f t="shared" si="1386"/>
        <v>0</v>
      </c>
      <c r="S1839" s="23">
        <f t="shared" si="1428"/>
        <v>-2.0071947031994095</v>
      </c>
      <c r="T1839">
        <f>$S1839+測地線補正!$Q$26*(lattice!$N1839/1000)^3+測地線補正!$P$26*(lattice!$N1839/1000)^2+測地線補正!$O$26*(lattice!$N1839/1000)+測地線補正!$N$26</f>
        <v>-1.682319700208823E-2</v>
      </c>
      <c r="U1839">
        <f>-ATAN(($P$1841-$P$1839)/ABS($N$1841-$N$1839))</f>
        <v>-1.4626953537189935E-5</v>
      </c>
      <c r="V1839">
        <v>0</v>
      </c>
      <c r="W1839">
        <f>ATAN(($M$1841-$M$1839)/ABS($N$1841-$N$1839))</f>
        <v>1.2870063704605172E-4</v>
      </c>
      <c r="X1839">
        <f>SQRT(($M$1839-$M$1838)^2+($N$1839-$N$1838)^2)</f>
        <v>209.93780173864559</v>
      </c>
      <c r="Y1839">
        <f>_xlfn.XLOOKUP($F1839,設計座標!$E$13:$E$2301,設計座標!$L$13:$L$2301," ",0,1)</f>
        <v>1889.4492</v>
      </c>
      <c r="Z1839">
        <f>SQRT(($M$1840-$M$1837)^2+($N$1840-$N$1837)^2)</f>
        <v>2099.3870173869577</v>
      </c>
    </row>
    <row r="1840" spans="1:28">
      <c r="A1840" t="s">
        <v>797</v>
      </c>
      <c r="B1840">
        <v>5</v>
      </c>
      <c r="C1840" t="s">
        <v>804</v>
      </c>
      <c r="D1840" t="s">
        <v>1152</v>
      </c>
      <c r="E1840" t="s">
        <v>804</v>
      </c>
      <c r="F1840" t="s">
        <v>1270</v>
      </c>
      <c r="G1840" t="s">
        <v>2781</v>
      </c>
      <c r="I1840">
        <f>_xlfn.XLOOKUP($F1840,設計座標!$E$13:$E$2301,設計座標!$G$13:$G$2301,"n/a",0,1)</f>
        <v>567.30133526136967</v>
      </c>
      <c r="J1840">
        <f>_xlfn.XLOOKUP($F1840,設計座標!$E$13:$E$2301,設計座標!$H$13:$H$2301,"n/a",0,1)</f>
        <v>-15000</v>
      </c>
      <c r="K1840">
        <f>_xlfn.XLOOKUP($F1840,設計座標!$E$13:$E$2301,設計座標!$I$13:$I$2301,"n/a",0,1)</f>
        <v>-302824.99439546006</v>
      </c>
      <c r="L1840">
        <f>_xlfn.XLOOKUP($F1840,設計座標!$E$13:$E$2301,設計座標!$J$13:$J$2301,"n/a",0,1)</f>
        <v>-270</v>
      </c>
      <c r="M1840" s="2">
        <f t="shared" si="1423"/>
        <v>-14959.436083346982</v>
      </c>
      <c r="N1840" s="2">
        <f t="shared" si="1424"/>
        <v>-302824.99439546006</v>
      </c>
      <c r="O1840" s="23">
        <f t="shared" si="1425"/>
        <v>-271.98210031495273</v>
      </c>
      <c r="P1840" s="1">
        <f t="shared" si="1416"/>
        <v>-270.00297313441757</v>
      </c>
      <c r="Q1840" s="1">
        <f t="shared" si="1429"/>
        <v>40.563916653018225</v>
      </c>
      <c r="R1840">
        <f t="shared" si="1386"/>
        <v>0</v>
      </c>
      <c r="S1840" s="23">
        <f t="shared" si="1428"/>
        <v>-1.982100314952733</v>
      </c>
      <c r="T1840">
        <f>$S1840+測地線補正!$Q$26*(lattice!$N1840/1000)^3+測地線補正!$P$26*(lattice!$N1840/1000)^2+測地線補正!$O$26*(lattice!$N1840/1000)+測地線補正!$N$26</f>
        <v>-2.9731344175802921E-3</v>
      </c>
      <c r="U1840">
        <f t="shared" ref="U1840:U1841" si="1432">-ATAN(($P$1841-$P$1839)/ABS($N$1841-$N$1839))</f>
        <v>-1.4626953537189935E-5</v>
      </c>
      <c r="V1840">
        <v>0</v>
      </c>
      <c r="W1840">
        <f t="shared" ref="W1840:W1841" si="1433">ATAN(($M$1841-$M$1839)/ABS($N$1841-$N$1839))</f>
        <v>1.2870063704605172E-4</v>
      </c>
      <c r="X1840" t="s">
        <v>3860</v>
      </c>
      <c r="Y1840">
        <f>_xlfn.XLOOKUP($F1840,設計座標!$E$13:$E$2301,設計座標!$L$13:$L$2301," ",0,1)</f>
        <v>1889.4492</v>
      </c>
      <c r="Z1840">
        <f>SQRT(($M$1840-$M$1837)^2+($N$1840-$N$1837)^2)</f>
        <v>2099.3870173869577</v>
      </c>
    </row>
    <row r="1841" spans="1:26">
      <c r="A1841" t="s">
        <v>797</v>
      </c>
      <c r="B1841">
        <v>5</v>
      </c>
      <c r="C1841" t="s">
        <v>804</v>
      </c>
      <c r="D1841" t="s">
        <v>1152</v>
      </c>
      <c r="E1841" t="s">
        <v>804</v>
      </c>
      <c r="F1841" t="s">
        <v>1777</v>
      </c>
      <c r="G1841" t="s">
        <v>2781</v>
      </c>
      <c r="I1841">
        <f>_xlfn.XLOOKUP($F1841,設計座標!$E$13:$E$2301,設計座標!$G$13:$G$2301,"n/a",0,1)</f>
        <v>568.24605986136964</v>
      </c>
      <c r="J1841">
        <f>_xlfn.XLOOKUP($F1841,設計座標!$E$13:$E$2301,設計座標!$H$13:$H$2301,"n/a",0,1)</f>
        <v>-15000</v>
      </c>
      <c r="K1841">
        <f>_xlfn.XLOOKUP($F1841,設計座標!$E$13:$E$2301,設計座標!$I$13:$I$2301,"n/a",0,1)</f>
        <v>-303769.71899546008</v>
      </c>
      <c r="L1841">
        <f>_xlfn.XLOOKUP($F1841,設計座標!$E$13:$E$2301,設計座標!$J$13:$J$2301,"n/a",0,1)</f>
        <v>-270</v>
      </c>
      <c r="M1841" s="2">
        <f t="shared" si="1423"/>
        <v>-14959.314496688457</v>
      </c>
      <c r="N1841" s="2">
        <f t="shared" si="1424"/>
        <v>-303769.71899546008</v>
      </c>
      <c r="O1841" s="23">
        <f t="shared" si="1425"/>
        <v>-271.95700592670607</v>
      </c>
      <c r="P1841" s="1">
        <f t="shared" si="1416"/>
        <v>-269.98918631134086</v>
      </c>
      <c r="Q1841" s="1">
        <f t="shared" si="1429"/>
        <v>40.685503311543222</v>
      </c>
      <c r="R1841">
        <f t="shared" si="1386"/>
        <v>0</v>
      </c>
      <c r="S1841" s="23">
        <f t="shared" si="1428"/>
        <v>-1.9570059267060569</v>
      </c>
      <c r="T1841">
        <f>$S1841+測地線補正!$Q$26*(lattice!$N1841/1000)^3+測地線補正!$P$26*(lattice!$N1841/1000)^2+測地線補正!$O$26*(lattice!$N1841/1000)+測地線補正!$N$26</f>
        <v>1.0813688659139009E-2</v>
      </c>
      <c r="U1841">
        <f t="shared" si="1432"/>
        <v>-1.4626953537189935E-5</v>
      </c>
      <c r="V1841">
        <v>0</v>
      </c>
      <c r="W1841">
        <f t="shared" si="1433"/>
        <v>1.2870063704605172E-4</v>
      </c>
      <c r="X1841" t="s">
        <v>3860</v>
      </c>
      <c r="Y1841">
        <f>_xlfn.XLOOKUP($F1841,設計座標!$E$13:$E$2301,設計座標!$L$13:$L$2301," ",0,1)</f>
        <v>1889.4492</v>
      </c>
      <c r="Z1841">
        <f>SQRT(($M$1840-$M$1837)^2+($N$1840-$N$1837)^2)</f>
        <v>2099.3870173869577</v>
      </c>
    </row>
    <row r="1842" spans="1:26">
      <c r="A1842" t="s">
        <v>797</v>
      </c>
      <c r="B1842">
        <v>5</v>
      </c>
      <c r="C1842" t="s">
        <v>1152</v>
      </c>
      <c r="D1842" t="s">
        <v>1152</v>
      </c>
      <c r="E1842" t="s">
        <v>804</v>
      </c>
      <c r="F1842" t="s">
        <v>2176</v>
      </c>
      <c r="G1842" t="s">
        <v>2176</v>
      </c>
      <c r="I1842">
        <f>_xlfn.XLOOKUP($F1842,設計座標!$E$13:$E$2301,設計座標!$G$13:$G$2301,"n/a",0,1)</f>
        <v>568.37606136136969</v>
      </c>
      <c r="J1842">
        <f>_xlfn.XLOOKUP($F1842,設計座標!$E$13:$E$2301,設計座標!$H$13:$H$2301,"n/a",0,1)</f>
        <v>-15000</v>
      </c>
      <c r="K1842">
        <f>_xlfn.XLOOKUP($F1842,設計座標!$E$13:$E$2301,設計座標!$I$13:$I$2301,"n/a",0,1)</f>
        <v>-303899.72049546009</v>
      </c>
      <c r="L1842">
        <f>_xlfn.XLOOKUP($F1842,設計座標!$E$13:$E$2301,設計座標!$J$13:$J$2301,"n/a",0,1)</f>
        <v>-270</v>
      </c>
      <c r="M1842" s="2">
        <f t="shared" si="1423"/>
        <v>-14959.297765412497</v>
      </c>
      <c r="N1842" s="2">
        <f t="shared" si="1424"/>
        <v>-303899.72049546009</v>
      </c>
      <c r="O1842" s="23">
        <f t="shared" si="1425"/>
        <v>-271.95355274245145</v>
      </c>
      <c r="P1842" s="1">
        <f t="shared" si="1416"/>
        <v>-269.98729404815867</v>
      </c>
      <c r="Q1842" s="1">
        <f t="shared" si="1429"/>
        <v>40.702234587502623</v>
      </c>
      <c r="R1842">
        <f t="shared" ref="R1842:R1905" si="1434">$N1842-$K1842</f>
        <v>0</v>
      </c>
      <c r="S1842" s="23">
        <f t="shared" si="1428"/>
        <v>-1.9535527424514596</v>
      </c>
      <c r="T1842">
        <f>$S1842+測地線補正!$Q$26*(lattice!$N1842/1000)^3+測地線補正!$P$26*(lattice!$N1842/1000)^2+測地線補正!$O$26*(lattice!$N1842/1000)+測地線補正!$N$26</f>
        <v>1.2705951841350815E-2</v>
      </c>
      <c r="U1842">
        <v>0</v>
      </c>
      <c r="V1842">
        <v>0</v>
      </c>
      <c r="W1842">
        <v>0</v>
      </c>
      <c r="X1842">
        <f>SQRT(($M$1842-$M$1841)^2+($N$1842-$N$1841)^2)</f>
        <v>130.00150107667599</v>
      </c>
      <c r="Y1842">
        <f>_xlfn.XLOOKUP($F1842,設計座標!$E$13:$E$2301,設計座標!$L$13:$L$2301," ",0,1)</f>
        <v>0</v>
      </c>
      <c r="Z1842">
        <f>SQRT(($M$1842-$M$1840)^2+($N$1842-$N$1840)^2)</f>
        <v>1074.7261089008321</v>
      </c>
    </row>
    <row r="1843" spans="1:26">
      <c r="A1843" t="s">
        <v>797</v>
      </c>
      <c r="B1843">
        <v>5</v>
      </c>
      <c r="C1843" t="s">
        <v>1152</v>
      </c>
      <c r="D1843" t="s">
        <v>1152</v>
      </c>
      <c r="E1843" t="s">
        <v>804</v>
      </c>
      <c r="F1843" t="s">
        <v>2177</v>
      </c>
      <c r="G1843" t="s">
        <v>2177</v>
      </c>
      <c r="I1843">
        <f>_xlfn.XLOOKUP($F1843,設計座標!$E$13:$E$2301,設計座標!$G$13:$G$2301,"n/a",0,1)</f>
        <v>568.5409361613697</v>
      </c>
      <c r="J1843">
        <f>_xlfn.XLOOKUP($F1843,設計座標!$E$13:$E$2301,設計座標!$H$13:$H$2301,"n/a",0,1)</f>
        <v>-15000</v>
      </c>
      <c r="K1843">
        <f>_xlfn.XLOOKUP($F1843,設計座標!$E$13:$E$2301,設計座標!$I$13:$I$2301,"n/a",0,1)</f>
        <v>-304064.59529546008</v>
      </c>
      <c r="L1843">
        <f>_xlfn.XLOOKUP($F1843,設計座標!$E$13:$E$2301,設計座標!$J$13:$J$2301,"n/a",0,1)</f>
        <v>-270</v>
      </c>
      <c r="M1843" s="2">
        <f t="shared" si="1423"/>
        <v>-14959.276545920588</v>
      </c>
      <c r="N1843" s="2">
        <f t="shared" si="1424"/>
        <v>-304064.59529546008</v>
      </c>
      <c r="O1843" s="23">
        <f t="shared" si="1425"/>
        <v>-271.94917323095859</v>
      </c>
      <c r="P1843" s="1">
        <f t="shared" si="1416"/>
        <v>-269.98489588052433</v>
      </c>
      <c r="Q1843" s="1">
        <f t="shared" si="1429"/>
        <v>40.723454079412733</v>
      </c>
      <c r="R1843">
        <f t="shared" si="1434"/>
        <v>0</v>
      </c>
      <c r="S1843" s="23">
        <f t="shared" si="1428"/>
        <v>-1.9491732309585941</v>
      </c>
      <c r="T1843">
        <f>$S1843+測地線補正!$Q$26*(lattice!$N1843/1000)^3+測地線補正!$P$26*(lattice!$N1843/1000)^2+測地線補正!$O$26*(lattice!$N1843/1000)+測地線補正!$N$26</f>
        <v>1.5104119475656708E-2</v>
      </c>
      <c r="U1843">
        <v>0</v>
      </c>
      <c r="V1843">
        <v>0</v>
      </c>
      <c r="W1843">
        <v>0</v>
      </c>
      <c r="X1843">
        <f>$Z$1843-($Y$1843+$Y$1842)/2</f>
        <v>164.87480136547157</v>
      </c>
      <c r="Y1843">
        <f>_xlfn.XLOOKUP($F1843,設計座標!$E$13:$E$2301,設計座標!$L$13:$L$2301," ",0,1)</f>
        <v>0</v>
      </c>
      <c r="Z1843">
        <f>SQRT(($M$1843-$M$1842)^2+($N$1843-$N$1842)^2)</f>
        <v>164.87480136547157</v>
      </c>
    </row>
    <row r="1844" spans="1:26">
      <c r="A1844" t="s">
        <v>797</v>
      </c>
      <c r="B1844">
        <v>5</v>
      </c>
      <c r="C1844" t="s">
        <v>804</v>
      </c>
      <c r="D1844" t="s">
        <v>1152</v>
      </c>
      <c r="E1844" t="s">
        <v>804</v>
      </c>
      <c r="F1844" t="s">
        <v>1778</v>
      </c>
      <c r="G1844" t="s">
        <v>2782</v>
      </c>
      <c r="I1844">
        <f>_xlfn.XLOOKUP($F1844,設計座標!$E$13:$E$2301,設計座標!$G$13:$G$2301,"n/a",0,1)</f>
        <v>568.77090536136973</v>
      </c>
      <c r="J1844">
        <f>_xlfn.XLOOKUP($F1844,設計座標!$E$13:$E$2301,設計座標!$H$13:$H$2301,"n/a",0,1)</f>
        <v>-15000</v>
      </c>
      <c r="K1844">
        <f>_xlfn.XLOOKUP($F1844,設計座標!$E$13:$E$2301,設計座標!$I$13:$I$2301,"n/a",0,1)</f>
        <v>-304294.56449546007</v>
      </c>
      <c r="L1844">
        <f>_xlfn.XLOOKUP($F1844,設計座標!$E$13:$E$2301,設計座標!$J$13:$J$2301,"n/a",0,1)</f>
        <v>-270</v>
      </c>
      <c r="M1844" s="2">
        <f t="shared" si="1423"/>
        <v>-14959.246948737882</v>
      </c>
      <c r="N1844" s="2">
        <f t="shared" si="1424"/>
        <v>-304294.56449546007</v>
      </c>
      <c r="O1844" s="23">
        <f t="shared" si="1425"/>
        <v>-271.9430646397463</v>
      </c>
      <c r="P1844" s="1">
        <f t="shared" si="1416"/>
        <v>-269.98155406002962</v>
      </c>
      <c r="Q1844" s="1">
        <f t="shared" si="1429"/>
        <v>40.75305126211726</v>
      </c>
      <c r="R1844">
        <f t="shared" si="1434"/>
        <v>0</v>
      </c>
      <c r="S1844" s="23">
        <f t="shared" si="1428"/>
        <v>-1.943064639746322</v>
      </c>
      <c r="T1844">
        <f>$S1844+測地線補正!$Q$26*(lattice!$N1844/1000)^3+測地線補正!$P$26*(lattice!$N1844/1000)^2+測地線補正!$O$26*(lattice!$N1844/1000)+測地線補正!$N$26</f>
        <v>1.8445939970390901E-2</v>
      </c>
      <c r="U1844">
        <f>-ATAN(($P$1846-$P$1844)/ABS($N$1846-$N$1844))</f>
        <v>-1.4458258282589943E-5</v>
      </c>
      <c r="V1844">
        <v>0</v>
      </c>
      <c r="W1844">
        <f>ATAN(($M$1846-$M$1844)/ABS($N$1846-$N$1844))</f>
        <v>1.2870063704605172E-4</v>
      </c>
      <c r="X1844">
        <f>SQRT(($M$1844-$M$1843)^2+($N$1844-$N$1843)^2)</f>
        <v>229.96920190458042</v>
      </c>
      <c r="Y1844">
        <f>_xlfn.XLOOKUP($F1844,設計座標!$E$13:$E$2301,設計座標!$L$13:$L$2301," ",0,1)</f>
        <v>1889.4492</v>
      </c>
      <c r="Z1844">
        <f>SQRT(($M$1845-$M$1843)^2+($N$1845-$N$1843)^2)</f>
        <v>1174.6938097287366</v>
      </c>
    </row>
    <row r="1845" spans="1:26">
      <c r="A1845" t="s">
        <v>797</v>
      </c>
      <c r="B1845">
        <v>5</v>
      </c>
      <c r="C1845" t="s">
        <v>804</v>
      </c>
      <c r="D1845" t="s">
        <v>1152</v>
      </c>
      <c r="E1845" t="s">
        <v>804</v>
      </c>
      <c r="F1845" t="s">
        <v>1324</v>
      </c>
      <c r="G1845" t="s">
        <v>2782</v>
      </c>
      <c r="I1845">
        <f>_xlfn.XLOOKUP($F1845,設計座標!$E$13:$E$2301,設計座標!$G$13:$G$2301,"n/a",0,1)</f>
        <v>569.7156299613697</v>
      </c>
      <c r="J1845">
        <f>_xlfn.XLOOKUP($F1845,設計座標!$E$13:$E$2301,設計座標!$H$13:$H$2301,"n/a",0,1)</f>
        <v>-15000</v>
      </c>
      <c r="K1845">
        <f>_xlfn.XLOOKUP($F1845,設計座標!$E$13:$E$2301,設計座標!$I$13:$I$2301,"n/a",0,1)</f>
        <v>-305239.28909546009</v>
      </c>
      <c r="L1845">
        <f>_xlfn.XLOOKUP($F1845,設計座標!$E$13:$E$2301,設計座標!$J$13:$J$2301,"n/a",0,1)</f>
        <v>-270</v>
      </c>
      <c r="M1845" s="2">
        <f t="shared" si="1423"/>
        <v>-14959.125362079358</v>
      </c>
      <c r="N1845" s="2">
        <f t="shared" si="1424"/>
        <v>-305239.28909546009</v>
      </c>
      <c r="O1845" s="23">
        <f t="shared" si="1425"/>
        <v>-271.91797025149964</v>
      </c>
      <c r="P1845" s="1">
        <f t="shared" si="1416"/>
        <v>-269.96786424507923</v>
      </c>
      <c r="Q1845" s="1">
        <f t="shared" si="1429"/>
        <v>40.874637920642257</v>
      </c>
      <c r="R1845">
        <f t="shared" si="1434"/>
        <v>0</v>
      </c>
      <c r="S1845" s="23">
        <f t="shared" si="1428"/>
        <v>-1.9179702514996457</v>
      </c>
      <c r="T1845">
        <f>$S1845+測地線補正!$Q$26*(lattice!$N1845/1000)^3+測地線補正!$P$26*(lattice!$N1845/1000)^2+測地線補正!$O$26*(lattice!$N1845/1000)+測地線補正!$N$26</f>
        <v>3.2135754920748161E-2</v>
      </c>
      <c r="U1845">
        <f t="shared" ref="U1845:U1846" si="1435">-ATAN(($P$1846-$P$1844)/ABS($N$1846-$N$1844))</f>
        <v>-1.4458258282589943E-5</v>
      </c>
      <c r="V1845">
        <v>0</v>
      </c>
      <c r="W1845">
        <f t="shared" ref="W1845:W1846" si="1436">ATAN(($M$1846-$M$1844)/ABS($N$1846-$N$1844))</f>
        <v>1.2870063704605172E-4</v>
      </c>
      <c r="X1845" t="s">
        <v>3860</v>
      </c>
      <c r="Y1845">
        <f>_xlfn.XLOOKUP($F1845,設計座標!$E$13:$E$2301,設計座標!$L$13:$L$2301," ",0,1)</f>
        <v>1889.4492</v>
      </c>
      <c r="Z1845">
        <f>SQRT(($M$1845-$M$1843)^2+($N$1845-$N$1843)^2)</f>
        <v>1174.6938097287366</v>
      </c>
    </row>
    <row r="1846" spans="1:26">
      <c r="A1846" t="s">
        <v>797</v>
      </c>
      <c r="B1846">
        <v>5</v>
      </c>
      <c r="C1846" t="s">
        <v>804</v>
      </c>
      <c r="D1846" t="s">
        <v>1152</v>
      </c>
      <c r="E1846" t="s">
        <v>804</v>
      </c>
      <c r="F1846" t="s">
        <v>1779</v>
      </c>
      <c r="G1846" t="s">
        <v>2782</v>
      </c>
      <c r="I1846">
        <f>_xlfn.XLOOKUP($F1846,設計座標!$E$13:$E$2301,設計座標!$G$13:$G$2301,"n/a",0,1)</f>
        <v>570.66035456136967</v>
      </c>
      <c r="J1846">
        <f>_xlfn.XLOOKUP($F1846,設計座標!$E$13:$E$2301,設計座標!$H$13:$H$2301,"n/a",0,1)</f>
        <v>-15000</v>
      </c>
      <c r="K1846">
        <f>_xlfn.XLOOKUP($F1846,設計座標!$E$13:$E$2301,設計座標!$I$13:$I$2301,"n/a",0,1)</f>
        <v>-306184.0136954601</v>
      </c>
      <c r="L1846">
        <f>_xlfn.XLOOKUP($F1846,設計座標!$E$13:$E$2301,設計座標!$J$13:$J$2301,"n/a",0,1)</f>
        <v>-270</v>
      </c>
      <c r="M1846" s="2">
        <f t="shared" si="1423"/>
        <v>-14959.003775420833</v>
      </c>
      <c r="N1846" s="2">
        <f t="shared" si="1424"/>
        <v>-306184.0136954601</v>
      </c>
      <c r="O1846" s="23">
        <f t="shared" si="1425"/>
        <v>-271.89287586325298</v>
      </c>
      <c r="P1846" s="1">
        <f t="shared" si="1416"/>
        <v>-269.95423591548229</v>
      </c>
      <c r="Q1846" s="1">
        <f t="shared" si="1429"/>
        <v>40.996224579167247</v>
      </c>
      <c r="R1846">
        <f t="shared" si="1434"/>
        <v>0</v>
      </c>
      <c r="S1846" s="23">
        <f t="shared" si="1428"/>
        <v>-1.8928758632529694</v>
      </c>
      <c r="T1846">
        <f>$S1846+測地線補正!$Q$26*(lattice!$N1846/1000)^3+測地線補正!$P$26*(lattice!$N1846/1000)^2+測地線補正!$O$26*(lattice!$N1846/1000)+測地線補正!$N$26</f>
        <v>4.5764084517701198E-2</v>
      </c>
      <c r="U1846">
        <f t="shared" si="1435"/>
        <v>-1.4458258282589943E-5</v>
      </c>
      <c r="V1846">
        <v>0</v>
      </c>
      <c r="W1846">
        <f t="shared" si="1436"/>
        <v>1.2870063704605172E-4</v>
      </c>
      <c r="X1846" t="s">
        <v>3860</v>
      </c>
      <c r="Y1846">
        <f>_xlfn.XLOOKUP($F1846,設計座標!$E$13:$E$2301,設計座標!$L$13:$L$2301," ",0,1)</f>
        <v>1889.4492</v>
      </c>
      <c r="Z1846">
        <f>SQRT(($M$1845-$M$1843)^2+($N$1845-$N$1843)^2)</f>
        <v>1174.6938097287366</v>
      </c>
    </row>
    <row r="1847" spans="1:26">
      <c r="A1847" t="s">
        <v>797</v>
      </c>
      <c r="B1847">
        <v>5</v>
      </c>
      <c r="C1847" t="s">
        <v>804</v>
      </c>
      <c r="D1847" t="s">
        <v>1152</v>
      </c>
      <c r="E1847" t="s">
        <v>804</v>
      </c>
      <c r="F1847" t="s">
        <v>1780</v>
      </c>
      <c r="G1847" t="s">
        <v>2783</v>
      </c>
      <c r="I1847">
        <f>_xlfn.XLOOKUP($F1847,設計座標!$E$13:$E$2301,設計座標!$G$13:$G$2301,"n/a",0,1)</f>
        <v>570.8702963613697</v>
      </c>
      <c r="J1847">
        <f>_xlfn.XLOOKUP($F1847,設計座標!$E$13:$E$2301,設計座標!$H$13:$H$2301,"n/a",0,1)</f>
        <v>-15000</v>
      </c>
      <c r="K1847">
        <f>_xlfn.XLOOKUP($F1847,設計座標!$E$13:$E$2301,設計座標!$I$13:$I$2301,"n/a",0,1)</f>
        <v>-306393.95549546008</v>
      </c>
      <c r="L1847">
        <f>_xlfn.XLOOKUP($F1847,設計座標!$E$13:$E$2301,設計座標!$J$13:$J$2301,"n/a",0,1)</f>
        <v>-270</v>
      </c>
      <c r="M1847" s="2">
        <f t="shared" si="1423"/>
        <v>-14958.976755777281</v>
      </c>
      <c r="N1847" s="2">
        <f t="shared" si="1424"/>
        <v>-306393.95549546008</v>
      </c>
      <c r="O1847" s="23">
        <f t="shared" si="1425"/>
        <v>-271.88729925284355</v>
      </c>
      <c r="P1847" s="1">
        <f t="shared" si="1416"/>
        <v>-269.95121563547059</v>
      </c>
      <c r="Q1847" s="1">
        <f t="shared" si="1429"/>
        <v>41.023244222719157</v>
      </c>
      <c r="R1847">
        <f t="shared" si="1434"/>
        <v>0</v>
      </c>
      <c r="S1847" s="23">
        <f t="shared" si="1428"/>
        <v>-1.8872992528435386</v>
      </c>
      <c r="T1847">
        <f>$S1847+測地線補正!$Q$26*(lattice!$N1847/1000)^3+測地線補正!$P$26*(lattice!$N1847/1000)^2+測地線補正!$O$26*(lattice!$N1847/1000)+測地線補正!$N$26</f>
        <v>4.8784364529387281E-2</v>
      </c>
      <c r="U1847">
        <f>-ATAN(($P$1849-$P$1847)/ABS($N$1849-$N$1847))</f>
        <v>-1.4315423563485022E-5</v>
      </c>
      <c r="V1847">
        <v>0</v>
      </c>
      <c r="W1847">
        <f>ATAN(($M$1849-$M$1847)/ABS($N$1849-$N$1847))</f>
        <v>1.2870063704701444E-4</v>
      </c>
      <c r="X1847">
        <f>SQRT(($M$1847-$M$1846)^2+($N$1847-$N$1846)^2)</f>
        <v>209.94180173869407</v>
      </c>
      <c r="Y1847">
        <f>_xlfn.XLOOKUP($F1847,設計座標!$E$13:$E$2301,設計座標!$L$13:$L$2301," ",0,1)</f>
        <v>1889.4492</v>
      </c>
      <c r="Z1847">
        <f>SQRT(($M$1848-$M$1845)^2+($N$1848-$N$1845)^2)</f>
        <v>2099.3910173870063</v>
      </c>
    </row>
    <row r="1848" spans="1:26">
      <c r="A1848" t="s">
        <v>797</v>
      </c>
      <c r="B1848">
        <v>5</v>
      </c>
      <c r="C1848" t="s">
        <v>804</v>
      </c>
      <c r="D1848" t="s">
        <v>1152</v>
      </c>
      <c r="E1848" t="s">
        <v>804</v>
      </c>
      <c r="F1848" t="s">
        <v>1378</v>
      </c>
      <c r="G1848" t="s">
        <v>2783</v>
      </c>
      <c r="I1848">
        <f>_xlfn.XLOOKUP($F1848,設計座標!$E$13:$E$2301,設計座標!$G$13:$G$2301,"n/a",0,1)</f>
        <v>571.81502096136967</v>
      </c>
      <c r="J1848">
        <f>_xlfn.XLOOKUP($F1848,設計座標!$E$13:$E$2301,設計座標!$H$13:$H$2301,"n/a",0,1)</f>
        <v>-15000</v>
      </c>
      <c r="K1848">
        <f>_xlfn.XLOOKUP($F1848,設計座標!$E$13:$E$2301,設計座標!$I$13:$I$2301,"n/a",0,1)</f>
        <v>-307338.68009546009</v>
      </c>
      <c r="L1848">
        <f>_xlfn.XLOOKUP($F1848,設計座標!$E$13:$E$2301,設計座標!$J$13:$J$2301,"n/a",0,1)</f>
        <v>-270</v>
      </c>
      <c r="M1848" s="2">
        <f t="shared" si="1423"/>
        <v>-14958.855169118757</v>
      </c>
      <c r="N1848" s="2">
        <f t="shared" si="1424"/>
        <v>-307338.68009546009</v>
      </c>
      <c r="O1848" s="23">
        <f t="shared" si="1425"/>
        <v>-271.86220486459689</v>
      </c>
      <c r="P1848" s="1">
        <f t="shared" si="1416"/>
        <v>-269.93766152267051</v>
      </c>
      <c r="Q1848" s="1">
        <f t="shared" si="1429"/>
        <v>41.144830881244154</v>
      </c>
      <c r="R1848">
        <f t="shared" si="1434"/>
        <v>0</v>
      </c>
      <c r="S1848" s="23">
        <f t="shared" si="1428"/>
        <v>-1.8622048645968625</v>
      </c>
      <c r="T1848">
        <f>$S1848+測地線補正!$Q$26*(lattice!$N1848/1000)^3+測地線補正!$P$26*(lattice!$N1848/1000)^2+測地線補正!$O$26*(lattice!$N1848/1000)+測地線補正!$N$26</f>
        <v>6.2338477329493491E-2</v>
      </c>
      <c r="U1848">
        <f t="shared" ref="U1848:U1849" si="1437">-ATAN(($P$1849-$P$1847)/ABS($N$1849-$N$1847))</f>
        <v>-1.4315423563485022E-5</v>
      </c>
      <c r="V1848">
        <v>0</v>
      </c>
      <c r="W1848">
        <f t="shared" ref="W1848:W1849" si="1438">ATAN(($M$1849-$M$1847)/ABS($N$1849-$N$1847))</f>
        <v>1.2870063704701444E-4</v>
      </c>
      <c r="X1848" t="s">
        <v>3860</v>
      </c>
      <c r="Y1848">
        <f>_xlfn.XLOOKUP($F1848,設計座標!$E$13:$E$2301,設計座標!$L$13:$L$2301," ",0,1)</f>
        <v>1889.4492</v>
      </c>
      <c r="Z1848">
        <f>SQRT(($M$1848-$M$1845)^2+($N$1848-$N$1845)^2)</f>
        <v>2099.3910173870063</v>
      </c>
    </row>
    <row r="1849" spans="1:26">
      <c r="A1849" t="s">
        <v>797</v>
      </c>
      <c r="B1849">
        <v>5</v>
      </c>
      <c r="C1849" t="s">
        <v>804</v>
      </c>
      <c r="D1849" t="s">
        <v>1152</v>
      </c>
      <c r="E1849" t="s">
        <v>804</v>
      </c>
      <c r="F1849" t="s">
        <v>1781</v>
      </c>
      <c r="G1849" t="s">
        <v>2783</v>
      </c>
      <c r="I1849">
        <f>_xlfn.XLOOKUP($F1849,設計座標!$E$13:$E$2301,設計座標!$G$13:$G$2301,"n/a",0,1)</f>
        <v>572.75974556136964</v>
      </c>
      <c r="J1849">
        <f>_xlfn.XLOOKUP($F1849,設計座標!$E$13:$E$2301,設計座標!$H$13:$H$2301,"n/a",0,1)</f>
        <v>-15000</v>
      </c>
      <c r="K1849">
        <f>_xlfn.XLOOKUP($F1849,設計座標!$E$13:$E$2301,設計座標!$I$13:$I$2301,"n/a",0,1)</f>
        <v>-308283.40469546011</v>
      </c>
      <c r="L1849">
        <f>_xlfn.XLOOKUP($F1849,設計座標!$E$13:$E$2301,設計座標!$J$13:$J$2301,"n/a",0,1)</f>
        <v>-270</v>
      </c>
      <c r="M1849" s="2">
        <f t="shared" si="1423"/>
        <v>-14958.733582460231</v>
      </c>
      <c r="N1849" s="2">
        <f t="shared" si="1424"/>
        <v>-308283.40469546011</v>
      </c>
      <c r="O1849" s="23">
        <f t="shared" si="1425"/>
        <v>-271.83711047635018</v>
      </c>
      <c r="P1849" s="1">
        <f t="shared" si="1416"/>
        <v>-269.92416736986905</v>
      </c>
      <c r="Q1849" s="1">
        <f t="shared" si="1429"/>
        <v>41.266417539769151</v>
      </c>
      <c r="R1849">
        <f t="shared" si="1434"/>
        <v>0</v>
      </c>
      <c r="S1849" s="23">
        <f t="shared" si="1428"/>
        <v>-1.8371104763501862</v>
      </c>
      <c r="T1849">
        <f>$S1849+測地線補正!$Q$26*(lattice!$N1849/1000)^3+測地線補正!$P$26*(lattice!$N1849/1000)^2+測地線補正!$O$26*(lattice!$N1849/1000)+測地線補正!$N$26</f>
        <v>7.5832630130967749E-2</v>
      </c>
      <c r="U1849">
        <f t="shared" si="1437"/>
        <v>-1.4315423563485022E-5</v>
      </c>
      <c r="V1849">
        <v>0</v>
      </c>
      <c r="W1849">
        <f t="shared" si="1438"/>
        <v>1.2870063704701444E-4</v>
      </c>
      <c r="X1849" t="s">
        <v>3860</v>
      </c>
      <c r="Y1849">
        <f>_xlfn.XLOOKUP($F1849,設計座標!$E$13:$E$2301,設計座標!$L$13:$L$2301," ",0,1)</f>
        <v>1889.4492</v>
      </c>
      <c r="Z1849">
        <f>SQRT(($M$1848-$M$1845)^2+($N$1848-$N$1845)^2)</f>
        <v>2099.3910173870063</v>
      </c>
    </row>
    <row r="1850" spans="1:26">
      <c r="A1850" t="s">
        <v>797</v>
      </c>
      <c r="B1850">
        <v>5</v>
      </c>
      <c r="C1850" t="s">
        <v>2288</v>
      </c>
      <c r="D1850" t="s">
        <v>1152</v>
      </c>
      <c r="E1850" t="s">
        <v>804</v>
      </c>
      <c r="F1850" t="s">
        <v>2303</v>
      </c>
      <c r="G1850" t="s">
        <v>2303</v>
      </c>
      <c r="I1850">
        <f>_xlfn.XLOOKUP($F1850,設計座標!$E$13:$E$2301,設計座標!$G$13:$G$2301,"n/a",0,1)</f>
        <v>572.92324146136968</v>
      </c>
      <c r="J1850">
        <f>_xlfn.XLOOKUP($F1850,設計座標!$E$13:$E$2301,設計座標!$H$13:$H$2301,"n/a",0,1)</f>
        <v>-15000</v>
      </c>
      <c r="K1850">
        <f>_xlfn.XLOOKUP($F1850,設計座標!$E$13:$E$2301,設計座標!$I$13:$I$2301,"n/a",0,1)</f>
        <v>-308446.90059546009</v>
      </c>
      <c r="L1850">
        <f>_xlfn.XLOOKUP($F1850,設計座標!$E$13:$E$2301,設計座標!$J$13:$J$2301,"n/a",0,1)</f>
        <v>-270</v>
      </c>
      <c r="M1850" s="2">
        <f t="shared" si="1423"/>
        <v>-14958.712540433629</v>
      </c>
      <c r="N1850" s="2">
        <f t="shared" si="1424"/>
        <v>-308446.90059546009</v>
      </c>
      <c r="O1850" s="23">
        <f t="shared" si="1425"/>
        <v>-271.83276759209446</v>
      </c>
      <c r="P1850" s="1">
        <f t="shared" si="1416"/>
        <v>-269.92183808105011</v>
      </c>
      <c r="Q1850" s="1">
        <f t="shared" si="1429"/>
        <v>41.287459566369847</v>
      </c>
      <c r="R1850">
        <f t="shared" si="1434"/>
        <v>0</v>
      </c>
      <c r="S1850" s="23">
        <f t="shared" si="1428"/>
        <v>-1.8327675920944579</v>
      </c>
      <c r="T1850">
        <f>$S1850+測地線補正!$Q$26*(lattice!$N1850/1000)^3+測地線補正!$P$26*(lattice!$N1850/1000)^2+測地線補正!$O$26*(lattice!$N1850/1000)+測地線補正!$N$26</f>
        <v>7.8161918949907649E-2</v>
      </c>
      <c r="U1850">
        <v>0</v>
      </c>
      <c r="V1850">
        <v>0</v>
      </c>
      <c r="W1850">
        <v>0</v>
      </c>
      <c r="X1850">
        <f>SQRT(($M$1850-$M$1849)^2+($N$1850-$N$1849)^2)</f>
        <v>163.495901354041</v>
      </c>
      <c r="Y1850">
        <f>_xlfn.XLOOKUP($F1850,設計座標!$E$13:$E$2301,設計座標!$L$13:$L$2301," ",0,1)</f>
        <v>0</v>
      </c>
      <c r="Z1850">
        <f>SQRT(($M$1850-$M$1848)^2+($N$1850-$N$1848)^2)</f>
        <v>1108.2205091781973</v>
      </c>
    </row>
    <row r="1851" spans="1:26">
      <c r="A1851" t="s">
        <v>797</v>
      </c>
      <c r="B1851">
        <v>5</v>
      </c>
      <c r="C1851" t="s">
        <v>804</v>
      </c>
      <c r="D1851" t="s">
        <v>1152</v>
      </c>
      <c r="E1851" t="s">
        <v>804</v>
      </c>
      <c r="F1851" t="s">
        <v>1782</v>
      </c>
      <c r="G1851" t="s">
        <v>2784</v>
      </c>
      <c r="I1851">
        <f>_xlfn.XLOOKUP($F1851,設計座標!$E$13:$E$2301,設計座標!$G$13:$G$2301,"n/a",0,1)</f>
        <v>573.25722326136975</v>
      </c>
      <c r="J1851">
        <f>_xlfn.XLOOKUP($F1851,設計座標!$E$13:$E$2301,設計座標!$H$13:$H$2301,"n/a",0,1)</f>
        <v>-15000</v>
      </c>
      <c r="K1851">
        <f>_xlfn.XLOOKUP($F1851,設計座標!$E$13:$E$2301,設計座標!$I$13:$I$2301,"n/a",0,1)</f>
        <v>-308780.8823954601</v>
      </c>
      <c r="L1851">
        <f>_xlfn.XLOOKUP($F1851,設計座標!$E$13:$E$2301,設計座標!$J$13:$J$2301,"n/a",0,1)</f>
        <v>-270</v>
      </c>
      <c r="M1851" s="2">
        <f t="shared" si="1423"/>
        <v>-14958.66955676297</v>
      </c>
      <c r="N1851" s="2">
        <f t="shared" si="1424"/>
        <v>-308780.8823954601</v>
      </c>
      <c r="O1851" s="23">
        <f t="shared" si="1425"/>
        <v>-271.82389615066432</v>
      </c>
      <c r="P1851" s="1">
        <f t="shared" si="1416"/>
        <v>-269.91708542075588</v>
      </c>
      <c r="Q1851" s="1">
        <f t="shared" si="1429"/>
        <v>41.330443237029172</v>
      </c>
      <c r="R1851">
        <f t="shared" si="1434"/>
        <v>0</v>
      </c>
      <c r="S1851" s="23">
        <f t="shared" si="1428"/>
        <v>-1.8238961506643059</v>
      </c>
      <c r="T1851">
        <f>$S1851+測地線補正!$Q$26*(lattice!$N1851/1000)^3+測地線補正!$P$26*(lattice!$N1851/1000)^2+測地線補正!$O$26*(lattice!$N1851/1000)+測地線補正!$N$26</f>
        <v>8.2914579244119713E-2</v>
      </c>
      <c r="U1851">
        <f>-ATAN(($P$1853-$P$1851)/ABS($N$1853-$N$1851))</f>
        <v>-1.4157384769298954E-5</v>
      </c>
      <c r="V1851">
        <v>0</v>
      </c>
      <c r="W1851">
        <f>ATAN(($M$1853-$M$1851)/ABS($N$1853-$N$1851))</f>
        <v>1.2870063704605172E-4</v>
      </c>
      <c r="X1851">
        <f>SQRT(($M$1851-$M$1850)^2+($N$1851-$N$1850)^2)</f>
        <v>333.98180276602153</v>
      </c>
      <c r="Y1851">
        <f>_xlfn.XLOOKUP($F1851,設計座標!$E$13:$E$2301,設計座標!$L$13:$L$2301," ",0,1)</f>
        <v>1889.4492</v>
      </c>
      <c r="Z1851">
        <f>SQRT(($M$1852-$M$1850)^2+($N$1852-$N$1850)^2)</f>
        <v>1278.7064105901777</v>
      </c>
    </row>
    <row r="1852" spans="1:26">
      <c r="A1852" t="s">
        <v>797</v>
      </c>
      <c r="B1852">
        <v>5</v>
      </c>
      <c r="C1852" t="s">
        <v>804</v>
      </c>
      <c r="D1852" t="s">
        <v>1152</v>
      </c>
      <c r="E1852" t="s">
        <v>804</v>
      </c>
      <c r="F1852" t="s">
        <v>1215</v>
      </c>
      <c r="G1852" t="s">
        <v>2784</v>
      </c>
      <c r="I1852">
        <f>_xlfn.XLOOKUP($F1852,設計座標!$E$13:$E$2301,設計座標!$G$13:$G$2301,"n/a",0,1)</f>
        <v>574.20194786136972</v>
      </c>
      <c r="J1852">
        <f>_xlfn.XLOOKUP($F1852,設計座標!$E$13:$E$2301,設計座標!$H$13:$H$2301,"n/a",0,1)</f>
        <v>-15000</v>
      </c>
      <c r="K1852">
        <f>_xlfn.XLOOKUP($F1852,設計座標!$E$13:$E$2301,設計座標!$I$13:$I$2301,"n/a",0,1)</f>
        <v>-309725.60699546011</v>
      </c>
      <c r="L1852">
        <f>_xlfn.XLOOKUP($F1852,設計座標!$E$13:$E$2301,設計座標!$J$13:$J$2301,"n/a",0,1)</f>
        <v>-270</v>
      </c>
      <c r="M1852" s="2">
        <f t="shared" si="1423"/>
        <v>-14958.547970104446</v>
      </c>
      <c r="N1852" s="2">
        <f t="shared" si="1424"/>
        <v>-309725.60699546011</v>
      </c>
      <c r="O1852" s="23">
        <f t="shared" si="1425"/>
        <v>-271.79880176241761</v>
      </c>
      <c r="P1852" s="1">
        <f t="shared" si="1416"/>
        <v>-269.90368147822733</v>
      </c>
      <c r="Q1852" s="1">
        <f t="shared" si="1429"/>
        <v>41.452029895554169</v>
      </c>
      <c r="R1852">
        <f t="shared" si="1434"/>
        <v>0</v>
      </c>
      <c r="S1852" s="23">
        <f t="shared" si="1428"/>
        <v>-1.7988017624176296</v>
      </c>
      <c r="T1852">
        <f>$S1852+測地線補正!$Q$26*(lattice!$N1852/1000)^3+測地線補正!$P$26*(lattice!$N1852/1000)^2+測地線補正!$O$26*(lattice!$N1852/1000)+測地線補正!$N$26</f>
        <v>9.6318521772656984E-2</v>
      </c>
      <c r="U1852">
        <f t="shared" ref="U1852:U1853" si="1439">-ATAN(($P$1853-$P$1851)/ABS($N$1853-$N$1851))</f>
        <v>-1.4157384769298954E-5</v>
      </c>
      <c r="V1852">
        <v>0</v>
      </c>
      <c r="W1852">
        <f t="shared" ref="W1852:W1853" si="1440">ATAN(($M$1853-$M$1851)/ABS($N$1853-$N$1851))</f>
        <v>1.2870063704605172E-4</v>
      </c>
      <c r="X1852" t="s">
        <v>3860</v>
      </c>
      <c r="Y1852">
        <f>_xlfn.XLOOKUP($F1852,設計座標!$E$13:$E$2301,設計座標!$L$13:$L$2301," ",0,1)</f>
        <v>1889.4492</v>
      </c>
      <c r="Z1852">
        <f>SQRT(($M$1852-$M$1850)^2+($N$1852-$N$1850)^2)</f>
        <v>1278.7064105901777</v>
      </c>
    </row>
    <row r="1853" spans="1:26">
      <c r="A1853" t="s">
        <v>797</v>
      </c>
      <c r="B1853">
        <v>5</v>
      </c>
      <c r="C1853" t="s">
        <v>804</v>
      </c>
      <c r="D1853" t="s">
        <v>1152</v>
      </c>
      <c r="E1853" t="s">
        <v>804</v>
      </c>
      <c r="F1853" t="s">
        <v>1783</v>
      </c>
      <c r="G1853" t="s">
        <v>2784</v>
      </c>
      <c r="I1853">
        <f>_xlfn.XLOOKUP($F1853,設計座標!$E$13:$E$2301,設計座標!$G$13:$G$2301,"n/a",0,1)</f>
        <v>575.14667246136969</v>
      </c>
      <c r="J1853">
        <f>_xlfn.XLOOKUP($F1853,設計座標!$E$13:$E$2301,設計座標!$H$13:$H$2301,"n/a",0,1)</f>
        <v>-15000</v>
      </c>
      <c r="K1853">
        <f>_xlfn.XLOOKUP($F1853,設計座標!$E$13:$E$2301,設計座標!$I$13:$I$2301,"n/a",0,1)</f>
        <v>-310670.33159546013</v>
      </c>
      <c r="L1853">
        <f>_xlfn.XLOOKUP($F1853,設計座標!$E$13:$E$2301,設計座標!$J$13:$J$2301,"n/a",0,1)</f>
        <v>-270</v>
      </c>
      <c r="M1853" s="2">
        <f t="shared" si="1423"/>
        <v>-14958.426383445922</v>
      </c>
      <c r="N1853" s="2">
        <f t="shared" si="1424"/>
        <v>-310670.33159546013</v>
      </c>
      <c r="O1853" s="23">
        <f t="shared" si="1425"/>
        <v>-271.77370737417095</v>
      </c>
      <c r="P1853" s="1">
        <f t="shared" si="1416"/>
        <v>-269.89033576142765</v>
      </c>
      <c r="Q1853" s="1">
        <f t="shared" si="1429"/>
        <v>41.573616554079166</v>
      </c>
      <c r="R1853">
        <f t="shared" si="1434"/>
        <v>0</v>
      </c>
      <c r="S1853" s="23">
        <f t="shared" si="1428"/>
        <v>-1.7737073741709533</v>
      </c>
      <c r="T1853">
        <f>$S1853+測地線補正!$Q$26*(lattice!$N1853/1000)^3+測地線補正!$P$26*(lattice!$N1853/1000)^2+測地線補正!$O$26*(lattice!$N1853/1000)+測地線補正!$N$26</f>
        <v>0.10966423857232654</v>
      </c>
      <c r="U1853">
        <f t="shared" si="1439"/>
        <v>-1.4157384769298954E-5</v>
      </c>
      <c r="V1853">
        <v>0</v>
      </c>
      <c r="W1853">
        <f t="shared" si="1440"/>
        <v>1.2870063704605172E-4</v>
      </c>
      <c r="X1853" t="s">
        <v>3860</v>
      </c>
      <c r="Y1853">
        <f>_xlfn.XLOOKUP($F1853,設計座標!$E$13:$E$2301,設計座標!$L$13:$L$2301," ",0,1)</f>
        <v>1889.4492</v>
      </c>
      <c r="Z1853">
        <f>SQRT(($M$1852-$M$1850)^2+($N$1852-$N$1850)^2)</f>
        <v>1278.7064105901777</v>
      </c>
    </row>
    <row r="1854" spans="1:26">
      <c r="A1854" t="s">
        <v>797</v>
      </c>
      <c r="B1854">
        <v>5</v>
      </c>
      <c r="C1854" t="s">
        <v>804</v>
      </c>
      <c r="D1854" t="s">
        <v>1152</v>
      </c>
      <c r="E1854" t="s">
        <v>804</v>
      </c>
      <c r="F1854" t="s">
        <v>1784</v>
      </c>
      <c r="G1854" t="s">
        <v>2785</v>
      </c>
      <c r="I1854">
        <f>_xlfn.XLOOKUP($F1854,設計座標!$E$13:$E$2301,設計座標!$G$13:$G$2301,"n/a",0,1)</f>
        <v>575.35661426136971</v>
      </c>
      <c r="J1854">
        <f>_xlfn.XLOOKUP($F1854,設計座標!$E$13:$E$2301,設計座標!$H$13:$H$2301,"n/a",0,1)</f>
        <v>-15000</v>
      </c>
      <c r="K1854">
        <f>_xlfn.XLOOKUP($F1854,設計座標!$E$13:$E$2301,設計座標!$I$13:$I$2301,"n/a",0,1)</f>
        <v>-310880.2733954601</v>
      </c>
      <c r="L1854">
        <f>_xlfn.XLOOKUP($F1854,設計座標!$E$13:$E$2301,設計座標!$J$13:$J$2301,"n/a",0,1)</f>
        <v>-270</v>
      </c>
      <c r="M1854" s="2">
        <f t="shared" si="1423"/>
        <v>-14958.399363802369</v>
      </c>
      <c r="N1854" s="2">
        <f t="shared" si="1424"/>
        <v>-310880.2733954601</v>
      </c>
      <c r="O1854" s="23">
        <f t="shared" si="1425"/>
        <v>-271.76813076376152</v>
      </c>
      <c r="P1854" s="1">
        <f t="shared" si="1416"/>
        <v>-269.88737784248474</v>
      </c>
      <c r="Q1854" s="1">
        <f t="shared" si="1429"/>
        <v>41.600636197631069</v>
      </c>
      <c r="R1854">
        <f t="shared" si="1434"/>
        <v>0</v>
      </c>
      <c r="S1854" s="23">
        <f t="shared" si="1428"/>
        <v>-1.7681307637615225</v>
      </c>
      <c r="T1854">
        <f>$S1854+測地線補正!$Q$26*(lattice!$N1854/1000)^3+測地線補正!$P$26*(lattice!$N1854/1000)^2+測地線補正!$O$26*(lattice!$N1854/1000)+測地線補正!$N$26</f>
        <v>0.11262215751526461</v>
      </c>
      <c r="U1854">
        <f>-ATAN(($P$1856-$P$1854)/ABS($N$1856-$N$1854))</f>
        <v>-1.4022217491522664E-5</v>
      </c>
      <c r="V1854">
        <v>0</v>
      </c>
      <c r="W1854">
        <f>ATAN(($M$1856-$M$1854)/ABS($N$1856-$N$1854))</f>
        <v>1.2870063704701444E-4</v>
      </c>
      <c r="X1854">
        <f>SQRT(($M$1854-$M$1853)^2+($N$1854-$N$1853)^2)</f>
        <v>209.94180173869407</v>
      </c>
      <c r="Y1854">
        <f>_xlfn.XLOOKUP($F1854,設計座標!$E$13:$E$2301,設計座標!$L$13:$L$2301," ",0,1)</f>
        <v>1889.4492</v>
      </c>
      <c r="Z1854">
        <f>SQRT(($M$1855-$M$1852)^2+($N$1855-$N$1852)^2)</f>
        <v>2099.3910173870063</v>
      </c>
    </row>
    <row r="1855" spans="1:26">
      <c r="A1855" t="s">
        <v>797</v>
      </c>
      <c r="B1855">
        <v>5</v>
      </c>
      <c r="C1855" t="s">
        <v>804</v>
      </c>
      <c r="D1855" t="s">
        <v>1152</v>
      </c>
      <c r="E1855" t="s">
        <v>804</v>
      </c>
      <c r="F1855" t="s">
        <v>1271</v>
      </c>
      <c r="G1855" t="s">
        <v>2785</v>
      </c>
      <c r="I1855">
        <f>_xlfn.XLOOKUP($F1855,設計座標!$E$13:$E$2301,設計座標!$G$13:$G$2301,"n/a",0,1)</f>
        <v>576.30133886136969</v>
      </c>
      <c r="J1855">
        <f>_xlfn.XLOOKUP($F1855,設計座標!$E$13:$E$2301,設計座標!$H$13:$H$2301,"n/a",0,1)</f>
        <v>-15000</v>
      </c>
      <c r="K1855">
        <f>_xlfn.XLOOKUP($F1855,設計座標!$E$13:$E$2301,設計座標!$I$13:$I$2301,"n/a",0,1)</f>
        <v>-311824.99799546011</v>
      </c>
      <c r="L1855">
        <f>_xlfn.XLOOKUP($F1855,設計座標!$E$13:$E$2301,設計座標!$J$13:$J$2301,"n/a",0,1)</f>
        <v>-270</v>
      </c>
      <c r="M1855" s="2">
        <f t="shared" si="1423"/>
        <v>-14958.277777143843</v>
      </c>
      <c r="N1855" s="2">
        <f t="shared" si="1424"/>
        <v>-311824.99799546011</v>
      </c>
      <c r="O1855" s="23">
        <f t="shared" si="1425"/>
        <v>-271.74303637551486</v>
      </c>
      <c r="P1855" s="1">
        <f t="shared" si="1416"/>
        <v>-269.87410235848603</v>
      </c>
      <c r="Q1855" s="1">
        <f t="shared" si="1429"/>
        <v>41.722222856156066</v>
      </c>
      <c r="R1855">
        <f t="shared" si="1434"/>
        <v>0</v>
      </c>
      <c r="S1855" s="23">
        <f t="shared" si="1428"/>
        <v>-1.7430363755148464</v>
      </c>
      <c r="T1855">
        <f>$S1855+測地線補正!$Q$26*(lattice!$N1855/1000)^3+測地線補正!$P$26*(lattice!$N1855/1000)^2+測地線補正!$O$26*(lattice!$N1855/1000)+測地線補正!$N$26</f>
        <v>0.12589764151398497</v>
      </c>
      <c r="U1855">
        <f t="shared" ref="U1855:U1856" si="1441">-ATAN(($P$1856-$P$1854)/ABS($N$1856-$N$1854))</f>
        <v>-1.4022217491522664E-5</v>
      </c>
      <c r="V1855">
        <v>0</v>
      </c>
      <c r="W1855">
        <f t="shared" ref="W1855:W1856" si="1442">ATAN(($M$1856-$M$1854)/ABS($N$1856-$N$1854))</f>
        <v>1.2870063704701444E-4</v>
      </c>
      <c r="X1855" t="s">
        <v>3860</v>
      </c>
      <c r="Y1855">
        <f>_xlfn.XLOOKUP($F1855,設計座標!$E$13:$E$2301,設計座標!$L$13:$L$2301," ",0,1)</f>
        <v>1889.4492</v>
      </c>
      <c r="Z1855">
        <f>SQRT(($M$1855-$M$1852)^2+($N$1855-$N$1852)^2)</f>
        <v>2099.3910173870063</v>
      </c>
    </row>
    <row r="1856" spans="1:26">
      <c r="A1856" t="s">
        <v>797</v>
      </c>
      <c r="B1856">
        <v>5</v>
      </c>
      <c r="C1856" t="s">
        <v>804</v>
      </c>
      <c r="D1856" t="s">
        <v>1152</v>
      </c>
      <c r="E1856" t="s">
        <v>804</v>
      </c>
      <c r="F1856" t="s">
        <v>1785</v>
      </c>
      <c r="G1856" t="s">
        <v>2785</v>
      </c>
      <c r="I1856">
        <f>_xlfn.XLOOKUP($F1856,設計座標!$E$13:$E$2301,設計座標!$G$13:$G$2301,"n/a",0,1)</f>
        <v>577.24606346136966</v>
      </c>
      <c r="J1856">
        <f>_xlfn.XLOOKUP($F1856,設計座標!$E$13:$E$2301,設計座標!$H$13:$H$2301,"n/a",0,1)</f>
        <v>-15000</v>
      </c>
      <c r="K1856">
        <f>_xlfn.XLOOKUP($F1856,設計座標!$E$13:$E$2301,設計座標!$I$13:$I$2301,"n/a",0,1)</f>
        <v>-312769.72259546013</v>
      </c>
      <c r="L1856">
        <f>_xlfn.XLOOKUP($F1856,設計座標!$E$13:$E$2301,設計座標!$J$13:$J$2301,"n/a",0,1)</f>
        <v>-270</v>
      </c>
      <c r="M1856" s="2">
        <f t="shared" si="1423"/>
        <v>-14958.156190485319</v>
      </c>
      <c r="N1856" s="2">
        <f t="shared" si="1424"/>
        <v>-312769.72259546013</v>
      </c>
      <c r="O1856" s="23">
        <f t="shared" si="1425"/>
        <v>-271.71794198726815</v>
      </c>
      <c r="P1856" s="1">
        <f t="shared" si="1416"/>
        <v>-269.86088357486142</v>
      </c>
      <c r="Q1856" s="1">
        <f t="shared" si="1429"/>
        <v>41.843809514681062</v>
      </c>
      <c r="R1856">
        <f t="shared" si="1434"/>
        <v>0</v>
      </c>
      <c r="S1856" s="23">
        <f t="shared" si="1428"/>
        <v>-1.71794198726817</v>
      </c>
      <c r="T1856">
        <f>$S1856+測地線補正!$Q$26*(lattice!$N1856/1000)^3+測地線補正!$P$26*(lattice!$N1856/1000)^2+測地線補正!$O$26*(lattice!$N1856/1000)+測地線補正!$N$26</f>
        <v>0.13911642513860456</v>
      </c>
      <c r="U1856">
        <f t="shared" si="1441"/>
        <v>-1.4022217491522664E-5</v>
      </c>
      <c r="V1856">
        <v>0</v>
      </c>
      <c r="W1856">
        <f t="shared" si="1442"/>
        <v>1.2870063704701444E-4</v>
      </c>
      <c r="X1856" t="s">
        <v>3860</v>
      </c>
      <c r="Y1856">
        <f>_xlfn.XLOOKUP($F1856,設計座標!$E$13:$E$2301,設計座標!$L$13:$L$2301," ",0,1)</f>
        <v>1889.4492</v>
      </c>
      <c r="Z1856">
        <f>SQRT(($M$1855-$M$1852)^2+($N$1855-$N$1852)^2)</f>
        <v>2099.3910173870063</v>
      </c>
    </row>
    <row r="1857" spans="1:28">
      <c r="A1857" t="s">
        <v>797</v>
      </c>
      <c r="B1857">
        <v>5</v>
      </c>
      <c r="C1857" t="s">
        <v>804</v>
      </c>
      <c r="D1857" t="s">
        <v>1152</v>
      </c>
      <c r="E1857" t="s">
        <v>804</v>
      </c>
      <c r="F1857" t="s">
        <v>1786</v>
      </c>
      <c r="G1857" t="s">
        <v>2786</v>
      </c>
      <c r="I1857">
        <f>_xlfn.XLOOKUP($F1857,設計座標!$E$13:$E$2301,設計座標!$G$13:$G$2301,"n/a",0,1)</f>
        <v>577.77090526136976</v>
      </c>
      <c r="J1857">
        <f>_xlfn.XLOOKUP($F1857,設計座標!$E$13:$E$2301,設計座標!$H$13:$H$2301,"n/a",0,1)</f>
        <v>-15000</v>
      </c>
      <c r="K1857">
        <f>_xlfn.XLOOKUP($F1857,設計座標!$E$13:$E$2301,設計座標!$I$13:$I$2301,"n/a",0,1)</f>
        <v>-313294.56439546013</v>
      </c>
      <c r="L1857">
        <f>_xlfn.XLOOKUP($F1857,設計座標!$E$13:$E$2301,設計座標!$J$13:$J$2301,"n/a",0,1)</f>
        <v>-270</v>
      </c>
      <c r="M1857" s="2">
        <f t="shared" si="1423"/>
        <v>-14958.088643010937</v>
      </c>
      <c r="N1857" s="2">
        <f t="shared" si="1424"/>
        <v>-313294.56439546013</v>
      </c>
      <c r="O1857" s="23">
        <f t="shared" si="1425"/>
        <v>-271.70400079859024</v>
      </c>
      <c r="P1857" s="1">
        <f t="shared" si="1416"/>
        <v>-269.85356412612055</v>
      </c>
      <c r="Q1857" s="1">
        <f t="shared" si="1429"/>
        <v>41.911356989062739</v>
      </c>
      <c r="R1857">
        <f t="shared" si="1434"/>
        <v>0</v>
      </c>
      <c r="S1857" s="23">
        <f t="shared" si="1428"/>
        <v>-1.7040007985902377</v>
      </c>
      <c r="T1857">
        <f>$S1857+測地線補正!$Q$26*(lattice!$N1857/1000)^3+測地線補正!$P$26*(lattice!$N1857/1000)^2+測地線補正!$O$26*(lattice!$N1857/1000)+測地線補正!$N$26</f>
        <v>0.14643587387944534</v>
      </c>
      <c r="U1857">
        <f>-ATAN(($P$1859-$P$1857)/ABS($N$1859-$N$1857))</f>
        <v>-1.3871211333044438E-5</v>
      </c>
      <c r="V1857">
        <v>0</v>
      </c>
      <c r="W1857">
        <f>ATAN(($M$1859-$M$1857)/ABS($N$1859-$N$1857))</f>
        <v>1.2870063704605172E-4</v>
      </c>
      <c r="X1857">
        <f>SQRT(($M$1857-$M$1856)^2+($N$1857-$N$1856)^2)</f>
        <v>524.84180434669611</v>
      </c>
      <c r="Y1857">
        <f>_xlfn.XLOOKUP($F1857,設計座標!$E$13:$E$2301,設計座標!$L$13:$L$2301," ",0,1)</f>
        <v>1889.4492</v>
      </c>
      <c r="Z1857">
        <f>SQRT(($M$1858-$M$1855)^2+($N$1858-$N$1855)^2)</f>
        <v>2414.2910199950084</v>
      </c>
    </row>
    <row r="1858" spans="1:28">
      <c r="A1858" t="s">
        <v>797</v>
      </c>
      <c r="B1858">
        <v>5</v>
      </c>
      <c r="C1858" t="s">
        <v>804</v>
      </c>
      <c r="D1858" t="s">
        <v>1152</v>
      </c>
      <c r="E1858" t="s">
        <v>804</v>
      </c>
      <c r="F1858" t="s">
        <v>1325</v>
      </c>
      <c r="G1858" t="s">
        <v>2786</v>
      </c>
      <c r="I1858">
        <f>_xlfn.XLOOKUP($F1858,設計座標!$E$13:$E$2301,設計座標!$G$13:$G$2301,"n/a",0,1)</f>
        <v>578.71562986136973</v>
      </c>
      <c r="J1858">
        <f>_xlfn.XLOOKUP($F1858,設計座標!$E$13:$E$2301,設計座標!$H$13:$H$2301,"n/a",0,1)</f>
        <v>-15000</v>
      </c>
      <c r="K1858">
        <f>_xlfn.XLOOKUP($F1858,設計座標!$E$13:$E$2301,設計座標!$I$13:$I$2301,"n/a",0,1)</f>
        <v>-314239.28899546014</v>
      </c>
      <c r="L1858">
        <f>_xlfn.XLOOKUP($F1858,設計座標!$E$13:$E$2301,設計座標!$J$13:$J$2301,"n/a",0,1)</f>
        <v>-270</v>
      </c>
      <c r="M1858" s="2">
        <f t="shared" si="1423"/>
        <v>-14957.967056352412</v>
      </c>
      <c r="N1858" s="2">
        <f t="shared" si="1424"/>
        <v>-314239.28899546014</v>
      </c>
      <c r="O1858" s="23">
        <f t="shared" si="1425"/>
        <v>-271.67890641034359</v>
      </c>
      <c r="P1858" s="1">
        <f t="shared" si="1416"/>
        <v>-269.84043217843038</v>
      </c>
      <c r="Q1858" s="1">
        <f t="shared" si="1429"/>
        <v>42.032943647587736</v>
      </c>
      <c r="R1858">
        <f t="shared" si="1434"/>
        <v>0</v>
      </c>
      <c r="S1858" s="23">
        <f t="shared" si="1428"/>
        <v>-1.6789064103435614</v>
      </c>
      <c r="T1858">
        <f>$S1858+測地線補正!$Q$26*(lattice!$N1858/1000)^3+測地線補正!$P$26*(lattice!$N1858/1000)^2+測地線補正!$O$26*(lattice!$N1858/1000)+測地線補正!$N$26</f>
        <v>0.15956782156961657</v>
      </c>
      <c r="U1858">
        <f t="shared" ref="U1858:U1859" si="1443">-ATAN(($P$1859-$P$1857)/ABS($N$1859-$N$1857))</f>
        <v>-1.3871211333044438E-5</v>
      </c>
      <c r="V1858">
        <v>0</v>
      </c>
      <c r="W1858">
        <f t="shared" ref="W1858:W1859" si="1444">ATAN(($M$1859-$M$1857)/ABS($N$1859-$N$1857))</f>
        <v>1.2870063704605172E-4</v>
      </c>
      <c r="X1858" t="s">
        <v>3860</v>
      </c>
      <c r="Y1858">
        <f>_xlfn.XLOOKUP($F1858,設計座標!$E$13:$E$2301,設計座標!$L$13:$L$2301," ",0,1)</f>
        <v>1889.4492</v>
      </c>
      <c r="Z1858">
        <f>SQRT(($M$1858-$M$1855)^2+($N$1858-$N$1855)^2)</f>
        <v>2414.2910199950084</v>
      </c>
    </row>
    <row r="1859" spans="1:28">
      <c r="A1859" t="s">
        <v>797</v>
      </c>
      <c r="B1859">
        <v>5</v>
      </c>
      <c r="C1859" t="s">
        <v>804</v>
      </c>
      <c r="D1859" t="s">
        <v>1152</v>
      </c>
      <c r="E1859" t="s">
        <v>804</v>
      </c>
      <c r="F1859" t="s">
        <v>1787</v>
      </c>
      <c r="G1859" t="s">
        <v>2786</v>
      </c>
      <c r="I1859">
        <f>_xlfn.XLOOKUP($F1859,設計座標!$E$13:$E$2301,設計座標!$G$13:$G$2301,"n/a",0,1)</f>
        <v>579.66035446136971</v>
      </c>
      <c r="J1859">
        <f>_xlfn.XLOOKUP($F1859,設計座標!$E$13:$E$2301,設計座標!$H$13:$H$2301,"n/a",0,1)</f>
        <v>-15000</v>
      </c>
      <c r="K1859">
        <f>_xlfn.XLOOKUP($F1859,設計座標!$E$13:$E$2301,設計座標!$I$13:$I$2301,"n/a",0,1)</f>
        <v>-315184.01359546016</v>
      </c>
      <c r="L1859">
        <f>_xlfn.XLOOKUP($F1859,設計座標!$E$13:$E$2301,設計座標!$J$13:$J$2301,"n/a",0,1)</f>
        <v>-270</v>
      </c>
      <c r="M1859" s="2">
        <f t="shared" si="1423"/>
        <v>-14957.845469693888</v>
      </c>
      <c r="N1859" s="2">
        <f t="shared" si="1424"/>
        <v>-315184.01359546016</v>
      </c>
      <c r="O1859" s="23">
        <f t="shared" si="1425"/>
        <v>-271.65381202209687</v>
      </c>
      <c r="P1859" s="1">
        <f t="shared" si="1416"/>
        <v>-269.82735517696261</v>
      </c>
      <c r="Q1859" s="1">
        <f t="shared" si="1429"/>
        <v>42.154530306112733</v>
      </c>
      <c r="R1859">
        <f t="shared" si="1434"/>
        <v>0</v>
      </c>
      <c r="S1859" s="23">
        <f t="shared" si="1428"/>
        <v>-1.653812022096885</v>
      </c>
      <c r="T1859">
        <f>$S1859+測地線補正!$Q$26*(lattice!$N1859/1000)^3+測地線補正!$P$26*(lattice!$N1859/1000)^2+測地線補正!$O$26*(lattice!$N1859/1000)+測地線補正!$N$26</f>
        <v>0.1726448230373927</v>
      </c>
      <c r="U1859">
        <f t="shared" si="1443"/>
        <v>-1.3871211333044438E-5</v>
      </c>
      <c r="V1859">
        <v>0</v>
      </c>
      <c r="W1859">
        <f t="shared" si="1444"/>
        <v>1.2870063704605172E-4</v>
      </c>
      <c r="X1859" t="s">
        <v>3860</v>
      </c>
      <c r="Y1859">
        <f>_xlfn.XLOOKUP($F1859,設計座標!$E$13:$E$2301,設計座標!$L$13:$L$2301," ",0,1)</f>
        <v>1889.4492</v>
      </c>
      <c r="Z1859">
        <f>SQRT(($M$1858-$M$1855)^2+($N$1858-$N$1855)^2)</f>
        <v>2414.2910199950084</v>
      </c>
    </row>
    <row r="1860" spans="1:28">
      <c r="A1860" t="s">
        <v>797</v>
      </c>
      <c r="B1860">
        <v>5</v>
      </c>
      <c r="C1860" t="s">
        <v>804</v>
      </c>
      <c r="D1860" t="s">
        <v>1152</v>
      </c>
      <c r="E1860" t="s">
        <v>804</v>
      </c>
      <c r="F1860" t="s">
        <v>1788</v>
      </c>
      <c r="G1860" t="s">
        <v>2787</v>
      </c>
      <c r="I1860">
        <f>_xlfn.XLOOKUP($F1860,設計座標!$E$13:$E$2301,設計座標!$G$13:$G$2301,"n/a",0,1)</f>
        <v>579.87029626136973</v>
      </c>
      <c r="J1860">
        <f>_xlfn.XLOOKUP($F1860,設計座標!$E$13:$E$2301,設計座標!$H$13:$H$2301,"n/a",0,1)</f>
        <v>-15000</v>
      </c>
      <c r="K1860">
        <f>_xlfn.XLOOKUP($F1860,設計座標!$E$13:$E$2301,設計座標!$I$13:$I$2301,"n/a",0,1)</f>
        <v>-315393.95539546013</v>
      </c>
      <c r="L1860">
        <f>_xlfn.XLOOKUP($F1860,設計座標!$E$13:$E$2301,設計座標!$J$13:$J$2301,"n/a",0,1)</f>
        <v>-270</v>
      </c>
      <c r="M1860" s="2">
        <f t="shared" si="1423"/>
        <v>-14957.818450050336</v>
      </c>
      <c r="N1860" s="2">
        <f t="shared" si="1424"/>
        <v>-315393.95539546013</v>
      </c>
      <c r="O1860" s="23">
        <f t="shared" si="1425"/>
        <v>-271.64823541168744</v>
      </c>
      <c r="P1860" s="1">
        <f t="shared" si="1416"/>
        <v>-269.82445652801857</v>
      </c>
      <c r="Q1860" s="1">
        <f t="shared" si="1429"/>
        <v>42.181549949664642</v>
      </c>
      <c r="R1860">
        <f t="shared" si="1434"/>
        <v>0</v>
      </c>
      <c r="S1860" s="23">
        <f t="shared" si="1428"/>
        <v>-1.6482354116874545</v>
      </c>
      <c r="T1860">
        <f>$S1860+測地線補正!$Q$26*(lattice!$N1860/1000)^3+測地線補正!$P$26*(lattice!$N1860/1000)^2+測地線補正!$O$26*(lattice!$N1860/1000)+測地線補正!$N$26</f>
        <v>0.1755434719814184</v>
      </c>
      <c r="U1860">
        <f>-ATAN(($P$1862-$P$1860)/ABS($N$1862-$N$1860))</f>
        <v>-1.3743758263817994E-5</v>
      </c>
      <c r="V1860">
        <v>0</v>
      </c>
      <c r="W1860">
        <f>ATAN(($M$1862-$M$1860)/ABS($N$1862-$N$1860))</f>
        <v>1.2870063704701444E-4</v>
      </c>
      <c r="X1860">
        <f>SQRT(($M$1860-$M$1859)^2+($N$1860-$N$1859)^2)</f>
        <v>209.94180173869407</v>
      </c>
      <c r="Y1860">
        <f>_xlfn.XLOOKUP($F1860,設計座標!$E$13:$E$2301,設計座標!$L$13:$L$2301," ",0,1)</f>
        <v>1889.4492</v>
      </c>
      <c r="Z1860">
        <f>SQRT(($M$1861-$M$1858)^2+($N$1861-$N$1858)^2)</f>
        <v>2099.3910173870063</v>
      </c>
    </row>
    <row r="1861" spans="1:28">
      <c r="A1861" t="s">
        <v>797</v>
      </c>
      <c r="B1861">
        <v>5</v>
      </c>
      <c r="C1861" t="s">
        <v>804</v>
      </c>
      <c r="D1861" t="s">
        <v>1152</v>
      </c>
      <c r="E1861" t="s">
        <v>804</v>
      </c>
      <c r="F1861" t="s">
        <v>1379</v>
      </c>
      <c r="G1861" t="s">
        <v>2787</v>
      </c>
      <c r="I1861">
        <f>_xlfn.XLOOKUP($F1861,設計座標!$E$13:$E$2301,設計座標!$G$13:$G$2301,"n/a",0,1)</f>
        <v>580.8150208613697</v>
      </c>
      <c r="J1861">
        <f>_xlfn.XLOOKUP($F1861,設計座標!$E$13:$E$2301,設計座標!$H$13:$H$2301,"n/a",0,1)</f>
        <v>-15000</v>
      </c>
      <c r="K1861">
        <f>_xlfn.XLOOKUP($F1861,設計座標!$E$13:$E$2301,設計座標!$I$13:$I$2301,"n/a",0,1)</f>
        <v>-316338.67999546014</v>
      </c>
      <c r="L1861">
        <f>_xlfn.XLOOKUP($F1861,設計座標!$E$13:$E$2301,設計座標!$J$13:$J$2301,"n/a",0,1)</f>
        <v>-270</v>
      </c>
      <c r="M1861" s="2">
        <f t="shared" si="1423"/>
        <v>-14957.69686339181</v>
      </c>
      <c r="N1861" s="2">
        <f t="shared" si="1424"/>
        <v>-316338.67999546014</v>
      </c>
      <c r="O1861" s="23">
        <f t="shared" si="1425"/>
        <v>-271.62314102344078</v>
      </c>
      <c r="P1861" s="1">
        <f t="shared" si="1416"/>
        <v>-269.81144575105566</v>
      </c>
      <c r="Q1861" s="1">
        <f t="shared" si="1429"/>
        <v>42.303136608189632</v>
      </c>
      <c r="R1861">
        <f t="shared" si="1434"/>
        <v>0</v>
      </c>
      <c r="S1861" s="23">
        <f t="shared" si="1428"/>
        <v>-1.6231410234407782</v>
      </c>
      <c r="T1861">
        <f>$S1861+測地線補正!$Q$26*(lattice!$N1861/1000)^3+測地線補正!$P$26*(lattice!$N1861/1000)^2+測地線補正!$O$26*(lattice!$N1861/1000)+測地線補正!$N$26</f>
        <v>0.18855424894434392</v>
      </c>
      <c r="U1861">
        <f t="shared" ref="U1861:U1862" si="1445">-ATAN(($P$1862-$P$1860)/ABS($N$1862-$N$1860))</f>
        <v>-1.3743758263817994E-5</v>
      </c>
      <c r="V1861">
        <v>0</v>
      </c>
      <c r="W1861">
        <f t="shared" ref="W1861:W1862" si="1446">ATAN(($M$1862-$M$1860)/ABS($N$1862-$N$1860))</f>
        <v>1.2870063704701444E-4</v>
      </c>
      <c r="X1861" t="s">
        <v>3860</v>
      </c>
      <c r="Y1861">
        <f>_xlfn.XLOOKUP($F1861,設計座標!$E$13:$E$2301,設計座標!$L$13:$L$2301," ",0,1)</f>
        <v>1889.4492</v>
      </c>
      <c r="Z1861">
        <f>SQRT(($M$1861-$M$1858)^2+($N$1861-$N$1858)^2)</f>
        <v>2099.3910173870063</v>
      </c>
    </row>
    <row r="1862" spans="1:28">
      <c r="A1862" t="s">
        <v>797</v>
      </c>
      <c r="B1862">
        <v>5</v>
      </c>
      <c r="C1862" t="s">
        <v>804</v>
      </c>
      <c r="D1862" t="s">
        <v>1152</v>
      </c>
      <c r="E1862" t="s">
        <v>804</v>
      </c>
      <c r="F1862" t="s">
        <v>1789</v>
      </c>
      <c r="G1862" t="s">
        <v>2787</v>
      </c>
      <c r="I1862">
        <f>_xlfn.XLOOKUP($F1862,設計座標!$E$13:$E$2301,設計座標!$G$13:$G$2301,"n/a",0,1)</f>
        <v>581.75974546136968</v>
      </c>
      <c r="J1862">
        <f>_xlfn.XLOOKUP($F1862,設計座標!$E$13:$E$2301,設計座標!$H$13:$H$2301,"n/a",0,1)</f>
        <v>-15000</v>
      </c>
      <c r="K1862">
        <f>_xlfn.XLOOKUP($F1862,設計座標!$E$13:$E$2301,設計座標!$I$13:$I$2301,"n/a",0,1)</f>
        <v>-317283.40459546016</v>
      </c>
      <c r="L1862">
        <f>_xlfn.XLOOKUP($F1862,設計座標!$E$13:$E$2301,設計座標!$J$13:$J$2301,"n/a",0,1)</f>
        <v>-270</v>
      </c>
      <c r="M1862" s="2">
        <f t="shared" si="1423"/>
        <v>-14957.575276733285</v>
      </c>
      <c r="N1862" s="2">
        <f t="shared" si="1424"/>
        <v>-317283.40459546016</v>
      </c>
      <c r="O1862" s="23">
        <f t="shared" si="1425"/>
        <v>-271.59804663519412</v>
      </c>
      <c r="P1862" s="1">
        <f t="shared" si="1416"/>
        <v>-269.79848839496037</v>
      </c>
      <c r="Q1862" s="1">
        <f t="shared" si="1429"/>
        <v>42.424723266714629</v>
      </c>
      <c r="R1862">
        <f t="shared" si="1434"/>
        <v>0</v>
      </c>
      <c r="S1862" s="23">
        <f t="shared" si="1428"/>
        <v>-1.5980466351941018</v>
      </c>
      <c r="T1862">
        <f>$S1862+測地線補正!$Q$26*(lattice!$N1862/1000)^3+測地線補正!$P$26*(lattice!$N1862/1000)^2+測地線補正!$O$26*(lattice!$N1862/1000)+測地線補正!$N$26</f>
        <v>0.20151160503964838</v>
      </c>
      <c r="U1862">
        <f t="shared" si="1445"/>
        <v>-1.3743758263817994E-5</v>
      </c>
      <c r="V1862">
        <v>0</v>
      </c>
      <c r="W1862">
        <f t="shared" si="1446"/>
        <v>1.2870063704701444E-4</v>
      </c>
      <c r="X1862" t="s">
        <v>3860</v>
      </c>
      <c r="Y1862">
        <f>_xlfn.XLOOKUP($F1862,設計座標!$E$13:$E$2301,設計座標!$L$13:$L$2301," ",0,1)</f>
        <v>1889.4492</v>
      </c>
      <c r="Z1862">
        <f>SQRT(($M$1861-$M$1858)^2+($N$1861-$N$1858)^2)</f>
        <v>2099.3910173870063</v>
      </c>
    </row>
    <row r="1863" spans="1:28">
      <c r="A1863" t="s">
        <v>797</v>
      </c>
      <c r="B1863">
        <v>5</v>
      </c>
      <c r="C1863" t="s">
        <v>1152</v>
      </c>
      <c r="D1863" t="s">
        <v>1152</v>
      </c>
      <c r="E1863" t="s">
        <v>804</v>
      </c>
      <c r="F1863" t="s">
        <v>2178</v>
      </c>
      <c r="G1863" t="s">
        <v>2178</v>
      </c>
      <c r="I1863">
        <f>_xlfn.XLOOKUP($F1863,設計座標!$E$13:$E$2301,設計座標!$G$13:$G$2301,"n/a",0,1)</f>
        <v>581.91224136136975</v>
      </c>
      <c r="J1863">
        <f>_xlfn.XLOOKUP($F1863,設計座標!$E$13:$E$2301,設計座標!$H$13:$H$2301,"n/a",0,1)</f>
        <v>-15000</v>
      </c>
      <c r="K1863">
        <f>_xlfn.XLOOKUP($F1863,設計座標!$E$13:$E$2301,設計座標!$I$13:$I$2301,"n/a",0,1)</f>
        <v>-317435.90049546014</v>
      </c>
      <c r="L1863">
        <f>_xlfn.XLOOKUP($F1863,設計座標!$E$13:$E$2301,設計座標!$J$13:$J$2301,"n/a",0,1)</f>
        <v>-270</v>
      </c>
      <c r="M1863" s="2">
        <f t="shared" si="1423"/>
        <v>-14957.5556504137</v>
      </c>
      <c r="N1863" s="2">
        <f t="shared" si="1424"/>
        <v>-317435.90049546014</v>
      </c>
      <c r="O1863" s="23">
        <f t="shared" si="1425"/>
        <v>-271.59399594008079</v>
      </c>
      <c r="P1863" s="1">
        <f t="shared" si="1416"/>
        <v>-269.79640180089092</v>
      </c>
      <c r="Q1863" s="1">
        <f t="shared" si="1429"/>
        <v>42.4443495863</v>
      </c>
      <c r="R1863">
        <f t="shared" si="1434"/>
        <v>0</v>
      </c>
      <c r="S1863" s="23">
        <f t="shared" si="1428"/>
        <v>-1.593995940080811</v>
      </c>
      <c r="T1863">
        <f>$S1863+測地線補正!$Q$26*(lattice!$N1863/1000)^3+測地線補正!$P$26*(lattice!$N1863/1000)^2+測地線補正!$O$26*(lattice!$N1863/1000)+測地線補正!$N$26</f>
        <v>0.20359819910907517</v>
      </c>
      <c r="U1863">
        <v>0</v>
      </c>
      <c r="V1863">
        <v>0</v>
      </c>
      <c r="W1863">
        <v>0</v>
      </c>
      <c r="X1863">
        <f>SQRT(($M$1863-$M$1862)^2+($N$1863-$N$1862)^2)</f>
        <v>152.49590126293981</v>
      </c>
      <c r="Y1863">
        <f>_xlfn.XLOOKUP($F1863,設計座標!$E$13:$E$2301,設計座標!$L$13:$L$2301," ",0,1)</f>
        <v>0</v>
      </c>
      <c r="Z1863">
        <f>SQRT(($M$1863-$M$1861)^2+($N$1863-$N$1861)^2)</f>
        <v>1097.2205090870959</v>
      </c>
    </row>
    <row r="1864" spans="1:28">
      <c r="A1864" t="s">
        <v>797</v>
      </c>
      <c r="B1864">
        <v>5</v>
      </c>
      <c r="C1864" t="s">
        <v>805</v>
      </c>
      <c r="D1864" t="s">
        <v>806</v>
      </c>
      <c r="F1864" t="s">
        <v>457</v>
      </c>
      <c r="G1864" t="s">
        <v>2788</v>
      </c>
      <c r="I1864">
        <f>_xlfn.XLOOKUP($F1864,設計座標!$E$13:$E$2301,設計座標!$G$13:$G$2301,"n/a",0,1)</f>
        <v>582.03540999999984</v>
      </c>
      <c r="J1864">
        <f>_xlfn.XLOOKUP($F1864,設計座標!$E$13:$E$2301,設計座標!$H$13:$H$2301,"n/a",0,1)</f>
        <v>-15000</v>
      </c>
      <c r="K1864">
        <f>_xlfn.XLOOKUP($F1864,設計座標!$E$13:$E$2301,設計座標!$I$13:$I$2301,"n/a",0,1)</f>
        <v>-317671.23206978</v>
      </c>
      <c r="L1864">
        <f>_xlfn.XLOOKUP($F1864,設計座標!$E$13:$E$2301,設計座標!$J$13:$J$2301,"n/a",0,1)</f>
        <v>-50</v>
      </c>
      <c r="M1864" s="2">
        <f>_xlfn.XLOOKUP($F1864,survey_data!$A$2:$A$833,survey_data!$B$2:$B$833,"n/a",0,1)</f>
        <v>-14957.525363090001</v>
      </c>
      <c r="N1864" s="2">
        <f>_xlfn.XLOOKUP($F1864,survey_data!$A$2:$A$833,survey_data!$C$2:$C$833,"n/a",0,1)</f>
        <v>-317671.23206978</v>
      </c>
      <c r="O1864" s="23">
        <f>_xlfn.XLOOKUP($F1864,survey_data!$A$2:$A$833,survey_data!$D$2:$D$833,"n/a",0,1)</f>
        <v>-51.587744909999998</v>
      </c>
      <c r="P1864" s="1">
        <f t="shared" si="1416"/>
        <v>-49.793184459909249</v>
      </c>
      <c r="Q1864" s="1">
        <f t="shared" ref="Q1864:Q1905" si="1447">$M1864-$J1864</f>
        <v>42.47463690999939</v>
      </c>
      <c r="R1864">
        <f t="shared" si="1434"/>
        <v>0</v>
      </c>
      <c r="S1864" s="23">
        <f t="shared" ref="S1864:S1905" si="1448">$O1864-$L1864</f>
        <v>-1.5877449099999978</v>
      </c>
      <c r="T1864">
        <f>$S1864+測地線補正!$Q$26*(lattice!$N1864/1000)^3+測地線補正!$P$26*(lattice!$N1864/1000)^2+測地線補正!$O$26*(lattice!$N1864/1000)+測地線補正!$N$26</f>
        <v>0.20681554009074943</v>
      </c>
      <c r="U1864">
        <f>-ATAN(($P$1866-$P$1864)/ABS($N$1866-$N$1864))</f>
        <v>1.1528553776162781E-5</v>
      </c>
      <c r="V1864">
        <v>0</v>
      </c>
      <c r="W1864">
        <f>ATAN(($M$1866-$M$1864)/ABS($N$1866-$N$1864))</f>
        <v>-9.4512728654241537E-5</v>
      </c>
      <c r="X1864">
        <f>$Z$1865-($Y$1865+$Y$1863)/2</f>
        <v>210.33857518695118</v>
      </c>
      <c r="Y1864">
        <f>_xlfn.XLOOKUP($F1864,設計座標!$E$13:$E$2301,設計座標!$L$13:$L$2301," ",0,1)</f>
        <v>200</v>
      </c>
      <c r="Z1864">
        <f>SQRT(($M$1865-$M$1863)^2+($N$1865-$N$1863)^2)</f>
        <v>310.33857518695118</v>
      </c>
      <c r="AA1864">
        <f>_xlfn.XLOOKUP($G1864,magnet_list!$A$2:$A$592,magnet_list!$AJ$2:$AJ$592,"n/a",0,1)</f>
        <v>0.21244935000000001</v>
      </c>
      <c r="AB1864">
        <f>_xlfn.XLOOKUP($G1864,magnet_list!$A$2:$A$592,magnet_list!$L$2:$L$592,"n/a",0,1)</f>
        <v>20</v>
      </c>
    </row>
    <row r="1865" spans="1:28">
      <c r="A1865" t="s">
        <v>797</v>
      </c>
      <c r="B1865">
        <v>5</v>
      </c>
      <c r="C1865" t="s">
        <v>805</v>
      </c>
      <c r="D1865" t="s">
        <v>1152</v>
      </c>
      <c r="E1865" t="s">
        <v>804</v>
      </c>
      <c r="F1865" t="s">
        <v>786</v>
      </c>
      <c r="G1865" t="s">
        <v>2788</v>
      </c>
      <c r="I1865">
        <f>_xlfn.XLOOKUP($F1865,設計座標!$E$13:$E$2301,設計座標!$G$13:$G$2301,"n/a",0,1)</f>
        <v>582.11041699999976</v>
      </c>
      <c r="J1865">
        <f>_xlfn.XLOOKUP($F1865,設計座標!$E$13:$E$2301,設計座標!$H$13:$H$2301,"n/a",0,1)</f>
        <v>-15000</v>
      </c>
      <c r="K1865">
        <f>_xlfn.XLOOKUP($F1865,設計座標!$E$13:$E$2301,設計座標!$I$13:$I$2301,"n/a",0,1)</f>
        <v>-317746.23906978004</v>
      </c>
      <c r="L1865">
        <f>_xlfn.XLOOKUP($F1865,設計座標!$E$13:$E$2301,設計座標!$J$13:$J$2301,"n/a",0,1)</f>
        <v>-50</v>
      </c>
      <c r="M1865" s="2">
        <f t="shared" si="1423"/>
        <v>-14957.53245220626</v>
      </c>
      <c r="N1865" s="2">
        <f t="shared" si="1424"/>
        <v>-317746.23906978004</v>
      </c>
      <c r="O1865" s="23">
        <f t="shared" si="1425"/>
        <v>-51.587641857858721</v>
      </c>
      <c r="P1865" s="1">
        <f t="shared" si="1416"/>
        <v>-49.79404901701497</v>
      </c>
      <c r="Q1865" s="1">
        <f>(Q$1866-Q$1864)/($N$1866-$N$1864)*($N1865-$N$1864)+Q$1864</f>
        <v>42.46754779374011</v>
      </c>
      <c r="R1865">
        <f t="shared" si="1434"/>
        <v>0</v>
      </c>
      <c r="S1865" s="23">
        <f>(S$1866-S$1864)/($N$1866-$N$1864)*($N1865-$N$1864)+S$1864</f>
        <v>-1.5876418578587186</v>
      </c>
      <c r="T1865">
        <f>$S1865+測地線補正!$Q$26*(lattice!$N1865/1000)^3+測地線補正!$P$26*(lattice!$N1865/1000)^2+測地線補正!$O$26*(lattice!$N1865/1000)+測地線補正!$N$26</f>
        <v>0.2059509829850279</v>
      </c>
      <c r="U1865">
        <f t="shared" ref="U1865:U1866" si="1449">-ATAN(($P$1866-$P$1864)/ABS($N$1866-$N$1864))</f>
        <v>1.1528553776162781E-5</v>
      </c>
      <c r="V1865">
        <v>0</v>
      </c>
      <c r="W1865">
        <f t="shared" ref="W1865:W1866" si="1450">ATAN(($M$1866-$M$1864)/ABS($N$1866-$N$1864))</f>
        <v>-9.4512728654241537E-5</v>
      </c>
      <c r="X1865">
        <f>$Z$1865-($Y$1865+$Y$1863)/2</f>
        <v>210.33857518695118</v>
      </c>
      <c r="Y1865">
        <f>_xlfn.XLOOKUP($F1865,設計座標!$E$13:$E$2301,設計座標!$L$13:$L$2301," ",0,1)</f>
        <v>200</v>
      </c>
      <c r="Z1865">
        <f>SQRT(($M$1865-$M$1863)^2+($N$1865-$N$1863)^2)</f>
        <v>310.33857518695118</v>
      </c>
      <c r="AA1865">
        <f>_xlfn.XLOOKUP($G1865,magnet_list!$A$2:$A$592,magnet_list!$AJ$2:$AJ$592,"n/a",0,1)</f>
        <v>0.21244935000000001</v>
      </c>
      <c r="AB1865">
        <f>_xlfn.XLOOKUP($G1865,magnet_list!$A$2:$A$592,magnet_list!$L$2:$L$592,"n/a",0,1)</f>
        <v>20</v>
      </c>
    </row>
    <row r="1866" spans="1:28">
      <c r="A1866" t="s">
        <v>797</v>
      </c>
      <c r="B1866">
        <v>5</v>
      </c>
      <c r="C1866" t="s">
        <v>805</v>
      </c>
      <c r="D1866" t="s">
        <v>806</v>
      </c>
      <c r="F1866" t="s">
        <v>458</v>
      </c>
      <c r="G1866" t="s">
        <v>2788</v>
      </c>
      <c r="I1866">
        <f>_xlfn.XLOOKUP($F1866,設計座標!$E$13:$E$2301,設計座標!$G$13:$G$2301,"n/a",0,1)</f>
        <v>582.18542399999978</v>
      </c>
      <c r="J1866">
        <f>_xlfn.XLOOKUP($F1866,設計座標!$E$13:$E$2301,設計座標!$H$13:$H$2301,"n/a",0,1)</f>
        <v>-15000</v>
      </c>
      <c r="K1866">
        <f>_xlfn.XLOOKUP($F1866,設計座標!$E$13:$E$2301,設計座標!$I$13:$I$2301,"n/a",0,1)</f>
        <v>-317821.23567415</v>
      </c>
      <c r="L1866">
        <f>_xlfn.XLOOKUP($F1866,設計座標!$E$13:$E$2301,設計座標!$J$13:$J$2301,"n/a",0,1)</f>
        <v>-50</v>
      </c>
      <c r="M1866" s="2">
        <f>_xlfn.XLOOKUP($F1866,survey_data!$A$2:$A$833,survey_data!$B$2:$B$833,"n/a",0,1)</f>
        <v>-14957.53954034</v>
      </c>
      <c r="N1866" s="2">
        <f>_xlfn.XLOOKUP($F1866,survey_data!$A$2:$A$833,survey_data!$C$2:$C$833,"n/a",0,1)</f>
        <v>-317821.23567415</v>
      </c>
      <c r="O1866" s="23">
        <f>_xlfn.XLOOKUP($F1866,survey_data!$A$2:$A$833,survey_data!$D$2:$D$833,"n/a",0,1)</f>
        <v>-51.587538819999999</v>
      </c>
      <c r="P1866" s="1">
        <f t="shared" si="1416"/>
        <v>-49.794913784528923</v>
      </c>
      <c r="Q1866" s="1">
        <f t="shared" si="1447"/>
        <v>42.460459660000197</v>
      </c>
      <c r="R1866">
        <f t="shared" si="1434"/>
        <v>0</v>
      </c>
      <c r="S1866" s="23">
        <f t="shared" si="1448"/>
        <v>-1.5875388199999989</v>
      </c>
      <c r="T1866">
        <f>$S1866+測地線補正!$Q$26*(lattice!$N1866/1000)^3+測地線補正!$P$26*(lattice!$N1866/1000)^2+測地線補正!$O$26*(lattice!$N1866/1000)+測地線補正!$N$26</f>
        <v>0.20508621547107508</v>
      </c>
      <c r="U1866">
        <f t="shared" si="1449"/>
        <v>1.1528553776162781E-5</v>
      </c>
      <c r="V1866">
        <v>0</v>
      </c>
      <c r="W1866">
        <f t="shared" si="1450"/>
        <v>-9.4512728654241537E-5</v>
      </c>
      <c r="X1866">
        <f>$Z$1865-($Y$1865+$Y$1863)/2</f>
        <v>210.33857518695118</v>
      </c>
      <c r="Y1866">
        <f>_xlfn.XLOOKUP($F1866,設計座標!$E$13:$E$2301,設計座標!$L$13:$L$2301," ",0,1)</f>
        <v>200</v>
      </c>
      <c r="Z1866">
        <f>SQRT(($M$1865-$M$1863)^2+($N$1865-$N$1863)^2)</f>
        <v>310.33857518695118</v>
      </c>
      <c r="AA1866">
        <f>_xlfn.XLOOKUP($G1866,magnet_list!$A$2:$A$592,magnet_list!$AJ$2:$AJ$592,"n/a",0,1)</f>
        <v>0.21244935000000001</v>
      </c>
      <c r="AB1866">
        <f>_xlfn.XLOOKUP($G1866,magnet_list!$A$2:$A$592,magnet_list!$L$2:$L$592,"n/a",0,1)</f>
        <v>20</v>
      </c>
    </row>
    <row r="1867" spans="1:28">
      <c r="A1867" t="s">
        <v>797</v>
      </c>
      <c r="B1867">
        <v>5</v>
      </c>
      <c r="C1867" t="s">
        <v>805</v>
      </c>
      <c r="D1867" t="s">
        <v>806</v>
      </c>
      <c r="F1867" t="s">
        <v>459</v>
      </c>
      <c r="G1867" t="s">
        <v>459</v>
      </c>
      <c r="I1867">
        <f>_xlfn.XLOOKUP($F1867,設計座標!$E$13:$E$2301,設計座標!$G$13:$G$2301,"n/a",0,1)</f>
        <v>582.44038299999977</v>
      </c>
      <c r="J1867">
        <f>_xlfn.XLOOKUP($F1867,設計座標!$E$13:$E$2301,設計座標!$H$13:$H$2301,"n/a",0,1)</f>
        <v>-15000</v>
      </c>
      <c r="K1867">
        <f>_xlfn.XLOOKUP($F1867,設計座標!$E$13:$E$2301,設計座標!$I$13:$I$2301,"n/a",0,1)</f>
        <v>-318076.17413236998</v>
      </c>
      <c r="L1867">
        <f>_xlfn.XLOOKUP($F1867,設計座標!$E$13:$E$2301,設計座標!$J$13:$J$2301,"n/a",0,1)</f>
        <v>-90</v>
      </c>
      <c r="M1867" s="2">
        <f>_xlfn.XLOOKUP($F1867,survey_data!$A$2:$A$833,survey_data!$B$2:$B$833,"n/a",0,1)</f>
        <v>-14957.369817950001</v>
      </c>
      <c r="N1867" s="2">
        <f>_xlfn.XLOOKUP($F1867,survey_data!$A$2:$A$833,survey_data!$C$2:$C$833,"n/a",0,1)</f>
        <v>-318076.17413236998</v>
      </c>
      <c r="O1867" s="23">
        <f>_xlfn.XLOOKUP($F1867,survey_data!$A$2:$A$833,survey_data!$D$2:$D$833,"n/a",0,1)</f>
        <v>-91.537748620000002</v>
      </c>
      <c r="P1867" s="1">
        <f t="shared" si="1416"/>
        <v>-89.748415942090347</v>
      </c>
      <c r="Q1867" s="1">
        <f t="shared" si="1447"/>
        <v>42.630182049999348</v>
      </c>
      <c r="R1867">
        <f t="shared" si="1434"/>
        <v>0</v>
      </c>
      <c r="S1867" s="23">
        <f t="shared" si="1448"/>
        <v>-1.5377486200000021</v>
      </c>
      <c r="T1867">
        <f>$S1867+測地線補正!$Q$26*(lattice!$N1867/1000)^3+測地線補正!$P$26*(lattice!$N1867/1000)^2+測地線補正!$O$26*(lattice!$N1867/1000)+測地線補正!$N$26</f>
        <v>0.2515840579096531</v>
      </c>
      <c r="U1867">
        <v>0</v>
      </c>
      <c r="V1867">
        <v>0</v>
      </c>
      <c r="W1867">
        <v>0</v>
      </c>
      <c r="X1867">
        <f>$Z$1868-($Y$1868+$Y$1865)/2</f>
        <v>189.93510267343197</v>
      </c>
      <c r="Y1867">
        <f>_xlfn.XLOOKUP($F1867,設計座標!$E$13:$E$2301,設計座標!$L$13:$L$2301," ",0,1)</f>
        <v>80</v>
      </c>
      <c r="Z1867">
        <f>SQRT(($M$1868-$M$1865)^2+($N$1868-$N$1865)^2)</f>
        <v>329.93510267343197</v>
      </c>
      <c r="AA1867">
        <f>_xlfn.XLOOKUP($G1867,magnet_list!$A$2:$A$592,magnet_list!$AJ$2:$AJ$592,"n/a",0,1)</f>
        <v>0.1074008800631841</v>
      </c>
      <c r="AB1867">
        <f>_xlfn.XLOOKUP($G1867,magnet_list!$A$2:$A$592,magnet_list!$L$2:$L$592,"n/a",0,1)</f>
        <v>20</v>
      </c>
    </row>
    <row r="1868" spans="1:28">
      <c r="A1868" t="s">
        <v>797</v>
      </c>
      <c r="B1868">
        <v>5</v>
      </c>
      <c r="C1868" t="s">
        <v>805</v>
      </c>
      <c r="D1868" t="s">
        <v>1152</v>
      </c>
      <c r="E1868" t="s">
        <v>804</v>
      </c>
      <c r="F1868" t="s">
        <v>1905</v>
      </c>
      <c r="G1868" t="s">
        <v>459</v>
      </c>
      <c r="I1868">
        <f>_xlfn.XLOOKUP($F1868,設計座標!$E$13:$E$2301,設計座標!$G$13:$G$2301,"n/a",0,1)</f>
        <v>582.44038299999977</v>
      </c>
      <c r="J1868">
        <f>_xlfn.XLOOKUP($F1868,設計座標!$E$13:$E$2301,設計座標!$H$13:$H$2301,"n/a",0,1)</f>
        <v>-15000</v>
      </c>
      <c r="K1868">
        <f>_xlfn.XLOOKUP($F1868,設計座標!$E$13:$E$2301,設計座標!$I$13:$I$2301,"n/a",0,1)</f>
        <v>-318076.17413236998</v>
      </c>
      <c r="L1868">
        <f>_xlfn.XLOOKUP($F1868,設計座標!$E$13:$E$2301,設計座標!$J$13:$J$2301,"n/a",0,1)</f>
        <v>-90</v>
      </c>
      <c r="M1868" s="2">
        <f t="shared" ref="M1868:M1904" si="1451">$J1868+$Q1868</f>
        <v>-14957.369817950001</v>
      </c>
      <c r="N1868" s="2">
        <f t="shared" ref="N1868:N1904" si="1452">$K1868</f>
        <v>-318076.17413236998</v>
      </c>
      <c r="O1868" s="23">
        <f t="shared" ref="O1868:O1904" si="1453">$L1868+$S1868</f>
        <v>-91.537748620000002</v>
      </c>
      <c r="P1868" s="1">
        <f t="shared" si="1416"/>
        <v>-89.748415942090347</v>
      </c>
      <c r="Q1868" s="1">
        <f>(Q$1869-Q$1867)/($N$1869-$N$1867)*($N1868-$N$1867)+Q$1867</f>
        <v>42.630182049999348</v>
      </c>
      <c r="R1868">
        <f t="shared" si="1434"/>
        <v>0</v>
      </c>
      <c r="S1868" s="23">
        <f>(S$1869-S$1867)/($N$1869-$N$1867)*($N1868-$N$1867)+S$1867</f>
        <v>-1.5377486200000021</v>
      </c>
      <c r="T1868">
        <f>$S1868+測地線補正!$Q$26*(lattice!$N1868/1000)^3+測地線補正!$P$26*(lattice!$N1868/1000)^2+測地線補正!$O$26*(lattice!$N1868/1000)+測地線補正!$N$26</f>
        <v>0.2515840579096531</v>
      </c>
      <c r="U1868">
        <v>0</v>
      </c>
      <c r="V1868">
        <v>0</v>
      </c>
      <c r="W1868">
        <v>0</v>
      </c>
      <c r="X1868">
        <f>$Z$1868-($Y$1868+$Y$1865)/2</f>
        <v>189.93510267343197</v>
      </c>
      <c r="Y1868">
        <f>_xlfn.XLOOKUP($F1868,設計座標!$E$13:$E$2301,設計座標!$L$13:$L$2301," ",0,1)</f>
        <v>80</v>
      </c>
      <c r="Z1868">
        <f>SQRT(($M$1868-$M$1865)^2+($N$1868-$N$1865)^2)</f>
        <v>329.93510267343197</v>
      </c>
      <c r="AA1868">
        <f>_xlfn.XLOOKUP($G1868,magnet_list!$A$2:$A$592,magnet_list!$AJ$2:$AJ$592,"n/a",0,1)</f>
        <v>0.1074008800631841</v>
      </c>
      <c r="AB1868">
        <f>_xlfn.XLOOKUP($G1868,magnet_list!$A$2:$A$592,magnet_list!$L$2:$L$592,"n/a",0,1)</f>
        <v>20</v>
      </c>
    </row>
    <row r="1869" spans="1:28">
      <c r="A1869" t="s">
        <v>797</v>
      </c>
      <c r="B1869">
        <v>5</v>
      </c>
      <c r="C1869" t="s">
        <v>805</v>
      </c>
      <c r="D1869" t="s">
        <v>806</v>
      </c>
      <c r="F1869" t="s">
        <v>460</v>
      </c>
      <c r="G1869" t="s">
        <v>460</v>
      </c>
      <c r="I1869">
        <f>_xlfn.XLOOKUP($F1869,設計座標!$E$13:$E$2301,設計座標!$G$13:$G$2301,"n/a",0,1)</f>
        <v>582.64046799999971</v>
      </c>
      <c r="J1869">
        <f>_xlfn.XLOOKUP($F1869,設計座標!$E$13:$E$2301,設計座標!$H$13:$H$2301,"n/a",0,1)</f>
        <v>-15000</v>
      </c>
      <c r="K1869">
        <f>_xlfn.XLOOKUP($F1869,設計座標!$E$13:$E$2301,設計座標!$I$13:$I$2301,"n/a",0,1)</f>
        <v>-318276.28047698003</v>
      </c>
      <c r="L1869">
        <f>_xlfn.XLOOKUP($F1869,設計座標!$E$13:$E$2301,設計座標!$J$13:$J$2301,"n/a",0,1)</f>
        <v>-90</v>
      </c>
      <c r="M1869" s="2">
        <f>_xlfn.XLOOKUP($F1869,survey_data!$A$2:$A$833,survey_data!$B$2:$B$833,"n/a",0,1)</f>
        <v>-14957.2980747</v>
      </c>
      <c r="N1869" s="2">
        <f>_xlfn.XLOOKUP($F1869,survey_data!$A$2:$A$833,survey_data!$C$2:$C$833,"n/a",0,1)</f>
        <v>-318276.28047698003</v>
      </c>
      <c r="O1869" s="23">
        <f>_xlfn.XLOOKUP($F1869,survey_data!$A$2:$A$833,survey_data!$D$2:$D$833,"n/a",0,1)</f>
        <v>-91.597922499999996</v>
      </c>
      <c r="P1869" s="1">
        <f t="shared" si="1416"/>
        <v>-89.811176721431181</v>
      </c>
      <c r="Q1869" s="1">
        <f t="shared" si="1447"/>
        <v>42.701925299999857</v>
      </c>
      <c r="R1869">
        <f t="shared" si="1434"/>
        <v>0</v>
      </c>
      <c r="S1869" s="23">
        <f t="shared" si="1448"/>
        <v>-1.5979224999999957</v>
      </c>
      <c r="T1869">
        <f>$S1869+測地線補正!$Q$26*(lattice!$N1869/1000)^3+測地線補正!$P$26*(lattice!$N1869/1000)^2+測地線補正!$O$26*(lattice!$N1869/1000)+測地線補正!$N$26</f>
        <v>0.18882327856882397</v>
      </c>
      <c r="U1869">
        <v>0</v>
      </c>
      <c r="V1869">
        <v>0</v>
      </c>
      <c r="W1869">
        <v>0</v>
      </c>
      <c r="X1869">
        <f>$Z$1870-($Y$1870+$Y$1868)/2</f>
        <v>120.10635747094116</v>
      </c>
      <c r="Y1869">
        <f>_xlfn.XLOOKUP($F1869,設計座標!$E$13:$E$2301,設計座標!$L$13:$L$2301," ",0,1)</f>
        <v>80</v>
      </c>
      <c r="Z1869">
        <f>SQRT(($M$1870-$M$1868)^2+($N$1870-$N$1868)^2)</f>
        <v>200.10635747094116</v>
      </c>
      <c r="AA1869">
        <f>_xlfn.XLOOKUP($G1869,magnet_list!$A$2:$A$592,magnet_list!$AJ$2:$AJ$592,"n/a",0,1)</f>
        <v>0.1074008800631841</v>
      </c>
      <c r="AB1869">
        <f>_xlfn.XLOOKUP($G1869,magnet_list!$A$2:$A$592,magnet_list!$L$2:$L$592,"n/a",0,1)</f>
        <v>20</v>
      </c>
    </row>
    <row r="1870" spans="1:28">
      <c r="A1870" t="s">
        <v>797</v>
      </c>
      <c r="B1870">
        <v>5</v>
      </c>
      <c r="C1870" t="s">
        <v>805</v>
      </c>
      <c r="D1870" t="s">
        <v>1152</v>
      </c>
      <c r="E1870" t="s">
        <v>804</v>
      </c>
      <c r="F1870" t="s">
        <v>1906</v>
      </c>
      <c r="G1870" t="s">
        <v>460</v>
      </c>
      <c r="I1870">
        <f>_xlfn.XLOOKUP($F1870,設計座標!$E$13:$E$2301,設計座標!$G$13:$G$2301,"n/a",0,1)</f>
        <v>582.64046799999971</v>
      </c>
      <c r="J1870">
        <f>_xlfn.XLOOKUP($F1870,設計座標!$E$13:$E$2301,設計座標!$H$13:$H$2301,"n/a",0,1)</f>
        <v>-15000</v>
      </c>
      <c r="K1870">
        <f>_xlfn.XLOOKUP($F1870,設計座標!$E$13:$E$2301,設計座標!$I$13:$I$2301,"n/a",0,1)</f>
        <v>-318276.28047698003</v>
      </c>
      <c r="L1870">
        <f>_xlfn.XLOOKUP($F1870,設計座標!$E$13:$E$2301,設計座標!$J$13:$J$2301,"n/a",0,1)</f>
        <v>-90</v>
      </c>
      <c r="M1870" s="2">
        <f t="shared" si="1451"/>
        <v>-14957.2980747</v>
      </c>
      <c r="N1870" s="2">
        <f t="shared" si="1452"/>
        <v>-318276.28047698003</v>
      </c>
      <c r="O1870" s="23">
        <f t="shared" si="1453"/>
        <v>-91.597922499999996</v>
      </c>
      <c r="P1870" s="1">
        <f t="shared" si="1416"/>
        <v>-89.811176721431181</v>
      </c>
      <c r="Q1870" s="1">
        <f>(Q$1871-Q$1869)/($N$1871-$N$1869)*($N1870-$N$1869)+Q$1869</f>
        <v>42.701925299999857</v>
      </c>
      <c r="R1870">
        <f t="shared" si="1434"/>
        <v>0</v>
      </c>
      <c r="S1870" s="23">
        <f>(S$1871-S$1869)/($N$1871-$N$1869)*($N1870-$N$1869)+S$1869</f>
        <v>-1.5979224999999957</v>
      </c>
      <c r="T1870">
        <f>$S1870+測地線補正!$Q$26*(lattice!$N1870/1000)^3+測地線補正!$P$26*(lattice!$N1870/1000)^2+測地線補正!$O$26*(lattice!$N1870/1000)+測地線補正!$N$26</f>
        <v>0.18882327856882397</v>
      </c>
      <c r="U1870">
        <v>0</v>
      </c>
      <c r="V1870">
        <v>0</v>
      </c>
      <c r="W1870">
        <v>0</v>
      </c>
      <c r="X1870">
        <f>$Z$1870-($Y$1870+$Y$1868)/2</f>
        <v>120.10635747094116</v>
      </c>
      <c r="Y1870">
        <f>_xlfn.XLOOKUP($F1870,設計座標!$E$13:$E$2301,設計座標!$L$13:$L$2301," ",0,1)</f>
        <v>80</v>
      </c>
      <c r="Z1870">
        <f>SQRT(($M$1870-$M$1868)^2+($N$1870-$N$1868)^2)</f>
        <v>200.10635747094116</v>
      </c>
      <c r="AA1870">
        <f>_xlfn.XLOOKUP($G1870,magnet_list!$A$2:$A$592,magnet_list!$AJ$2:$AJ$592,"n/a",0,1)</f>
        <v>0.1074008800631841</v>
      </c>
      <c r="AB1870">
        <f>_xlfn.XLOOKUP($G1870,magnet_list!$A$2:$A$592,magnet_list!$L$2:$L$592,"n/a",0,1)</f>
        <v>20</v>
      </c>
    </row>
    <row r="1871" spans="1:28">
      <c r="A1871" t="s">
        <v>797</v>
      </c>
      <c r="B1871">
        <v>5</v>
      </c>
      <c r="C1871" t="s">
        <v>805</v>
      </c>
      <c r="D1871" t="s">
        <v>806</v>
      </c>
      <c r="F1871" t="s">
        <v>461</v>
      </c>
      <c r="G1871" t="s">
        <v>2789</v>
      </c>
      <c r="I1871">
        <f>_xlfn.XLOOKUP($F1871,設計座標!$E$13:$E$2301,設計座標!$G$13:$G$2301,"n/a",0,1)</f>
        <v>582.89539899999977</v>
      </c>
      <c r="J1871">
        <f>_xlfn.XLOOKUP($F1871,設計座標!$E$13:$E$2301,設計座標!$H$13:$H$2301,"n/a",0,1)</f>
        <v>-15000</v>
      </c>
      <c r="K1871">
        <f>_xlfn.XLOOKUP($F1871,設計座標!$E$13:$E$2301,設計座標!$I$13:$I$2301,"n/a",0,1)</f>
        <v>-318531.23372328002</v>
      </c>
      <c r="L1871">
        <f>_xlfn.XLOOKUP($F1871,設計座標!$E$13:$E$2301,設計座標!$J$13:$J$2301,"n/a",0,1)</f>
        <v>-50</v>
      </c>
      <c r="M1871" s="2">
        <f>_xlfn.XLOOKUP($F1871,survey_data!$A$2:$A$833,survey_data!$B$2:$B$833,"n/a",0,1)</f>
        <v>-14957.261007859999</v>
      </c>
      <c r="N1871" s="2">
        <f>_xlfn.XLOOKUP($F1871,survey_data!$A$2:$A$833,survey_data!$C$2:$C$833,"n/a",0,1)</f>
        <v>-318531.23372328002</v>
      </c>
      <c r="O1871" s="23">
        <f>_xlfn.XLOOKUP($F1871,survey_data!$A$2:$A$833,survey_data!$D$2:$D$833,"n/a",0,1)</f>
        <v>-51.504682760000001</v>
      </c>
      <c r="P1871" s="1">
        <f t="shared" si="1416"/>
        <v>-49.721236300619601</v>
      </c>
      <c r="Q1871" s="1">
        <f t="shared" si="1447"/>
        <v>42.738992140000846</v>
      </c>
      <c r="R1871">
        <f t="shared" si="1434"/>
        <v>0</v>
      </c>
      <c r="S1871" s="23">
        <f t="shared" si="1448"/>
        <v>-1.5046827600000015</v>
      </c>
      <c r="T1871">
        <f>$S1871+測地線補正!$Q$26*(lattice!$N1871/1000)^3+測地線補正!$P$26*(lattice!$N1871/1000)^2+測地線補正!$O$26*(lattice!$N1871/1000)+測地線補正!$N$26</f>
        <v>0.27876369938040013</v>
      </c>
      <c r="U1871">
        <f>-ATAN(($P$1873-$P$1871)/ABS($N$1873-$N$1871))</f>
        <v>-2.3697388966439811E-4</v>
      </c>
      <c r="V1871">
        <v>0</v>
      </c>
      <c r="W1871">
        <f>ATAN(($M$1873-$M$1871)/ABS($N$1873-$N$1871))</f>
        <v>3.4437023649870017E-4</v>
      </c>
      <c r="X1871">
        <f>$Z$1872-($Y$1872+$Y$1870)/2</f>
        <v>189.95975229470088</v>
      </c>
      <c r="Y1871">
        <f>_xlfn.XLOOKUP($F1871,設計座標!$E$13:$E$2301,設計座標!$L$13:$L$2301," ",0,1)</f>
        <v>200</v>
      </c>
      <c r="Z1871">
        <f>SQRT(($M$1872-$M$1870)^2+($N$1872-$N$1870)^2)</f>
        <v>329.95975229470088</v>
      </c>
      <c r="AA1871">
        <f>_xlfn.XLOOKUP($G1871,magnet_list!$A$2:$A$592,magnet_list!$AJ$2:$AJ$592,"n/a",0,1)</f>
        <v>0.21244935000000001</v>
      </c>
      <c r="AB1871">
        <f>_xlfn.XLOOKUP($G1871,magnet_list!$A$2:$A$592,magnet_list!$L$2:$L$592,"n/a",0,1)</f>
        <v>20</v>
      </c>
    </row>
    <row r="1872" spans="1:28">
      <c r="A1872" t="s">
        <v>797</v>
      </c>
      <c r="B1872">
        <v>5</v>
      </c>
      <c r="C1872" t="s">
        <v>805</v>
      </c>
      <c r="D1872" t="s">
        <v>1152</v>
      </c>
      <c r="E1872" t="s">
        <v>804</v>
      </c>
      <c r="F1872" t="s">
        <v>787</v>
      </c>
      <c r="G1872" t="s">
        <v>2789</v>
      </c>
      <c r="I1872">
        <f>_xlfn.XLOOKUP($F1872,設計座標!$E$13:$E$2301,設計座標!$G$13:$G$2301,"n/a",0,1)</f>
        <v>582.97040549999974</v>
      </c>
      <c r="J1872">
        <f>_xlfn.XLOOKUP($F1872,設計座標!$E$13:$E$2301,設計座標!$H$13:$H$2301,"n/a",0,1)</f>
        <v>-15000</v>
      </c>
      <c r="K1872">
        <f>_xlfn.XLOOKUP($F1872,設計座標!$E$13:$E$2301,設計座標!$I$13:$I$2301,"n/a",0,1)</f>
        <v>-318606.24022328004</v>
      </c>
      <c r="L1872">
        <f>_xlfn.XLOOKUP($F1872,設計座標!$E$13:$E$2301,設計座標!$J$13:$J$2301,"n/a",0,1)</f>
        <v>-50</v>
      </c>
      <c r="M1872" s="2">
        <f t="shared" si="1451"/>
        <v>-14957.235177852834</v>
      </c>
      <c r="N1872" s="2">
        <f t="shared" si="1452"/>
        <v>-318606.24022328004</v>
      </c>
      <c r="O1872" s="23">
        <f t="shared" si="1453"/>
        <v>-51.485936645165545</v>
      </c>
      <c r="P1872" s="1">
        <f t="shared" si="1416"/>
        <v>-49.703461555044896</v>
      </c>
      <c r="Q1872" s="1">
        <f>(Q$1873-Q$1871)/($N$1873-$N$1871)*($N1872-$N$1871)+Q$1871</f>
        <v>42.764822147165859</v>
      </c>
      <c r="R1872">
        <f t="shared" si="1434"/>
        <v>0</v>
      </c>
      <c r="S1872" s="23">
        <f>(S$1873-S$1871)/($N$1873-$N$1871)*($N1872-$N$1871)+S$1871</f>
        <v>-1.4859366451655416</v>
      </c>
      <c r="T1872">
        <f>$S1872+測地線補正!$Q$26*(lattice!$N1872/1000)^3+測地線補正!$P$26*(lattice!$N1872/1000)^2+測地線補正!$O$26*(lattice!$N1872/1000)+測地線補正!$N$26</f>
        <v>0.29653844495510184</v>
      </c>
      <c r="U1872">
        <f t="shared" ref="U1872:U1873" si="1454">-ATAN(($P$1873-$P$1871)/ABS($N$1873-$N$1871))</f>
        <v>-2.3697388966439811E-4</v>
      </c>
      <c r="V1872">
        <v>0</v>
      </c>
      <c r="W1872">
        <f t="shared" ref="W1872:W1873" si="1455">ATAN(($M$1873-$M$1871)/ABS($N$1873-$N$1871))</f>
        <v>3.4437023649870017E-4</v>
      </c>
      <c r="X1872">
        <f>$Z$1872-($Y$1872+$Y$1870)/2</f>
        <v>189.95975229470088</v>
      </c>
      <c r="Y1872">
        <f>_xlfn.XLOOKUP($F1872,設計座標!$E$13:$E$2301,設計座標!$L$13:$L$2301," ",0,1)</f>
        <v>200</v>
      </c>
      <c r="Z1872">
        <f>SQRT(($M$1872-$M$1870)^2+($N$1872-$N$1870)^2)</f>
        <v>329.95975229470088</v>
      </c>
      <c r="AA1872">
        <f>_xlfn.XLOOKUP($G1872,magnet_list!$A$2:$A$592,magnet_list!$AJ$2:$AJ$592,"n/a",0,1)</f>
        <v>0.21244935000000001</v>
      </c>
      <c r="AB1872">
        <f>_xlfn.XLOOKUP($G1872,magnet_list!$A$2:$A$592,magnet_list!$L$2:$L$592,"n/a",0,1)</f>
        <v>20</v>
      </c>
    </row>
    <row r="1873" spans="1:28">
      <c r="A1873" t="s">
        <v>797</v>
      </c>
      <c r="B1873">
        <v>5</v>
      </c>
      <c r="C1873" t="s">
        <v>805</v>
      </c>
      <c r="D1873" t="s">
        <v>806</v>
      </c>
      <c r="F1873" t="s">
        <v>462</v>
      </c>
      <c r="G1873" t="s">
        <v>2789</v>
      </c>
      <c r="I1873">
        <f>_xlfn.XLOOKUP($F1873,設計座標!$E$13:$E$2301,設計座標!$G$13:$G$2301,"n/a",0,1)</f>
        <v>583.04541199999983</v>
      </c>
      <c r="J1873">
        <f>_xlfn.XLOOKUP($F1873,設計座標!$E$13:$E$2301,設計座標!$H$13:$H$2301,"n/a",0,1)</f>
        <v>-15000</v>
      </c>
      <c r="K1873">
        <f>_xlfn.XLOOKUP($F1873,設計座標!$E$13:$E$2301,設計座標!$I$13:$I$2301,"n/a",0,1)</f>
        <v>-318681.25048570998</v>
      </c>
      <c r="L1873">
        <f>_xlfn.XLOOKUP($F1873,設計座標!$E$13:$E$2301,設計座標!$J$13:$J$2301,"n/a",0,1)</f>
        <v>-50</v>
      </c>
      <c r="M1873" s="2">
        <f>_xlfn.XLOOKUP($F1873,survey_data!$A$2:$A$833,survey_data!$B$2:$B$833,"n/a",0,1)</f>
        <v>-14957.20934655</v>
      </c>
      <c r="N1873" s="2">
        <f>_xlfn.XLOOKUP($F1873,survey_data!$A$2:$A$833,survey_data!$C$2:$C$833,"n/a",0,1)</f>
        <v>-318681.25048570998</v>
      </c>
      <c r="O1873" s="23">
        <f>_xlfn.XLOOKUP($F1873,survey_data!$A$2:$A$833,survey_data!$D$2:$D$833,"n/a",0,1)</f>
        <v>-51.467189589999997</v>
      </c>
      <c r="P1873" s="1">
        <f t="shared" si="1416"/>
        <v>-49.685686244246256</v>
      </c>
      <c r="Q1873" s="1">
        <f t="shared" si="1447"/>
        <v>42.790653449999809</v>
      </c>
      <c r="R1873">
        <f t="shared" si="1434"/>
        <v>0</v>
      </c>
      <c r="S1873" s="23">
        <f t="shared" si="1448"/>
        <v>-1.4671895899999967</v>
      </c>
      <c r="T1873">
        <f>$S1873+測地線補正!$Q$26*(lattice!$N1873/1000)^3+測地線補正!$P$26*(lattice!$N1873/1000)^2+測地線補正!$O$26*(lattice!$N1873/1000)+測地線補正!$N$26</f>
        <v>0.31431375575374765</v>
      </c>
      <c r="U1873">
        <f t="shared" si="1454"/>
        <v>-2.3697388966439811E-4</v>
      </c>
      <c r="V1873">
        <v>0</v>
      </c>
      <c r="W1873">
        <f t="shared" si="1455"/>
        <v>3.4437023649870017E-4</v>
      </c>
      <c r="X1873">
        <f>$Z$1872-($Y$1872+$Y$1870)/2</f>
        <v>189.95975229470088</v>
      </c>
      <c r="Y1873">
        <f>_xlfn.XLOOKUP($F1873,設計座標!$E$13:$E$2301,設計座標!$L$13:$L$2301," ",0,1)</f>
        <v>200</v>
      </c>
      <c r="Z1873">
        <f>SQRT(($M$1872-$M$1870)^2+($N$1872-$N$1870)^2)</f>
        <v>329.95975229470088</v>
      </c>
      <c r="AA1873">
        <f>_xlfn.XLOOKUP($G1873,magnet_list!$A$2:$A$592,magnet_list!$AJ$2:$AJ$592,"n/a",0,1)</f>
        <v>0.21244935000000001</v>
      </c>
      <c r="AB1873">
        <f>_xlfn.XLOOKUP($G1873,magnet_list!$A$2:$A$592,magnet_list!$L$2:$L$592,"n/a",0,1)</f>
        <v>20</v>
      </c>
    </row>
    <row r="1874" spans="1:28">
      <c r="A1874" t="s">
        <v>797</v>
      </c>
      <c r="B1874">
        <v>5</v>
      </c>
      <c r="C1874" t="s">
        <v>2288</v>
      </c>
      <c r="D1874" t="s">
        <v>1152</v>
      </c>
      <c r="E1874" t="s">
        <v>804</v>
      </c>
      <c r="F1874" t="s">
        <v>2304</v>
      </c>
      <c r="G1874" t="s">
        <v>2304</v>
      </c>
      <c r="I1874">
        <f>_xlfn.XLOOKUP($F1874,設計座標!$E$13:$E$2301,設計座標!$G$13:$G$2301,"n/a",0,1)</f>
        <v>583.27675406136973</v>
      </c>
      <c r="J1874">
        <f>_xlfn.XLOOKUP($F1874,設計座標!$E$13:$E$2301,設計座標!$H$13:$H$2301,"n/a",0,1)</f>
        <v>-15000</v>
      </c>
      <c r="K1874">
        <f>_xlfn.XLOOKUP($F1874,設計座標!$E$13:$E$2301,設計座標!$I$13:$I$2301,"n/a",0,1)</f>
        <v>-318800.41319546016</v>
      </c>
      <c r="L1874">
        <f>_xlfn.XLOOKUP($F1874,設計座標!$E$13:$E$2301,設計座標!$J$13:$J$2301,"n/a",0,1)</f>
        <v>-270</v>
      </c>
      <c r="M1874" s="2">
        <f t="shared" si="1451"/>
        <v>-14957.195160927346</v>
      </c>
      <c r="N1874" s="2">
        <f t="shared" si="1452"/>
        <v>-318800.41319546016</v>
      </c>
      <c r="O1874" s="23">
        <f t="shared" si="1453"/>
        <v>-271.4679821542486</v>
      </c>
      <c r="P1874" s="1">
        <f t="shared" si="1416"/>
        <v>-269.6880232100882</v>
      </c>
      <c r="Q1874" s="1">
        <f>(Q$1903-Q$1873)/($N$1903-$N$1873)*($N1874-$N$1873)+Q$1873</f>
        <v>42.804839072654126</v>
      </c>
      <c r="R1874">
        <f t="shared" si="1434"/>
        <v>0</v>
      </c>
      <c r="S1874" s="23">
        <f t="shared" ref="S1874:S1902" si="1456">(S$1903-S$1873)/($N$1903-$N$1873)*($N1874-$N$1873)+S$1873</f>
        <v>-1.4679821542486085</v>
      </c>
      <c r="T1874">
        <f>$S1874+測地線補正!$Q$26*(lattice!$N1874/1000)^3+測地線補正!$P$26*(lattice!$N1874/1000)^2+測地線補正!$O$26*(lattice!$N1874/1000)+測地線補正!$N$26</f>
        <v>0.31197678991176914</v>
      </c>
      <c r="U1874">
        <v>0</v>
      </c>
      <c r="V1874">
        <v>0</v>
      </c>
      <c r="W1874">
        <v>0</v>
      </c>
      <c r="X1874">
        <f>$Z$1874-($Y$1874+$Y$1872)/2</f>
        <v>94.172976303649165</v>
      </c>
      <c r="Y1874">
        <f>_xlfn.XLOOKUP($F1874,設計座標!$E$13:$E$2301,設計座標!$L$13:$L$2301," ",0,1)</f>
        <v>0</v>
      </c>
      <c r="Z1874">
        <f>SQRT(($M$1874-$M$1872)^2+($N$1874-$N$1872)^2)</f>
        <v>194.17297630364916</v>
      </c>
    </row>
    <row r="1875" spans="1:28">
      <c r="A1875" t="s">
        <v>797</v>
      </c>
      <c r="B1875">
        <v>5</v>
      </c>
      <c r="C1875" t="s">
        <v>804</v>
      </c>
      <c r="D1875" t="s">
        <v>1152</v>
      </c>
      <c r="E1875" t="s">
        <v>804</v>
      </c>
      <c r="F1875" t="s">
        <v>1790</v>
      </c>
      <c r="G1875" t="s">
        <v>2790</v>
      </c>
      <c r="I1875">
        <f>_xlfn.XLOOKUP($F1875,設計座標!$E$13:$E$2301,設計座標!$G$13:$G$2301,"n/a",0,1)</f>
        <v>583.45722326136979</v>
      </c>
      <c r="J1875">
        <f>_xlfn.XLOOKUP($F1875,設計座標!$E$13:$E$2301,設計座標!$H$13:$H$2301,"n/a",0,1)</f>
        <v>-15000</v>
      </c>
      <c r="K1875">
        <f>_xlfn.XLOOKUP($F1875,設計座標!$E$13:$E$2301,設計座標!$I$13:$I$2301,"n/a",0,1)</f>
        <v>-318980.88239546015</v>
      </c>
      <c r="L1875">
        <f>_xlfn.XLOOKUP($F1875,設計座標!$E$13:$E$2301,設計座標!$J$13:$J$2301,"n/a",0,1)</f>
        <v>-270</v>
      </c>
      <c r="M1875" s="2">
        <f t="shared" si="1451"/>
        <v>-14957.173677126102</v>
      </c>
      <c r="N1875" s="2">
        <f t="shared" si="1452"/>
        <v>-318980.88239546015</v>
      </c>
      <c r="O1875" s="23">
        <f t="shared" si="1453"/>
        <v>-271.46918247468608</v>
      </c>
      <c r="P1875" s="1">
        <f t="shared" si="1416"/>
        <v>-269.69156405511183</v>
      </c>
      <c r="Q1875" s="1">
        <f t="shared" ref="Q1875:Q1902" si="1457">(Q$1903-Q$1873)/($N$1903-$N$1873)*($N1875-$N$1873)+Q$1873</f>
        <v>42.826322873897773</v>
      </c>
      <c r="R1875">
        <f t="shared" si="1434"/>
        <v>0</v>
      </c>
      <c r="S1875" s="23">
        <f t="shared" si="1456"/>
        <v>-1.4691824746860624</v>
      </c>
      <c r="T1875">
        <f>$S1875+測地線補正!$Q$26*(lattice!$N1875/1000)^3+測地線補正!$P$26*(lattice!$N1875/1000)^2+測地線補正!$O$26*(lattice!$N1875/1000)+測地線補正!$N$26</f>
        <v>0.30843594488815795</v>
      </c>
      <c r="U1875">
        <f>-ATAN(($P$1877-$P$1875)/ABS($N$1877-$N$1875))</f>
        <v>1.9679459241174913E-5</v>
      </c>
      <c r="V1875">
        <v>0</v>
      </c>
      <c r="W1875">
        <f>ATAN(($M$1877-$M$1875)/ABS($N$1877-$N$1875))</f>
        <v>1.1904414239142268E-4</v>
      </c>
      <c r="X1875">
        <f>SQRT(($M$1875-$M$1874)^2+($N$1875-$N$1874)^2)</f>
        <v>180.46920127875262</v>
      </c>
      <c r="Y1875">
        <f>_xlfn.XLOOKUP($F1875,設計座標!$E$13:$E$2301,設計座標!$L$13:$L$2301," ",0,1)</f>
        <v>1889.4492</v>
      </c>
      <c r="Z1875">
        <f>SQRT(($M$1876-$M$1874)^2+($N$1876-$N$1874)^2)</f>
        <v>1125.1938079728548</v>
      </c>
    </row>
    <row r="1876" spans="1:28">
      <c r="A1876" t="s">
        <v>797</v>
      </c>
      <c r="B1876">
        <v>5</v>
      </c>
      <c r="C1876" t="s">
        <v>804</v>
      </c>
      <c r="D1876" t="s">
        <v>1152</v>
      </c>
      <c r="E1876" t="s">
        <v>804</v>
      </c>
      <c r="F1876" t="s">
        <v>1216</v>
      </c>
      <c r="G1876" t="s">
        <v>2790</v>
      </c>
      <c r="I1876">
        <f>_xlfn.XLOOKUP($F1876,設計座標!$E$13:$E$2301,設計座標!$G$13:$G$2301,"n/a",0,1)</f>
        <v>584.40194786136976</v>
      </c>
      <c r="J1876">
        <f>_xlfn.XLOOKUP($F1876,設計座標!$E$13:$E$2301,設計座標!$H$13:$H$2301,"n/a",0,1)</f>
        <v>-15000</v>
      </c>
      <c r="K1876">
        <f>_xlfn.XLOOKUP($F1876,設計座標!$E$13:$E$2301,設計座標!$I$13:$I$2301,"n/a",0,1)</f>
        <v>-319925.60699546017</v>
      </c>
      <c r="L1876">
        <f>_xlfn.XLOOKUP($F1876,設計座標!$E$13:$E$2301,設計座標!$J$13:$J$2301,"n/a",0,1)</f>
        <v>-270</v>
      </c>
      <c r="M1876" s="2">
        <f t="shared" si="1451"/>
        <v>-14957.061213195768</v>
      </c>
      <c r="N1876" s="2">
        <f t="shared" si="1452"/>
        <v>-319925.60699546017</v>
      </c>
      <c r="O1876" s="23">
        <f t="shared" si="1453"/>
        <v>-271.47546594158871</v>
      </c>
      <c r="P1876" s="1">
        <f t="shared" si="1416"/>
        <v>-269.71013031701727</v>
      </c>
      <c r="Q1876" s="1">
        <f t="shared" si="1457"/>
        <v>42.938786804232592</v>
      </c>
      <c r="R1876">
        <f t="shared" si="1434"/>
        <v>0</v>
      </c>
      <c r="S1876" s="23">
        <f t="shared" si="1456"/>
        <v>-1.4754659415887008</v>
      </c>
      <c r="T1876">
        <f>$S1876+測地線補正!$Q$26*(lattice!$N1876/1000)^3+測地線補正!$P$26*(lattice!$N1876/1000)^2+測地線補正!$O$26*(lattice!$N1876/1000)+測地線補正!$N$26</f>
        <v>0.28986968298273807</v>
      </c>
      <c r="U1876">
        <f t="shared" ref="U1876:U1877" si="1458">-ATAN(($P$1877-$P$1875)/ABS($N$1877-$N$1875))</f>
        <v>1.9679459241174913E-5</v>
      </c>
      <c r="V1876">
        <v>0</v>
      </c>
      <c r="W1876">
        <f t="shared" ref="W1876:W1877" si="1459">ATAN(($M$1877-$M$1875)/ABS($N$1877-$N$1875))</f>
        <v>1.1904414239142268E-4</v>
      </c>
      <c r="X1876" t="s">
        <v>3860</v>
      </c>
      <c r="Y1876">
        <f>_xlfn.XLOOKUP($F1876,設計座標!$E$13:$E$2301,設計座標!$L$13:$L$2301," ",0,1)</f>
        <v>1889.4492</v>
      </c>
      <c r="Z1876">
        <f>SQRT(($M$1876-$M$1874)^2+($N$1876-$N$1874)^2)</f>
        <v>1125.1938079728548</v>
      </c>
    </row>
    <row r="1877" spans="1:28">
      <c r="A1877" t="s">
        <v>797</v>
      </c>
      <c r="B1877">
        <v>5</v>
      </c>
      <c r="C1877" t="s">
        <v>804</v>
      </c>
      <c r="D1877" t="s">
        <v>1152</v>
      </c>
      <c r="E1877" t="s">
        <v>804</v>
      </c>
      <c r="F1877" t="s">
        <v>1791</v>
      </c>
      <c r="G1877" t="s">
        <v>2790</v>
      </c>
      <c r="I1877">
        <f>_xlfn.XLOOKUP($F1877,設計座標!$E$13:$E$2301,設計座標!$G$13:$G$2301,"n/a",0,1)</f>
        <v>585.34667246136974</v>
      </c>
      <c r="J1877">
        <f>_xlfn.XLOOKUP($F1877,設計座標!$E$13:$E$2301,設計座標!$H$13:$H$2301,"n/a",0,1)</f>
        <v>-15000</v>
      </c>
      <c r="K1877">
        <f>_xlfn.XLOOKUP($F1877,設計座標!$E$13:$E$2301,設計座標!$I$13:$I$2301,"n/a",0,1)</f>
        <v>-320870.33159546019</v>
      </c>
      <c r="L1877">
        <f>_xlfn.XLOOKUP($F1877,設計座標!$E$13:$E$2301,設計座標!$J$13:$J$2301,"n/a",0,1)</f>
        <v>-270</v>
      </c>
      <c r="M1877" s="2">
        <f t="shared" si="1451"/>
        <v>-14956.948749265433</v>
      </c>
      <c r="N1877" s="2">
        <f t="shared" si="1452"/>
        <v>-320870.33159546019</v>
      </c>
      <c r="O1877" s="23">
        <f t="shared" si="1453"/>
        <v>-271.48174940849134</v>
      </c>
      <c r="P1877" s="1">
        <f t="shared" si="1416"/>
        <v>-269.7287473936363</v>
      </c>
      <c r="Q1877" s="1">
        <f t="shared" si="1457"/>
        <v>43.051250734567411</v>
      </c>
      <c r="R1877">
        <f t="shared" si="1434"/>
        <v>0</v>
      </c>
      <c r="S1877" s="23">
        <f t="shared" si="1456"/>
        <v>-1.4817494084913392</v>
      </c>
      <c r="T1877">
        <f>$S1877+測地線補正!$Q$26*(lattice!$N1877/1000)^3+測地線補正!$P$26*(lattice!$N1877/1000)^2+測地線補正!$O$26*(lattice!$N1877/1000)+測地線補正!$N$26</f>
        <v>0.27125260636367776</v>
      </c>
      <c r="U1877">
        <f t="shared" si="1458"/>
        <v>1.9679459241174913E-5</v>
      </c>
      <c r="V1877">
        <v>0</v>
      </c>
      <c r="W1877">
        <f t="shared" si="1459"/>
        <v>1.1904414239142268E-4</v>
      </c>
      <c r="X1877" t="s">
        <v>3860</v>
      </c>
      <c r="Y1877">
        <f>_xlfn.XLOOKUP($F1877,設計座標!$E$13:$E$2301,設計座標!$L$13:$L$2301," ",0,1)</f>
        <v>1889.4492</v>
      </c>
      <c r="Z1877">
        <f>SQRT(($M$1876-$M$1874)^2+($N$1876-$N$1874)^2)</f>
        <v>1125.1938079728548</v>
      </c>
    </row>
    <row r="1878" spans="1:28">
      <c r="A1878" t="s">
        <v>797</v>
      </c>
      <c r="B1878">
        <v>5</v>
      </c>
      <c r="C1878" t="s">
        <v>804</v>
      </c>
      <c r="D1878" t="s">
        <v>1152</v>
      </c>
      <c r="E1878" t="s">
        <v>804</v>
      </c>
      <c r="F1878" t="s">
        <v>1792</v>
      </c>
      <c r="G1878" t="s">
        <v>2791</v>
      </c>
      <c r="I1878">
        <f>_xlfn.XLOOKUP($F1878,設計座標!$E$13:$E$2301,設計座標!$G$13:$G$2301,"n/a",0,1)</f>
        <v>585.55661426136976</v>
      </c>
      <c r="J1878">
        <f>_xlfn.XLOOKUP($F1878,設計座標!$E$13:$E$2301,設計座標!$H$13:$H$2301,"n/a",0,1)</f>
        <v>-15000</v>
      </c>
      <c r="K1878">
        <f>_xlfn.XLOOKUP($F1878,設計座標!$E$13:$E$2301,設計座標!$I$13:$I$2301,"n/a",0,1)</f>
        <v>-321080.27339546016</v>
      </c>
      <c r="L1878">
        <f>_xlfn.XLOOKUP($F1878,設計座標!$E$13:$E$2301,設計座標!$J$13:$J$2301,"n/a",0,1)</f>
        <v>-270</v>
      </c>
      <c r="M1878" s="2">
        <f t="shared" si="1451"/>
        <v>-14956.923756923781</v>
      </c>
      <c r="N1878" s="2">
        <f t="shared" si="1452"/>
        <v>-321080.27339546016</v>
      </c>
      <c r="O1878" s="23">
        <f t="shared" si="1453"/>
        <v>-271.48314575442305</v>
      </c>
      <c r="P1878" s="1">
        <f t="shared" si="1416"/>
        <v>-269.73289141272295</v>
      </c>
      <c r="Q1878" s="1">
        <f t="shared" si="1457"/>
        <v>43.076243076218681</v>
      </c>
      <c r="R1878">
        <f t="shared" si="1434"/>
        <v>0</v>
      </c>
      <c r="S1878" s="23">
        <f t="shared" si="1456"/>
        <v>-1.483145754423032</v>
      </c>
      <c r="T1878">
        <f>$S1878+測地線補正!$Q$26*(lattice!$N1878/1000)^3+測地線補正!$P$26*(lattice!$N1878/1000)^2+測地線補正!$O$26*(lattice!$N1878/1000)+測地線補正!$N$26</f>
        <v>0.26710858727707332</v>
      </c>
      <c r="U1878">
        <f>-ATAN(($P$1880-$P$1878)/ABS($N$1880-$N$1878))</f>
        <v>1.9797193982206722E-5</v>
      </c>
      <c r="V1878">
        <v>0</v>
      </c>
      <c r="W1878">
        <f>ATAN(($M$1880-$M$1878)/ABS($N$1880-$N$1878))</f>
        <v>1.1904414239142268E-4</v>
      </c>
      <c r="X1878">
        <f>SQRT(($M$1878-$M$1877)^2+($N$1878-$N$1877)^2)</f>
        <v>209.94180148756735</v>
      </c>
      <c r="Y1878">
        <f>_xlfn.XLOOKUP($F1878,設計座標!$E$13:$E$2301,設計座標!$L$13:$L$2301," ",0,1)</f>
        <v>1889.4492</v>
      </c>
      <c r="Z1878">
        <f>SQRT(($M$1879-$M$1876)^2+($N$1879-$N$1876)^2)</f>
        <v>2099.3910148757714</v>
      </c>
    </row>
    <row r="1879" spans="1:28">
      <c r="A1879" t="s">
        <v>797</v>
      </c>
      <c r="B1879">
        <v>5</v>
      </c>
      <c r="C1879" t="s">
        <v>804</v>
      </c>
      <c r="D1879" t="s">
        <v>1152</v>
      </c>
      <c r="E1879" t="s">
        <v>804</v>
      </c>
      <c r="F1879" t="s">
        <v>1272</v>
      </c>
      <c r="G1879" t="s">
        <v>2791</v>
      </c>
      <c r="I1879">
        <f>_xlfn.XLOOKUP($F1879,設計座標!$E$13:$E$2301,設計座標!$G$13:$G$2301,"n/a",0,1)</f>
        <v>586.50133886136973</v>
      </c>
      <c r="J1879">
        <f>_xlfn.XLOOKUP($F1879,設計座標!$E$13:$E$2301,設計座標!$H$13:$H$2301,"n/a",0,1)</f>
        <v>-15000</v>
      </c>
      <c r="K1879">
        <f>_xlfn.XLOOKUP($F1879,設計座標!$E$13:$E$2301,設計座標!$I$13:$I$2301,"n/a",0,1)</f>
        <v>-322024.99799546017</v>
      </c>
      <c r="L1879">
        <f>_xlfn.XLOOKUP($F1879,設計座標!$E$13:$E$2301,設計座標!$J$13:$J$2301,"n/a",0,1)</f>
        <v>-270</v>
      </c>
      <c r="M1879" s="2">
        <f t="shared" si="1451"/>
        <v>-14956.811292993447</v>
      </c>
      <c r="N1879" s="2">
        <f t="shared" si="1452"/>
        <v>-322024.99799546017</v>
      </c>
      <c r="O1879" s="23">
        <f t="shared" si="1453"/>
        <v>-271.48942922132568</v>
      </c>
      <c r="P1879" s="1">
        <f t="shared" si="1416"/>
        <v>-269.7515696642119</v>
      </c>
      <c r="Q1879" s="1">
        <f t="shared" si="1457"/>
        <v>43.188707006553507</v>
      </c>
      <c r="R1879">
        <f t="shared" si="1434"/>
        <v>0</v>
      </c>
      <c r="S1879" s="23">
        <f t="shared" si="1456"/>
        <v>-1.4894292213256706</v>
      </c>
      <c r="T1879">
        <f>$S1879+測地線補正!$Q$26*(lattice!$N1879/1000)^3+測地線補正!$P$26*(lattice!$N1879/1000)^2+測地線補正!$O$26*(lattice!$N1879/1000)+測地線補正!$N$26</f>
        <v>0.24843033578809304</v>
      </c>
      <c r="U1879">
        <f t="shared" ref="U1879:U1880" si="1460">-ATAN(($P$1880-$P$1878)/ABS($N$1880-$N$1878))</f>
        <v>1.9797193982206722E-5</v>
      </c>
      <c r="V1879">
        <v>0</v>
      </c>
      <c r="W1879">
        <f t="shared" ref="W1879:W1880" si="1461">ATAN(($M$1880-$M$1878)/ABS($N$1880-$N$1878))</f>
        <v>1.1904414239142268E-4</v>
      </c>
      <c r="X1879" t="s">
        <v>3860</v>
      </c>
      <c r="Y1879">
        <f>_xlfn.XLOOKUP($F1879,設計座標!$E$13:$E$2301,設計座標!$L$13:$L$2301," ",0,1)</f>
        <v>1889.4492</v>
      </c>
      <c r="Z1879">
        <f>SQRT(($M$1879-$M$1876)^2+($N$1879-$N$1876)^2)</f>
        <v>2099.3910148757714</v>
      </c>
    </row>
    <row r="1880" spans="1:28">
      <c r="A1880" t="s">
        <v>797</v>
      </c>
      <c r="B1880">
        <v>5</v>
      </c>
      <c r="C1880" t="s">
        <v>804</v>
      </c>
      <c r="D1880" t="s">
        <v>1152</v>
      </c>
      <c r="E1880" t="s">
        <v>804</v>
      </c>
      <c r="F1880" t="s">
        <v>1793</v>
      </c>
      <c r="G1880" t="s">
        <v>2791</v>
      </c>
      <c r="I1880">
        <f>_xlfn.XLOOKUP($F1880,設計座標!$E$13:$E$2301,設計座標!$G$13:$G$2301,"n/a",0,1)</f>
        <v>587.4460634613697</v>
      </c>
      <c r="J1880">
        <f>_xlfn.XLOOKUP($F1880,設計座標!$E$13:$E$2301,設計座標!$H$13:$H$2301,"n/a",0,1)</f>
        <v>-15000</v>
      </c>
      <c r="K1880">
        <f>_xlfn.XLOOKUP($F1880,設計座標!$E$13:$E$2301,設計座標!$I$13:$I$2301,"n/a",0,1)</f>
        <v>-322969.72259546019</v>
      </c>
      <c r="L1880">
        <f>_xlfn.XLOOKUP($F1880,設計座標!$E$13:$E$2301,設計座標!$J$13:$J$2301,"n/a",0,1)</f>
        <v>-270</v>
      </c>
      <c r="M1880" s="2">
        <f t="shared" si="1451"/>
        <v>-14956.698829063112</v>
      </c>
      <c r="N1880" s="2">
        <f t="shared" si="1452"/>
        <v>-322969.72259546019</v>
      </c>
      <c r="O1880" s="23">
        <f t="shared" si="1453"/>
        <v>-271.49571268822831</v>
      </c>
      <c r="P1880" s="1">
        <f t="shared" si="1416"/>
        <v>-269.77029720505976</v>
      </c>
      <c r="Q1880" s="1">
        <f t="shared" si="1457"/>
        <v>43.301170936888326</v>
      </c>
      <c r="R1880">
        <f t="shared" si="1434"/>
        <v>0</v>
      </c>
      <c r="S1880" s="23">
        <f t="shared" si="1456"/>
        <v>-1.4957126882283089</v>
      </c>
      <c r="T1880">
        <f>$S1880+測地線補正!$Q$26*(lattice!$N1880/1000)^3+測地線補正!$P$26*(lattice!$N1880/1000)^2+測地線補正!$O$26*(lattice!$N1880/1000)+測地線補正!$N$26</f>
        <v>0.22970279494023926</v>
      </c>
      <c r="U1880">
        <f t="shared" si="1460"/>
        <v>1.9797193982206722E-5</v>
      </c>
      <c r="V1880">
        <v>0</v>
      </c>
      <c r="W1880">
        <f t="shared" si="1461"/>
        <v>1.1904414239142268E-4</v>
      </c>
      <c r="X1880" t="s">
        <v>3860</v>
      </c>
      <c r="Y1880">
        <f>_xlfn.XLOOKUP($F1880,設計座標!$E$13:$E$2301,設計座標!$L$13:$L$2301," ",0,1)</f>
        <v>1889.4492</v>
      </c>
      <c r="Z1880">
        <f>SQRT(($M$1879-$M$1876)^2+($N$1879-$N$1876)^2)</f>
        <v>2099.3910148757714</v>
      </c>
    </row>
    <row r="1881" spans="1:28">
      <c r="A1881" t="s">
        <v>797</v>
      </c>
      <c r="B1881">
        <v>5</v>
      </c>
      <c r="C1881" t="s">
        <v>1152</v>
      </c>
      <c r="D1881" t="s">
        <v>1152</v>
      </c>
      <c r="E1881" t="s">
        <v>804</v>
      </c>
      <c r="F1881" t="s">
        <v>2179</v>
      </c>
      <c r="G1881" t="s">
        <v>2179</v>
      </c>
      <c r="I1881">
        <f>_xlfn.XLOOKUP($F1881,設計座標!$E$13:$E$2301,設計座標!$G$13:$G$2301,"n/a",0,1)</f>
        <v>587.74093606136978</v>
      </c>
      <c r="J1881">
        <f>_xlfn.XLOOKUP($F1881,設計座標!$E$13:$E$2301,設計座標!$H$13:$H$2301,"n/a",0,1)</f>
        <v>-15000</v>
      </c>
      <c r="K1881">
        <f>_xlfn.XLOOKUP($F1881,設計座標!$E$13:$E$2301,設計座標!$I$13:$I$2301,"n/a",0,1)</f>
        <v>-323264.59519546019</v>
      </c>
      <c r="L1881">
        <f>_xlfn.XLOOKUP($F1881,設計座標!$E$13:$E$2301,設計座標!$J$13:$J$2301,"n/a",0,1)</f>
        <v>-270</v>
      </c>
      <c r="M1881" s="2">
        <f t="shared" si="1451"/>
        <v>-14956.663726207164</v>
      </c>
      <c r="N1881" s="2">
        <f t="shared" si="1452"/>
        <v>-323264.59519546019</v>
      </c>
      <c r="O1881" s="23">
        <f t="shared" si="1453"/>
        <v>-271.49767391822337</v>
      </c>
      <c r="P1881" s="1">
        <f t="shared" si="1416"/>
        <v>-269.7761525321983</v>
      </c>
      <c r="Q1881" s="1">
        <f t="shared" si="1457"/>
        <v>43.336273792836025</v>
      </c>
      <c r="R1881">
        <f t="shared" si="1434"/>
        <v>0</v>
      </c>
      <c r="S1881" s="23">
        <f t="shared" si="1456"/>
        <v>-1.4976739182233729</v>
      </c>
      <c r="T1881">
        <f>$S1881+測地線補正!$Q$26*(lattice!$N1881/1000)^3+測地線補正!$P$26*(lattice!$N1881/1000)^2+測地線補正!$O$26*(lattice!$N1881/1000)+測地線補正!$N$26</f>
        <v>0.22384746780170928</v>
      </c>
      <c r="U1881">
        <v>0</v>
      </c>
      <c r="V1881">
        <v>0</v>
      </c>
      <c r="W1881">
        <v>0</v>
      </c>
      <c r="X1881">
        <f>SQRT(($M$1881-$M$1880)^2+($N$1881-$N$1880)^2)</f>
        <v>294.87260208939711</v>
      </c>
      <c r="Y1881">
        <f>_xlfn.XLOOKUP($F1881,設計座標!$E$13:$E$2301,設計座標!$L$13:$L$2301," ",0,1)</f>
        <v>0</v>
      </c>
      <c r="Z1881">
        <f>SQRT(($M$1881-$M$1879)^2+($N$1881-$N$1879)^2)</f>
        <v>1239.5972087834991</v>
      </c>
    </row>
    <row r="1882" spans="1:28">
      <c r="A1882" t="s">
        <v>797</v>
      </c>
      <c r="B1882">
        <v>5</v>
      </c>
      <c r="C1882" t="s">
        <v>804</v>
      </c>
      <c r="D1882" t="s">
        <v>1152</v>
      </c>
      <c r="E1882" t="s">
        <v>804</v>
      </c>
      <c r="F1882" t="s">
        <v>1794</v>
      </c>
      <c r="G1882" t="s">
        <v>2792</v>
      </c>
      <c r="I1882">
        <f>_xlfn.XLOOKUP($F1882,設計座標!$E$13:$E$2301,設計座標!$G$13:$G$2301,"n/a",0,1)</f>
        <v>587.97090526136981</v>
      </c>
      <c r="J1882">
        <f>_xlfn.XLOOKUP($F1882,設計座標!$E$13:$E$2301,設計座標!$H$13:$H$2301,"n/a",0,1)</f>
        <v>-15000</v>
      </c>
      <c r="K1882">
        <f>_xlfn.XLOOKUP($F1882,設計座標!$E$13:$E$2301,設計座標!$I$13:$I$2301,"n/a",0,1)</f>
        <v>-323494.56439546018</v>
      </c>
      <c r="L1882">
        <f>_xlfn.XLOOKUP($F1882,設計座標!$E$13:$E$2301,設計座標!$J$13:$J$2301,"n/a",0,1)</f>
        <v>-270</v>
      </c>
      <c r="M1882" s="2">
        <f t="shared" si="1451"/>
        <v>-14956.636349720844</v>
      </c>
      <c r="N1882" s="2">
        <f t="shared" si="1452"/>
        <v>-323494.56439546018</v>
      </c>
      <c r="O1882" s="23">
        <f t="shared" si="1453"/>
        <v>-271.49920346858846</v>
      </c>
      <c r="P1882" s="1">
        <f t="shared" si="1416"/>
        <v>-269.78072233627114</v>
      </c>
      <c r="Q1882" s="1">
        <f t="shared" si="1457"/>
        <v>43.363650279155898</v>
      </c>
      <c r="R1882">
        <f t="shared" si="1434"/>
        <v>0</v>
      </c>
      <c r="S1882" s="23">
        <f t="shared" si="1456"/>
        <v>-1.4992034685884488</v>
      </c>
      <c r="T1882">
        <f>$S1882+測地線補正!$Q$26*(lattice!$N1882/1000)^3+測地線補正!$P$26*(lattice!$N1882/1000)^2+測地線補正!$O$26*(lattice!$N1882/1000)+測地線補正!$N$26</f>
        <v>0.21927766372883517</v>
      </c>
      <c r="U1882">
        <f>-ATAN(($P$1884-$P$1882)/ABS($N$1884-$N$1882))</f>
        <v>1.9928152795303634E-5</v>
      </c>
      <c r="V1882">
        <v>0</v>
      </c>
      <c r="W1882">
        <f>ATAN(($M$1884-$M$1882)/ABS($N$1884-$N$1882))</f>
        <v>1.1904414239142268E-4</v>
      </c>
      <c r="X1882">
        <f>SQRT(($M$1882-$M$1881)^2+($N$1882-$N$1881)^2)</f>
        <v>229.96920162949743</v>
      </c>
      <c r="Y1882">
        <f>_xlfn.XLOOKUP($F1882,設計座標!$E$13:$E$2301,設計座標!$L$13:$L$2301," ",0,1)</f>
        <v>1889.4492</v>
      </c>
      <c r="Z1882">
        <f>SQRT(($M$1883-$M$1881)^2+($N$1883-$N$1881)^2)</f>
        <v>1174.6938083235996</v>
      </c>
    </row>
    <row r="1883" spans="1:28">
      <c r="A1883" t="s">
        <v>797</v>
      </c>
      <c r="B1883">
        <v>5</v>
      </c>
      <c r="C1883" t="s">
        <v>804</v>
      </c>
      <c r="D1883" t="s">
        <v>1152</v>
      </c>
      <c r="E1883" t="s">
        <v>804</v>
      </c>
      <c r="F1883" t="s">
        <v>1326</v>
      </c>
      <c r="G1883" t="s">
        <v>2792</v>
      </c>
      <c r="I1883">
        <f>_xlfn.XLOOKUP($F1883,設計座標!$E$13:$E$2301,設計座標!$G$13:$G$2301,"n/a",0,1)</f>
        <v>588.91562986136978</v>
      </c>
      <c r="J1883">
        <f>_xlfn.XLOOKUP($F1883,設計座標!$E$13:$E$2301,設計座標!$H$13:$H$2301,"n/a",0,1)</f>
        <v>-15000</v>
      </c>
      <c r="K1883">
        <f>_xlfn.XLOOKUP($F1883,設計座標!$E$13:$E$2301,設計座標!$I$13:$I$2301,"n/a",0,1)</f>
        <v>-324439.2889954602</v>
      </c>
      <c r="L1883">
        <f>_xlfn.XLOOKUP($F1883,設計座標!$E$13:$E$2301,設計座標!$J$13:$J$2301,"n/a",0,1)</f>
        <v>-270</v>
      </c>
      <c r="M1883" s="2">
        <f t="shared" si="1451"/>
        <v>-14956.52388579051</v>
      </c>
      <c r="N1883" s="2">
        <f t="shared" si="1452"/>
        <v>-324439.2889954602</v>
      </c>
      <c r="O1883" s="23">
        <f t="shared" si="1453"/>
        <v>-271.50548693549109</v>
      </c>
      <c r="P1883" s="1">
        <f t="shared" ref="P1883:P1946" si="1462">$L1883+$T1883</f>
        <v>-269.79952518484833</v>
      </c>
      <c r="Q1883" s="1">
        <f t="shared" si="1457"/>
        <v>43.476114209490724</v>
      </c>
      <c r="R1883">
        <f t="shared" si="1434"/>
        <v>0</v>
      </c>
      <c r="S1883" s="23">
        <f t="shared" si="1456"/>
        <v>-1.5054869354910874</v>
      </c>
      <c r="T1883">
        <f>$S1883+測地線補正!$Q$26*(lattice!$N1883/1000)^3+測地線補正!$P$26*(lattice!$N1883/1000)^2+測地線補正!$O$26*(lattice!$N1883/1000)+測地線補正!$N$26</f>
        <v>0.20047481515165422</v>
      </c>
      <c r="U1883">
        <f t="shared" ref="U1883:U1884" si="1463">-ATAN(($P$1884-$P$1882)/ABS($N$1884-$N$1882))</f>
        <v>1.9928152795303634E-5</v>
      </c>
      <c r="V1883">
        <v>0</v>
      </c>
      <c r="W1883">
        <f t="shared" ref="W1883:W1884" si="1464">ATAN(($M$1884-$M$1882)/ABS($N$1884-$N$1882))</f>
        <v>1.1904414239142268E-4</v>
      </c>
      <c r="X1883" t="s">
        <v>3860</v>
      </c>
      <c r="Y1883">
        <f>_xlfn.XLOOKUP($F1883,設計座標!$E$13:$E$2301,設計座標!$L$13:$L$2301," ",0,1)</f>
        <v>1889.4492</v>
      </c>
      <c r="Z1883">
        <f>SQRT(($M$1883-$M$1881)^2+($N$1883-$N$1881)^2)</f>
        <v>1174.6938083235996</v>
      </c>
    </row>
    <row r="1884" spans="1:28">
      <c r="A1884" t="s">
        <v>797</v>
      </c>
      <c r="B1884">
        <v>5</v>
      </c>
      <c r="C1884" t="s">
        <v>804</v>
      </c>
      <c r="D1884" t="s">
        <v>1152</v>
      </c>
      <c r="E1884" t="s">
        <v>804</v>
      </c>
      <c r="F1884" t="s">
        <v>1795</v>
      </c>
      <c r="G1884" t="s">
        <v>2792</v>
      </c>
      <c r="I1884">
        <f>_xlfn.XLOOKUP($F1884,設計座標!$E$13:$E$2301,設計座標!$G$13:$G$2301,"n/a",0,1)</f>
        <v>589.86035446136975</v>
      </c>
      <c r="J1884">
        <f>_xlfn.XLOOKUP($F1884,設計座標!$E$13:$E$2301,設計座標!$H$13:$H$2301,"n/a",0,1)</f>
        <v>-15000</v>
      </c>
      <c r="K1884">
        <f>_xlfn.XLOOKUP($F1884,設計座標!$E$13:$E$2301,設計座標!$I$13:$I$2301,"n/a",0,1)</f>
        <v>-325384.01359546022</v>
      </c>
      <c r="L1884">
        <f>_xlfn.XLOOKUP($F1884,設計座標!$E$13:$E$2301,設計座標!$J$13:$J$2301,"n/a",0,1)</f>
        <v>-270</v>
      </c>
      <c r="M1884" s="2">
        <f t="shared" si="1451"/>
        <v>-14956.411421860175</v>
      </c>
      <c r="N1884" s="2">
        <f t="shared" si="1452"/>
        <v>-325384.01359546022</v>
      </c>
      <c r="O1884" s="23">
        <f t="shared" si="1453"/>
        <v>-271.51177040239372</v>
      </c>
      <c r="P1884" s="1">
        <f t="shared" si="1462"/>
        <v>-269.81837556863269</v>
      </c>
      <c r="Q1884" s="1">
        <f t="shared" si="1457"/>
        <v>43.588578139825543</v>
      </c>
      <c r="R1884">
        <f t="shared" si="1434"/>
        <v>0</v>
      </c>
      <c r="S1884" s="23">
        <f t="shared" si="1456"/>
        <v>-1.5117704023937257</v>
      </c>
      <c r="T1884">
        <f>$S1884+測地線補正!$Q$26*(lattice!$N1884/1000)^3+測地線補正!$P$26*(lattice!$N1884/1000)^2+測地線補正!$O$26*(lattice!$N1884/1000)+測地線補正!$N$26</f>
        <v>0.18162443136729656</v>
      </c>
      <c r="U1884">
        <f t="shared" si="1463"/>
        <v>1.9928152795303634E-5</v>
      </c>
      <c r="V1884">
        <v>0</v>
      </c>
      <c r="W1884">
        <f t="shared" si="1464"/>
        <v>1.1904414239142268E-4</v>
      </c>
      <c r="X1884" t="s">
        <v>3860</v>
      </c>
      <c r="Y1884">
        <f>_xlfn.XLOOKUP($F1884,設計座標!$E$13:$E$2301,設計座標!$L$13:$L$2301," ",0,1)</f>
        <v>1889.4492</v>
      </c>
      <c r="Z1884">
        <f>SQRT(($M$1883-$M$1881)^2+($N$1883-$N$1881)^2)</f>
        <v>1174.6938083235996</v>
      </c>
    </row>
    <row r="1885" spans="1:28">
      <c r="A1885" t="s">
        <v>797</v>
      </c>
      <c r="B1885">
        <v>5</v>
      </c>
      <c r="C1885" t="s">
        <v>804</v>
      </c>
      <c r="D1885" t="s">
        <v>1152</v>
      </c>
      <c r="E1885" t="s">
        <v>804</v>
      </c>
      <c r="F1885" t="s">
        <v>1796</v>
      </c>
      <c r="G1885" t="s">
        <v>2793</v>
      </c>
      <c r="I1885">
        <f>_xlfn.XLOOKUP($F1885,設計座標!$E$13:$E$2301,設計座標!$G$13:$G$2301,"n/a",0,1)</f>
        <v>590.07029626136978</v>
      </c>
      <c r="J1885">
        <f>_xlfn.XLOOKUP($F1885,設計座標!$E$13:$E$2301,設計座標!$H$13:$H$2301,"n/a",0,1)</f>
        <v>-15000</v>
      </c>
      <c r="K1885">
        <f>_xlfn.XLOOKUP($F1885,設計座標!$E$13:$E$2301,設計座標!$I$13:$I$2301,"n/a",0,1)</f>
        <v>-325593.95539546019</v>
      </c>
      <c r="L1885">
        <f>_xlfn.XLOOKUP($F1885,設計座標!$E$13:$E$2301,設計座標!$J$13:$J$2301,"n/a",0,1)</f>
        <v>-270</v>
      </c>
      <c r="M1885" s="2">
        <f t="shared" si="1451"/>
        <v>-14956.386429518523</v>
      </c>
      <c r="N1885" s="2">
        <f t="shared" si="1452"/>
        <v>-325593.95539546019</v>
      </c>
      <c r="O1885" s="23">
        <f t="shared" si="1453"/>
        <v>-271.51316674832543</v>
      </c>
      <c r="P1885" s="1">
        <f t="shared" si="1462"/>
        <v>-269.8225709891243</v>
      </c>
      <c r="Q1885" s="1">
        <f t="shared" si="1457"/>
        <v>43.613570481476813</v>
      </c>
      <c r="R1885">
        <f t="shared" si="1434"/>
        <v>0</v>
      </c>
      <c r="S1885" s="23">
        <f t="shared" si="1456"/>
        <v>-1.5131667483254185</v>
      </c>
      <c r="T1885">
        <f>$S1885+測地線補正!$Q$26*(lattice!$N1885/1000)^3+測地線補正!$P$26*(lattice!$N1885/1000)^2+測地線補正!$O$26*(lattice!$N1885/1000)+測地線補正!$N$26</f>
        <v>0.17742901087568597</v>
      </c>
      <c r="U1885">
        <f>-ATAN(($P$1887-$P$1885)/ABS($N$1887-$N$1885))</f>
        <v>2.0038173327815083E-5</v>
      </c>
      <c r="V1885">
        <v>0</v>
      </c>
      <c r="W1885">
        <f>ATAN(($M$1887-$M$1885)/ABS($N$1887-$N$1885))</f>
        <v>1.1904414239142268E-4</v>
      </c>
      <c r="X1885">
        <f>SQRT(($M$1885-$M$1884)^2+($N$1885-$N$1884)^2)</f>
        <v>209.94180148756735</v>
      </c>
      <c r="Y1885">
        <f>_xlfn.XLOOKUP($F1885,設計座標!$E$13:$E$2301,設計座標!$L$13:$L$2301," ",0,1)</f>
        <v>1889.4492</v>
      </c>
      <c r="Z1885">
        <f>SQRT(($M$1886-$M$1883)^2+($N$1886-$N$1883)^2)</f>
        <v>2099.3910148757714</v>
      </c>
    </row>
    <row r="1886" spans="1:28">
      <c r="A1886" t="s">
        <v>797</v>
      </c>
      <c r="B1886">
        <v>5</v>
      </c>
      <c r="C1886" t="s">
        <v>804</v>
      </c>
      <c r="D1886" t="s">
        <v>1152</v>
      </c>
      <c r="E1886" t="s">
        <v>804</v>
      </c>
      <c r="F1886" t="s">
        <v>1380</v>
      </c>
      <c r="G1886" t="s">
        <v>2793</v>
      </c>
      <c r="I1886">
        <f>_xlfn.XLOOKUP($F1886,設計座標!$E$13:$E$2301,設計座標!$G$13:$G$2301,"n/a",0,1)</f>
        <v>591.01502086136975</v>
      </c>
      <c r="J1886">
        <f>_xlfn.XLOOKUP($F1886,設計座標!$E$13:$E$2301,設計座標!$H$13:$H$2301,"n/a",0,1)</f>
        <v>-15000</v>
      </c>
      <c r="K1886">
        <f>_xlfn.XLOOKUP($F1886,設計座標!$E$13:$E$2301,設計座標!$I$13:$I$2301,"n/a",0,1)</f>
        <v>-326538.6799954602</v>
      </c>
      <c r="L1886">
        <f>_xlfn.XLOOKUP($F1886,設計座標!$E$13:$E$2301,設計座標!$J$13:$J$2301,"n/a",0,1)</f>
        <v>-270</v>
      </c>
      <c r="M1886" s="2">
        <f t="shared" si="1451"/>
        <v>-14956.273965588189</v>
      </c>
      <c r="N1886" s="2">
        <f t="shared" si="1452"/>
        <v>-326538.6799954602</v>
      </c>
      <c r="O1886" s="23">
        <f t="shared" si="1453"/>
        <v>-271.51945021522806</v>
      </c>
      <c r="P1886" s="1">
        <f t="shared" si="1462"/>
        <v>-269.84147853948247</v>
      </c>
      <c r="Q1886" s="1">
        <f t="shared" si="1457"/>
        <v>43.726034411811632</v>
      </c>
      <c r="R1886">
        <f t="shared" si="1434"/>
        <v>0</v>
      </c>
      <c r="S1886" s="23">
        <f t="shared" si="1456"/>
        <v>-1.5194502152280569</v>
      </c>
      <c r="T1886">
        <f>$S1886+測地線補正!$Q$26*(lattice!$N1886/1000)^3+測地線補正!$P$26*(lattice!$N1886/1000)^2+測地線補正!$O$26*(lattice!$N1886/1000)+測地線補正!$N$26</f>
        <v>0.15852146051751403</v>
      </c>
      <c r="U1886">
        <f t="shared" ref="U1886:U1887" si="1465">-ATAN(($P$1887-$P$1885)/ABS($N$1887-$N$1885))</f>
        <v>2.0038173327815083E-5</v>
      </c>
      <c r="V1886">
        <v>0</v>
      </c>
      <c r="W1886">
        <f t="shared" ref="W1886:W1887" si="1466">ATAN(($M$1887-$M$1885)/ABS($N$1887-$N$1885))</f>
        <v>1.1904414239142268E-4</v>
      </c>
      <c r="X1886" t="s">
        <v>3860</v>
      </c>
      <c r="Y1886">
        <f>_xlfn.XLOOKUP($F1886,設計座標!$E$13:$E$2301,設計座標!$L$13:$L$2301," ",0,1)</f>
        <v>1889.4492</v>
      </c>
      <c r="Z1886">
        <f>SQRT(($M$1886-$M$1883)^2+($N$1886-$N$1883)^2)</f>
        <v>2099.3910148757714</v>
      </c>
    </row>
    <row r="1887" spans="1:28">
      <c r="A1887" t="s">
        <v>797</v>
      </c>
      <c r="B1887">
        <v>5</v>
      </c>
      <c r="C1887" t="s">
        <v>804</v>
      </c>
      <c r="D1887" t="s">
        <v>1152</v>
      </c>
      <c r="E1887" t="s">
        <v>804</v>
      </c>
      <c r="F1887" t="s">
        <v>1797</v>
      </c>
      <c r="G1887" t="s">
        <v>2793</v>
      </c>
      <c r="I1887">
        <f>_xlfn.XLOOKUP($F1887,設計座標!$E$13:$E$2301,設計座標!$G$13:$G$2301,"n/a",0,1)</f>
        <v>591.95974546136972</v>
      </c>
      <c r="J1887">
        <f>_xlfn.XLOOKUP($F1887,設計座標!$E$13:$E$2301,設計座標!$H$13:$H$2301,"n/a",0,1)</f>
        <v>-15000</v>
      </c>
      <c r="K1887">
        <f>_xlfn.XLOOKUP($F1887,設計座標!$E$13:$E$2301,設計座標!$I$13:$I$2301,"n/a",0,1)</f>
        <v>-327483.40459546022</v>
      </c>
      <c r="L1887">
        <f>_xlfn.XLOOKUP($F1887,設計座標!$E$13:$E$2301,設計座標!$J$13:$J$2301,"n/a",0,1)</f>
        <v>-270</v>
      </c>
      <c r="M1887" s="2">
        <f t="shared" si="1451"/>
        <v>-14956.161501657854</v>
      </c>
      <c r="N1887" s="2">
        <f t="shared" si="1452"/>
        <v>-327483.40459546022</v>
      </c>
      <c r="O1887" s="23">
        <f t="shared" si="1453"/>
        <v>-271.52573368213069</v>
      </c>
      <c r="P1887" s="1">
        <f t="shared" si="1462"/>
        <v>-269.86043209969307</v>
      </c>
      <c r="Q1887" s="1">
        <f t="shared" si="1457"/>
        <v>43.838498342146458</v>
      </c>
      <c r="R1887">
        <f t="shared" si="1434"/>
        <v>0</v>
      </c>
      <c r="S1887" s="23">
        <f t="shared" si="1456"/>
        <v>-1.5257336821306953</v>
      </c>
      <c r="T1887">
        <f>$S1887+測地線補正!$Q$26*(lattice!$N1887/1000)^3+測地線補正!$P$26*(lattice!$N1887/1000)^2+測地線補正!$O$26*(lattice!$N1887/1000)+測地線補正!$N$26</f>
        <v>0.13956790030694832</v>
      </c>
      <c r="U1887">
        <f t="shared" si="1465"/>
        <v>2.0038173327815083E-5</v>
      </c>
      <c r="V1887">
        <v>0</v>
      </c>
      <c r="W1887">
        <f t="shared" si="1466"/>
        <v>1.1904414239142268E-4</v>
      </c>
      <c r="X1887" t="s">
        <v>3860</v>
      </c>
      <c r="Y1887">
        <f>_xlfn.XLOOKUP($F1887,設計座標!$E$13:$E$2301,設計座標!$L$13:$L$2301," ",0,1)</f>
        <v>1889.4492</v>
      </c>
      <c r="Z1887">
        <f>SQRT(($M$1886-$M$1883)^2+($N$1886-$N$1883)^2)</f>
        <v>2099.3910148757714</v>
      </c>
    </row>
    <row r="1888" spans="1:28">
      <c r="A1888" t="s">
        <v>797</v>
      </c>
      <c r="B1888">
        <v>5</v>
      </c>
      <c r="C1888" t="s">
        <v>2288</v>
      </c>
      <c r="D1888" t="s">
        <v>1152</v>
      </c>
      <c r="E1888" t="s">
        <v>804</v>
      </c>
      <c r="F1888" t="s">
        <v>2305</v>
      </c>
      <c r="G1888" t="s">
        <v>2305</v>
      </c>
      <c r="I1888">
        <f>_xlfn.XLOOKUP($F1888,設計座標!$E$13:$E$2301,設計座標!$G$13:$G$2301,"n/a",0,1)</f>
        <v>592.12324146136973</v>
      </c>
      <c r="J1888">
        <f>_xlfn.XLOOKUP($F1888,設計座標!$E$13:$E$2301,設計座標!$H$13:$H$2301,"n/a",0,1)</f>
        <v>-15000</v>
      </c>
      <c r="K1888">
        <f>_xlfn.XLOOKUP($F1888,設計座標!$E$13:$E$2301,設計座標!$I$13:$I$2301,"n/a",0,1)</f>
        <v>-327646.9005954602</v>
      </c>
      <c r="L1888">
        <f>_xlfn.XLOOKUP($F1888,設計座標!$E$13:$E$2301,設計座標!$J$13:$J$2301,"n/a",0,1)</f>
        <v>-270</v>
      </c>
      <c r="M1888" s="2">
        <f t="shared" si="1451"/>
        <v>-14956.142038416658</v>
      </c>
      <c r="N1888" s="2">
        <f t="shared" si="1452"/>
        <v>-327646.9005954602</v>
      </c>
      <c r="O1888" s="23">
        <f t="shared" si="1453"/>
        <v>-271.52682111195384</v>
      </c>
      <c r="P1888" s="1">
        <f t="shared" si="1462"/>
        <v>-269.86371686197987</v>
      </c>
      <c r="Q1888" s="1">
        <f t="shared" si="1457"/>
        <v>43.857961583342906</v>
      </c>
      <c r="R1888">
        <f t="shared" si="1434"/>
        <v>0</v>
      </c>
      <c r="S1888" s="23">
        <f t="shared" si="1456"/>
        <v>-1.5268211119538562</v>
      </c>
      <c r="T1888">
        <f>$S1888+測地線補正!$Q$26*(lattice!$N1888/1000)^3+測地線補正!$P$26*(lattice!$N1888/1000)^2+測地線補正!$O$26*(lattice!$N1888/1000)+測地線補正!$N$26</f>
        <v>0.13628313802014858</v>
      </c>
      <c r="U1888">
        <v>0</v>
      </c>
      <c r="V1888">
        <v>0</v>
      </c>
      <c r="W1888">
        <v>0</v>
      </c>
      <c r="X1888">
        <f>SQRT(($M$1888-$M$1887)^2+($N$1888-$N$1887)^2)</f>
        <v>163.49600115847707</v>
      </c>
      <c r="Y1888">
        <f>_xlfn.XLOOKUP($F1888,設計座標!$E$13:$E$2301,設計座標!$L$13:$L$2301," ",0,1)</f>
        <v>0</v>
      </c>
      <c r="Z1888">
        <f>SQRT(($M$1888-$M$1886)^2+($N$1888-$N$1886)^2)</f>
        <v>1108.2206078525792</v>
      </c>
    </row>
    <row r="1889" spans="1:28">
      <c r="A1889" t="s">
        <v>797</v>
      </c>
      <c r="B1889">
        <v>5</v>
      </c>
      <c r="C1889" t="s">
        <v>804</v>
      </c>
      <c r="D1889" t="s">
        <v>1152</v>
      </c>
      <c r="E1889" t="s">
        <v>804</v>
      </c>
      <c r="F1889" t="s">
        <v>1798</v>
      </c>
      <c r="G1889" t="s">
        <v>2794</v>
      </c>
      <c r="I1889">
        <f>_xlfn.XLOOKUP($F1889,設計座標!$E$13:$E$2301,設計座標!$G$13:$G$2301,"n/a",0,1)</f>
        <v>592.45722326136979</v>
      </c>
      <c r="J1889">
        <f>_xlfn.XLOOKUP($F1889,設計座標!$E$13:$E$2301,設計座標!$H$13:$H$2301,"n/a",0,1)</f>
        <v>-15000</v>
      </c>
      <c r="K1889">
        <f>_xlfn.XLOOKUP($F1889,設計座標!$E$13:$E$2301,設計座標!$I$13:$I$2301,"n/a",0,1)</f>
        <v>-327980.88239546021</v>
      </c>
      <c r="L1889">
        <f>_xlfn.XLOOKUP($F1889,設計座標!$E$13:$E$2301,設計座標!$J$13:$J$2301,"n/a",0,1)</f>
        <v>-270</v>
      </c>
      <c r="M1889" s="2">
        <f t="shared" si="1451"/>
        <v>-14956.102279839513</v>
      </c>
      <c r="N1889" s="2">
        <f t="shared" si="1452"/>
        <v>-327980.88239546021</v>
      </c>
      <c r="O1889" s="23">
        <f t="shared" si="1453"/>
        <v>-271.52904246152639</v>
      </c>
      <c r="P1889" s="1">
        <f t="shared" si="1462"/>
        <v>-269.87043102089535</v>
      </c>
      <c r="Q1889" s="1">
        <f t="shared" si="1457"/>
        <v>43.89772016048623</v>
      </c>
      <c r="R1889">
        <f t="shared" si="1434"/>
        <v>0</v>
      </c>
      <c r="S1889" s="23">
        <f t="shared" si="1456"/>
        <v>-1.529042461526402</v>
      </c>
      <c r="T1889">
        <f>$S1889+測地線補正!$Q$26*(lattice!$N1889/1000)^3+測地線補正!$P$26*(lattice!$N1889/1000)^2+測地線補正!$O$26*(lattice!$N1889/1000)+測地線補正!$N$26</f>
        <v>0.12956897910462906</v>
      </c>
      <c r="U1889">
        <f>-ATAN(($P$1891-$P$1889)/ABS($N$1891-$N$1889))</f>
        <v>2.0158903657725918E-5</v>
      </c>
      <c r="V1889">
        <v>0</v>
      </c>
      <c r="W1889">
        <f>ATAN(($M$1891-$M$1889)/ABS($N$1891-$N$1889))</f>
        <v>1.1904414239142268E-4</v>
      </c>
      <c r="X1889">
        <f>SQRT(($M$1889-$M$1888)^2+($N$1889-$N$1888)^2)</f>
        <v>333.98180236652149</v>
      </c>
      <c r="Y1889">
        <f>_xlfn.XLOOKUP($F1889,設計座標!$E$13:$E$2301,設計座標!$L$13:$L$2301," ",0,1)</f>
        <v>1889.4492</v>
      </c>
      <c r="Z1889">
        <f>SQRT(($M$1890-$M$1888)^2+($N$1890-$N$1888)^2)</f>
        <v>1278.7064090606234</v>
      </c>
    </row>
    <row r="1890" spans="1:28">
      <c r="A1890" t="s">
        <v>797</v>
      </c>
      <c r="B1890">
        <v>5</v>
      </c>
      <c r="C1890" t="s">
        <v>804</v>
      </c>
      <c r="D1890" t="s">
        <v>1152</v>
      </c>
      <c r="E1890" t="s">
        <v>804</v>
      </c>
      <c r="F1890" t="s">
        <v>1217</v>
      </c>
      <c r="G1890" t="s">
        <v>2794</v>
      </c>
      <c r="I1890">
        <f>_xlfn.XLOOKUP($F1890,設計座標!$E$13:$E$2301,設計座標!$G$13:$G$2301,"n/a",0,1)</f>
        <v>593.40194786136976</v>
      </c>
      <c r="J1890">
        <f>_xlfn.XLOOKUP($F1890,設計座標!$E$13:$E$2301,設計座標!$H$13:$H$2301,"n/a",0,1)</f>
        <v>-15000</v>
      </c>
      <c r="K1890">
        <f>_xlfn.XLOOKUP($F1890,設計座標!$E$13:$E$2301,設計座標!$I$13:$I$2301,"n/a",0,1)</f>
        <v>-328925.60699546023</v>
      </c>
      <c r="L1890">
        <f>_xlfn.XLOOKUP($F1890,設計座標!$E$13:$E$2301,設計座標!$J$13:$J$2301,"n/a",0,1)</f>
        <v>-270</v>
      </c>
      <c r="M1890" s="2">
        <f t="shared" si="1451"/>
        <v>-14955.989815909179</v>
      </c>
      <c r="N1890" s="2">
        <f t="shared" si="1452"/>
        <v>-328925.60699546023</v>
      </c>
      <c r="O1890" s="23">
        <f t="shared" si="1453"/>
        <v>-271.53532592842902</v>
      </c>
      <c r="P1890" s="1">
        <f t="shared" si="1462"/>
        <v>-269.88945349530115</v>
      </c>
      <c r="Q1890" s="1">
        <f t="shared" si="1457"/>
        <v>44.010184090821049</v>
      </c>
      <c r="R1890">
        <f t="shared" si="1434"/>
        <v>0</v>
      </c>
      <c r="S1890" s="23">
        <f t="shared" si="1456"/>
        <v>-1.5353259284290406</v>
      </c>
      <c r="T1890">
        <f>$S1890+測地線補正!$Q$26*(lattice!$N1890/1000)^3+測地線補正!$P$26*(lattice!$N1890/1000)^2+測地線補正!$O$26*(lattice!$N1890/1000)+測地線補正!$N$26</f>
        <v>0.11054650469886496</v>
      </c>
      <c r="U1890">
        <f t="shared" ref="U1890:U1891" si="1467">-ATAN(($P$1891-$P$1889)/ABS($N$1891-$N$1889))</f>
        <v>2.0158903657725918E-5</v>
      </c>
      <c r="V1890">
        <v>0</v>
      </c>
      <c r="W1890">
        <f t="shared" ref="W1890:W1891" si="1468">ATAN(($M$1891-$M$1889)/ABS($N$1891-$N$1889))</f>
        <v>1.1904414239142268E-4</v>
      </c>
      <c r="X1890" t="s">
        <v>3860</v>
      </c>
      <c r="Y1890">
        <f>_xlfn.XLOOKUP($F1890,設計座標!$E$13:$E$2301,設計座標!$L$13:$L$2301," ",0,1)</f>
        <v>1889.4492</v>
      </c>
      <c r="Z1890">
        <f>SQRT(($M$1890-$M$1888)^2+($N$1890-$N$1888)^2)</f>
        <v>1278.7064090606234</v>
      </c>
    </row>
    <row r="1891" spans="1:28">
      <c r="A1891" t="s">
        <v>797</v>
      </c>
      <c r="B1891">
        <v>5</v>
      </c>
      <c r="C1891" t="s">
        <v>804</v>
      </c>
      <c r="D1891" t="s">
        <v>1152</v>
      </c>
      <c r="E1891" t="s">
        <v>804</v>
      </c>
      <c r="F1891" t="s">
        <v>1799</v>
      </c>
      <c r="G1891" t="s">
        <v>2794</v>
      </c>
      <c r="I1891">
        <f>_xlfn.XLOOKUP($F1891,設計座標!$E$13:$E$2301,設計座標!$G$13:$G$2301,"n/a",0,1)</f>
        <v>594.34667246136974</v>
      </c>
      <c r="J1891">
        <f>_xlfn.XLOOKUP($F1891,設計座標!$E$13:$E$2301,設計座標!$H$13:$H$2301,"n/a",0,1)</f>
        <v>-15000</v>
      </c>
      <c r="K1891">
        <f>_xlfn.XLOOKUP($F1891,設計座標!$E$13:$E$2301,設計座標!$I$13:$I$2301,"n/a",0,1)</f>
        <v>-329870.33159546024</v>
      </c>
      <c r="L1891">
        <f>_xlfn.XLOOKUP($F1891,設計座標!$E$13:$E$2301,設計座標!$J$13:$J$2301,"n/a",0,1)</f>
        <v>-270</v>
      </c>
      <c r="M1891" s="2">
        <f t="shared" si="1451"/>
        <v>-14955.877351978845</v>
      </c>
      <c r="N1891" s="2">
        <f t="shared" si="1452"/>
        <v>-329870.33159546024</v>
      </c>
      <c r="O1891" s="23">
        <f t="shared" si="1453"/>
        <v>-271.5416093953317</v>
      </c>
      <c r="P1891" s="1">
        <f t="shared" si="1462"/>
        <v>-269.90852024528948</v>
      </c>
      <c r="Q1891" s="1">
        <f t="shared" si="1457"/>
        <v>44.122648021155875</v>
      </c>
      <c r="R1891">
        <f t="shared" si="1434"/>
        <v>0</v>
      </c>
      <c r="S1891" s="23">
        <f t="shared" si="1456"/>
        <v>-1.541609395331679</v>
      </c>
      <c r="T1891">
        <f>$S1891+測地線補正!$Q$26*(lattice!$N1891/1000)^3+測地線補正!$P$26*(lattice!$N1891/1000)^2+測地線補正!$O$26*(lattice!$N1891/1000)+測地線補正!$N$26</f>
        <v>9.1479754710544148E-2</v>
      </c>
      <c r="U1891">
        <f t="shared" si="1467"/>
        <v>2.0158903657725918E-5</v>
      </c>
      <c r="V1891">
        <v>0</v>
      </c>
      <c r="W1891">
        <f t="shared" si="1468"/>
        <v>1.1904414239142268E-4</v>
      </c>
      <c r="X1891" t="s">
        <v>3860</v>
      </c>
      <c r="Y1891">
        <f>_xlfn.XLOOKUP($F1891,設計座標!$E$13:$E$2301,設計座標!$L$13:$L$2301," ",0,1)</f>
        <v>1889.4492</v>
      </c>
      <c r="Z1891">
        <f>SQRT(($M$1890-$M$1888)^2+($N$1890-$N$1888)^2)</f>
        <v>1278.7064090606234</v>
      </c>
    </row>
    <row r="1892" spans="1:28">
      <c r="A1892" t="s">
        <v>797</v>
      </c>
      <c r="B1892">
        <v>5</v>
      </c>
      <c r="C1892" t="s">
        <v>804</v>
      </c>
      <c r="D1892" t="s">
        <v>1152</v>
      </c>
      <c r="E1892" t="s">
        <v>804</v>
      </c>
      <c r="F1892" t="s">
        <v>1800</v>
      </c>
      <c r="G1892" t="s">
        <v>2795</v>
      </c>
      <c r="I1892">
        <f>_xlfn.XLOOKUP($F1892,設計座標!$E$13:$E$2301,設計座標!$G$13:$G$2301,"n/a",0,1)</f>
        <v>594.55661426136976</v>
      </c>
      <c r="J1892">
        <f>_xlfn.XLOOKUP($F1892,設計座標!$E$13:$E$2301,設計座標!$H$13:$H$2301,"n/a",0,1)</f>
        <v>-15000</v>
      </c>
      <c r="K1892">
        <f>_xlfn.XLOOKUP($F1892,設計座標!$E$13:$E$2301,設計座標!$I$13:$I$2301,"n/a",0,1)</f>
        <v>-330080.27339546022</v>
      </c>
      <c r="L1892">
        <f>_xlfn.XLOOKUP($F1892,設計座標!$E$13:$E$2301,設計座標!$J$13:$J$2301,"n/a",0,1)</f>
        <v>-270</v>
      </c>
      <c r="M1892" s="2">
        <f t="shared" si="1451"/>
        <v>-14955.852359637192</v>
      </c>
      <c r="N1892" s="2">
        <f t="shared" si="1452"/>
        <v>-330080.27339546022</v>
      </c>
      <c r="O1892" s="23">
        <f t="shared" si="1453"/>
        <v>-271.54300574126336</v>
      </c>
      <c r="P1892" s="1">
        <f t="shared" si="1462"/>
        <v>-269.91276330517428</v>
      </c>
      <c r="Q1892" s="1">
        <f t="shared" si="1457"/>
        <v>44.147640362807145</v>
      </c>
      <c r="R1892">
        <f t="shared" si="1434"/>
        <v>0</v>
      </c>
      <c r="S1892" s="23">
        <f t="shared" si="1456"/>
        <v>-1.5430057412633718</v>
      </c>
      <c r="T1892">
        <f>$S1892+測地線補正!$Q$26*(lattice!$N1892/1000)^3+測地線補正!$P$26*(lattice!$N1892/1000)^2+測地線補正!$O$26*(lattice!$N1892/1000)+測地線補正!$N$26</f>
        <v>8.7236694825740591E-2</v>
      </c>
      <c r="U1892">
        <f>-ATAN(($P$1894-$P$1892)/ABS($N$1894-$N$1892))</f>
        <v>2.0261256748697543E-5</v>
      </c>
      <c r="V1892">
        <v>0</v>
      </c>
      <c r="W1892">
        <f>ATAN(($M$1894-$M$1892)/ABS($N$1894-$N$1892))</f>
        <v>1.1904414239142268E-4</v>
      </c>
      <c r="X1892">
        <f>SQRT(($M$1892-$M$1891)^2+($N$1892-$N$1891)^2)</f>
        <v>209.94180148756735</v>
      </c>
      <c r="Y1892">
        <f>_xlfn.XLOOKUP($F1892,設計座標!$E$13:$E$2301,設計座標!$L$13:$L$2301," ",0,1)</f>
        <v>1889.4492</v>
      </c>
      <c r="Z1892">
        <f>SQRT(($M$1893-$M$1890)^2+($N$1893-$N$1890)^2)</f>
        <v>2099.3910148757714</v>
      </c>
    </row>
    <row r="1893" spans="1:28">
      <c r="A1893" t="s">
        <v>797</v>
      </c>
      <c r="B1893">
        <v>5</v>
      </c>
      <c r="C1893" t="s">
        <v>804</v>
      </c>
      <c r="D1893" t="s">
        <v>1152</v>
      </c>
      <c r="E1893" t="s">
        <v>804</v>
      </c>
      <c r="F1893" t="s">
        <v>1273</v>
      </c>
      <c r="G1893" t="s">
        <v>2795</v>
      </c>
      <c r="I1893">
        <f>_xlfn.XLOOKUP($F1893,設計座標!$E$13:$E$2301,設計座標!$G$13:$G$2301,"n/a",0,1)</f>
        <v>595.50133886136973</v>
      </c>
      <c r="J1893">
        <f>_xlfn.XLOOKUP($F1893,設計座標!$E$13:$E$2301,設計座標!$H$13:$H$2301,"n/a",0,1)</f>
        <v>-15000</v>
      </c>
      <c r="K1893">
        <f>_xlfn.XLOOKUP($F1893,設計座標!$E$13:$E$2301,設計座標!$I$13:$I$2301,"n/a",0,1)</f>
        <v>-331024.99799546023</v>
      </c>
      <c r="L1893">
        <f>_xlfn.XLOOKUP($F1893,設計座標!$E$13:$E$2301,設計座標!$J$13:$J$2301,"n/a",0,1)</f>
        <v>-270</v>
      </c>
      <c r="M1893" s="2">
        <f t="shared" si="1451"/>
        <v>-14955.739895706858</v>
      </c>
      <c r="N1893" s="2">
        <f t="shared" si="1452"/>
        <v>-331024.99799546023</v>
      </c>
      <c r="O1893" s="23">
        <f t="shared" si="1453"/>
        <v>-271.54928920816599</v>
      </c>
      <c r="P1893" s="1">
        <f t="shared" si="1462"/>
        <v>-269.93188323774041</v>
      </c>
      <c r="Q1893" s="1">
        <f t="shared" si="1457"/>
        <v>44.260104293141964</v>
      </c>
      <c r="R1893">
        <f t="shared" si="1434"/>
        <v>0</v>
      </c>
      <c r="S1893" s="23">
        <f t="shared" si="1456"/>
        <v>-1.5492892081660101</v>
      </c>
      <c r="T1893">
        <f>$S1893+測地線補正!$Q$26*(lattice!$N1893/1000)^3+測地線補正!$P$26*(lattice!$N1893/1000)^2+測地線補正!$O$26*(lattice!$N1893/1000)+測地線補正!$N$26</f>
        <v>6.8116762259586627E-2</v>
      </c>
      <c r="U1893">
        <f t="shared" ref="U1893:U1894" si="1469">-ATAN(($P$1894-$P$1892)/ABS($N$1894-$N$1892))</f>
        <v>2.0261256748697543E-5</v>
      </c>
      <c r="V1893">
        <v>0</v>
      </c>
      <c r="W1893">
        <f t="shared" ref="W1893:W1894" si="1470">ATAN(($M$1894-$M$1892)/ABS($N$1894-$N$1892))</f>
        <v>1.1904414239142268E-4</v>
      </c>
      <c r="X1893" t="s">
        <v>3860</v>
      </c>
      <c r="Y1893">
        <f>_xlfn.XLOOKUP($F1893,設計座標!$E$13:$E$2301,設計座標!$L$13:$L$2301," ",0,1)</f>
        <v>1889.4492</v>
      </c>
      <c r="Z1893">
        <f>SQRT(($M$1893-$M$1890)^2+($N$1893-$N$1890)^2)</f>
        <v>2099.3910148757714</v>
      </c>
    </row>
    <row r="1894" spans="1:28">
      <c r="A1894" t="s">
        <v>797</v>
      </c>
      <c r="B1894">
        <v>5</v>
      </c>
      <c r="C1894" t="s">
        <v>804</v>
      </c>
      <c r="D1894" t="s">
        <v>1152</v>
      </c>
      <c r="E1894" t="s">
        <v>804</v>
      </c>
      <c r="F1894" t="s">
        <v>1801</v>
      </c>
      <c r="G1894" t="s">
        <v>2795</v>
      </c>
      <c r="I1894">
        <f>_xlfn.XLOOKUP($F1894,設計座標!$E$13:$E$2301,設計座標!$G$13:$G$2301,"n/a",0,1)</f>
        <v>596.4460634613697</v>
      </c>
      <c r="J1894">
        <f>_xlfn.XLOOKUP($F1894,設計座標!$E$13:$E$2301,設計座標!$H$13:$H$2301,"n/a",0,1)</f>
        <v>-15000</v>
      </c>
      <c r="K1894">
        <f>_xlfn.XLOOKUP($F1894,設計座標!$E$13:$E$2301,設計座標!$I$13:$I$2301,"n/a",0,1)</f>
        <v>-331969.72259546025</v>
      </c>
      <c r="L1894">
        <f>_xlfn.XLOOKUP($F1894,設計座標!$E$13:$E$2301,設計座標!$J$13:$J$2301,"n/a",0,1)</f>
        <v>-270</v>
      </c>
      <c r="M1894" s="2">
        <f t="shared" si="1451"/>
        <v>-14955.627431776524</v>
      </c>
      <c r="N1894" s="2">
        <f t="shared" si="1452"/>
        <v>-331969.72259546025</v>
      </c>
      <c r="O1894" s="23">
        <f t="shared" si="1453"/>
        <v>-271.55557267506867</v>
      </c>
      <c r="P1894" s="1">
        <f t="shared" si="1462"/>
        <v>-269.95104592053434</v>
      </c>
      <c r="Q1894" s="1">
        <f t="shared" si="1457"/>
        <v>44.372568223476783</v>
      </c>
      <c r="R1894">
        <f t="shared" si="1434"/>
        <v>0</v>
      </c>
      <c r="S1894" s="23">
        <f t="shared" si="1456"/>
        <v>-1.5555726750686487</v>
      </c>
      <c r="T1894">
        <f>$S1894+測地線補正!$Q$26*(lattice!$N1894/1000)^3+測地線補正!$P$26*(lattice!$N1894/1000)^2+測地線補正!$O$26*(lattice!$N1894/1000)+測地線補正!$N$26</f>
        <v>4.8954079465642897E-2</v>
      </c>
      <c r="U1894">
        <f t="shared" si="1469"/>
        <v>2.0261256748697543E-5</v>
      </c>
      <c r="V1894">
        <v>0</v>
      </c>
      <c r="W1894">
        <f t="shared" si="1470"/>
        <v>1.1904414239142268E-4</v>
      </c>
      <c r="X1894" t="s">
        <v>3860</v>
      </c>
      <c r="Y1894">
        <f>_xlfn.XLOOKUP($F1894,設計座標!$E$13:$E$2301,設計座標!$L$13:$L$2301," ",0,1)</f>
        <v>1889.4492</v>
      </c>
      <c r="Z1894">
        <f>SQRT(($M$1893-$M$1890)^2+($N$1893-$N$1890)^2)</f>
        <v>2099.3910148757714</v>
      </c>
    </row>
    <row r="1895" spans="1:28">
      <c r="A1895" t="s">
        <v>797</v>
      </c>
      <c r="B1895">
        <v>5</v>
      </c>
      <c r="C1895" t="s">
        <v>1152</v>
      </c>
      <c r="D1895" t="s">
        <v>1152</v>
      </c>
      <c r="E1895" t="s">
        <v>804</v>
      </c>
      <c r="F1895" t="s">
        <v>2180</v>
      </c>
      <c r="G1895" t="s">
        <v>2180</v>
      </c>
      <c r="I1895">
        <f>_xlfn.XLOOKUP($F1895,設計座標!$E$13:$E$2301,設計座標!$G$13:$G$2301,"n/a",0,1)</f>
        <v>596.67299776136974</v>
      </c>
      <c r="J1895">
        <f>_xlfn.XLOOKUP($F1895,設計座標!$E$13:$E$2301,設計座標!$H$13:$H$2301,"n/a",0,1)</f>
        <v>-15000</v>
      </c>
      <c r="K1895">
        <f>_xlfn.XLOOKUP($F1895,設計座標!$E$13:$E$2301,設計座標!$I$13:$I$2301,"n/a",0,1)</f>
        <v>-332196.65689546021</v>
      </c>
      <c r="L1895">
        <f>_xlfn.XLOOKUP($F1895,設計座標!$E$13:$E$2301,設計座標!$J$13:$J$2301,"n/a",0,1)</f>
        <v>-270</v>
      </c>
      <c r="M1895" s="2">
        <f t="shared" si="1451"/>
        <v>-14955.600416577272</v>
      </c>
      <c r="N1895" s="2">
        <f t="shared" si="1452"/>
        <v>-332196.65689546021</v>
      </c>
      <c r="O1895" s="23">
        <f t="shared" si="1453"/>
        <v>-271.55708203998103</v>
      </c>
      <c r="P1895" s="1">
        <f t="shared" si="1462"/>
        <v>-269.95565532080872</v>
      </c>
      <c r="Q1895" s="1">
        <f t="shared" si="1457"/>
        <v>44.399583422727211</v>
      </c>
      <c r="R1895">
        <f t="shared" si="1434"/>
        <v>0</v>
      </c>
      <c r="S1895" s="23">
        <f t="shared" si="1456"/>
        <v>-1.5570820399810508</v>
      </c>
      <c r="T1895">
        <f>$S1895+測地線補正!$Q$26*(lattice!$N1895/1000)^3+測地線補正!$P$26*(lattice!$N1895/1000)^2+測地線補正!$O$26*(lattice!$N1895/1000)+測地線補正!$N$26</f>
        <v>4.4344679191272496E-2</v>
      </c>
      <c r="U1895">
        <v>0</v>
      </c>
      <c r="V1895">
        <v>0</v>
      </c>
      <c r="W1895">
        <v>0</v>
      </c>
      <c r="X1895">
        <f>SQRT(($M$1895-$M$1894)^2+($N$1895-$N$1894)^2)</f>
        <v>226.93430160796504</v>
      </c>
      <c r="Y1895">
        <f>_xlfn.XLOOKUP($F1895,設計座標!$E$13:$E$2301,設計座標!$L$13:$L$2301," ",0,1)</f>
        <v>0</v>
      </c>
      <c r="Z1895">
        <f>SQRT(($M$1895-$M$1893)^2+($N$1895-$N$1893)^2)</f>
        <v>1171.6589083020669</v>
      </c>
    </row>
    <row r="1896" spans="1:28">
      <c r="A1896" t="s">
        <v>797</v>
      </c>
      <c r="B1896">
        <v>5</v>
      </c>
      <c r="C1896" t="s">
        <v>804</v>
      </c>
      <c r="D1896" t="s">
        <v>1152</v>
      </c>
      <c r="E1896" t="s">
        <v>804</v>
      </c>
      <c r="F1896" t="s">
        <v>1802</v>
      </c>
      <c r="G1896" t="s">
        <v>2796</v>
      </c>
      <c r="I1896">
        <f>_xlfn.XLOOKUP($F1896,設計座標!$E$13:$E$2301,設計座標!$G$13:$G$2301,"n/a",0,1)</f>
        <v>596.97090526136981</v>
      </c>
      <c r="J1896">
        <f>_xlfn.XLOOKUP($F1896,設計座標!$E$13:$E$2301,設計座標!$H$13:$H$2301,"n/a",0,1)</f>
        <v>-15000</v>
      </c>
      <c r="K1896">
        <f>_xlfn.XLOOKUP($F1896,設計座標!$E$13:$E$2301,設計座標!$I$13:$I$2301,"n/a",0,1)</f>
        <v>-332494.56439546018</v>
      </c>
      <c r="L1896">
        <f>_xlfn.XLOOKUP($F1896,設計座標!$E$13:$E$2301,設計座標!$J$13:$J$2301,"n/a",0,1)</f>
        <v>-270</v>
      </c>
      <c r="M1896" s="2">
        <f t="shared" si="1451"/>
        <v>-14955.564952434255</v>
      </c>
      <c r="N1896" s="2">
        <f t="shared" si="1452"/>
        <v>-332494.56439546018</v>
      </c>
      <c r="O1896" s="23">
        <f t="shared" si="1453"/>
        <v>-271.55906345542877</v>
      </c>
      <c r="P1896" s="1">
        <f t="shared" si="1462"/>
        <v>-269.96170996936377</v>
      </c>
      <c r="Q1896" s="1">
        <f t="shared" si="1457"/>
        <v>44.435047565744355</v>
      </c>
      <c r="R1896">
        <f t="shared" si="1434"/>
        <v>0</v>
      </c>
      <c r="S1896" s="23">
        <f t="shared" si="1456"/>
        <v>-1.5590634554287881</v>
      </c>
      <c r="T1896">
        <f>$S1896+測地線補正!$Q$26*(lattice!$N1896/1000)^3+測地線補正!$P$26*(lattice!$N1896/1000)^2+測地線補正!$O$26*(lattice!$N1896/1000)+測地線補正!$N$26</f>
        <v>3.8290030636238148E-2</v>
      </c>
      <c r="U1896">
        <f>-ATAN(($P$1898-$P$1896)/ABS($N$1898-$N$1896))</f>
        <v>2.0374526727648424E-5</v>
      </c>
      <c r="V1896">
        <v>0</v>
      </c>
      <c r="W1896">
        <f>ATAN(($M$1898-$M$1896)/ABS($N$1898-$N$1896))</f>
        <v>1.1904414239142268E-4</v>
      </c>
      <c r="X1896">
        <f>SQRT(($M$1896-$M$1895)^2+($N$1896-$N$1895)^2)</f>
        <v>297.90750211087129</v>
      </c>
      <c r="Y1896">
        <f>_xlfn.XLOOKUP($F1896,設計座標!$E$13:$E$2301,設計座標!$L$13:$L$2301," ",0,1)</f>
        <v>1889.4492</v>
      </c>
      <c r="Z1896">
        <f>SQRT(($M$1897-$M$1895)^2+($N$1897-$N$1895)^2)</f>
        <v>1242.6321088049733</v>
      </c>
    </row>
    <row r="1897" spans="1:28">
      <c r="A1897" t="s">
        <v>797</v>
      </c>
      <c r="B1897">
        <v>5</v>
      </c>
      <c r="C1897" t="s">
        <v>804</v>
      </c>
      <c r="D1897" t="s">
        <v>1152</v>
      </c>
      <c r="E1897" t="s">
        <v>804</v>
      </c>
      <c r="F1897" t="s">
        <v>1327</v>
      </c>
      <c r="G1897" t="s">
        <v>2796</v>
      </c>
      <c r="I1897">
        <f>_xlfn.XLOOKUP($F1897,設計座標!$E$13:$E$2301,設計座標!$G$13:$G$2301,"n/a",0,1)</f>
        <v>597.91562986136978</v>
      </c>
      <c r="J1897">
        <f>_xlfn.XLOOKUP($F1897,設計座標!$E$13:$E$2301,設計座標!$H$13:$H$2301,"n/a",0,1)</f>
        <v>-15000</v>
      </c>
      <c r="K1897">
        <f>_xlfn.XLOOKUP($F1897,設計座標!$E$13:$E$2301,設計座標!$I$13:$I$2301,"n/a",0,1)</f>
        <v>-333439.2889954602</v>
      </c>
      <c r="L1897">
        <f>_xlfn.XLOOKUP($F1897,設計座標!$E$13:$E$2301,設計座標!$J$13:$J$2301,"n/a",0,1)</f>
        <v>-270</v>
      </c>
      <c r="M1897" s="2">
        <f t="shared" si="1451"/>
        <v>-14955.452488503921</v>
      </c>
      <c r="N1897" s="2">
        <f t="shared" si="1452"/>
        <v>-333439.2889954602</v>
      </c>
      <c r="O1897" s="23">
        <f t="shared" si="1453"/>
        <v>-271.5653469223314</v>
      </c>
      <c r="P1897" s="1">
        <f t="shared" si="1462"/>
        <v>-269.98093778794134</v>
      </c>
      <c r="Q1897" s="1">
        <f t="shared" si="1457"/>
        <v>44.547511496079174</v>
      </c>
      <c r="R1897">
        <f t="shared" si="1434"/>
        <v>0</v>
      </c>
      <c r="S1897" s="23">
        <f t="shared" si="1456"/>
        <v>-1.5653469223314267</v>
      </c>
      <c r="T1897">
        <f>$S1897+測地線補正!$Q$26*(lattice!$N1897/1000)^3+測地線補正!$P$26*(lattice!$N1897/1000)^2+測地線補正!$O$26*(lattice!$N1897/1000)+測地線補正!$N$26</f>
        <v>1.9062212058647665E-2</v>
      </c>
      <c r="U1897">
        <f t="shared" ref="U1897:U1898" si="1471">-ATAN(($P$1898-$P$1896)/ABS($N$1898-$N$1896))</f>
        <v>2.0374526727648424E-5</v>
      </c>
      <c r="V1897">
        <v>0</v>
      </c>
      <c r="W1897">
        <f t="shared" ref="W1897:W1898" si="1472">ATAN(($M$1898-$M$1896)/ABS($N$1898-$N$1896))</f>
        <v>1.1904414239142268E-4</v>
      </c>
      <c r="X1897" t="s">
        <v>3860</v>
      </c>
      <c r="Y1897">
        <f>_xlfn.XLOOKUP($F1897,設計座標!$E$13:$E$2301,設計座標!$L$13:$L$2301," ",0,1)</f>
        <v>1889.4492</v>
      </c>
      <c r="Z1897">
        <f>SQRT(($M$1897-$M$1895)^2+($N$1897-$N$1895)^2)</f>
        <v>1242.6321088049733</v>
      </c>
    </row>
    <row r="1898" spans="1:28">
      <c r="A1898" t="s">
        <v>797</v>
      </c>
      <c r="B1898">
        <v>5</v>
      </c>
      <c r="C1898" t="s">
        <v>804</v>
      </c>
      <c r="D1898" t="s">
        <v>1152</v>
      </c>
      <c r="E1898" t="s">
        <v>804</v>
      </c>
      <c r="F1898" t="s">
        <v>1803</v>
      </c>
      <c r="G1898" t="s">
        <v>2796</v>
      </c>
      <c r="I1898">
        <f>_xlfn.XLOOKUP($F1898,設計座標!$E$13:$E$2301,設計座標!$G$13:$G$2301,"n/a",0,1)</f>
        <v>598.86035446136975</v>
      </c>
      <c r="J1898">
        <f>_xlfn.XLOOKUP($F1898,設計座標!$E$13:$E$2301,設計座標!$H$13:$H$2301,"n/a",0,1)</f>
        <v>-15000</v>
      </c>
      <c r="K1898">
        <f>_xlfn.XLOOKUP($F1898,設計座標!$E$13:$E$2301,設計座標!$I$13:$I$2301,"n/a",0,1)</f>
        <v>-334384.01359546022</v>
      </c>
      <c r="L1898">
        <f>_xlfn.XLOOKUP($F1898,設計座標!$E$13:$E$2301,設計座標!$J$13:$J$2301,"n/a",0,1)</f>
        <v>-270</v>
      </c>
      <c r="M1898" s="2">
        <f t="shared" si="1451"/>
        <v>-14955.340024573587</v>
      </c>
      <c r="N1898" s="2">
        <f t="shared" si="1452"/>
        <v>-334384.01359546022</v>
      </c>
      <c r="O1898" s="23">
        <f t="shared" si="1453"/>
        <v>-271.57163038923409</v>
      </c>
      <c r="P1898" s="1">
        <f t="shared" si="1462"/>
        <v>-270.00020660259503</v>
      </c>
      <c r="Q1898" s="1">
        <f t="shared" si="1457"/>
        <v>44.659975426413993</v>
      </c>
      <c r="R1898">
        <f t="shared" si="1434"/>
        <v>0</v>
      </c>
      <c r="S1898" s="23">
        <f t="shared" si="1456"/>
        <v>-1.5716303892340651</v>
      </c>
      <c r="T1898">
        <f>$S1898+測地線補正!$Q$26*(lattice!$N1898/1000)^3+測地線補正!$P$26*(lattice!$N1898/1000)^2+測地線補正!$O$26*(lattice!$N1898/1000)+測地線補正!$N$26</f>
        <v>-2.0660259502514045E-4</v>
      </c>
      <c r="U1898">
        <f t="shared" si="1471"/>
        <v>2.0374526727648424E-5</v>
      </c>
      <c r="V1898">
        <v>0</v>
      </c>
      <c r="W1898">
        <f t="shared" si="1472"/>
        <v>1.1904414239142268E-4</v>
      </c>
      <c r="X1898" t="s">
        <v>3860</v>
      </c>
      <c r="Y1898">
        <f>_xlfn.XLOOKUP($F1898,設計座標!$E$13:$E$2301,設計座標!$L$13:$L$2301," ",0,1)</f>
        <v>1889.4492</v>
      </c>
      <c r="Z1898">
        <f>SQRT(($M$1897-$M$1895)^2+($N$1897-$N$1895)^2)</f>
        <v>1242.6321088049733</v>
      </c>
    </row>
    <row r="1899" spans="1:28">
      <c r="A1899" t="s">
        <v>797</v>
      </c>
      <c r="B1899">
        <v>5</v>
      </c>
      <c r="C1899" t="s">
        <v>804</v>
      </c>
      <c r="D1899" t="s">
        <v>1152</v>
      </c>
      <c r="E1899" t="s">
        <v>804</v>
      </c>
      <c r="F1899" t="s">
        <v>1804</v>
      </c>
      <c r="G1899" t="s">
        <v>2797</v>
      </c>
      <c r="I1899">
        <f>_xlfn.XLOOKUP($F1899,設計座標!$E$13:$E$2301,設計座標!$G$13:$G$2301,"n/a",0,1)</f>
        <v>599.07029626136978</v>
      </c>
      <c r="J1899">
        <f>_xlfn.XLOOKUP($F1899,設計座標!$E$13:$E$2301,設計座標!$H$13:$H$2301,"n/a",0,1)</f>
        <v>-15000</v>
      </c>
      <c r="K1899">
        <f>_xlfn.XLOOKUP($F1899,設計座標!$E$13:$E$2301,設計座標!$I$13:$I$2301,"n/a",0,1)</f>
        <v>-334593.95539546019</v>
      </c>
      <c r="L1899">
        <f>_xlfn.XLOOKUP($F1899,設計座標!$E$13:$E$2301,設計座標!$J$13:$J$2301,"n/a",0,1)</f>
        <v>-270</v>
      </c>
      <c r="M1899" s="2">
        <f t="shared" si="1451"/>
        <v>-14955.315032231934</v>
      </c>
      <c r="N1899" s="2">
        <f t="shared" si="1452"/>
        <v>-334593.95539546019</v>
      </c>
      <c r="O1899" s="23">
        <f t="shared" si="1453"/>
        <v>-271.57302673516574</v>
      </c>
      <c r="P1899" s="1">
        <f t="shared" si="1462"/>
        <v>-270.00449412100784</v>
      </c>
      <c r="Q1899" s="1">
        <f t="shared" si="1457"/>
        <v>44.68496776806527</v>
      </c>
      <c r="R1899">
        <f t="shared" si="1434"/>
        <v>0</v>
      </c>
      <c r="S1899" s="23">
        <f t="shared" si="1456"/>
        <v>-1.5730267351657579</v>
      </c>
      <c r="T1899">
        <f>$S1899+測地線補正!$Q$26*(lattice!$N1899/1000)^3+測地線補正!$P$26*(lattice!$N1899/1000)^2+測地線補正!$O$26*(lattice!$N1899/1000)+測地線補正!$N$26</f>
        <v>-4.4941210078557337E-3</v>
      </c>
      <c r="U1899">
        <f>-ATAN(($P$1901-$P$1899)/ABS($N$1901-$N$1899))</f>
        <v>2.0469165610130176E-5</v>
      </c>
      <c r="V1899">
        <v>0</v>
      </c>
      <c r="W1899">
        <f>ATAN(($M$1901-$M$1899)/ABS($N$1901-$N$1899))</f>
        <v>1.1904414239142268E-4</v>
      </c>
      <c r="X1899">
        <f>SQRT(($M$1899-$M$1898)^2+($N$1899-$N$1898)^2)</f>
        <v>209.94180148756735</v>
      </c>
      <c r="Y1899">
        <f>_xlfn.XLOOKUP($F1899,設計座標!$E$13:$E$2301,設計座標!$L$13:$L$2301," ",0,1)</f>
        <v>1889.4492</v>
      </c>
      <c r="Z1899">
        <f>SQRT(($M$1900-$M$1897)^2+($N$1900-$N$1897)^2)</f>
        <v>2099.3910148757714</v>
      </c>
    </row>
    <row r="1900" spans="1:28">
      <c r="A1900" t="s">
        <v>797</v>
      </c>
      <c r="B1900">
        <v>5</v>
      </c>
      <c r="C1900" t="s">
        <v>804</v>
      </c>
      <c r="D1900" t="s">
        <v>1152</v>
      </c>
      <c r="E1900" t="s">
        <v>804</v>
      </c>
      <c r="F1900" t="s">
        <v>1381</v>
      </c>
      <c r="G1900" t="s">
        <v>2797</v>
      </c>
      <c r="I1900">
        <f>_xlfn.XLOOKUP($F1900,設計座標!$E$13:$E$2301,設計座標!$G$13:$G$2301,"n/a",0,1)</f>
        <v>600.01502086136975</v>
      </c>
      <c r="J1900">
        <f>_xlfn.XLOOKUP($F1900,設計座標!$E$13:$E$2301,設計座標!$H$13:$H$2301,"n/a",0,1)</f>
        <v>-15000</v>
      </c>
      <c r="K1900">
        <f>_xlfn.XLOOKUP($F1900,設計座標!$E$13:$E$2301,設計座標!$I$13:$I$2301,"n/a",0,1)</f>
        <v>-335538.6799954602</v>
      </c>
      <c r="L1900">
        <f>_xlfn.XLOOKUP($F1900,設計座標!$E$13:$E$2301,設計座標!$J$13:$J$2301,"n/a",0,1)</f>
        <v>-270</v>
      </c>
      <c r="M1900" s="2">
        <f t="shared" si="1451"/>
        <v>-14955.2025683016</v>
      </c>
      <c r="N1900" s="2">
        <f t="shared" si="1452"/>
        <v>-335538.6799954602</v>
      </c>
      <c r="O1900" s="23">
        <f t="shared" si="1453"/>
        <v>-271.57931020206837</v>
      </c>
      <c r="P1900" s="1">
        <f t="shared" si="1462"/>
        <v>-270.02381210994326</v>
      </c>
      <c r="Q1900" s="1">
        <f t="shared" si="1457"/>
        <v>44.797431698400089</v>
      </c>
      <c r="R1900">
        <f t="shared" si="1434"/>
        <v>0</v>
      </c>
      <c r="S1900" s="23">
        <f t="shared" si="1456"/>
        <v>-1.5793102020683962</v>
      </c>
      <c r="T1900">
        <f>$S1900+測地線補正!$Q$26*(lattice!$N1900/1000)^3+測地線補正!$P$26*(lattice!$N1900/1000)^2+測地線補正!$O$26*(lattice!$N1900/1000)+測地線補正!$N$26</f>
        <v>-2.3812109943263104E-2</v>
      </c>
      <c r="U1900">
        <f t="shared" ref="U1900:U1901" si="1473">-ATAN(($P$1901-$P$1899)/ABS($N$1901-$N$1899))</f>
        <v>2.0469165610130176E-5</v>
      </c>
      <c r="V1900">
        <v>0</v>
      </c>
      <c r="W1900">
        <f t="shared" ref="W1900:W1901" si="1474">ATAN(($M$1901-$M$1899)/ABS($N$1901-$N$1899))</f>
        <v>1.1904414239142268E-4</v>
      </c>
      <c r="X1900" t="s">
        <v>3860</v>
      </c>
      <c r="Y1900">
        <f>_xlfn.XLOOKUP($F1900,設計座標!$E$13:$E$2301,設計座標!$L$13:$L$2301," ",0,1)</f>
        <v>1889.4492</v>
      </c>
      <c r="Z1900">
        <f>SQRT(($M$1900-$M$1897)^2+($N$1900-$N$1897)^2)</f>
        <v>2099.3910148757714</v>
      </c>
    </row>
    <row r="1901" spans="1:28">
      <c r="A1901" t="s">
        <v>797</v>
      </c>
      <c r="B1901">
        <v>5</v>
      </c>
      <c r="C1901" t="s">
        <v>804</v>
      </c>
      <c r="D1901" t="s">
        <v>1152</v>
      </c>
      <c r="E1901" t="s">
        <v>804</v>
      </c>
      <c r="F1901" t="s">
        <v>1805</v>
      </c>
      <c r="G1901" t="s">
        <v>2797</v>
      </c>
      <c r="I1901">
        <f>_xlfn.XLOOKUP($F1901,設計座標!$E$13:$E$2301,設計座標!$G$13:$G$2301,"n/a",0,1)</f>
        <v>600.95974546136972</v>
      </c>
      <c r="J1901">
        <f>_xlfn.XLOOKUP($F1901,設計座標!$E$13:$E$2301,設計座標!$H$13:$H$2301,"n/a",0,1)</f>
        <v>-15000</v>
      </c>
      <c r="K1901">
        <f>_xlfn.XLOOKUP($F1901,設計座標!$E$13:$E$2301,設計座標!$I$13:$I$2301,"n/a",0,1)</f>
        <v>-336483.40459546022</v>
      </c>
      <c r="L1901">
        <f>_xlfn.XLOOKUP($F1901,設計座標!$E$13:$E$2301,設計座標!$J$13:$J$2301,"n/a",0,1)</f>
        <v>-270</v>
      </c>
      <c r="M1901" s="2">
        <f t="shared" si="1451"/>
        <v>-14955.090104371266</v>
      </c>
      <c r="N1901" s="2">
        <f t="shared" si="1452"/>
        <v>-336483.40459546022</v>
      </c>
      <c r="O1901" s="23">
        <f t="shared" si="1453"/>
        <v>-271.58559366897106</v>
      </c>
      <c r="P1901" s="1">
        <f t="shared" si="1462"/>
        <v>-270.04316956959997</v>
      </c>
      <c r="Q1901" s="1">
        <f t="shared" si="1457"/>
        <v>44.909895628734908</v>
      </c>
      <c r="R1901">
        <f t="shared" si="1434"/>
        <v>0</v>
      </c>
      <c r="S1901" s="23">
        <f t="shared" si="1456"/>
        <v>-1.5855936689710348</v>
      </c>
      <c r="T1901">
        <f>$S1901+測地線補正!$Q$26*(lattice!$N1901/1000)^3+測地線補正!$P$26*(lattice!$N1901/1000)^2+測地線補正!$O$26*(lattice!$N1901/1000)+測地線補正!$N$26</f>
        <v>-4.3169569599978752E-2</v>
      </c>
      <c r="U1901">
        <f t="shared" si="1473"/>
        <v>2.0469165610130176E-5</v>
      </c>
      <c r="V1901">
        <v>0</v>
      </c>
      <c r="W1901">
        <f t="shared" si="1474"/>
        <v>1.1904414239142268E-4</v>
      </c>
      <c r="X1901" t="s">
        <v>3860</v>
      </c>
      <c r="Y1901">
        <f>_xlfn.XLOOKUP($F1901,設計座標!$E$13:$E$2301,設計座標!$L$13:$L$2301," ",0,1)</f>
        <v>1889.4492</v>
      </c>
      <c r="Z1901">
        <f>SQRT(($M$1900-$M$1897)^2+($N$1900-$N$1897)^2)</f>
        <v>2099.3910148757714</v>
      </c>
    </row>
    <row r="1902" spans="1:28">
      <c r="A1902" t="s">
        <v>797</v>
      </c>
      <c r="B1902">
        <v>5</v>
      </c>
      <c r="C1902" t="s">
        <v>1152</v>
      </c>
      <c r="D1902" t="s">
        <v>1152</v>
      </c>
      <c r="E1902" t="s">
        <v>804</v>
      </c>
      <c r="F1902" t="s">
        <v>2181</v>
      </c>
      <c r="G1902" t="s">
        <v>2181</v>
      </c>
      <c r="I1902">
        <f>_xlfn.XLOOKUP($F1902,設計座標!$E$13:$E$2301,設計座標!$G$13:$G$2301,"n/a",0,1)</f>
        <v>601.1122413613698</v>
      </c>
      <c r="J1902">
        <f>_xlfn.XLOOKUP($F1902,設計座標!$E$13:$E$2301,設計座標!$H$13:$H$2301,"n/a",0,1)</f>
        <v>-15000</v>
      </c>
      <c r="K1902">
        <f>_xlfn.XLOOKUP($F1902,設計座標!$E$13:$E$2301,設計座標!$I$13:$I$2301,"n/a",0,1)</f>
        <v>-336635.9004954602</v>
      </c>
      <c r="L1902">
        <f>_xlfn.XLOOKUP($F1902,設計座標!$E$13:$E$2301,設計座標!$J$13:$J$2301,"n/a",0,1)</f>
        <v>-270</v>
      </c>
      <c r="M1902" s="2">
        <f t="shared" si="1451"/>
        <v>-14955.071950627545</v>
      </c>
      <c r="N1902" s="2">
        <f t="shared" si="1452"/>
        <v>-336635.9004954602</v>
      </c>
      <c r="O1902" s="23">
        <f t="shared" si="1453"/>
        <v>-271.58660793592293</v>
      </c>
      <c r="P1902" s="1">
        <f t="shared" si="1462"/>
        <v>-270.04629787259739</v>
      </c>
      <c r="Q1902" s="1">
        <f t="shared" si="1457"/>
        <v>44.928049372454453</v>
      </c>
      <c r="R1902">
        <f t="shared" si="1434"/>
        <v>0</v>
      </c>
      <c r="S1902" s="23">
        <f t="shared" si="1456"/>
        <v>-1.5866079359229464</v>
      </c>
      <c r="T1902">
        <f>$S1902+測地線補正!$Q$26*(lattice!$N1902/1000)^3+測地線補正!$P$26*(lattice!$N1902/1000)^2+測地線補正!$O$26*(lattice!$N1902/1000)+測地線補正!$N$26</f>
        <v>-4.6297872597378609E-2</v>
      </c>
      <c r="U1902">
        <v>0</v>
      </c>
      <c r="V1902">
        <v>0</v>
      </c>
      <c r="W1902">
        <v>0</v>
      </c>
      <c r="X1902">
        <f>SQRT(($M$1902-$M$1901)^2+($N$1902-$N$1901)^2)</f>
        <v>152.49590108052831</v>
      </c>
      <c r="Y1902">
        <f>_xlfn.XLOOKUP($F1902,設計座標!$E$13:$E$2301,設計座標!$L$13:$L$2301," ",0,1)</f>
        <v>0</v>
      </c>
      <c r="Z1902">
        <f>SQRT(($M$1902-$M$1900)^2+($N$1902-$N$1900)^2)</f>
        <v>1097.2205077746303</v>
      </c>
    </row>
    <row r="1903" spans="1:28">
      <c r="A1903" t="s">
        <v>797</v>
      </c>
      <c r="B1903">
        <v>5</v>
      </c>
      <c r="C1903" t="s">
        <v>805</v>
      </c>
      <c r="D1903" t="s">
        <v>806</v>
      </c>
      <c r="F1903" t="s">
        <v>463</v>
      </c>
      <c r="G1903" t="s">
        <v>2798</v>
      </c>
      <c r="I1903">
        <f>_xlfn.XLOOKUP($F1903,設計座標!$E$13:$E$2301,設計座標!$G$13:$G$2301,"n/a",0,1)</f>
        <v>601.2360239999997</v>
      </c>
      <c r="J1903">
        <f>_xlfn.XLOOKUP($F1903,設計座標!$E$13:$E$2301,設計座標!$H$13:$H$2301,"n/a",0,1)</f>
        <v>-15000</v>
      </c>
      <c r="K1903">
        <f>_xlfn.XLOOKUP($F1903,設計座標!$E$13:$E$2301,設計座標!$I$13:$I$2301,"n/a",0,1)</f>
        <v>-336871.76701395999</v>
      </c>
      <c r="L1903">
        <f>_xlfn.XLOOKUP($F1903,設計座標!$E$13:$E$2301,設計座標!$J$13:$J$2301,"n/a",0,1)</f>
        <v>-50</v>
      </c>
      <c r="M1903" s="2">
        <f>_xlfn.XLOOKUP($F1903,survey_data!$A$2:$A$833,survey_data!$B$2:$B$833,"n/a",0,1)</f>
        <v>-14955.043872099999</v>
      </c>
      <c r="N1903" s="2">
        <f>_xlfn.XLOOKUP($F1903,survey_data!$A$2:$A$833,survey_data!$C$2:$C$833,"n/a",0,1)</f>
        <v>-336871.76701395999</v>
      </c>
      <c r="O1903" s="23">
        <f>_xlfn.XLOOKUP($F1903,survey_data!$A$2:$A$833,survey_data!$D$2:$D$833,"n/a",0,1)</f>
        <v>-51.588176709999999</v>
      </c>
      <c r="P1903" s="1">
        <f t="shared" si="1462"/>
        <v>-50.051138425194104</v>
      </c>
      <c r="Q1903" s="1">
        <f t="shared" si="1447"/>
        <v>44.956127900000865</v>
      </c>
      <c r="R1903">
        <f t="shared" si="1434"/>
        <v>0</v>
      </c>
      <c r="S1903" s="23">
        <f t="shared" si="1448"/>
        <v>-1.588176709999999</v>
      </c>
      <c r="T1903">
        <f>$S1903+測地線補正!$Q$26*(lattice!$N1903/1000)^3+測地線補正!$P$26*(lattice!$N1903/1000)^2+測地線補正!$O$26*(lattice!$N1903/1000)+測地線補正!$N$26</f>
        <v>-5.113842519410583E-2</v>
      </c>
      <c r="U1903">
        <f>-ATAN(($P$1905-$P$1903)/ABS($N$1905-$N$1903))</f>
        <v>3.0724487394845937E-4</v>
      </c>
      <c r="V1903">
        <v>0</v>
      </c>
      <c r="W1903">
        <f>ATAN(($M$1905-$M$1903)/ABS($N$1905-$N$1903))</f>
        <v>-2.2213594272043E-4</v>
      </c>
      <c r="X1903">
        <f>$Z$1904-($Y$1904+$Y$1902)/2</f>
        <v>210.87151870945723</v>
      </c>
      <c r="Y1903">
        <f>_xlfn.XLOOKUP($F1903,設計座標!$E$13:$E$2301,設計座標!$L$13:$L$2301," ",0,1)</f>
        <v>200</v>
      </c>
      <c r="Z1903">
        <f>SQRT(($M$1904-$M$1902)^2+($N$1904-$N$1902)^2)</f>
        <v>310.87151870945723</v>
      </c>
      <c r="AA1903">
        <f>_xlfn.XLOOKUP($G1903,magnet_list!$A$2:$A$592,magnet_list!$AJ$2:$AJ$592,"n/a",0,1)</f>
        <v>0.21244935000000001</v>
      </c>
      <c r="AB1903">
        <f>_xlfn.XLOOKUP($G1903,magnet_list!$A$2:$A$592,magnet_list!$L$2:$L$592,"n/a",0,1)</f>
        <v>20</v>
      </c>
    </row>
    <row r="1904" spans="1:28">
      <c r="A1904" t="s">
        <v>797</v>
      </c>
      <c r="B1904">
        <v>5</v>
      </c>
      <c r="C1904" t="s">
        <v>805</v>
      </c>
      <c r="D1904" t="s">
        <v>1152</v>
      </c>
      <c r="E1904" t="s">
        <v>804</v>
      </c>
      <c r="F1904" t="s">
        <v>788</v>
      </c>
      <c r="G1904" t="s">
        <v>2798</v>
      </c>
      <c r="I1904">
        <f>_xlfn.XLOOKUP($F1904,設計座標!$E$13:$E$2301,設計座標!$G$13:$G$2301,"n/a",0,1)</f>
        <v>601.31102899999973</v>
      </c>
      <c r="J1904">
        <f>_xlfn.XLOOKUP($F1904,設計座標!$E$13:$E$2301,設計座標!$H$13:$H$2301,"n/a",0,1)</f>
        <v>-15000</v>
      </c>
      <c r="K1904">
        <f>_xlfn.XLOOKUP($F1904,設計座標!$E$13:$E$2301,設計座標!$I$13:$I$2301,"n/a",0,1)</f>
        <v>-336946.77201396</v>
      </c>
      <c r="L1904">
        <f>_xlfn.XLOOKUP($F1904,設計座標!$E$13:$E$2301,設計座標!$J$13:$J$2301,"n/a",0,1)</f>
        <v>-50</v>
      </c>
      <c r="M1904" s="2">
        <f t="shared" si="1451"/>
        <v>-14955.060533406657</v>
      </c>
      <c r="N1904" s="2">
        <f t="shared" si="1452"/>
        <v>-336946.77201396</v>
      </c>
      <c r="O1904" s="23">
        <f t="shared" si="1453"/>
        <v>-51.610180569954878</v>
      </c>
      <c r="P1904" s="1">
        <f t="shared" si="1462"/>
        <v>-50.074183206497239</v>
      </c>
      <c r="Q1904" s="1">
        <f>(Q$1905-Q$1903)/($N$1905-$N$1903)*($N1904-$N$1903)+Q$1903</f>
        <v>44.93946659334307</v>
      </c>
      <c r="R1904">
        <f t="shared" si="1434"/>
        <v>0</v>
      </c>
      <c r="S1904" s="23">
        <f>(S$1905-S$1903)/($N$1905-$N$1903)*($N1904-$N$1903)+S$1903</f>
        <v>-1.6101805699548759</v>
      </c>
      <c r="T1904">
        <f>$S1904+測地線補正!$Q$26*(lattice!$N1904/1000)^3+測地線補正!$P$26*(lattice!$N1904/1000)^2+測地線補正!$O$26*(lattice!$N1904/1000)+測地線補正!$N$26</f>
        <v>-7.4183206497235199E-2</v>
      </c>
      <c r="U1904">
        <f t="shared" ref="U1904:U1905" si="1475">-ATAN(($P$1905-$P$1903)/ABS($N$1905-$N$1903))</f>
        <v>3.0724487394845937E-4</v>
      </c>
      <c r="V1904">
        <v>0</v>
      </c>
      <c r="W1904">
        <f t="shared" ref="W1904:W1905" si="1476">ATAN(($M$1905-$M$1903)/ABS($N$1905-$N$1903))</f>
        <v>-2.2213594272043E-4</v>
      </c>
      <c r="X1904">
        <f>$Z$1904-($Y$1904+$Y$1902)/2</f>
        <v>210.87151870945723</v>
      </c>
      <c r="Y1904">
        <f>_xlfn.XLOOKUP($F1904,設計座標!$E$13:$E$2301,設計座標!$L$13:$L$2301," ",0,1)</f>
        <v>200</v>
      </c>
      <c r="Z1904">
        <f>SQRT(($M$1904-$M$1902)^2+($N$1904-$N$1902)^2)</f>
        <v>310.87151870945723</v>
      </c>
      <c r="AA1904">
        <f>_xlfn.XLOOKUP($G1904,magnet_list!$A$2:$A$592,magnet_list!$AJ$2:$AJ$592,"n/a",0,1)</f>
        <v>0.21244935000000001</v>
      </c>
      <c r="AB1904">
        <f>_xlfn.XLOOKUP($G1904,magnet_list!$A$2:$A$592,magnet_list!$L$2:$L$592,"n/a",0,1)</f>
        <v>20</v>
      </c>
    </row>
    <row r="1905" spans="1:28">
      <c r="A1905" t="s">
        <v>797</v>
      </c>
      <c r="B1905">
        <v>5</v>
      </c>
      <c r="C1905" t="s">
        <v>805</v>
      </c>
      <c r="D1905" t="s">
        <v>806</v>
      </c>
      <c r="F1905" t="s">
        <v>464</v>
      </c>
      <c r="G1905" t="s">
        <v>2798</v>
      </c>
      <c r="I1905">
        <f>_xlfn.XLOOKUP($F1905,設計座標!$E$13:$E$2301,設計座標!$G$13:$G$2301,"n/a",0,1)</f>
        <v>601.38603399999977</v>
      </c>
      <c r="J1905">
        <f>_xlfn.XLOOKUP($F1905,設計座標!$E$13:$E$2301,設計座標!$H$13:$H$2301,"n/a",0,1)</f>
        <v>-15000</v>
      </c>
      <c r="K1905">
        <f>_xlfn.XLOOKUP($F1905,設計座標!$E$13:$E$2301,設計座標!$I$13:$I$2301,"n/a",0,1)</f>
        <v>-337021.78843348002</v>
      </c>
      <c r="L1905">
        <f>_xlfn.XLOOKUP($F1905,設計座標!$E$13:$E$2301,設計座標!$J$13:$J$2301,"n/a",0,1)</f>
        <v>-50</v>
      </c>
      <c r="M1905" s="2">
        <f>_xlfn.XLOOKUP($F1905,survey_data!$A$2:$A$833,survey_data!$B$2:$B$833,"n/a",0,1)</f>
        <v>-14955.077197250001</v>
      </c>
      <c r="N1905" s="2">
        <f>_xlfn.XLOOKUP($F1905,survey_data!$A$2:$A$833,survey_data!$C$2:$C$833,"n/a",0,1)</f>
        <v>-337021.78843348002</v>
      </c>
      <c r="O1905" s="23">
        <f>_xlfn.XLOOKUP($F1905,survey_data!$A$2:$A$833,survey_data!$D$2:$D$833,"n/a",0,1)</f>
        <v>-51.632187780000002</v>
      </c>
      <c r="P1905" s="1">
        <f t="shared" si="1462"/>
        <v>-50.097231738774497</v>
      </c>
      <c r="Q1905" s="1">
        <f t="shared" si="1447"/>
        <v>44.922802749999391</v>
      </c>
      <c r="R1905">
        <f t="shared" si="1434"/>
        <v>0</v>
      </c>
      <c r="S1905" s="23">
        <f t="shared" si="1448"/>
        <v>-1.6321877800000024</v>
      </c>
      <c r="T1905">
        <f>$S1905+測地線補正!$Q$26*(lattice!$N1905/1000)^3+測地線補正!$P$26*(lattice!$N1905/1000)^2+測地線補正!$O$26*(lattice!$N1905/1000)+測地線補正!$N$26</f>
        <v>-9.723173877449498E-2</v>
      </c>
      <c r="U1905">
        <f t="shared" si="1475"/>
        <v>3.0724487394845937E-4</v>
      </c>
      <c r="V1905">
        <v>0</v>
      </c>
      <c r="W1905">
        <f t="shared" si="1476"/>
        <v>-2.2213594272043E-4</v>
      </c>
      <c r="X1905">
        <f>$Z$1904-($Y$1904+$Y$1902)/2</f>
        <v>210.87151870945723</v>
      </c>
      <c r="Y1905">
        <f>_xlfn.XLOOKUP($F1905,設計座標!$E$13:$E$2301,設計座標!$L$13:$L$2301," ",0,1)</f>
        <v>200</v>
      </c>
      <c r="Z1905">
        <f>SQRT(($M$1904-$M$1902)^2+($N$1904-$N$1902)^2)</f>
        <v>310.87151870945723</v>
      </c>
      <c r="AA1905">
        <f>_xlfn.XLOOKUP($G1905,magnet_list!$A$2:$A$592,magnet_list!$AJ$2:$AJ$592,"n/a",0,1)</f>
        <v>0.21244935000000001</v>
      </c>
      <c r="AB1905">
        <f>_xlfn.XLOOKUP($G1905,magnet_list!$A$2:$A$592,magnet_list!$L$2:$L$592,"n/a",0,1)</f>
        <v>20</v>
      </c>
    </row>
    <row r="1906" spans="1:28">
      <c r="A1906" t="s">
        <v>797</v>
      </c>
      <c r="B1906">
        <v>5</v>
      </c>
      <c r="C1906" t="s">
        <v>805</v>
      </c>
      <c r="D1906" t="s">
        <v>806</v>
      </c>
      <c r="F1906" t="s">
        <v>465</v>
      </c>
      <c r="G1906" t="s">
        <v>465</v>
      </c>
      <c r="I1906">
        <f>_xlfn.XLOOKUP($F1906,設計座標!$E$13:$E$2301,設計座標!$G$13:$G$2301,"n/a",0,1)</f>
        <v>601.64100599999972</v>
      </c>
      <c r="J1906">
        <f>_xlfn.XLOOKUP($F1906,設計座標!$E$13:$E$2301,設計座標!$H$13:$H$2301,"n/a",0,1)</f>
        <v>-15000</v>
      </c>
      <c r="K1906">
        <f>_xlfn.XLOOKUP($F1906,設計座標!$E$13:$E$2301,設計座標!$I$13:$I$2301,"n/a",0,1)</f>
        <v>-337276.74685544998</v>
      </c>
      <c r="L1906">
        <f>_xlfn.XLOOKUP($F1906,設計座標!$E$13:$E$2301,設計座標!$J$13:$J$2301,"n/a",0,1)</f>
        <v>-90</v>
      </c>
      <c r="M1906" s="2">
        <f>_xlfn.XLOOKUP($F1906,survey_data!$A$2:$A$833,survey_data!$B$2:$B$833,"n/a",0,1)</f>
        <v>-14955.06542617</v>
      </c>
      <c r="N1906" s="2">
        <f>_xlfn.XLOOKUP($F1906,survey_data!$A$2:$A$833,survey_data!$C$2:$C$833,"n/a",0,1)</f>
        <v>-337276.74685544998</v>
      </c>
      <c r="O1906" s="23">
        <f>_xlfn.XLOOKUP($F1906,survey_data!$A$2:$A$833,survey_data!$D$2:$D$833,"n/a",0,1)</f>
        <v>-91.618527549999996</v>
      </c>
      <c r="P1906" s="1">
        <f t="shared" si="1462"/>
        <v>-90.087112459734158</v>
      </c>
      <c r="Q1906" s="1">
        <f t="shared" ref="Q1906:Q1951" si="1477">$M1906-$J1906</f>
        <v>44.934573829999863</v>
      </c>
      <c r="R1906">
        <f t="shared" ref="R1906:R1969" si="1478">$N1906-$K1906</f>
        <v>0</v>
      </c>
      <c r="S1906" s="23">
        <f t="shared" ref="S1906:S1951" si="1479">$O1906-$L1906</f>
        <v>-1.618527549999996</v>
      </c>
      <c r="T1906">
        <f>$S1906+測地線補正!$Q$26*(lattice!$N1906/1000)^3+測地線補正!$P$26*(lattice!$N1906/1000)^2+測地線補正!$O$26*(lattice!$N1906/1000)+測地線補正!$N$26</f>
        <v>-8.7112459734150827E-2</v>
      </c>
      <c r="U1906">
        <v>0</v>
      </c>
      <c r="V1906">
        <v>0</v>
      </c>
      <c r="W1906">
        <v>0</v>
      </c>
      <c r="X1906">
        <f>$Z$1907-($Y$1907+$Y$1904)/2</f>
        <v>189.97484152625464</v>
      </c>
      <c r="Y1906">
        <f>_xlfn.XLOOKUP($F1906,設計座標!$E$13:$E$2301,設計座標!$L$13:$L$2301," ",0,1)</f>
        <v>80</v>
      </c>
      <c r="Z1906">
        <f>SQRT(($M$1907-$M$1904)^2+($N$1907-$N$1904)^2)</f>
        <v>329.97484152625464</v>
      </c>
      <c r="AA1906">
        <f>_xlfn.XLOOKUP($G1906,magnet_list!$A$2:$A$592,magnet_list!$AJ$2:$AJ$592,"n/a",0,1)</f>
        <v>0.1074008800631841</v>
      </c>
      <c r="AB1906">
        <f>_xlfn.XLOOKUP($G1906,magnet_list!$A$2:$A$592,magnet_list!$L$2:$L$592,"n/a",0,1)</f>
        <v>20</v>
      </c>
    </row>
    <row r="1907" spans="1:28">
      <c r="A1907" t="s">
        <v>797</v>
      </c>
      <c r="B1907">
        <v>5</v>
      </c>
      <c r="C1907" t="s">
        <v>805</v>
      </c>
      <c r="D1907" t="s">
        <v>1152</v>
      </c>
      <c r="E1907" t="s">
        <v>804</v>
      </c>
      <c r="F1907" t="s">
        <v>1907</v>
      </c>
      <c r="G1907" t="s">
        <v>465</v>
      </c>
      <c r="I1907">
        <f>_xlfn.XLOOKUP($F1907,設計座標!$E$13:$E$2301,設計座標!$G$13:$G$2301,"n/a",0,1)</f>
        <v>601.64100599999972</v>
      </c>
      <c r="J1907">
        <f>_xlfn.XLOOKUP($F1907,設計座標!$E$13:$E$2301,設計座標!$H$13:$H$2301,"n/a",0,1)</f>
        <v>-15000</v>
      </c>
      <c r="K1907">
        <f>_xlfn.XLOOKUP($F1907,設計座標!$E$13:$E$2301,設計座標!$I$13:$I$2301,"n/a",0,1)</f>
        <v>-337276.74685544998</v>
      </c>
      <c r="L1907">
        <f>_xlfn.XLOOKUP($F1907,設計座標!$E$13:$E$2301,設計座標!$J$13:$J$2301,"n/a",0,1)</f>
        <v>-90</v>
      </c>
      <c r="M1907" s="2">
        <f t="shared" ref="M1907:M1943" si="1480">$J1907+$Q1907</f>
        <v>-14955.06542617</v>
      </c>
      <c r="N1907" s="2">
        <f t="shared" ref="N1907:N1943" si="1481">$K1907</f>
        <v>-337276.74685544998</v>
      </c>
      <c r="O1907" s="23">
        <f t="shared" ref="O1907:O1943" si="1482">$L1907+$S1907</f>
        <v>-91.618527549999996</v>
      </c>
      <c r="P1907" s="1">
        <f t="shared" si="1462"/>
        <v>-90.087112459734158</v>
      </c>
      <c r="Q1907" s="1">
        <f>(Q$1908-Q$1906)/($N$1908-$N$1906)*($N1907-$N$1906)+Q$1906</f>
        <v>44.934573829999863</v>
      </c>
      <c r="R1907">
        <f t="shared" si="1478"/>
        <v>0</v>
      </c>
      <c r="S1907" s="23">
        <f>(S$1908-S$1906)/($N$1908-$N$1906)*($N1907-$N$1906)+S$1906</f>
        <v>-1.618527549999996</v>
      </c>
      <c r="T1907">
        <f>$S1907+測地線補正!$Q$26*(lattice!$N1907/1000)^3+測地線補正!$P$26*(lattice!$N1907/1000)^2+測地線補正!$O$26*(lattice!$N1907/1000)+測地線補正!$N$26</f>
        <v>-8.7112459734150827E-2</v>
      </c>
      <c r="U1907">
        <v>0</v>
      </c>
      <c r="V1907">
        <v>0</v>
      </c>
      <c r="W1907">
        <v>0</v>
      </c>
      <c r="X1907">
        <f>$Z$1907-($Y$1907+$Y$1904)/2</f>
        <v>189.97484152625464</v>
      </c>
      <c r="Y1907">
        <f>_xlfn.XLOOKUP($F1907,設計座標!$E$13:$E$2301,設計座標!$L$13:$L$2301," ",0,1)</f>
        <v>80</v>
      </c>
      <c r="Z1907">
        <f>SQRT(($M$1907-$M$1904)^2+($N$1907-$N$1904)^2)</f>
        <v>329.97484152625464</v>
      </c>
      <c r="AA1907">
        <f>_xlfn.XLOOKUP($G1907,magnet_list!$A$2:$A$592,magnet_list!$AJ$2:$AJ$592,"n/a",0,1)</f>
        <v>0.1074008800631841</v>
      </c>
      <c r="AB1907">
        <f>_xlfn.XLOOKUP($G1907,magnet_list!$A$2:$A$592,magnet_list!$L$2:$L$592,"n/a",0,1)</f>
        <v>20</v>
      </c>
    </row>
    <row r="1908" spans="1:28">
      <c r="A1908" t="s">
        <v>797</v>
      </c>
      <c r="B1908">
        <v>5</v>
      </c>
      <c r="C1908" t="s">
        <v>805</v>
      </c>
      <c r="D1908" t="s">
        <v>806</v>
      </c>
      <c r="F1908" t="s">
        <v>466</v>
      </c>
      <c r="G1908" t="s">
        <v>466</v>
      </c>
      <c r="I1908">
        <f>_xlfn.XLOOKUP($F1908,設計座標!$E$13:$E$2301,設計座標!$G$13:$G$2301,"n/a",0,1)</f>
        <v>601.84100899999976</v>
      </c>
      <c r="J1908">
        <f>_xlfn.XLOOKUP($F1908,設計座標!$E$13:$E$2301,設計座標!$H$13:$H$2301,"n/a",0,1)</f>
        <v>-15000</v>
      </c>
      <c r="K1908">
        <f>_xlfn.XLOOKUP($F1908,設計座標!$E$13:$E$2301,設計座標!$I$13:$I$2301,"n/a",0,1)</f>
        <v>-337476.74613918999</v>
      </c>
      <c r="L1908">
        <f>_xlfn.XLOOKUP($F1908,設計座標!$E$13:$E$2301,設計座標!$J$13:$J$2301,"n/a",0,1)</f>
        <v>-90</v>
      </c>
      <c r="M1908" s="2">
        <f>_xlfn.XLOOKUP($F1908,survey_data!$A$2:$A$833,survey_data!$B$2:$B$833,"n/a",0,1)</f>
        <v>-14954.94895219</v>
      </c>
      <c r="N1908" s="2">
        <f>_xlfn.XLOOKUP($F1908,survey_data!$A$2:$A$833,survey_data!$C$2:$C$833,"n/a",0,1)</f>
        <v>-337476.74613918999</v>
      </c>
      <c r="O1908" s="23">
        <f>_xlfn.XLOOKUP($F1908,survey_data!$A$2:$A$833,survey_data!$D$2:$D$833,"n/a",0,1)</f>
        <v>-91.662934620000001</v>
      </c>
      <c r="P1908" s="1">
        <f t="shared" si="1462"/>
        <v>-90.134299137461383</v>
      </c>
      <c r="Q1908" s="1">
        <f t="shared" si="1477"/>
        <v>45.051047810000455</v>
      </c>
      <c r="R1908">
        <f t="shared" si="1478"/>
        <v>0</v>
      </c>
      <c r="S1908" s="23">
        <f t="shared" si="1479"/>
        <v>-1.6629346200000015</v>
      </c>
      <c r="T1908">
        <f>$S1908+測地線補正!$Q$26*(lattice!$N1908/1000)^3+測地線補正!$P$26*(lattice!$N1908/1000)^2+測地線補正!$O$26*(lattice!$N1908/1000)+測地線補正!$N$26</f>
        <v>-0.13429913746138689</v>
      </c>
      <c r="U1908">
        <v>0</v>
      </c>
      <c r="V1908">
        <v>0</v>
      </c>
      <c r="W1908">
        <v>0</v>
      </c>
      <c r="X1908">
        <f>$Z$1909-($Y$1909+$Y$1907)/2</f>
        <v>119.99931765559455</v>
      </c>
      <c r="Y1908">
        <f>_xlfn.XLOOKUP($F1908,設計座標!$E$13:$E$2301,設計座標!$L$13:$L$2301," ",0,1)</f>
        <v>80</v>
      </c>
      <c r="Z1908">
        <f>SQRT(($M$1909-$M$1907)^2+($N$1909-$N$1907)^2)</f>
        <v>199.99931765559455</v>
      </c>
      <c r="AA1908">
        <f>_xlfn.XLOOKUP($G1908,magnet_list!$A$2:$A$592,magnet_list!$AJ$2:$AJ$592,"n/a",0,1)</f>
        <v>0.1074008800631841</v>
      </c>
      <c r="AB1908">
        <f>_xlfn.XLOOKUP($G1908,magnet_list!$A$2:$A$592,magnet_list!$L$2:$L$592,"n/a",0,1)</f>
        <v>20</v>
      </c>
    </row>
    <row r="1909" spans="1:28">
      <c r="A1909" t="s">
        <v>797</v>
      </c>
      <c r="B1909">
        <v>5</v>
      </c>
      <c r="C1909" t="s">
        <v>805</v>
      </c>
      <c r="D1909" t="s">
        <v>1152</v>
      </c>
      <c r="E1909" t="s">
        <v>804</v>
      </c>
      <c r="F1909" t="s">
        <v>1908</v>
      </c>
      <c r="G1909" t="s">
        <v>466</v>
      </c>
      <c r="I1909">
        <f>_xlfn.XLOOKUP($F1909,設計座標!$E$13:$E$2301,設計座標!$G$13:$G$2301,"n/a",0,1)</f>
        <v>601.84100899999976</v>
      </c>
      <c r="J1909">
        <f>_xlfn.XLOOKUP($F1909,設計座標!$E$13:$E$2301,設計座標!$H$13:$H$2301,"n/a",0,1)</f>
        <v>-15000</v>
      </c>
      <c r="K1909">
        <f>_xlfn.XLOOKUP($F1909,設計座標!$E$13:$E$2301,設計座標!$I$13:$I$2301,"n/a",0,1)</f>
        <v>-337476.74613918999</v>
      </c>
      <c r="L1909">
        <f>_xlfn.XLOOKUP($F1909,設計座標!$E$13:$E$2301,設計座標!$J$13:$J$2301,"n/a",0,1)</f>
        <v>-90</v>
      </c>
      <c r="M1909" s="2">
        <f t="shared" si="1480"/>
        <v>-14954.94895219</v>
      </c>
      <c r="N1909" s="2">
        <f t="shared" si="1481"/>
        <v>-337476.74613918999</v>
      </c>
      <c r="O1909" s="23">
        <f t="shared" si="1482"/>
        <v>-91.662934620000001</v>
      </c>
      <c r="P1909" s="1">
        <f t="shared" si="1462"/>
        <v>-90.134299137461383</v>
      </c>
      <c r="Q1909" s="1">
        <f>(Q$1910-Q$1908)/($N$1910-$N$1908)*($N1909-$N$1908)+Q$1908</f>
        <v>45.051047810000455</v>
      </c>
      <c r="R1909">
        <f t="shared" si="1478"/>
        <v>0</v>
      </c>
      <c r="S1909" s="23">
        <f>(S$1910-S$1908)/($N$1910-$N$1908)*($N1909-$N$1908)+S$1908</f>
        <v>-1.6629346200000015</v>
      </c>
      <c r="T1909">
        <f>$S1909+測地線補正!$Q$26*(lattice!$N1909/1000)^3+測地線補正!$P$26*(lattice!$N1909/1000)^2+測地線補正!$O$26*(lattice!$N1909/1000)+測地線補正!$N$26</f>
        <v>-0.13429913746138689</v>
      </c>
      <c r="U1909">
        <v>0</v>
      </c>
      <c r="V1909">
        <v>0</v>
      </c>
      <c r="W1909">
        <v>0</v>
      </c>
      <c r="X1909">
        <f>$Z$1909-($Y$1909+$Y$1907)/2</f>
        <v>119.99931765559455</v>
      </c>
      <c r="Y1909">
        <f>_xlfn.XLOOKUP($F1909,設計座標!$E$13:$E$2301,設計座標!$L$13:$L$2301," ",0,1)</f>
        <v>80</v>
      </c>
      <c r="Z1909">
        <f>SQRT(($M$1909-$M$1907)^2+($N$1909-$N$1907)^2)</f>
        <v>199.99931765559455</v>
      </c>
      <c r="AA1909">
        <f>_xlfn.XLOOKUP($G1909,magnet_list!$A$2:$A$592,magnet_list!$AJ$2:$AJ$592,"n/a",0,1)</f>
        <v>0.1074008800631841</v>
      </c>
      <c r="AB1909">
        <f>_xlfn.XLOOKUP($G1909,magnet_list!$A$2:$A$592,magnet_list!$L$2:$L$592,"n/a",0,1)</f>
        <v>20</v>
      </c>
    </row>
    <row r="1910" spans="1:28">
      <c r="A1910" t="s">
        <v>797</v>
      </c>
      <c r="B1910">
        <v>5</v>
      </c>
      <c r="C1910" t="s">
        <v>805</v>
      </c>
      <c r="D1910" t="s">
        <v>806</v>
      </c>
      <c r="F1910" t="s">
        <v>467</v>
      </c>
      <c r="G1910" t="s">
        <v>2799</v>
      </c>
      <c r="I1910">
        <f>_xlfn.XLOOKUP($F1910,設計座標!$E$13:$E$2301,設計座標!$G$13:$G$2301,"n/a",0,1)</f>
        <v>602.09595699999966</v>
      </c>
      <c r="J1910">
        <f>_xlfn.XLOOKUP($F1910,設計座標!$E$13:$E$2301,設計座標!$H$13:$H$2301,"n/a",0,1)</f>
        <v>-15000</v>
      </c>
      <c r="K1910">
        <f>_xlfn.XLOOKUP($F1910,設計座標!$E$13:$E$2301,設計座標!$I$13:$I$2301,"n/a",0,1)</f>
        <v>-337731.69898223999</v>
      </c>
      <c r="L1910">
        <f>_xlfn.XLOOKUP($F1910,設計座標!$E$13:$E$2301,設計座標!$J$13:$J$2301,"n/a",0,1)</f>
        <v>-50</v>
      </c>
      <c r="M1910" s="2">
        <f>_xlfn.XLOOKUP($F1910,survey_data!$A$2:$A$833,survey_data!$B$2:$B$833,"n/a",0,1)</f>
        <v>-14954.92924698</v>
      </c>
      <c r="N1910" s="2">
        <f>_xlfn.XLOOKUP($F1910,survey_data!$A$2:$A$833,survey_data!$C$2:$C$833,"n/a",0,1)</f>
        <v>-337731.69898223999</v>
      </c>
      <c r="O1910" s="23">
        <f>_xlfn.XLOOKUP($F1910,survey_data!$A$2:$A$833,survey_data!$D$2:$D$833,"n/a",0,1)</f>
        <v>-51.5924251</v>
      </c>
      <c r="P1910" s="1">
        <f t="shared" si="1462"/>
        <v>-50.067335447086748</v>
      </c>
      <c r="Q1910" s="1">
        <f t="shared" si="1477"/>
        <v>45.070753019999756</v>
      </c>
      <c r="R1910">
        <f t="shared" si="1478"/>
        <v>0</v>
      </c>
      <c r="S1910" s="23">
        <f t="shared" si="1479"/>
        <v>-1.5924250999999998</v>
      </c>
      <c r="T1910">
        <f>$S1910+測地線補正!$Q$26*(lattice!$N1910/1000)^3+測地線補正!$P$26*(lattice!$N1910/1000)^2+測地線補正!$O$26*(lattice!$N1910/1000)+測地線補正!$N$26</f>
        <v>-6.7335447086746436E-2</v>
      </c>
      <c r="U1910">
        <f>-ATAN(($P$1912-$P$1910)/ABS($N$1912-$N$1910))</f>
        <v>-3.3459364033744984E-4</v>
      </c>
      <c r="V1910">
        <v>0</v>
      </c>
      <c r="W1910">
        <f>ATAN(($M$1912-$M$1910)/ABS($N$1912-$N$1910))</f>
        <v>1.2661596152047124E-4</v>
      </c>
      <c r="X1910">
        <f>$Z$1911-($Y$1911+$Y$1909)/2</f>
        <v>189.96034434225641</v>
      </c>
      <c r="Y1910">
        <f>_xlfn.XLOOKUP($F1910,設計座標!$E$13:$E$2301,設計座標!$L$13:$L$2301," ",0,1)</f>
        <v>200</v>
      </c>
      <c r="Z1910">
        <f>SQRT(($M$1911-$M$1909)^2+($N$1911-$N$1909)^2)</f>
        <v>329.96034434225641</v>
      </c>
      <c r="AA1910">
        <f>_xlfn.XLOOKUP($G1910,magnet_list!$A$2:$A$592,magnet_list!$AJ$2:$AJ$592,"n/a",0,1)</f>
        <v>0.21244935000000001</v>
      </c>
      <c r="AB1910">
        <f>_xlfn.XLOOKUP($G1910,magnet_list!$A$2:$A$592,magnet_list!$L$2:$L$592,"n/a",0,1)</f>
        <v>20</v>
      </c>
    </row>
    <row r="1911" spans="1:28">
      <c r="A1911" t="s">
        <v>797</v>
      </c>
      <c r="B1911">
        <v>5</v>
      </c>
      <c r="C1911" t="s">
        <v>805</v>
      </c>
      <c r="D1911" t="s">
        <v>1152</v>
      </c>
      <c r="E1911" t="s">
        <v>804</v>
      </c>
      <c r="F1911" t="s">
        <v>789</v>
      </c>
      <c r="G1911" t="s">
        <v>2799</v>
      </c>
      <c r="I1911">
        <f>_xlfn.XLOOKUP($F1911,設計座標!$E$13:$E$2301,設計座標!$G$13:$G$2301,"n/a",0,1)</f>
        <v>602.17096449999974</v>
      </c>
      <c r="J1911">
        <f>_xlfn.XLOOKUP($F1911,設計座標!$E$13:$E$2301,設計座標!$H$13:$H$2301,"n/a",0,1)</f>
        <v>-15000</v>
      </c>
      <c r="K1911">
        <f>_xlfn.XLOOKUP($F1911,設計座標!$E$13:$E$2301,設計座標!$I$13:$I$2301,"n/a",0,1)</f>
        <v>-337806.70648224</v>
      </c>
      <c r="L1911">
        <f>_xlfn.XLOOKUP($F1911,設計座標!$E$13:$E$2301,設計座標!$J$13:$J$2301,"n/a",0,1)</f>
        <v>-50</v>
      </c>
      <c r="M1911" s="2">
        <f t="shared" si="1480"/>
        <v>-14954.919749833216</v>
      </c>
      <c r="N1911" s="2">
        <f t="shared" si="1481"/>
        <v>-337806.70648224</v>
      </c>
      <c r="O1911" s="23">
        <f t="shared" si="1482"/>
        <v>-51.566284233313397</v>
      </c>
      <c r="P1911" s="1">
        <f t="shared" si="1462"/>
        <v>-50.042238294452488</v>
      </c>
      <c r="Q1911" s="1">
        <f>(Q$1912-Q$1910)/($N$1912-$N$1910)*($N1911-$N$1910)+Q$1910</f>
        <v>45.080250166784253</v>
      </c>
      <c r="R1911">
        <f t="shared" si="1478"/>
        <v>0</v>
      </c>
      <c r="S1911" s="23">
        <f>(S$1912-S$1910)/($N$1912-$N$1910)*($N1911-$N$1910)+S$1910</f>
        <v>-1.5662842333133946</v>
      </c>
      <c r="T1911">
        <f>$S1911+測地線補正!$Q$26*(lattice!$N1911/1000)^3+測地線補正!$P$26*(lattice!$N1911/1000)^2+測地線補正!$O$26*(lattice!$N1911/1000)+測地線補正!$N$26</f>
        <v>-4.2238294452485059E-2</v>
      </c>
      <c r="U1911">
        <f t="shared" ref="U1911:U1912" si="1483">-ATAN(($P$1912-$P$1910)/ABS($N$1912-$N$1910))</f>
        <v>-3.3459364033744984E-4</v>
      </c>
      <c r="V1911">
        <v>0</v>
      </c>
      <c r="W1911">
        <f t="shared" ref="W1911:W1912" si="1484">ATAN(($M$1912-$M$1910)/ABS($N$1912-$N$1910))</f>
        <v>1.2661596152047124E-4</v>
      </c>
      <c r="X1911">
        <f>$Z$1911-($Y$1911+$Y$1909)/2</f>
        <v>189.96034434225641</v>
      </c>
      <c r="Y1911">
        <f>_xlfn.XLOOKUP($F1911,設計座標!$E$13:$E$2301,設計座標!$L$13:$L$2301," ",0,1)</f>
        <v>200</v>
      </c>
      <c r="Z1911">
        <f>SQRT(($M$1911-$M$1909)^2+($N$1911-$N$1909)^2)</f>
        <v>329.96034434225641</v>
      </c>
      <c r="AA1911">
        <f>_xlfn.XLOOKUP($G1911,magnet_list!$A$2:$A$592,magnet_list!$AJ$2:$AJ$592,"n/a",0,1)</f>
        <v>0.21244935000000001</v>
      </c>
      <c r="AB1911">
        <f>_xlfn.XLOOKUP($G1911,magnet_list!$A$2:$A$592,magnet_list!$L$2:$L$592,"n/a",0,1)</f>
        <v>20</v>
      </c>
    </row>
    <row r="1912" spans="1:28">
      <c r="A1912" t="s">
        <v>797</v>
      </c>
      <c r="B1912">
        <v>5</v>
      </c>
      <c r="C1912" t="s">
        <v>805</v>
      </c>
      <c r="D1912" t="s">
        <v>806</v>
      </c>
      <c r="F1912" t="s">
        <v>468</v>
      </c>
      <c r="G1912" t="s">
        <v>2799</v>
      </c>
      <c r="I1912">
        <f>_xlfn.XLOOKUP($F1912,設計座標!$E$13:$E$2301,設計座標!$G$13:$G$2301,"n/a",0,1)</f>
        <v>602.24597199999971</v>
      </c>
      <c r="J1912">
        <f>_xlfn.XLOOKUP($F1912,設計座標!$E$13:$E$2301,設計座標!$H$13:$H$2301,"n/a",0,1)</f>
        <v>-15000</v>
      </c>
      <c r="K1912">
        <f>_xlfn.XLOOKUP($F1912,設計座標!$E$13:$E$2301,設計座標!$I$13:$I$2301,"n/a",0,1)</f>
        <v>-337881.71853483998</v>
      </c>
      <c r="L1912">
        <f>_xlfn.XLOOKUP($F1912,設計座標!$E$13:$E$2301,設計座標!$J$13:$J$2301,"n/a",0,1)</f>
        <v>-50</v>
      </c>
      <c r="M1912" s="2">
        <f>_xlfn.XLOOKUP($F1912,survey_data!$A$2:$A$833,survey_data!$B$2:$B$833,"n/a",0,1)</f>
        <v>-14954.910252109999</v>
      </c>
      <c r="N1912" s="2">
        <f>_xlfn.XLOOKUP($F1912,survey_data!$A$2:$A$833,survey_data!$C$2:$C$833,"n/a",0,1)</f>
        <v>-337881.71853483998</v>
      </c>
      <c r="O1912" s="23">
        <f>_xlfn.XLOOKUP($F1912,survey_data!$A$2:$A$833,survey_data!$D$2:$D$833,"n/a",0,1)</f>
        <v>-51.540141779999999</v>
      </c>
      <c r="P1912" s="1">
        <f t="shared" si="1462"/>
        <v>-50.017139856987342</v>
      </c>
      <c r="Q1912" s="1">
        <f t="shared" si="1477"/>
        <v>45.089747890000581</v>
      </c>
      <c r="R1912">
        <f t="shared" si="1478"/>
        <v>0</v>
      </c>
      <c r="S1912" s="23">
        <f t="shared" si="1479"/>
        <v>-1.540141779999999</v>
      </c>
      <c r="T1912">
        <f>$S1912+測地線補正!$Q$26*(lattice!$N1912/1000)^3+測地線補正!$P$26*(lattice!$N1912/1000)^2+測地線補正!$O$26*(lattice!$N1912/1000)+測地線補正!$N$26</f>
        <v>-1.7139856987338442E-2</v>
      </c>
      <c r="U1912">
        <f t="shared" si="1483"/>
        <v>-3.3459364033744984E-4</v>
      </c>
      <c r="V1912">
        <v>0</v>
      </c>
      <c r="W1912">
        <f t="shared" si="1484"/>
        <v>1.2661596152047124E-4</v>
      </c>
      <c r="X1912">
        <f>$Z$1911-($Y$1911+$Y$1909)/2</f>
        <v>189.96034434225641</v>
      </c>
      <c r="Y1912">
        <f>_xlfn.XLOOKUP($F1912,設計座標!$E$13:$E$2301,設計座標!$L$13:$L$2301," ",0,1)</f>
        <v>200</v>
      </c>
      <c r="Z1912">
        <f>SQRT(($M$1911-$M$1909)^2+($N$1911-$N$1909)^2)</f>
        <v>329.96034434225641</v>
      </c>
      <c r="AA1912">
        <f>_xlfn.XLOOKUP($G1912,magnet_list!$A$2:$A$592,magnet_list!$AJ$2:$AJ$592,"n/a",0,1)</f>
        <v>0.21244935000000001</v>
      </c>
      <c r="AB1912">
        <f>_xlfn.XLOOKUP($G1912,magnet_list!$A$2:$A$592,magnet_list!$L$2:$L$592,"n/a",0,1)</f>
        <v>20</v>
      </c>
    </row>
    <row r="1913" spans="1:28">
      <c r="A1913" t="s">
        <v>797</v>
      </c>
      <c r="B1913">
        <v>5</v>
      </c>
      <c r="C1913" t="s">
        <v>2288</v>
      </c>
      <c r="D1913" t="s">
        <v>1152</v>
      </c>
      <c r="E1913" t="s">
        <v>804</v>
      </c>
      <c r="F1913" t="s">
        <v>2306</v>
      </c>
      <c r="G1913" t="s">
        <v>2306</v>
      </c>
      <c r="I1913">
        <f>_xlfn.XLOOKUP($F1913,設計座標!$E$13:$E$2301,設計座標!$G$13:$G$2301,"n/a",0,1)</f>
        <v>602.52722406136979</v>
      </c>
      <c r="J1913">
        <f>_xlfn.XLOOKUP($F1913,設計座標!$E$13:$E$2301,設計座標!$H$13:$H$2301,"n/a",0,1)</f>
        <v>-15000</v>
      </c>
      <c r="K1913">
        <f>_xlfn.XLOOKUP($F1913,設計座標!$E$13:$E$2301,設計座標!$I$13:$I$2301,"n/a",0,1)</f>
        <v>-338050.88319546019</v>
      </c>
      <c r="L1913">
        <f>_xlfn.XLOOKUP($F1913,設計座標!$E$13:$E$2301,設計座標!$J$13:$J$2301,"n/a",0,1)</f>
        <v>-270</v>
      </c>
      <c r="M1913" s="2">
        <f t="shared" si="1480"/>
        <v>-14954.884500084288</v>
      </c>
      <c r="N1913" s="2">
        <f t="shared" si="1481"/>
        <v>-338050.88319546019</v>
      </c>
      <c r="O1913" s="23">
        <f t="shared" si="1482"/>
        <v>-271.53709495329542</v>
      </c>
      <c r="P1913" s="1">
        <f t="shared" si="1462"/>
        <v>-270.01644833319682</v>
      </c>
      <c r="Q1913" s="1">
        <f>(Q$1942-Q$1912)/($N$1942-$N$1912)*($N1913-$N$1912)+Q$1912</f>
        <v>45.115499915710977</v>
      </c>
      <c r="R1913">
        <f t="shared" si="1478"/>
        <v>0</v>
      </c>
      <c r="S1913" s="23">
        <f t="shared" ref="S1913:S1941" si="1485">(S$1942-S$1912)/($N$1942-$N$1912)*($N1913-$N$1912)+S$1912</f>
        <v>-1.5370949532954266</v>
      </c>
      <c r="T1913">
        <f>$S1913+測地線補正!$Q$26*(lattice!$N1913/1000)^3+測地線補正!$P$26*(lattice!$N1913/1000)^2+測地線補正!$O$26*(lattice!$N1913/1000)+測地線補正!$N$26</f>
        <v>-1.6448333196839693E-2</v>
      </c>
      <c r="U1913">
        <v>0</v>
      </c>
      <c r="V1913">
        <v>0</v>
      </c>
      <c r="W1913">
        <v>0</v>
      </c>
      <c r="X1913">
        <f>SQRT(($M$1913-$M$1912)^2+($N$1913-$N$1912)^2)</f>
        <v>169.16466258033432</v>
      </c>
      <c r="Y1913">
        <f>_xlfn.XLOOKUP($F1913,設計座標!$E$13:$E$2301,設計座標!$L$13:$L$2301," ",0,1)</f>
        <v>0</v>
      </c>
      <c r="Z1913">
        <f>SQRT(($M$1913-$M$1911)^2+($N$1913-$N$1911)^2)</f>
        <v>244.17671576454867</v>
      </c>
    </row>
    <row r="1914" spans="1:28">
      <c r="A1914" t="s">
        <v>797</v>
      </c>
      <c r="B1914">
        <v>5</v>
      </c>
      <c r="C1914" t="s">
        <v>804</v>
      </c>
      <c r="D1914" t="s">
        <v>1152</v>
      </c>
      <c r="E1914" t="s">
        <v>804</v>
      </c>
      <c r="F1914" t="s">
        <v>1806</v>
      </c>
      <c r="G1914" t="s">
        <v>2800</v>
      </c>
      <c r="I1914">
        <f>_xlfn.XLOOKUP($F1914,設計座標!$E$13:$E$2301,設計座標!$G$13:$G$2301,"n/a",0,1)</f>
        <v>602.65722366136981</v>
      </c>
      <c r="J1914">
        <f>_xlfn.XLOOKUP($F1914,設計座標!$E$13:$E$2301,設計座標!$H$13:$H$2301,"n/a",0,1)</f>
        <v>-15000</v>
      </c>
      <c r="K1914">
        <f>_xlfn.XLOOKUP($F1914,設計座標!$E$13:$E$2301,設計座標!$I$13:$I$2301,"n/a",0,1)</f>
        <v>-338180.88279546017</v>
      </c>
      <c r="L1914">
        <f>_xlfn.XLOOKUP($F1914,設計座標!$E$13:$E$2301,設計座標!$J$13:$J$2301,"n/a",0,1)</f>
        <v>-270</v>
      </c>
      <c r="M1914" s="2">
        <f t="shared" si="1480"/>
        <v>-14954.86471017646</v>
      </c>
      <c r="N1914" s="2">
        <f t="shared" si="1481"/>
        <v>-338180.88279546017</v>
      </c>
      <c r="O1914" s="23">
        <f t="shared" si="1482"/>
        <v>-271.53475352896123</v>
      </c>
      <c r="P1914" s="1">
        <f t="shared" si="1462"/>
        <v>-270.01591773164682</v>
      </c>
      <c r="Q1914" s="1">
        <f t="shared" ref="Q1914:Q1941" si="1486">(Q$1942-Q$1912)/($N$1942-$N$1912)*($N1914-$N$1912)+Q$1912</f>
        <v>45.135289823539637</v>
      </c>
      <c r="R1914">
        <f t="shared" si="1478"/>
        <v>0</v>
      </c>
      <c r="S1914" s="23">
        <f t="shared" si="1485"/>
        <v>-1.5347535289612215</v>
      </c>
      <c r="T1914">
        <f>$S1914+測地線補正!$Q$26*(lattice!$N1914/1000)^3+測地線補正!$P$26*(lattice!$N1914/1000)^2+測地線補正!$O$26*(lattice!$N1914/1000)+測地線補正!$N$26</f>
        <v>-1.5917731646814426E-2</v>
      </c>
      <c r="U1914">
        <f>-ATAN(($P$1916-$P$1914)/ABS($N$1916-$N$1914))</f>
        <v>-4.0395621820780182E-6</v>
      </c>
      <c r="V1914">
        <v>0</v>
      </c>
      <c r="W1914">
        <f>ATAN(($M$1916-$M$1914)/ABS($N$1916-$N$1914))</f>
        <v>1.5223052744609686E-4</v>
      </c>
      <c r="X1914">
        <f>SQRT(($M$1914-$M$1913)^2+($N$1914-$N$1913)^2)</f>
        <v>129.99960150629505</v>
      </c>
      <c r="Y1914">
        <f>_xlfn.XLOOKUP($F1914,設計座標!$E$13:$E$2301,設計座標!$L$13:$L$2301," ",0,1)</f>
        <v>1889.4492</v>
      </c>
      <c r="Z1914">
        <f>SQRT(($M$1915-$M$1913)^2+($N$1915-$N$1913)^2)</f>
        <v>1074.724212452898</v>
      </c>
    </row>
    <row r="1915" spans="1:28">
      <c r="A1915" t="s">
        <v>797</v>
      </c>
      <c r="B1915">
        <v>5</v>
      </c>
      <c r="C1915" t="s">
        <v>804</v>
      </c>
      <c r="D1915" t="s">
        <v>1152</v>
      </c>
      <c r="E1915" t="s">
        <v>804</v>
      </c>
      <c r="F1915" t="s">
        <v>1218</v>
      </c>
      <c r="G1915" t="s">
        <v>2800</v>
      </c>
      <c r="I1915">
        <f>_xlfn.XLOOKUP($F1915,設計座標!$E$13:$E$2301,設計座標!$G$13:$G$2301,"n/a",0,1)</f>
        <v>603.60194826136978</v>
      </c>
      <c r="J1915">
        <f>_xlfn.XLOOKUP($F1915,設計座標!$E$13:$E$2301,設計座標!$H$13:$H$2301,"n/a",0,1)</f>
        <v>-15000</v>
      </c>
      <c r="K1915">
        <f>_xlfn.XLOOKUP($F1915,設計座標!$E$13:$E$2301,設計座標!$I$13:$I$2301,"n/a",0,1)</f>
        <v>-339125.60739546019</v>
      </c>
      <c r="L1915">
        <f>_xlfn.XLOOKUP($F1915,設計座標!$E$13:$E$2301,設計座標!$J$13:$J$2301,"n/a",0,1)</f>
        <v>-270</v>
      </c>
      <c r="M1915" s="2">
        <f t="shared" si="1480"/>
        <v>-14954.720894251201</v>
      </c>
      <c r="N1915" s="2">
        <f t="shared" si="1481"/>
        <v>-339125.60739546019</v>
      </c>
      <c r="O1915" s="23">
        <f t="shared" si="1482"/>
        <v>-271.51773808300936</v>
      </c>
      <c r="P1915" s="1">
        <f t="shared" si="1462"/>
        <v>-270.01208302559667</v>
      </c>
      <c r="Q1915" s="1">
        <f t="shared" si="1486"/>
        <v>45.279105748799957</v>
      </c>
      <c r="R1915">
        <f t="shared" si="1478"/>
        <v>0</v>
      </c>
      <c r="S1915" s="23">
        <f t="shared" si="1485"/>
        <v>-1.5177380830093694</v>
      </c>
      <c r="T1915">
        <f>$S1915+測地線補正!$Q$26*(lattice!$N1915/1000)^3+測地線補正!$P$26*(lattice!$N1915/1000)^2+測地線補正!$O$26*(lattice!$N1915/1000)+測地線補正!$N$26</f>
        <v>-1.2083025596645536E-2</v>
      </c>
      <c r="U1915">
        <f t="shared" ref="U1915:U1916" si="1487">-ATAN(($P$1916-$P$1914)/ABS($N$1916-$N$1914))</f>
        <v>-4.0395621820780182E-6</v>
      </c>
      <c r="V1915">
        <v>0</v>
      </c>
      <c r="W1915">
        <f t="shared" ref="W1915:W1916" si="1488">ATAN(($M$1916-$M$1914)/ABS($N$1916-$N$1914))</f>
        <v>1.5223052744609686E-4</v>
      </c>
      <c r="X1915" t="s">
        <v>3860</v>
      </c>
      <c r="Y1915">
        <f>_xlfn.XLOOKUP($F1915,設計座標!$E$13:$E$2301,設計座標!$L$13:$L$2301," ",0,1)</f>
        <v>1889.4492</v>
      </c>
      <c r="Z1915">
        <f>SQRT(($M$1915-$M$1913)^2+($N$1915-$N$1913)^2)</f>
        <v>1074.724212452898</v>
      </c>
    </row>
    <row r="1916" spans="1:28">
      <c r="A1916" t="s">
        <v>797</v>
      </c>
      <c r="B1916">
        <v>5</v>
      </c>
      <c r="C1916" t="s">
        <v>804</v>
      </c>
      <c r="D1916" t="s">
        <v>1152</v>
      </c>
      <c r="E1916" t="s">
        <v>804</v>
      </c>
      <c r="F1916" t="s">
        <v>1807</v>
      </c>
      <c r="G1916" t="s">
        <v>2800</v>
      </c>
      <c r="I1916">
        <f>_xlfn.XLOOKUP($F1916,設計座標!$E$13:$E$2301,設計座標!$G$13:$G$2301,"n/a",0,1)</f>
        <v>604.54667286136976</v>
      </c>
      <c r="J1916">
        <f>_xlfn.XLOOKUP($F1916,設計座標!$E$13:$E$2301,設計座標!$H$13:$H$2301,"n/a",0,1)</f>
        <v>-15000</v>
      </c>
      <c r="K1916">
        <f>_xlfn.XLOOKUP($F1916,設計座標!$E$13:$E$2301,設計座標!$I$13:$I$2301,"n/a",0,1)</f>
        <v>-340070.3319954602</v>
      </c>
      <c r="L1916">
        <f>_xlfn.XLOOKUP($F1916,設計座標!$E$13:$E$2301,設計座標!$J$13:$J$2301,"n/a",0,1)</f>
        <v>-270</v>
      </c>
      <c r="M1916" s="2">
        <f t="shared" si="1480"/>
        <v>-14954.57707832594</v>
      </c>
      <c r="N1916" s="2">
        <f t="shared" si="1481"/>
        <v>-340070.3319954602</v>
      </c>
      <c r="O1916" s="23">
        <f t="shared" si="1482"/>
        <v>-271.50072263705749</v>
      </c>
      <c r="P1916" s="1">
        <f t="shared" si="1462"/>
        <v>-270.0082851841135</v>
      </c>
      <c r="Q1916" s="1">
        <f t="shared" si="1486"/>
        <v>45.422921674060284</v>
      </c>
      <c r="R1916">
        <f t="shared" si="1478"/>
        <v>0</v>
      </c>
      <c r="S1916" s="23">
        <f t="shared" si="1485"/>
        <v>-1.5007226370575171</v>
      </c>
      <c r="T1916">
        <f>$S1916+測地線補正!$Q$26*(lattice!$N1916/1000)^3+測地線補正!$P$26*(lattice!$N1916/1000)^2+測地線補正!$O$26*(lattice!$N1916/1000)+測地線補正!$N$26</f>
        <v>-8.2851841135129778E-3</v>
      </c>
      <c r="U1916">
        <f t="shared" si="1487"/>
        <v>-4.0395621820780182E-6</v>
      </c>
      <c r="V1916">
        <v>0</v>
      </c>
      <c r="W1916">
        <f t="shared" si="1488"/>
        <v>1.5223052744609686E-4</v>
      </c>
      <c r="X1916" t="s">
        <v>3860</v>
      </c>
      <c r="Y1916">
        <f>_xlfn.XLOOKUP($F1916,設計座標!$E$13:$E$2301,設計座標!$L$13:$L$2301," ",0,1)</f>
        <v>1889.4492</v>
      </c>
      <c r="Z1916">
        <f>SQRT(($M$1915-$M$1913)^2+($N$1915-$N$1913)^2)</f>
        <v>1074.724212452898</v>
      </c>
    </row>
    <row r="1917" spans="1:28">
      <c r="A1917" t="s">
        <v>797</v>
      </c>
      <c r="B1917">
        <v>5</v>
      </c>
      <c r="C1917" t="s">
        <v>804</v>
      </c>
      <c r="D1917" t="s">
        <v>1152</v>
      </c>
      <c r="E1917" t="s">
        <v>804</v>
      </c>
      <c r="F1917" t="s">
        <v>1808</v>
      </c>
      <c r="G1917" t="s">
        <v>2801</v>
      </c>
      <c r="I1917">
        <f>_xlfn.XLOOKUP($F1917,設計座標!$E$13:$E$2301,設計座標!$G$13:$G$2301,"n/a",0,1)</f>
        <v>604.75661066136979</v>
      </c>
      <c r="J1917">
        <f>_xlfn.XLOOKUP($F1917,設計座標!$E$13:$E$2301,設計座標!$H$13:$H$2301,"n/a",0,1)</f>
        <v>-15000</v>
      </c>
      <c r="K1917">
        <f>_xlfn.XLOOKUP($F1917,設計座標!$E$13:$E$2301,設計座標!$I$13:$I$2301,"n/a",0,1)</f>
        <v>-340280.26979546016</v>
      </c>
      <c r="L1917">
        <f>_xlfn.XLOOKUP($F1917,設計座標!$E$13:$E$2301,設計座標!$J$13:$J$2301,"n/a",0,1)</f>
        <v>-270</v>
      </c>
      <c r="M1917" s="2">
        <f t="shared" si="1480"/>
        <v>-14954.545119383669</v>
      </c>
      <c r="N1917" s="2">
        <f t="shared" si="1481"/>
        <v>-340280.26979546016</v>
      </c>
      <c r="O1917" s="23">
        <f t="shared" si="1482"/>
        <v>-271.49694144485699</v>
      </c>
      <c r="P1917" s="1">
        <f t="shared" si="1462"/>
        <v>-270.00744616058211</v>
      </c>
      <c r="Q1917" s="1">
        <f t="shared" si="1486"/>
        <v>45.454880616332041</v>
      </c>
      <c r="R1917">
        <f t="shared" si="1478"/>
        <v>0</v>
      </c>
      <c r="S1917" s="23">
        <f t="shared" si="1485"/>
        <v>-1.4969414448570071</v>
      </c>
      <c r="T1917">
        <f>$S1917+測地線補正!$Q$26*(lattice!$N1917/1000)^3+測地線補正!$P$26*(lattice!$N1917/1000)^2+測地線補正!$O$26*(lattice!$N1917/1000)+測地線補正!$N$26</f>
        <v>-7.4461605821236621E-3</v>
      </c>
      <c r="U1917">
        <f>-ATAN(($P$1919-$P$1917)/ABS($N$1919-$N$1917))</f>
        <v>-3.9546417867586865E-6</v>
      </c>
      <c r="V1917">
        <v>0</v>
      </c>
      <c r="W1917">
        <f>ATAN(($M$1919-$M$1917)/ABS($N$1919-$N$1917))</f>
        <v>1.5223052744705955E-4</v>
      </c>
      <c r="X1917">
        <f>SQRT(($M$1917-$M$1916)^2+($N$1917-$N$1916)^2)</f>
        <v>209.93780243251936</v>
      </c>
      <c r="Y1917">
        <f>_xlfn.XLOOKUP($F1917,設計座標!$E$13:$E$2301,設計座標!$L$13:$L$2301," ",0,1)</f>
        <v>1889.4492</v>
      </c>
      <c r="Z1917">
        <f>SQRT(($M$1918-$M$1915)^2+($N$1918-$N$1915)^2)</f>
        <v>2099.3870243257256</v>
      </c>
    </row>
    <row r="1918" spans="1:28">
      <c r="A1918" t="s">
        <v>797</v>
      </c>
      <c r="B1918">
        <v>5</v>
      </c>
      <c r="C1918" t="s">
        <v>804</v>
      </c>
      <c r="D1918" t="s">
        <v>1152</v>
      </c>
      <c r="E1918" t="s">
        <v>804</v>
      </c>
      <c r="F1918" t="s">
        <v>1274</v>
      </c>
      <c r="G1918" t="s">
        <v>2801</v>
      </c>
      <c r="I1918">
        <f>_xlfn.XLOOKUP($F1918,設計座標!$E$13:$E$2301,設計座標!$G$13:$G$2301,"n/a",0,1)</f>
        <v>605.70133526136976</v>
      </c>
      <c r="J1918">
        <f>_xlfn.XLOOKUP($F1918,設計座標!$E$13:$E$2301,設計座標!$H$13:$H$2301,"n/a",0,1)</f>
        <v>-15000</v>
      </c>
      <c r="K1918">
        <f>_xlfn.XLOOKUP($F1918,設計座標!$E$13:$E$2301,設計座標!$I$13:$I$2301,"n/a",0,1)</f>
        <v>-341224.99439546018</v>
      </c>
      <c r="L1918">
        <f>_xlfn.XLOOKUP($F1918,設計座標!$E$13:$E$2301,設計座標!$J$13:$J$2301,"n/a",0,1)</f>
        <v>-270</v>
      </c>
      <c r="M1918" s="2">
        <f t="shared" si="1480"/>
        <v>-14954.401303458408</v>
      </c>
      <c r="N1918" s="2">
        <f t="shared" si="1481"/>
        <v>-341224.99439546018</v>
      </c>
      <c r="O1918" s="23">
        <f t="shared" si="1482"/>
        <v>-271.47992599890517</v>
      </c>
      <c r="P1918" s="1">
        <f t="shared" si="1462"/>
        <v>-270.00369244359433</v>
      </c>
      <c r="Q1918" s="1">
        <f t="shared" si="1486"/>
        <v>45.598696541592361</v>
      </c>
      <c r="R1918">
        <f t="shared" si="1478"/>
        <v>0</v>
      </c>
      <c r="S1918" s="23">
        <f t="shared" si="1485"/>
        <v>-1.479925998905155</v>
      </c>
      <c r="T1918">
        <f>$S1918+測地線補正!$Q$26*(lattice!$N1918/1000)^3+測地線補正!$P$26*(lattice!$N1918/1000)^2+測地線補正!$O$26*(lattice!$N1918/1000)+測地線補正!$N$26</f>
        <v>-3.6924435943570533E-3</v>
      </c>
      <c r="U1918">
        <f t="shared" ref="U1918:U1919" si="1489">-ATAN(($P$1919-$P$1917)/ABS($N$1919-$N$1917))</f>
        <v>-3.9546417867586865E-6</v>
      </c>
      <c r="V1918">
        <v>0</v>
      </c>
      <c r="W1918">
        <f t="shared" ref="W1918:W1919" si="1490">ATAN(($M$1919-$M$1917)/ABS($N$1919-$N$1917))</f>
        <v>1.5223052744705955E-4</v>
      </c>
      <c r="X1918" t="s">
        <v>3860</v>
      </c>
      <c r="Y1918">
        <f>_xlfn.XLOOKUP($F1918,設計座標!$E$13:$E$2301,設計座標!$L$13:$L$2301," ",0,1)</f>
        <v>1889.4492</v>
      </c>
      <c r="Z1918">
        <f>SQRT(($M$1918-$M$1915)^2+($N$1918-$N$1915)^2)</f>
        <v>2099.3870243257256</v>
      </c>
    </row>
    <row r="1919" spans="1:28">
      <c r="A1919" t="s">
        <v>797</v>
      </c>
      <c r="B1919">
        <v>5</v>
      </c>
      <c r="C1919" t="s">
        <v>804</v>
      </c>
      <c r="D1919" t="s">
        <v>1152</v>
      </c>
      <c r="E1919" t="s">
        <v>804</v>
      </c>
      <c r="F1919" t="s">
        <v>1809</v>
      </c>
      <c r="G1919" t="s">
        <v>2801</v>
      </c>
      <c r="I1919">
        <f>_xlfn.XLOOKUP($F1919,設計座標!$E$13:$E$2301,設計座標!$G$13:$G$2301,"n/a",0,1)</f>
        <v>606.64605986136974</v>
      </c>
      <c r="J1919">
        <f>_xlfn.XLOOKUP($F1919,設計座標!$E$13:$E$2301,設計座標!$H$13:$H$2301,"n/a",0,1)</f>
        <v>-15000</v>
      </c>
      <c r="K1919">
        <f>_xlfn.XLOOKUP($F1919,設計座標!$E$13:$E$2301,設計座標!$I$13:$I$2301,"n/a",0,1)</f>
        <v>-342169.71899546019</v>
      </c>
      <c r="L1919">
        <f>_xlfn.XLOOKUP($F1919,設計座標!$E$13:$E$2301,設計座標!$J$13:$J$2301,"n/a",0,1)</f>
        <v>-270</v>
      </c>
      <c r="M1919" s="2">
        <f t="shared" si="1480"/>
        <v>-14954.257487533147</v>
      </c>
      <c r="N1919" s="2">
        <f t="shared" si="1481"/>
        <v>-342169.71899546019</v>
      </c>
      <c r="O1919" s="23">
        <f t="shared" si="1482"/>
        <v>-271.4629105529533</v>
      </c>
      <c r="P1919" s="1">
        <f t="shared" si="1462"/>
        <v>-269.99997406582179</v>
      </c>
      <c r="Q1919" s="1">
        <f t="shared" si="1486"/>
        <v>45.742512466852681</v>
      </c>
      <c r="R1919">
        <f t="shared" si="1478"/>
        <v>0</v>
      </c>
      <c r="S1919" s="23">
        <f t="shared" si="1485"/>
        <v>-1.4629105529533026</v>
      </c>
      <c r="T1919">
        <f>$S1919+測地線補正!$Q$26*(lattice!$N1919/1000)^3+測地線補正!$P$26*(lattice!$N1919/1000)^2+測地線補正!$O$26*(lattice!$N1919/1000)+測地線補正!$N$26</f>
        <v>2.5934178225162086E-5</v>
      </c>
      <c r="U1919">
        <f t="shared" si="1489"/>
        <v>-3.9546417867586865E-6</v>
      </c>
      <c r="V1919">
        <v>0</v>
      </c>
      <c r="W1919">
        <f t="shared" si="1490"/>
        <v>1.5223052744705955E-4</v>
      </c>
      <c r="X1919" t="s">
        <v>3860</v>
      </c>
      <c r="Y1919">
        <f>_xlfn.XLOOKUP($F1919,設計座標!$E$13:$E$2301,設計座標!$L$13:$L$2301," ",0,1)</f>
        <v>1889.4492</v>
      </c>
      <c r="Z1919">
        <f>SQRT(($M$1918-$M$1915)^2+($N$1918-$N$1915)^2)</f>
        <v>2099.3870243257256</v>
      </c>
    </row>
    <row r="1920" spans="1:28">
      <c r="A1920" t="s">
        <v>797</v>
      </c>
      <c r="B1920">
        <v>5</v>
      </c>
      <c r="C1920" t="s">
        <v>1152</v>
      </c>
      <c r="D1920" t="s">
        <v>1152</v>
      </c>
      <c r="E1920" t="s">
        <v>804</v>
      </c>
      <c r="F1920" t="s">
        <v>2182</v>
      </c>
      <c r="G1920" t="s">
        <v>2182</v>
      </c>
      <c r="I1920">
        <f>_xlfn.XLOOKUP($F1920,設計座標!$E$13:$E$2301,設計座標!$G$13:$G$2301,"n/a",0,1)</f>
        <v>606.91105946136975</v>
      </c>
      <c r="J1920">
        <f>_xlfn.XLOOKUP($F1920,設計座標!$E$13:$E$2301,設計座標!$H$13:$H$2301,"n/a",0,1)</f>
        <v>-15000</v>
      </c>
      <c r="K1920">
        <f>_xlfn.XLOOKUP($F1920,設計座標!$E$13:$E$2301,設計座標!$I$13:$I$2301,"n/a",0,1)</f>
        <v>-342434.71859546017</v>
      </c>
      <c r="L1920">
        <f>_xlfn.XLOOKUP($F1920,設計座標!$E$13:$E$2301,設計座標!$J$13:$J$2301,"n/a",0,1)</f>
        <v>-270</v>
      </c>
      <c r="M1920" s="2">
        <f t="shared" si="1480"/>
        <v>-14954.217146503956</v>
      </c>
      <c r="N1920" s="2">
        <f t="shared" si="1481"/>
        <v>-342434.71859546017</v>
      </c>
      <c r="O1920" s="23">
        <f t="shared" si="1482"/>
        <v>-271.45813764202131</v>
      </c>
      <c r="P1920" s="1">
        <f t="shared" si="1462"/>
        <v>-269.998937296728</v>
      </c>
      <c r="Q1920" s="1">
        <f t="shared" si="1486"/>
        <v>45.782853496045327</v>
      </c>
      <c r="R1920">
        <f t="shared" si="1478"/>
        <v>0</v>
      </c>
      <c r="S1920" s="23">
        <f t="shared" si="1485"/>
        <v>-1.4581376420213104</v>
      </c>
      <c r="T1920">
        <f>$S1920+測地線補正!$Q$26*(lattice!$N1920/1000)^3+測地線補正!$P$26*(lattice!$N1920/1000)^2+測地線補正!$O$26*(lattice!$N1920/1000)+測地線補正!$N$26</f>
        <v>1.0627032720209595E-3</v>
      </c>
      <c r="U1920">
        <v>0</v>
      </c>
      <c r="V1920">
        <v>0</v>
      </c>
      <c r="W1920">
        <v>0</v>
      </c>
      <c r="X1920">
        <f>SQRT(($M$1920-$M$1919)^2+($N$1920-$N$1919)^2)</f>
        <v>264.99960307054909</v>
      </c>
      <c r="Y1920">
        <f>_xlfn.XLOOKUP($F1920,設計座標!$E$13:$E$2301,設計座標!$L$13:$L$2301," ",0,1)</f>
        <v>0</v>
      </c>
      <c r="Z1920">
        <f>SQRT(($M$1920-$M$1918)^2+($N$1920-$N$1918)^2)</f>
        <v>1209.7242140171522</v>
      </c>
    </row>
    <row r="1921" spans="1:26">
      <c r="A1921" t="s">
        <v>797</v>
      </c>
      <c r="B1921">
        <v>5</v>
      </c>
      <c r="C1921" t="s">
        <v>804</v>
      </c>
      <c r="D1921" t="s">
        <v>1152</v>
      </c>
      <c r="E1921" t="s">
        <v>804</v>
      </c>
      <c r="F1921" t="s">
        <v>1810</v>
      </c>
      <c r="G1921" t="s">
        <v>2802</v>
      </c>
      <c r="I1921">
        <f>_xlfn.XLOOKUP($F1921,設計座標!$E$13:$E$2301,設計座標!$G$13:$G$2301,"n/a",0,1)</f>
        <v>607.1709057613698</v>
      </c>
      <c r="J1921">
        <f>_xlfn.XLOOKUP($F1921,設計座標!$E$13:$E$2301,設計座標!$H$13:$H$2301,"n/a",0,1)</f>
        <v>-15000</v>
      </c>
      <c r="K1921">
        <f>_xlfn.XLOOKUP($F1921,設計座標!$E$13:$E$2301,設計座標!$I$13:$I$2301,"n/a",0,1)</f>
        <v>-342694.56489546015</v>
      </c>
      <c r="L1921">
        <f>_xlfn.XLOOKUP($F1921,設計座標!$E$13:$E$2301,設計座標!$J$13:$J$2301,"n/a",0,1)</f>
        <v>-270</v>
      </c>
      <c r="M1921" s="2">
        <f t="shared" si="1480"/>
        <v>-14954.177589964345</v>
      </c>
      <c r="N1921" s="2">
        <f t="shared" si="1481"/>
        <v>-342694.56489546015</v>
      </c>
      <c r="O1921" s="23">
        <f t="shared" si="1482"/>
        <v>-271.45345754723661</v>
      </c>
      <c r="P1921" s="1">
        <f t="shared" si="1462"/>
        <v>-269.99792332205459</v>
      </c>
      <c r="Q1921" s="1">
        <f t="shared" si="1486"/>
        <v>45.822410035654826</v>
      </c>
      <c r="R1921">
        <f t="shared" si="1478"/>
        <v>0</v>
      </c>
      <c r="S1921" s="23">
        <f t="shared" si="1485"/>
        <v>-1.45345754723661</v>
      </c>
      <c r="T1921">
        <f>$S1921+測地線補正!$Q$26*(lattice!$N1921/1000)^3+測地線補正!$P$26*(lattice!$N1921/1000)^2+測地線補正!$O$26*(lattice!$N1921/1000)+測地線補正!$N$26</f>
        <v>2.0766779453980089E-3</v>
      </c>
      <c r="U1921">
        <f>-ATAN(($P$1923-$P$1921)/ABS($N$1923-$N$1921))</f>
        <v>-3.8614189918075908E-6</v>
      </c>
      <c r="V1921">
        <v>0</v>
      </c>
      <c r="W1921">
        <f>ATAN(($M$1923-$M$1921)/ABS($N$1923-$N$1921))</f>
        <v>1.5223052744609686E-4</v>
      </c>
      <c r="X1921">
        <f>SQRT(($M$1921-$M$1920)^2+($N$1921-$N$1920)^2)</f>
        <v>259.84630301083206</v>
      </c>
      <c r="Y1921">
        <f>_xlfn.XLOOKUP($F1921,設計座標!$E$13:$E$2301,設計座標!$L$13:$L$2301," ",0,1)</f>
        <v>1889.4492</v>
      </c>
      <c r="Z1921">
        <f>SQRT(($M$1922-$M$1920)^2+($N$1922-$N$1920)^2)</f>
        <v>1204.5709139574351</v>
      </c>
    </row>
    <row r="1922" spans="1:26">
      <c r="A1922" t="s">
        <v>797</v>
      </c>
      <c r="B1922">
        <v>5</v>
      </c>
      <c r="C1922" t="s">
        <v>804</v>
      </c>
      <c r="D1922" t="s">
        <v>1152</v>
      </c>
      <c r="E1922" t="s">
        <v>804</v>
      </c>
      <c r="F1922" t="s">
        <v>1328</v>
      </c>
      <c r="G1922" t="s">
        <v>2802</v>
      </c>
      <c r="I1922">
        <f>_xlfn.XLOOKUP($F1922,設計座標!$E$13:$E$2301,設計座標!$G$13:$G$2301,"n/a",0,1)</f>
        <v>608.11563036136977</v>
      </c>
      <c r="J1922">
        <f>_xlfn.XLOOKUP($F1922,設計座標!$E$13:$E$2301,設計座標!$H$13:$H$2301,"n/a",0,1)</f>
        <v>-15000</v>
      </c>
      <c r="K1922">
        <f>_xlfn.XLOOKUP($F1922,設計座標!$E$13:$E$2301,設計座標!$I$13:$I$2301,"n/a",0,1)</f>
        <v>-343639.28949546017</v>
      </c>
      <c r="L1922">
        <f>_xlfn.XLOOKUP($F1922,設計座標!$E$13:$E$2301,設計座標!$J$13:$J$2301,"n/a",0,1)</f>
        <v>-270</v>
      </c>
      <c r="M1922" s="2">
        <f t="shared" si="1480"/>
        <v>-14954.033774039084</v>
      </c>
      <c r="N1922" s="2">
        <f t="shared" si="1481"/>
        <v>-343639.28949546017</v>
      </c>
      <c r="O1922" s="23">
        <f t="shared" si="1482"/>
        <v>-271.43644210128474</v>
      </c>
      <c r="P1922" s="1">
        <f t="shared" si="1462"/>
        <v>-269.99425855201184</v>
      </c>
      <c r="Q1922" s="1">
        <f t="shared" si="1486"/>
        <v>45.966225960915146</v>
      </c>
      <c r="R1922">
        <f t="shared" si="1478"/>
        <v>0</v>
      </c>
      <c r="S1922" s="23">
        <f t="shared" si="1485"/>
        <v>-1.4364421012847577</v>
      </c>
      <c r="T1922">
        <f>$S1922+測地線補正!$Q$26*(lattice!$N1922/1000)^3+測地線補正!$P$26*(lattice!$N1922/1000)^2+測地線補正!$O$26*(lattice!$N1922/1000)+測地線補正!$N$26</f>
        <v>5.7414479881445768E-3</v>
      </c>
      <c r="U1922">
        <f t="shared" ref="U1922:U1923" si="1491">-ATAN(($P$1923-$P$1921)/ABS($N$1923-$N$1921))</f>
        <v>-3.8614189918075908E-6</v>
      </c>
      <c r="V1922">
        <v>0</v>
      </c>
      <c r="W1922">
        <f t="shared" ref="W1922:W1923" si="1492">ATAN(($M$1923-$M$1921)/ABS($N$1923-$N$1921))</f>
        <v>1.5223052744609686E-4</v>
      </c>
      <c r="X1922" t="s">
        <v>3860</v>
      </c>
      <c r="Y1922">
        <f>_xlfn.XLOOKUP($F1922,設計座標!$E$13:$E$2301,設計座標!$L$13:$L$2301," ",0,1)</f>
        <v>1889.4492</v>
      </c>
      <c r="Z1922">
        <f>SQRT(($M$1922-$M$1920)^2+($N$1922-$N$1920)^2)</f>
        <v>1204.5709139574351</v>
      </c>
    </row>
    <row r="1923" spans="1:26">
      <c r="A1923" t="s">
        <v>797</v>
      </c>
      <c r="B1923">
        <v>5</v>
      </c>
      <c r="C1923" t="s">
        <v>804</v>
      </c>
      <c r="D1923" t="s">
        <v>1152</v>
      </c>
      <c r="E1923" t="s">
        <v>804</v>
      </c>
      <c r="F1923" t="s">
        <v>1811</v>
      </c>
      <c r="G1923" t="s">
        <v>2802</v>
      </c>
      <c r="I1923">
        <f>_xlfn.XLOOKUP($F1923,設計座標!$E$13:$E$2301,設計座標!$G$13:$G$2301,"n/a",0,1)</f>
        <v>609.06035496136974</v>
      </c>
      <c r="J1923">
        <f>_xlfn.XLOOKUP($F1923,設計座標!$E$13:$E$2301,設計座標!$H$13:$H$2301,"n/a",0,1)</f>
        <v>-15000</v>
      </c>
      <c r="K1923">
        <f>_xlfn.XLOOKUP($F1923,設計座標!$E$13:$E$2301,設計座標!$I$13:$I$2301,"n/a",0,1)</f>
        <v>-344584.01409546018</v>
      </c>
      <c r="L1923">
        <f>_xlfn.XLOOKUP($F1923,設計座標!$E$13:$E$2301,設計座標!$J$13:$J$2301,"n/a",0,1)</f>
        <v>-270</v>
      </c>
      <c r="M1923" s="2">
        <f t="shared" si="1480"/>
        <v>-14953.889958113825</v>
      </c>
      <c r="N1923" s="2">
        <f t="shared" si="1481"/>
        <v>-344584.01409546018</v>
      </c>
      <c r="O1923" s="23">
        <f t="shared" si="1482"/>
        <v>-271.41942665533293</v>
      </c>
      <c r="P1923" s="1">
        <f t="shared" si="1462"/>
        <v>-269.99062736702962</v>
      </c>
      <c r="Q1923" s="1">
        <f t="shared" si="1486"/>
        <v>46.110041886175466</v>
      </c>
      <c r="R1923">
        <f t="shared" si="1478"/>
        <v>0</v>
      </c>
      <c r="S1923" s="23">
        <f t="shared" si="1485"/>
        <v>-1.4194266553329056</v>
      </c>
      <c r="T1923">
        <f>$S1923+測地線補正!$Q$26*(lattice!$N1923/1000)^3+測地線補正!$P$26*(lattice!$N1923/1000)^2+測地線補正!$O$26*(lattice!$N1923/1000)+測地線補正!$N$26</f>
        <v>9.3726329703913702E-3</v>
      </c>
      <c r="U1923">
        <f t="shared" si="1491"/>
        <v>-3.8614189918075908E-6</v>
      </c>
      <c r="V1923">
        <v>0</v>
      </c>
      <c r="W1923">
        <f t="shared" si="1492"/>
        <v>1.5223052744609686E-4</v>
      </c>
      <c r="X1923" t="s">
        <v>3860</v>
      </c>
      <c r="Y1923">
        <f>_xlfn.XLOOKUP($F1923,設計座標!$E$13:$E$2301,設計座標!$L$13:$L$2301," ",0,1)</f>
        <v>1889.4492</v>
      </c>
      <c r="Z1923">
        <f>SQRT(($M$1922-$M$1920)^2+($N$1922-$N$1920)^2)</f>
        <v>1204.5709139574351</v>
      </c>
    </row>
    <row r="1924" spans="1:26">
      <c r="A1924" t="s">
        <v>797</v>
      </c>
      <c r="B1924">
        <v>5</v>
      </c>
      <c r="C1924" t="s">
        <v>804</v>
      </c>
      <c r="D1924" t="s">
        <v>1152</v>
      </c>
      <c r="E1924" t="s">
        <v>804</v>
      </c>
      <c r="F1924" t="s">
        <v>1812</v>
      </c>
      <c r="G1924" t="s">
        <v>2803</v>
      </c>
      <c r="I1924">
        <f>_xlfn.XLOOKUP($F1924,設計座標!$E$13:$E$2301,設計座標!$G$13:$G$2301,"n/a",0,1)</f>
        <v>609.27029276136977</v>
      </c>
      <c r="J1924">
        <f>_xlfn.XLOOKUP($F1924,設計座標!$E$13:$E$2301,設計座標!$H$13:$H$2301,"n/a",0,1)</f>
        <v>-15000</v>
      </c>
      <c r="K1924">
        <f>_xlfn.XLOOKUP($F1924,設計座標!$E$13:$E$2301,設計座標!$I$13:$I$2301,"n/a",0,1)</f>
        <v>-344793.95189546014</v>
      </c>
      <c r="L1924">
        <f>_xlfn.XLOOKUP($F1924,設計座標!$E$13:$E$2301,設計座標!$J$13:$J$2301,"n/a",0,1)</f>
        <v>-270</v>
      </c>
      <c r="M1924" s="2">
        <f t="shared" si="1480"/>
        <v>-14953.857999171552</v>
      </c>
      <c r="N1924" s="2">
        <f t="shared" si="1481"/>
        <v>-344793.95189546014</v>
      </c>
      <c r="O1924" s="23">
        <f t="shared" si="1482"/>
        <v>-271.41564546313242</v>
      </c>
      <c r="P1924" s="1">
        <f t="shared" si="1462"/>
        <v>-269.98982493273718</v>
      </c>
      <c r="Q1924" s="1">
        <f t="shared" si="1486"/>
        <v>46.142000828447223</v>
      </c>
      <c r="R1924">
        <f t="shared" si="1478"/>
        <v>0</v>
      </c>
      <c r="S1924" s="23">
        <f t="shared" si="1485"/>
        <v>-1.4156454631323956</v>
      </c>
      <c r="T1924">
        <f>$S1924+測地線補正!$Q$26*(lattice!$N1924/1000)^3+測地線補正!$P$26*(lattice!$N1924/1000)^2+測地線補正!$O$26*(lattice!$N1924/1000)+測地線補正!$N$26</f>
        <v>1.0175067262798043E-2</v>
      </c>
      <c r="U1924">
        <f>-ATAN(($P$1926-$P$1924)/ABS($N$1926-$N$1924))</f>
        <v>-3.7842127905396071E-6</v>
      </c>
      <c r="V1924">
        <v>0</v>
      </c>
      <c r="W1924">
        <f>ATAN(($M$1926-$M$1924)/ABS($N$1926-$N$1924))</f>
        <v>1.5223052744609686E-4</v>
      </c>
      <c r="X1924">
        <f>SQRT(($M$1924-$M$1923)^2+($N$1924-$N$1923)^2)</f>
        <v>209.93780243251936</v>
      </c>
      <c r="Y1924">
        <f>_xlfn.XLOOKUP($F1924,設計座標!$E$13:$E$2301,設計座標!$L$13:$L$2301," ",0,1)</f>
        <v>1889.4492</v>
      </c>
      <c r="Z1924">
        <f>SQRT(($M$1925-$M$1922)^2+($N$1925-$N$1922)^2)</f>
        <v>2099.3870243257256</v>
      </c>
    </row>
    <row r="1925" spans="1:26">
      <c r="A1925" t="s">
        <v>797</v>
      </c>
      <c r="B1925">
        <v>5</v>
      </c>
      <c r="C1925" t="s">
        <v>804</v>
      </c>
      <c r="D1925" t="s">
        <v>1152</v>
      </c>
      <c r="E1925" t="s">
        <v>804</v>
      </c>
      <c r="F1925" t="s">
        <v>1382</v>
      </c>
      <c r="G1925" t="s">
        <v>2803</v>
      </c>
      <c r="I1925">
        <f>_xlfn.XLOOKUP($F1925,設計座標!$E$13:$E$2301,設計座標!$G$13:$G$2301,"n/a",0,1)</f>
        <v>610.21501736136975</v>
      </c>
      <c r="J1925">
        <f>_xlfn.XLOOKUP($F1925,設計座標!$E$13:$E$2301,設計座標!$H$13:$H$2301,"n/a",0,1)</f>
        <v>-15000</v>
      </c>
      <c r="K1925">
        <f>_xlfn.XLOOKUP($F1925,設計座標!$E$13:$E$2301,設計座標!$I$13:$I$2301,"n/a",0,1)</f>
        <v>-345738.67649546015</v>
      </c>
      <c r="L1925">
        <f>_xlfn.XLOOKUP($F1925,設計座標!$E$13:$E$2301,設計座標!$J$13:$J$2301,"n/a",0,1)</f>
        <v>-270</v>
      </c>
      <c r="M1925" s="2">
        <f t="shared" si="1480"/>
        <v>-14953.714183246293</v>
      </c>
      <c r="N1925" s="2">
        <f t="shared" si="1481"/>
        <v>-345738.67649546015</v>
      </c>
      <c r="O1925" s="23">
        <f t="shared" si="1482"/>
        <v>-271.39863001718055</v>
      </c>
      <c r="P1925" s="1">
        <f t="shared" si="1462"/>
        <v>-269.98623386396804</v>
      </c>
      <c r="Q1925" s="1">
        <f t="shared" si="1486"/>
        <v>46.285816753707543</v>
      </c>
      <c r="R1925">
        <f t="shared" si="1478"/>
        <v>0</v>
      </c>
      <c r="S1925" s="23">
        <f t="shared" si="1485"/>
        <v>-1.3986300171805433</v>
      </c>
      <c r="T1925">
        <f>$S1925+測地線補正!$Q$26*(lattice!$N1925/1000)^3+測地線補正!$P$26*(lattice!$N1925/1000)^2+測地線補正!$O$26*(lattice!$N1925/1000)+測地線補正!$N$26</f>
        <v>1.3766136031985843E-2</v>
      </c>
      <c r="U1925">
        <f t="shared" ref="U1925:U1926" si="1493">-ATAN(($P$1926-$P$1924)/ABS($N$1926-$N$1924))</f>
        <v>-3.7842127905396071E-6</v>
      </c>
      <c r="V1925">
        <v>0</v>
      </c>
      <c r="W1925">
        <f t="shared" ref="W1925:W1926" si="1494">ATAN(($M$1926-$M$1924)/ABS($N$1926-$N$1924))</f>
        <v>1.5223052744609686E-4</v>
      </c>
      <c r="X1925" t="s">
        <v>3860</v>
      </c>
      <c r="Y1925">
        <f>_xlfn.XLOOKUP($F1925,設計座標!$E$13:$E$2301,設計座標!$L$13:$L$2301," ",0,1)</f>
        <v>1889.4492</v>
      </c>
      <c r="Z1925">
        <f>SQRT(($M$1925-$M$1922)^2+($N$1925-$N$1922)^2)</f>
        <v>2099.3870243257256</v>
      </c>
    </row>
    <row r="1926" spans="1:26">
      <c r="A1926" t="s">
        <v>797</v>
      </c>
      <c r="B1926">
        <v>5</v>
      </c>
      <c r="C1926" t="s">
        <v>804</v>
      </c>
      <c r="D1926" t="s">
        <v>1152</v>
      </c>
      <c r="E1926" t="s">
        <v>804</v>
      </c>
      <c r="F1926" t="s">
        <v>1813</v>
      </c>
      <c r="G1926" t="s">
        <v>2803</v>
      </c>
      <c r="I1926">
        <f>_xlfn.XLOOKUP($F1926,設計座標!$E$13:$E$2301,設計座標!$G$13:$G$2301,"n/a",0,1)</f>
        <v>611.15974196136972</v>
      </c>
      <c r="J1926">
        <f>_xlfn.XLOOKUP($F1926,設計座標!$E$13:$E$2301,設計座標!$H$13:$H$2301,"n/a",0,1)</f>
        <v>-15000</v>
      </c>
      <c r="K1926">
        <f>_xlfn.XLOOKUP($F1926,設計座標!$E$13:$E$2301,設計座標!$I$13:$I$2301,"n/a",0,1)</f>
        <v>-346683.40109546017</v>
      </c>
      <c r="L1926">
        <f>_xlfn.XLOOKUP($F1926,設計座標!$E$13:$E$2301,設計座標!$J$13:$J$2301,"n/a",0,1)</f>
        <v>-270</v>
      </c>
      <c r="M1926" s="2">
        <f t="shared" si="1480"/>
        <v>-14953.570367321032</v>
      </c>
      <c r="N1926" s="2">
        <f t="shared" si="1481"/>
        <v>-346683.40109546017</v>
      </c>
      <c r="O1926" s="23">
        <f t="shared" si="1482"/>
        <v>-271.38161457122868</v>
      </c>
      <c r="P1926" s="1">
        <f t="shared" si="1462"/>
        <v>-269.98267485490743</v>
      </c>
      <c r="Q1926" s="1">
        <f t="shared" si="1486"/>
        <v>46.42963267896787</v>
      </c>
      <c r="R1926">
        <f t="shared" si="1478"/>
        <v>0</v>
      </c>
      <c r="S1926" s="23">
        <f t="shared" si="1485"/>
        <v>-1.3816145712286911</v>
      </c>
      <c r="T1926">
        <f>$S1926+測地線補正!$Q$26*(lattice!$N1926/1000)^3+測地線補正!$P$26*(lattice!$N1926/1000)^2+測地線補正!$O$26*(lattice!$N1926/1000)+測地線補正!$N$26</f>
        <v>1.732514509254357E-2</v>
      </c>
      <c r="U1926">
        <f t="shared" si="1493"/>
        <v>-3.7842127905396071E-6</v>
      </c>
      <c r="V1926">
        <v>0</v>
      </c>
      <c r="W1926">
        <f t="shared" si="1494"/>
        <v>1.5223052744609686E-4</v>
      </c>
      <c r="X1926" t="s">
        <v>3860</v>
      </c>
      <c r="Y1926">
        <f>_xlfn.XLOOKUP($F1926,設計座標!$E$13:$E$2301,設計座標!$L$13:$L$2301," ",0,1)</f>
        <v>1889.4492</v>
      </c>
      <c r="Z1926">
        <f>SQRT(($M$1925-$M$1922)^2+($N$1925-$N$1922)^2)</f>
        <v>2099.3870243257256</v>
      </c>
    </row>
    <row r="1927" spans="1:26">
      <c r="A1927" t="s">
        <v>797</v>
      </c>
      <c r="B1927">
        <v>5</v>
      </c>
      <c r="C1927" t="s">
        <v>2288</v>
      </c>
      <c r="D1927" t="s">
        <v>1152</v>
      </c>
      <c r="E1927" t="s">
        <v>804</v>
      </c>
      <c r="F1927" t="s">
        <v>3801</v>
      </c>
      <c r="G1927" t="s">
        <v>3801</v>
      </c>
      <c r="I1927">
        <f>_xlfn.XLOOKUP($F1927,設計座標!$E$13:$E$2301,設計座標!$G$13:$G$2301,"n/a",0,1)</f>
        <v>611.28974156136974</v>
      </c>
      <c r="J1927">
        <f>_xlfn.XLOOKUP($F1927,設計座標!$E$13:$E$2301,設計座標!$H$13:$H$2301,"n/a",0,1)</f>
        <v>-15000</v>
      </c>
      <c r="K1927">
        <f>_xlfn.XLOOKUP($F1927,設計座標!$E$13:$E$2301,設計座標!$I$13:$I$2301,"n/a",0,1)</f>
        <v>-346813.40069546015</v>
      </c>
      <c r="L1927">
        <f>_xlfn.XLOOKUP($F1927,設計座標!$E$13:$E$2301,設計座標!$J$13:$J$2301,"n/a",0,1)</f>
        <v>-270</v>
      </c>
      <c r="M1927" s="2">
        <f t="shared" si="1480"/>
        <v>-14953.550577413203</v>
      </c>
      <c r="N1927" s="2">
        <f t="shared" si="1481"/>
        <v>-346813.40069546015</v>
      </c>
      <c r="O1927" s="23">
        <f t="shared" si="1482"/>
        <v>-271.37927314689449</v>
      </c>
      <c r="P1927" s="1">
        <f t="shared" si="1462"/>
        <v>-269.98218758561046</v>
      </c>
      <c r="Q1927" s="1">
        <f t="shared" si="1486"/>
        <v>46.44942258679653</v>
      </c>
      <c r="R1927">
        <f t="shared" si="1478"/>
        <v>0</v>
      </c>
      <c r="S1927" s="23">
        <f t="shared" si="1485"/>
        <v>-1.3792731468944861</v>
      </c>
      <c r="T1927">
        <f>$S1927+測地線補正!$Q$26*(lattice!$N1927/1000)^3+測地線補正!$P$26*(lattice!$N1927/1000)^2+測地線補正!$O$26*(lattice!$N1927/1000)+測地線補正!$N$26</f>
        <v>1.7812414389565268E-2</v>
      </c>
      <c r="U1927">
        <v>0</v>
      </c>
      <c r="V1927">
        <v>0</v>
      </c>
      <c r="W1927">
        <v>0</v>
      </c>
      <c r="X1927">
        <f>SQRT(($M$1927-$M$1926)^2+($N$1927-$N$1926)^2)</f>
        <v>129.99960150629505</v>
      </c>
      <c r="Y1927">
        <f>_xlfn.XLOOKUP($F1927,設計座標!$E$13:$E$2301,設計座標!$L$13:$L$2301," ",0,1)</f>
        <v>0</v>
      </c>
      <c r="Z1927">
        <f>SQRT(($M$1927-$M$1925)^2+($N$1927-$N$1925)^2)</f>
        <v>1074.724212452898</v>
      </c>
    </row>
    <row r="1928" spans="1:26">
      <c r="A1928" t="s">
        <v>797</v>
      </c>
      <c r="B1928">
        <v>5</v>
      </c>
      <c r="C1928" t="s">
        <v>804</v>
      </c>
      <c r="D1928" t="s">
        <v>1152</v>
      </c>
      <c r="E1928" t="s">
        <v>804</v>
      </c>
      <c r="F1928" t="s">
        <v>1814</v>
      </c>
      <c r="G1928" t="s">
        <v>2804</v>
      </c>
      <c r="I1928">
        <f>_xlfn.XLOOKUP($F1928,設計座標!$E$13:$E$2301,設計座標!$G$13:$G$2301,"n/a",0,1)</f>
        <v>611.6572233613698</v>
      </c>
      <c r="J1928">
        <f>_xlfn.XLOOKUP($F1928,設計座標!$E$13:$E$2301,設計座標!$H$13:$H$2301,"n/a",0,1)</f>
        <v>-15000</v>
      </c>
      <c r="K1928">
        <f>_xlfn.XLOOKUP($F1928,設計座標!$E$13:$E$2301,設計座標!$I$13:$I$2301,"n/a",0,1)</f>
        <v>-347180.88249546016</v>
      </c>
      <c r="L1928">
        <f>_xlfn.XLOOKUP($F1928,設計座標!$E$13:$E$2301,設計座標!$J$13:$J$2301,"n/a",0,1)</f>
        <v>-270</v>
      </c>
      <c r="M1928" s="2">
        <f t="shared" si="1480"/>
        <v>-14953.494635464531</v>
      </c>
      <c r="N1928" s="2">
        <f t="shared" si="1481"/>
        <v>-347180.88249546016</v>
      </c>
      <c r="O1928" s="23">
        <f t="shared" si="1482"/>
        <v>-271.37265442784536</v>
      </c>
      <c r="P1928" s="1">
        <f t="shared" si="1462"/>
        <v>-269.98081337436588</v>
      </c>
      <c r="Q1928" s="1">
        <f t="shared" si="1486"/>
        <v>46.505364535469539</v>
      </c>
      <c r="R1928">
        <f t="shared" si="1478"/>
        <v>0</v>
      </c>
      <c r="S1928" s="23">
        <f t="shared" si="1485"/>
        <v>-1.3726544278453692</v>
      </c>
      <c r="T1928">
        <f>$S1928+測地線補正!$Q$26*(lattice!$N1928/1000)^3+測地線補正!$P$26*(lattice!$N1928/1000)^2+測地線補正!$O$26*(lattice!$N1928/1000)+測地線補正!$N$26</f>
        <v>1.9186625634093124E-2</v>
      </c>
      <c r="U1928">
        <f>-ATAN(($P$1930-$P$1928)/ABS($N$1930-$N$1928))</f>
        <v>-3.7007908024552994E-6</v>
      </c>
      <c r="V1928">
        <v>0</v>
      </c>
      <c r="W1928">
        <f>ATAN(($M$1930-$M$1928)/ABS($N$1930-$N$1928))</f>
        <v>1.5223052744609686E-4</v>
      </c>
      <c r="X1928">
        <f>SQRT(($M$1928-$M$1927)^2+($N$1928-$N$1927)^2)</f>
        <v>367.48180425804486</v>
      </c>
      <c r="Y1928">
        <f>_xlfn.XLOOKUP($F1928,設計座標!$E$13:$E$2301,設計座標!$L$13:$L$2301," ",0,1)</f>
        <v>1889.4492</v>
      </c>
      <c r="Z1928">
        <f>SQRT(($M$1929-$M$1927)^2+($N$1929-$N$1927)^2)</f>
        <v>1312.2064152046478</v>
      </c>
    </row>
    <row r="1929" spans="1:26">
      <c r="A1929" t="s">
        <v>797</v>
      </c>
      <c r="B1929">
        <v>5</v>
      </c>
      <c r="C1929" t="s">
        <v>804</v>
      </c>
      <c r="D1929" t="s">
        <v>1152</v>
      </c>
      <c r="E1929" t="s">
        <v>804</v>
      </c>
      <c r="F1929" t="s">
        <v>1219</v>
      </c>
      <c r="G1929" t="s">
        <v>2804</v>
      </c>
      <c r="I1929">
        <f>_xlfn.XLOOKUP($F1929,設計座標!$E$13:$E$2301,設計座標!$G$13:$G$2301,"n/a",0,1)</f>
        <v>612.60194796136977</v>
      </c>
      <c r="J1929">
        <f>_xlfn.XLOOKUP($F1929,設計座標!$E$13:$E$2301,設計座標!$H$13:$H$2301,"n/a",0,1)</f>
        <v>-15000</v>
      </c>
      <c r="K1929">
        <f>_xlfn.XLOOKUP($F1929,設計座標!$E$13:$E$2301,設計座標!$I$13:$I$2301,"n/a",0,1)</f>
        <v>-348125.60709546017</v>
      </c>
      <c r="L1929">
        <f>_xlfn.XLOOKUP($F1929,設計座標!$E$13:$E$2301,設計座標!$J$13:$J$2301,"n/a",0,1)</f>
        <v>-270</v>
      </c>
      <c r="M1929" s="2">
        <f t="shared" si="1480"/>
        <v>-14953.35081953927</v>
      </c>
      <c r="N1929" s="2">
        <f t="shared" si="1481"/>
        <v>-348125.60709546017</v>
      </c>
      <c r="O1929" s="23">
        <f t="shared" si="1482"/>
        <v>-271.35563898189349</v>
      </c>
      <c r="P1929" s="1">
        <f t="shared" si="1462"/>
        <v>-269.97730198353725</v>
      </c>
      <c r="Q1929" s="1">
        <f t="shared" si="1486"/>
        <v>46.649180460729859</v>
      </c>
      <c r="R1929">
        <f t="shared" si="1478"/>
        <v>0</v>
      </c>
      <c r="S1929" s="23">
        <f t="shared" si="1485"/>
        <v>-1.3556389818935171</v>
      </c>
      <c r="T1929">
        <f>$S1929+測地線補正!$Q$26*(lattice!$N1929/1000)^3+測地線補正!$P$26*(lattice!$N1929/1000)^2+測地線補正!$O$26*(lattice!$N1929/1000)+測地線補正!$N$26</f>
        <v>2.2698016462758153E-2</v>
      </c>
      <c r="U1929">
        <f t="shared" ref="U1929:U1930" si="1495">-ATAN(($P$1930-$P$1928)/ABS($N$1930-$N$1928))</f>
        <v>-3.7007908024552994E-6</v>
      </c>
      <c r="V1929">
        <v>0</v>
      </c>
      <c r="W1929">
        <f t="shared" ref="W1929:W1930" si="1496">ATAN(($M$1930-$M$1928)/ABS($N$1930-$N$1928))</f>
        <v>1.5223052744609686E-4</v>
      </c>
      <c r="X1929" t="s">
        <v>3860</v>
      </c>
      <c r="Y1929">
        <f>_xlfn.XLOOKUP($F1929,設計座標!$E$13:$E$2301,設計座標!$L$13:$L$2301," ",0,1)</f>
        <v>1889.4492</v>
      </c>
      <c r="Z1929">
        <f>SQRT(($M$1929-$M$1927)^2+($N$1929-$N$1927)^2)</f>
        <v>1312.2064152046478</v>
      </c>
    </row>
    <row r="1930" spans="1:26">
      <c r="A1930" t="s">
        <v>797</v>
      </c>
      <c r="B1930">
        <v>5</v>
      </c>
      <c r="C1930" t="s">
        <v>804</v>
      </c>
      <c r="D1930" t="s">
        <v>1152</v>
      </c>
      <c r="E1930" t="s">
        <v>804</v>
      </c>
      <c r="F1930" t="s">
        <v>1815</v>
      </c>
      <c r="G1930" t="s">
        <v>2804</v>
      </c>
      <c r="I1930">
        <f>_xlfn.XLOOKUP($F1930,設計座標!$E$13:$E$2301,設計座標!$G$13:$G$2301,"n/a",0,1)</f>
        <v>613.54667256136975</v>
      </c>
      <c r="J1930">
        <f>_xlfn.XLOOKUP($F1930,設計座標!$E$13:$E$2301,設計座標!$H$13:$H$2301,"n/a",0,1)</f>
        <v>-15000</v>
      </c>
      <c r="K1930">
        <f>_xlfn.XLOOKUP($F1930,設計座標!$E$13:$E$2301,設計座標!$I$13:$I$2301,"n/a",0,1)</f>
        <v>-349070.33169546019</v>
      </c>
      <c r="L1930">
        <f>_xlfn.XLOOKUP($F1930,設計座標!$E$13:$E$2301,設計座標!$J$13:$J$2301,"n/a",0,1)</f>
        <v>-270</v>
      </c>
      <c r="M1930" s="2">
        <f t="shared" si="1480"/>
        <v>-14953.20700361401</v>
      </c>
      <c r="N1930" s="2">
        <f t="shared" si="1481"/>
        <v>-349070.33169546019</v>
      </c>
      <c r="O1930" s="23">
        <f t="shared" si="1482"/>
        <v>-271.33862353594168</v>
      </c>
      <c r="P1930" s="1">
        <f t="shared" si="1462"/>
        <v>-269.97382091814478</v>
      </c>
      <c r="Q1930" s="1">
        <f t="shared" si="1486"/>
        <v>46.792996385990179</v>
      </c>
      <c r="R1930">
        <f t="shared" si="1478"/>
        <v>0</v>
      </c>
      <c r="S1930" s="23">
        <f t="shared" si="1485"/>
        <v>-1.3386235359416647</v>
      </c>
      <c r="T1930">
        <f>$S1930+測地線補正!$Q$26*(lattice!$N1930/1000)^3+測地線補正!$P$26*(lattice!$N1930/1000)^2+測地線補正!$O$26*(lattice!$N1930/1000)+測地線補正!$N$26</f>
        <v>2.6179081855244979E-2</v>
      </c>
      <c r="U1930">
        <f t="shared" si="1495"/>
        <v>-3.7007908024552994E-6</v>
      </c>
      <c r="V1930">
        <v>0</v>
      </c>
      <c r="W1930">
        <f t="shared" si="1496"/>
        <v>1.5223052744609686E-4</v>
      </c>
      <c r="X1930" t="s">
        <v>3860</v>
      </c>
      <c r="Y1930">
        <f>_xlfn.XLOOKUP($F1930,設計座標!$E$13:$E$2301,設計座標!$L$13:$L$2301," ",0,1)</f>
        <v>1889.4492</v>
      </c>
      <c r="Z1930">
        <f>SQRT(($M$1929-$M$1927)^2+($N$1929-$N$1927)^2)</f>
        <v>1312.2064152046478</v>
      </c>
    </row>
    <row r="1931" spans="1:26">
      <c r="A1931" t="s">
        <v>797</v>
      </c>
      <c r="B1931">
        <v>5</v>
      </c>
      <c r="C1931" t="s">
        <v>804</v>
      </c>
      <c r="D1931" t="s">
        <v>1152</v>
      </c>
      <c r="E1931" t="s">
        <v>804</v>
      </c>
      <c r="F1931" t="s">
        <v>1816</v>
      </c>
      <c r="G1931" t="s">
        <v>2805</v>
      </c>
      <c r="I1931">
        <f>_xlfn.XLOOKUP($F1931,設計座標!$E$13:$E$2301,設計座標!$G$13:$G$2301,"n/a",0,1)</f>
        <v>613.75661436136977</v>
      </c>
      <c r="J1931">
        <f>_xlfn.XLOOKUP($F1931,設計座標!$E$13:$E$2301,設計座標!$H$13:$H$2301,"n/a",0,1)</f>
        <v>-15000</v>
      </c>
      <c r="K1931">
        <f>_xlfn.XLOOKUP($F1931,設計座標!$E$13:$E$2301,設計座標!$I$13:$I$2301,"n/a",0,1)</f>
        <v>-349280.27349546016</v>
      </c>
      <c r="L1931">
        <f>_xlfn.XLOOKUP($F1931,設計座標!$E$13:$E$2301,設計座標!$J$13:$J$2301,"n/a",0,1)</f>
        <v>-270</v>
      </c>
      <c r="M1931" s="2">
        <f t="shared" si="1480"/>
        <v>-14953.175044062817</v>
      </c>
      <c r="N1931" s="2">
        <f t="shared" si="1481"/>
        <v>-349280.27349546016</v>
      </c>
      <c r="O1931" s="23">
        <f t="shared" si="1482"/>
        <v>-271.33484227169708</v>
      </c>
      <c r="P1931" s="1">
        <f t="shared" si="1462"/>
        <v>-269.97305138629184</v>
      </c>
      <c r="Q1931" s="1">
        <f t="shared" si="1486"/>
        <v>46.824955937184058</v>
      </c>
      <c r="R1931">
        <f t="shared" si="1478"/>
        <v>0</v>
      </c>
      <c r="S1931" s="23">
        <f t="shared" si="1485"/>
        <v>-1.3348422716971071</v>
      </c>
      <c r="T1931">
        <f>$S1931+測地線補正!$Q$26*(lattice!$N1931/1000)^3+測地線補正!$P$26*(lattice!$N1931/1000)^2+測地線補正!$O$26*(lattice!$N1931/1000)+測地線補正!$N$26</f>
        <v>2.6948613708172919E-2</v>
      </c>
      <c r="U1931">
        <f>-ATAN(($P$1933-$P$1931)/ABS($N$1933-$N$1931))</f>
        <v>-3.6312518983227565E-6</v>
      </c>
      <c r="V1931">
        <v>0</v>
      </c>
      <c r="W1931">
        <f>ATAN(($M$1933-$M$1931)/ABS($N$1933-$N$1931))</f>
        <v>1.5223052744609686E-4</v>
      </c>
      <c r="X1931">
        <f>SQRT(($M$1931-$M$1930)^2+($N$1931-$N$1930)^2)</f>
        <v>209.94180243258108</v>
      </c>
      <c r="Y1931">
        <f>_xlfn.XLOOKUP($F1931,設計座標!$E$13:$E$2301,設計座標!$L$13:$L$2301," ",0,1)</f>
        <v>1889.4492</v>
      </c>
      <c r="Z1931">
        <f>SQRT(($M$1932-$M$1929)^2+($N$1932-$N$1929)^2)</f>
        <v>2099.3910243257869</v>
      </c>
    </row>
    <row r="1932" spans="1:26">
      <c r="A1932" t="s">
        <v>797</v>
      </c>
      <c r="B1932">
        <v>5</v>
      </c>
      <c r="C1932" t="s">
        <v>804</v>
      </c>
      <c r="D1932" t="s">
        <v>1152</v>
      </c>
      <c r="E1932" t="s">
        <v>804</v>
      </c>
      <c r="F1932" t="s">
        <v>1275</v>
      </c>
      <c r="G1932" t="s">
        <v>2805</v>
      </c>
      <c r="I1932">
        <f>_xlfn.XLOOKUP($F1932,設計座標!$E$13:$E$2301,設計座標!$G$13:$G$2301,"n/a",0,1)</f>
        <v>614.70133896136974</v>
      </c>
      <c r="J1932">
        <f>_xlfn.XLOOKUP($F1932,設計座標!$E$13:$E$2301,設計座標!$H$13:$H$2301,"n/a",0,1)</f>
        <v>-15000</v>
      </c>
      <c r="K1932">
        <f>_xlfn.XLOOKUP($F1932,設計座標!$E$13:$E$2301,設計座標!$I$13:$I$2301,"n/a",0,1)</f>
        <v>-350224.99809546018</v>
      </c>
      <c r="L1932">
        <f>_xlfn.XLOOKUP($F1932,設計座標!$E$13:$E$2301,設計座標!$J$13:$J$2301,"n/a",0,1)</f>
        <v>-270</v>
      </c>
      <c r="M1932" s="2">
        <f t="shared" si="1480"/>
        <v>-14953.031228137555</v>
      </c>
      <c r="N1932" s="2">
        <f t="shared" si="1481"/>
        <v>-350224.99809546018</v>
      </c>
      <c r="O1932" s="23">
        <f t="shared" si="1482"/>
        <v>-271.31782682574527</v>
      </c>
      <c r="P1932" s="1">
        <f t="shared" si="1462"/>
        <v>-269.96960645325396</v>
      </c>
      <c r="Q1932" s="1">
        <f t="shared" si="1486"/>
        <v>46.968771862444378</v>
      </c>
      <c r="R1932">
        <f t="shared" si="1478"/>
        <v>0</v>
      </c>
      <c r="S1932" s="23">
        <f t="shared" si="1485"/>
        <v>-1.317826825745255</v>
      </c>
      <c r="T1932">
        <f>$S1932+測地線補正!$Q$26*(lattice!$N1932/1000)^3+測地線補正!$P$26*(lattice!$N1932/1000)^2+測地線補正!$O$26*(lattice!$N1932/1000)+測地線補正!$N$26</f>
        <v>3.0393546746031452E-2</v>
      </c>
      <c r="U1932">
        <f t="shared" ref="U1932:U1933" si="1497">-ATAN(($P$1933-$P$1931)/ABS($N$1933-$N$1931))</f>
        <v>-3.6312518983227565E-6</v>
      </c>
      <c r="V1932">
        <v>0</v>
      </c>
      <c r="W1932">
        <f t="shared" ref="W1932:W1933" si="1498">ATAN(($M$1933-$M$1931)/ABS($N$1933-$N$1931))</f>
        <v>1.5223052744609686E-4</v>
      </c>
      <c r="X1932" t="s">
        <v>3860</v>
      </c>
      <c r="Y1932">
        <f>_xlfn.XLOOKUP($F1932,設計座標!$E$13:$E$2301,設計座標!$L$13:$L$2301," ",0,1)</f>
        <v>1889.4492</v>
      </c>
      <c r="Z1932">
        <f>SQRT(($M$1932-$M$1929)^2+($N$1932-$N$1929)^2)</f>
        <v>2099.3910243257869</v>
      </c>
    </row>
    <row r="1933" spans="1:26">
      <c r="A1933" t="s">
        <v>797</v>
      </c>
      <c r="B1933">
        <v>5</v>
      </c>
      <c r="C1933" t="s">
        <v>804</v>
      </c>
      <c r="D1933" t="s">
        <v>1152</v>
      </c>
      <c r="E1933" t="s">
        <v>804</v>
      </c>
      <c r="F1933" t="s">
        <v>1817</v>
      </c>
      <c r="G1933" t="s">
        <v>2805</v>
      </c>
      <c r="I1933">
        <f>_xlfn.XLOOKUP($F1933,設計座標!$E$13:$E$2301,設計座標!$G$13:$G$2301,"n/a",0,1)</f>
        <v>615.64606356136971</v>
      </c>
      <c r="J1933">
        <f>_xlfn.XLOOKUP($F1933,設計座標!$E$13:$E$2301,設計座標!$H$13:$H$2301,"n/a",0,1)</f>
        <v>-15000</v>
      </c>
      <c r="K1933">
        <f>_xlfn.XLOOKUP($F1933,設計座標!$E$13:$E$2301,設計座標!$I$13:$I$2301,"n/a",0,1)</f>
        <v>-351169.72269546019</v>
      </c>
      <c r="L1933">
        <f>_xlfn.XLOOKUP($F1933,設計座標!$E$13:$E$2301,設計座標!$J$13:$J$2301,"n/a",0,1)</f>
        <v>-270</v>
      </c>
      <c r="M1933" s="2">
        <f t="shared" si="1480"/>
        <v>-14952.887412212296</v>
      </c>
      <c r="N1933" s="2">
        <f t="shared" si="1481"/>
        <v>-351169.72269546019</v>
      </c>
      <c r="O1933" s="23">
        <f t="shared" si="1482"/>
        <v>-271.3008113797934</v>
      </c>
      <c r="P1933" s="1">
        <f t="shared" si="1462"/>
        <v>-269.96619032029753</v>
      </c>
      <c r="Q1933" s="1">
        <f t="shared" si="1486"/>
        <v>47.112587787704697</v>
      </c>
      <c r="R1933">
        <f t="shared" si="1478"/>
        <v>0</v>
      </c>
      <c r="S1933" s="23">
        <f t="shared" si="1485"/>
        <v>-1.3008113797934027</v>
      </c>
      <c r="T1933">
        <f>$S1933+測地線補正!$Q$26*(lattice!$N1933/1000)^3+測地線補正!$P$26*(lattice!$N1933/1000)^2+測地線補正!$O$26*(lattice!$N1933/1000)+測地線補正!$N$26</f>
        <v>3.3809679702489381E-2</v>
      </c>
      <c r="U1933">
        <f t="shared" si="1497"/>
        <v>-3.6312518983227565E-6</v>
      </c>
      <c r="V1933">
        <v>0</v>
      </c>
      <c r="W1933">
        <f t="shared" si="1498"/>
        <v>1.5223052744609686E-4</v>
      </c>
      <c r="X1933" t="s">
        <v>3860</v>
      </c>
      <c r="Y1933">
        <f>_xlfn.XLOOKUP($F1933,設計座標!$E$13:$E$2301,設計座標!$L$13:$L$2301," ",0,1)</f>
        <v>1889.4492</v>
      </c>
      <c r="Z1933">
        <f>SQRT(($M$1932-$M$1929)^2+($N$1932-$N$1929)^2)</f>
        <v>2099.3910243257869</v>
      </c>
    </row>
    <row r="1934" spans="1:26">
      <c r="A1934" t="s">
        <v>797</v>
      </c>
      <c r="B1934">
        <v>5</v>
      </c>
      <c r="C1934" t="s">
        <v>1152</v>
      </c>
      <c r="D1934" t="s">
        <v>1152</v>
      </c>
      <c r="E1934" t="s">
        <v>804</v>
      </c>
      <c r="F1934" t="s">
        <v>2183</v>
      </c>
      <c r="G1934" t="s">
        <v>2183</v>
      </c>
      <c r="I1934">
        <f>_xlfn.XLOOKUP($F1934,設計座標!$E$13:$E$2301,設計座標!$G$13:$G$2301,"n/a",0,1)</f>
        <v>615.87299786136975</v>
      </c>
      <c r="J1934">
        <f>_xlfn.XLOOKUP($F1934,設計座標!$E$13:$E$2301,設計座標!$H$13:$H$2301,"n/a",0,1)</f>
        <v>-15000</v>
      </c>
      <c r="K1934">
        <f>_xlfn.XLOOKUP($F1934,設計座標!$E$13:$E$2301,設計座標!$I$13:$I$2301,"n/a",0,1)</f>
        <v>-351396.65699546016</v>
      </c>
      <c r="L1934">
        <f>_xlfn.XLOOKUP($F1934,設計座標!$E$13:$E$2301,設計座標!$J$13:$J$2301,"n/a",0,1)</f>
        <v>-270</v>
      </c>
      <c r="M1934" s="2">
        <f t="shared" si="1480"/>
        <v>-14952.852865883844</v>
      </c>
      <c r="N1934" s="2">
        <f t="shared" si="1481"/>
        <v>-351396.65699546016</v>
      </c>
      <c r="O1934" s="23">
        <f t="shared" si="1482"/>
        <v>-271.29672406343025</v>
      </c>
      <c r="P1934" s="1">
        <f t="shared" si="1462"/>
        <v>-269.96537393737719</v>
      </c>
      <c r="Q1934" s="1">
        <f t="shared" si="1486"/>
        <v>47.147134116156181</v>
      </c>
      <c r="R1934">
        <f t="shared" si="1478"/>
        <v>0</v>
      </c>
      <c r="S1934" s="23">
        <f t="shared" si="1485"/>
        <v>-1.2967240634302311</v>
      </c>
      <c r="T1934">
        <f>$S1934+測地線補正!$Q$26*(lattice!$N1934/1000)^3+測地線補正!$P$26*(lattice!$N1934/1000)^2+測地線補正!$O$26*(lattice!$N1934/1000)+測地線補正!$N$26</f>
        <v>3.4626062622782561E-2</v>
      </c>
      <c r="U1934">
        <v>0</v>
      </c>
      <c r="V1934">
        <v>0</v>
      </c>
      <c r="W1934">
        <v>0</v>
      </c>
      <c r="X1934">
        <f>SQRT(($M$1934-$M$1933)^2+($N$1934-$N$1933)^2)</f>
        <v>226.93430262946731</v>
      </c>
      <c r="Y1934">
        <f>_xlfn.XLOOKUP($F1934,設計座標!$E$13:$E$2301,設計座標!$L$13:$L$2301," ",0,1)</f>
        <v>0</v>
      </c>
      <c r="Z1934">
        <f>SQRT(($M$1934-$M$1932)^2+($N$1934-$N$1932)^2)</f>
        <v>1171.6589135760703</v>
      </c>
    </row>
    <row r="1935" spans="1:26">
      <c r="A1935" t="s">
        <v>797</v>
      </c>
      <c r="B1935">
        <v>5</v>
      </c>
      <c r="C1935" t="s">
        <v>804</v>
      </c>
      <c r="D1935" t="s">
        <v>1152</v>
      </c>
      <c r="E1935" t="s">
        <v>804</v>
      </c>
      <c r="F1935" t="s">
        <v>1818</v>
      </c>
      <c r="G1935" t="s">
        <v>2806</v>
      </c>
      <c r="I1935">
        <f>_xlfn.XLOOKUP($F1935,設計座標!$E$13:$E$2301,設計座標!$G$13:$G$2301,"n/a",0,1)</f>
        <v>616.17090536136982</v>
      </c>
      <c r="J1935">
        <f>_xlfn.XLOOKUP($F1935,設計座標!$E$13:$E$2301,設計座標!$H$13:$H$2301,"n/a",0,1)</f>
        <v>-15000</v>
      </c>
      <c r="K1935">
        <f>_xlfn.XLOOKUP($F1935,設計座標!$E$13:$E$2301,設計座標!$I$13:$I$2301,"n/a",0,1)</f>
        <v>-351694.56449546013</v>
      </c>
      <c r="L1935">
        <f>_xlfn.XLOOKUP($F1935,設計座標!$E$13:$E$2301,設計座標!$J$13:$J$2301,"n/a",0,1)</f>
        <v>-270</v>
      </c>
      <c r="M1935" s="2">
        <f t="shared" si="1480"/>
        <v>-14952.807515267637</v>
      </c>
      <c r="N1935" s="2">
        <f t="shared" si="1481"/>
        <v>-351694.56449546013</v>
      </c>
      <c r="O1935" s="23">
        <f t="shared" si="1482"/>
        <v>-271.29135844792188</v>
      </c>
      <c r="P1935" s="1">
        <f t="shared" si="1462"/>
        <v>-269.96430467911836</v>
      </c>
      <c r="Q1935" s="1">
        <f t="shared" si="1486"/>
        <v>47.19248473236167</v>
      </c>
      <c r="R1935">
        <f t="shared" si="1478"/>
        <v>0</v>
      </c>
      <c r="S1935" s="23">
        <f t="shared" si="1485"/>
        <v>-1.2913584479218587</v>
      </c>
      <c r="T1935">
        <f>$S1935+測地線補正!$Q$26*(lattice!$N1935/1000)^3+測地線補正!$P$26*(lattice!$N1935/1000)^2+測地線補正!$O$26*(lattice!$N1935/1000)+測地線補正!$N$26</f>
        <v>3.5695320881620196E-2</v>
      </c>
      <c r="U1935">
        <f>-ATAN(($P$1937-$P$1935)/ABS($N$1937-$N$1935))</f>
        <v>-3.5557180990767177E-6</v>
      </c>
      <c r="V1935">
        <v>0</v>
      </c>
      <c r="W1935">
        <f>ATAN(($M$1937-$M$1935)/ABS($N$1937-$N$1935))</f>
        <v>1.5223052744609686E-4</v>
      </c>
      <c r="X1935">
        <f>SQRT(($M$1935-$M$1934)^2+($N$1935-$N$1934)^2)</f>
        <v>297.9075034518462</v>
      </c>
      <c r="Y1935">
        <f>_xlfn.XLOOKUP($F1935,設計座標!$E$13:$E$2301,設計座標!$L$13:$L$2301," ",0,1)</f>
        <v>1889.4492</v>
      </c>
      <c r="Z1935">
        <f>SQRT(($M$1936-$M$1934)^2+($N$1936-$N$1934)^2)</f>
        <v>1242.6321143984492</v>
      </c>
    </row>
    <row r="1936" spans="1:26">
      <c r="A1936" t="s">
        <v>797</v>
      </c>
      <c r="B1936">
        <v>5</v>
      </c>
      <c r="C1936" t="s">
        <v>804</v>
      </c>
      <c r="D1936" t="s">
        <v>1152</v>
      </c>
      <c r="E1936" t="s">
        <v>804</v>
      </c>
      <c r="F1936" t="s">
        <v>1329</v>
      </c>
      <c r="G1936" t="s">
        <v>2806</v>
      </c>
      <c r="I1936">
        <f>_xlfn.XLOOKUP($F1936,設計座標!$E$13:$E$2301,設計座標!$G$13:$G$2301,"n/a",0,1)</f>
        <v>617.11562996136979</v>
      </c>
      <c r="J1936">
        <f>_xlfn.XLOOKUP($F1936,設計座標!$E$13:$E$2301,設計座標!$H$13:$H$2301,"n/a",0,1)</f>
        <v>-15000</v>
      </c>
      <c r="K1936">
        <f>_xlfn.XLOOKUP($F1936,設計座標!$E$13:$E$2301,設計座標!$I$13:$I$2301,"n/a",0,1)</f>
        <v>-352639.28909546015</v>
      </c>
      <c r="L1936">
        <f>_xlfn.XLOOKUP($F1936,設計座標!$E$13:$E$2301,設計座標!$J$13:$J$2301,"n/a",0,1)</f>
        <v>-270</v>
      </c>
      <c r="M1936" s="2">
        <f t="shared" si="1480"/>
        <v>-14952.663699342378</v>
      </c>
      <c r="N1936" s="2">
        <f t="shared" si="1481"/>
        <v>-352639.28909546015</v>
      </c>
      <c r="O1936" s="23">
        <f t="shared" si="1482"/>
        <v>-271.27434300197001</v>
      </c>
      <c r="P1936" s="1">
        <f t="shared" si="1462"/>
        <v>-269.96093198179466</v>
      </c>
      <c r="Q1936" s="1">
        <f t="shared" si="1486"/>
        <v>47.33630065762199</v>
      </c>
      <c r="R1936">
        <f t="shared" si="1478"/>
        <v>0</v>
      </c>
      <c r="S1936" s="23">
        <f t="shared" si="1485"/>
        <v>-1.2743430019700066</v>
      </c>
      <c r="T1936">
        <f>$S1936+測地線補正!$Q$26*(lattice!$N1936/1000)^3+測地線補正!$P$26*(lattice!$N1936/1000)^2+測地線補正!$O$26*(lattice!$N1936/1000)+測地線補正!$N$26</f>
        <v>3.9068018205346666E-2</v>
      </c>
      <c r="U1936">
        <f t="shared" ref="U1936:U1937" si="1499">-ATAN(($P$1937-$P$1935)/ABS($N$1937-$N$1935))</f>
        <v>-3.5557180990767177E-6</v>
      </c>
      <c r="V1936">
        <v>0</v>
      </c>
      <c r="W1936">
        <f t="shared" ref="W1936:W1937" si="1500">ATAN(($M$1937-$M$1935)/ABS($N$1937-$N$1935))</f>
        <v>1.5223052744609686E-4</v>
      </c>
      <c r="X1936" t="s">
        <v>3860</v>
      </c>
      <c r="Y1936">
        <f>_xlfn.XLOOKUP($F1936,設計座標!$E$13:$E$2301,設計座標!$L$13:$L$2301," ",0,1)</f>
        <v>1889.4492</v>
      </c>
      <c r="Z1936">
        <f>SQRT(($M$1936-$M$1934)^2+($N$1936-$N$1934)^2)</f>
        <v>1242.6321143984492</v>
      </c>
    </row>
    <row r="1937" spans="1:28">
      <c r="A1937" t="s">
        <v>797</v>
      </c>
      <c r="B1937">
        <v>5</v>
      </c>
      <c r="C1937" t="s">
        <v>804</v>
      </c>
      <c r="D1937" t="s">
        <v>1152</v>
      </c>
      <c r="E1937" t="s">
        <v>804</v>
      </c>
      <c r="F1937" t="s">
        <v>1819</v>
      </c>
      <c r="G1937" t="s">
        <v>2806</v>
      </c>
      <c r="I1937">
        <f>_xlfn.XLOOKUP($F1937,設計座標!$E$13:$E$2301,設計座標!$G$13:$G$2301,"n/a",0,1)</f>
        <v>618.06035456136976</v>
      </c>
      <c r="J1937">
        <f>_xlfn.XLOOKUP($F1937,設計座標!$E$13:$E$2301,設計座標!$H$13:$H$2301,"n/a",0,1)</f>
        <v>-15000</v>
      </c>
      <c r="K1937">
        <f>_xlfn.XLOOKUP($F1937,設計座標!$E$13:$E$2301,設計座標!$I$13:$I$2301,"n/a",0,1)</f>
        <v>-353584.01369546016</v>
      </c>
      <c r="L1937">
        <f>_xlfn.XLOOKUP($F1937,設計座標!$E$13:$E$2301,設計座標!$J$13:$J$2301,"n/a",0,1)</f>
        <v>-270</v>
      </c>
      <c r="M1937" s="2">
        <f t="shared" si="1480"/>
        <v>-14952.519883417117</v>
      </c>
      <c r="N1937" s="2">
        <f t="shared" si="1481"/>
        <v>-353584.01369546016</v>
      </c>
      <c r="O1937" s="23">
        <f t="shared" si="1482"/>
        <v>-271.25732755601814</v>
      </c>
      <c r="P1937" s="1">
        <f t="shared" si="1462"/>
        <v>-269.9575863304006</v>
      </c>
      <c r="Q1937" s="1">
        <f t="shared" si="1486"/>
        <v>47.48011658288231</v>
      </c>
      <c r="R1937">
        <f t="shared" si="1478"/>
        <v>0</v>
      </c>
      <c r="S1937" s="23">
        <f t="shared" si="1485"/>
        <v>-1.2573275560181545</v>
      </c>
      <c r="T1937">
        <f>$S1937+測地線補正!$Q$26*(lattice!$N1937/1000)^3+測地線補正!$P$26*(lattice!$N1937/1000)^2+測地線補正!$O$26*(lattice!$N1937/1000)+測地線補正!$N$26</f>
        <v>4.2413669599371095E-2</v>
      </c>
      <c r="U1937">
        <f t="shared" si="1499"/>
        <v>-3.5557180990767177E-6</v>
      </c>
      <c r="V1937">
        <v>0</v>
      </c>
      <c r="W1937">
        <f t="shared" si="1500"/>
        <v>1.5223052744609686E-4</v>
      </c>
      <c r="X1937" t="s">
        <v>3860</v>
      </c>
      <c r="Y1937">
        <f>_xlfn.XLOOKUP($F1937,設計座標!$E$13:$E$2301,設計座標!$L$13:$L$2301," ",0,1)</f>
        <v>1889.4492</v>
      </c>
      <c r="Z1937">
        <f>SQRT(($M$1936-$M$1934)^2+($N$1936-$N$1934)^2)</f>
        <v>1242.6321143984492</v>
      </c>
    </row>
    <row r="1938" spans="1:28">
      <c r="A1938" t="s">
        <v>797</v>
      </c>
      <c r="B1938">
        <v>5</v>
      </c>
      <c r="C1938" t="s">
        <v>804</v>
      </c>
      <c r="D1938" t="s">
        <v>1152</v>
      </c>
      <c r="E1938" t="s">
        <v>804</v>
      </c>
      <c r="F1938" t="s">
        <v>1820</v>
      </c>
      <c r="G1938" t="s">
        <v>2807</v>
      </c>
      <c r="I1938">
        <f>_xlfn.XLOOKUP($F1938,設計座標!$E$13:$E$2301,設計座標!$G$13:$G$2301,"n/a",0,1)</f>
        <v>618.27029636136979</v>
      </c>
      <c r="J1938">
        <f>_xlfn.XLOOKUP($F1938,設計座標!$E$13:$E$2301,設計座標!$H$13:$H$2301,"n/a",0,1)</f>
        <v>-15000</v>
      </c>
      <c r="K1938">
        <f>_xlfn.XLOOKUP($F1938,設計座標!$E$13:$E$2301,設計座標!$I$13:$I$2301,"n/a",0,1)</f>
        <v>-353793.95549546013</v>
      </c>
      <c r="L1938">
        <f>_xlfn.XLOOKUP($F1938,設計座標!$E$13:$E$2301,設計座標!$J$13:$J$2301,"n/a",0,1)</f>
        <v>-270</v>
      </c>
      <c r="M1938" s="2">
        <f t="shared" si="1480"/>
        <v>-14952.487923865923</v>
      </c>
      <c r="N1938" s="2">
        <f t="shared" si="1481"/>
        <v>-353793.95549546013</v>
      </c>
      <c r="O1938" s="23">
        <f t="shared" si="1482"/>
        <v>-271.2535462917736</v>
      </c>
      <c r="P1938" s="1">
        <f t="shared" si="1462"/>
        <v>-269.95684644560475</v>
      </c>
      <c r="Q1938" s="1">
        <f t="shared" si="1486"/>
        <v>47.512076134076189</v>
      </c>
      <c r="R1938">
        <f t="shared" si="1478"/>
        <v>0</v>
      </c>
      <c r="S1938" s="23">
        <f t="shared" si="1485"/>
        <v>-1.2535462917735969</v>
      </c>
      <c r="T1938">
        <f>$S1938+測地線補正!$Q$26*(lattice!$N1938/1000)^3+測地線補正!$P$26*(lattice!$N1938/1000)^2+測地線補正!$O$26*(lattice!$N1938/1000)+測地線補正!$N$26</f>
        <v>4.3153554395230165E-2</v>
      </c>
      <c r="U1938">
        <f>-ATAN(($P$1940-$P$1938)/ABS($N$1940-$N$1938))</f>
        <v>-3.4938934034362169E-6</v>
      </c>
      <c r="V1938">
        <v>0</v>
      </c>
      <c r="W1938">
        <f>ATAN(($M$1940-$M$1938)/ABS($N$1940-$N$1938))</f>
        <v>1.5223052744609686E-4</v>
      </c>
      <c r="X1938">
        <f>SQRT(($M$1938-$M$1937)^2+($N$1938-$N$1937)^2)</f>
        <v>209.94180243258108</v>
      </c>
      <c r="Y1938">
        <f>_xlfn.XLOOKUP($F1938,設計座標!$E$13:$E$2301,設計座標!$L$13:$L$2301," ",0,1)</f>
        <v>1889.4492</v>
      </c>
      <c r="Z1938">
        <f>SQRT(($M$1939-$M$1936)^2+($N$1939-$N$1936)^2)</f>
        <v>2099.3910243257869</v>
      </c>
    </row>
    <row r="1939" spans="1:28">
      <c r="A1939" t="s">
        <v>797</v>
      </c>
      <c r="B1939">
        <v>5</v>
      </c>
      <c r="C1939" t="s">
        <v>804</v>
      </c>
      <c r="D1939" t="s">
        <v>1152</v>
      </c>
      <c r="E1939" t="s">
        <v>804</v>
      </c>
      <c r="F1939" t="s">
        <v>1383</v>
      </c>
      <c r="G1939" t="s">
        <v>2807</v>
      </c>
      <c r="I1939">
        <f>_xlfn.XLOOKUP($F1939,設計座標!$E$13:$E$2301,設計座標!$G$13:$G$2301,"n/a",0,1)</f>
        <v>619.21502096136976</v>
      </c>
      <c r="J1939">
        <f>_xlfn.XLOOKUP($F1939,設計座標!$E$13:$E$2301,設計座標!$H$13:$H$2301,"n/a",0,1)</f>
        <v>-15000</v>
      </c>
      <c r="K1939">
        <f>_xlfn.XLOOKUP($F1939,設計座標!$E$13:$E$2301,設計座標!$I$13:$I$2301,"n/a",0,1)</f>
        <v>-354738.68009546015</v>
      </c>
      <c r="L1939">
        <f>_xlfn.XLOOKUP($F1939,設計座標!$E$13:$E$2301,設計座標!$J$13:$J$2301,"n/a",0,1)</f>
        <v>-270</v>
      </c>
      <c r="M1939" s="2">
        <f t="shared" si="1480"/>
        <v>-14952.344107940664</v>
      </c>
      <c r="N1939" s="2">
        <f t="shared" si="1481"/>
        <v>-354738.68009546015</v>
      </c>
      <c r="O1939" s="23">
        <f t="shared" si="1482"/>
        <v>-271.23653084582173</v>
      </c>
      <c r="P1939" s="1">
        <f t="shared" si="1462"/>
        <v>-269.95353291826927</v>
      </c>
      <c r="Q1939" s="1">
        <f t="shared" si="1486"/>
        <v>47.655892059336509</v>
      </c>
      <c r="R1939">
        <f t="shared" si="1478"/>
        <v>0</v>
      </c>
      <c r="S1939" s="23">
        <f t="shared" si="1485"/>
        <v>-1.2365308458217446</v>
      </c>
      <c r="T1939">
        <f>$S1939+測地線補正!$Q$26*(lattice!$N1939/1000)^3+測地線補正!$P$26*(lattice!$N1939/1000)^2+測地線補正!$O$26*(lattice!$N1939/1000)+測地線補正!$N$26</f>
        <v>4.6467081730728443E-2</v>
      </c>
      <c r="U1939">
        <f t="shared" ref="U1939:U1940" si="1501">-ATAN(($P$1940-$P$1938)/ABS($N$1940-$N$1938))</f>
        <v>-3.4938934034362169E-6</v>
      </c>
      <c r="V1939">
        <v>0</v>
      </c>
      <c r="W1939">
        <f t="shared" ref="W1939:W1940" si="1502">ATAN(($M$1940-$M$1938)/ABS($N$1940-$N$1938))</f>
        <v>1.5223052744609686E-4</v>
      </c>
      <c r="X1939" t="s">
        <v>3860</v>
      </c>
      <c r="Y1939">
        <f>_xlfn.XLOOKUP($F1939,設計座標!$E$13:$E$2301,設計座標!$L$13:$L$2301," ",0,1)</f>
        <v>1889.4492</v>
      </c>
      <c r="Z1939">
        <f>SQRT(($M$1939-$M$1936)^2+($N$1939-$N$1936)^2)</f>
        <v>2099.3910243257869</v>
      </c>
    </row>
    <row r="1940" spans="1:28">
      <c r="A1940" t="s">
        <v>797</v>
      </c>
      <c r="B1940">
        <v>5</v>
      </c>
      <c r="C1940" t="s">
        <v>804</v>
      </c>
      <c r="D1940" t="s">
        <v>1152</v>
      </c>
      <c r="E1940" t="s">
        <v>804</v>
      </c>
      <c r="F1940" t="s">
        <v>1821</v>
      </c>
      <c r="G1940" t="s">
        <v>2807</v>
      </c>
      <c r="I1940">
        <f>_xlfn.XLOOKUP($F1940,設計座標!$E$13:$E$2301,設計座標!$G$13:$G$2301,"n/a",0,1)</f>
        <v>620.15974556136973</v>
      </c>
      <c r="J1940">
        <f>_xlfn.XLOOKUP($F1940,設計座標!$E$13:$E$2301,設計座標!$H$13:$H$2301,"n/a",0,1)</f>
        <v>-15000</v>
      </c>
      <c r="K1940">
        <f>_xlfn.XLOOKUP($F1940,設計座標!$E$13:$E$2301,設計座標!$I$13:$I$2301,"n/a",0,1)</f>
        <v>-355683.40469546017</v>
      </c>
      <c r="L1940">
        <f>_xlfn.XLOOKUP($F1940,設計座標!$E$13:$E$2301,設計座標!$J$13:$J$2301,"n/a",0,1)</f>
        <v>-270</v>
      </c>
      <c r="M1940" s="2">
        <f t="shared" si="1480"/>
        <v>-14952.200292015403</v>
      </c>
      <c r="N1940" s="2">
        <f t="shared" si="1481"/>
        <v>-355683.40469546017</v>
      </c>
      <c r="O1940" s="23">
        <f t="shared" si="1482"/>
        <v>-271.21951539986992</v>
      </c>
      <c r="P1940" s="1">
        <f t="shared" si="1462"/>
        <v>-269.95024491150872</v>
      </c>
      <c r="Q1940" s="1">
        <f t="shared" si="1486"/>
        <v>47.799707984596829</v>
      </c>
      <c r="R1940">
        <f t="shared" si="1478"/>
        <v>0</v>
      </c>
      <c r="S1940" s="23">
        <f t="shared" si="1485"/>
        <v>-1.2195153998698924</v>
      </c>
      <c r="T1940">
        <f>$S1940+測地線補正!$Q$26*(lattice!$N1940/1000)^3+測地線補正!$P$26*(lattice!$N1940/1000)^2+測地線補正!$O$26*(lattice!$N1940/1000)+測地線補正!$N$26</f>
        <v>4.9755088491300503E-2</v>
      </c>
      <c r="U1940">
        <f t="shared" si="1501"/>
        <v>-3.4938934034362169E-6</v>
      </c>
      <c r="V1940">
        <v>0</v>
      </c>
      <c r="W1940">
        <f t="shared" si="1502"/>
        <v>1.5223052744609686E-4</v>
      </c>
      <c r="X1940" t="s">
        <v>3860</v>
      </c>
      <c r="Y1940">
        <f>_xlfn.XLOOKUP($F1940,設計座標!$E$13:$E$2301,設計座標!$L$13:$L$2301," ",0,1)</f>
        <v>1889.4492</v>
      </c>
      <c r="Z1940">
        <f>SQRT(($M$1939-$M$1936)^2+($N$1939-$N$1936)^2)</f>
        <v>2099.3910243257869</v>
      </c>
    </row>
    <row r="1941" spans="1:28">
      <c r="A1941" t="s">
        <v>797</v>
      </c>
      <c r="B1941">
        <v>5</v>
      </c>
      <c r="C1941" t="s">
        <v>1152</v>
      </c>
      <c r="D1941" t="s">
        <v>1152</v>
      </c>
      <c r="E1941" t="s">
        <v>804</v>
      </c>
      <c r="F1941" t="s">
        <v>2184</v>
      </c>
      <c r="G1941" t="s">
        <v>2184</v>
      </c>
      <c r="I1941">
        <f>_xlfn.XLOOKUP($F1941,設計座標!$E$13:$E$2301,設計座標!$G$13:$G$2301,"n/a",0,1)</f>
        <v>620.31224146136981</v>
      </c>
      <c r="J1941">
        <f>_xlfn.XLOOKUP($F1941,設計座標!$E$13:$E$2301,設計座標!$H$13:$H$2301,"n/a",0,1)</f>
        <v>-15000</v>
      </c>
      <c r="K1941">
        <f>_xlfn.XLOOKUP($F1941,設計座標!$E$13:$E$2301,設計座標!$I$13:$I$2301,"n/a",0,1)</f>
        <v>-355835.90059546015</v>
      </c>
      <c r="L1941">
        <f>_xlfn.XLOOKUP($F1941,設計座標!$E$13:$E$2301,設計座標!$J$13:$J$2301,"n/a",0,1)</f>
        <v>-270</v>
      </c>
      <c r="M1941" s="2">
        <f t="shared" si="1480"/>
        <v>-14952.177077483933</v>
      </c>
      <c r="N1941" s="2">
        <f t="shared" si="1481"/>
        <v>-355835.90059546015</v>
      </c>
      <c r="O1941" s="23">
        <f t="shared" si="1482"/>
        <v>-271.21676879441014</v>
      </c>
      <c r="P1941" s="1">
        <f t="shared" si="1462"/>
        <v>-269.94971651270311</v>
      </c>
      <c r="Q1941" s="1">
        <f t="shared" si="1486"/>
        <v>47.822922516066534</v>
      </c>
      <c r="R1941">
        <f t="shared" si="1478"/>
        <v>0</v>
      </c>
      <c r="S1941" s="23">
        <f t="shared" si="1485"/>
        <v>-1.2167687944101333</v>
      </c>
      <c r="T1941">
        <f>$S1941+測地線補正!$Q$26*(lattice!$N1941/1000)^3+測地線補正!$P$26*(lattice!$N1941/1000)^2+測地線補正!$O$26*(lattice!$N1941/1000)+測地線補正!$N$26</f>
        <v>5.0283487296912233E-2</v>
      </c>
      <c r="U1941">
        <v>0</v>
      </c>
      <c r="V1941">
        <v>0</v>
      </c>
      <c r="W1941">
        <v>0</v>
      </c>
      <c r="X1941">
        <f>SQRT(($M$1941-$M$1940)^2+($N$1941-$N$1940)^2)</f>
        <v>152.49590176696009</v>
      </c>
      <c r="Y1941">
        <f>_xlfn.XLOOKUP($F1941,設計座標!$E$13:$E$2301,設計座標!$L$13:$L$2301," ",0,1)</f>
        <v>0</v>
      </c>
      <c r="Z1941">
        <f>SQRT(($M$1941-$M$1939)^2+($N$1941-$N$1939)^2)</f>
        <v>1097.220512713563</v>
      </c>
    </row>
    <row r="1942" spans="1:28">
      <c r="A1942" t="s">
        <v>797</v>
      </c>
      <c r="B1942">
        <v>5</v>
      </c>
      <c r="C1942" t="s">
        <v>805</v>
      </c>
      <c r="D1942" t="s">
        <v>806</v>
      </c>
      <c r="F1942" t="s">
        <v>469</v>
      </c>
      <c r="G1942" t="s">
        <v>2808</v>
      </c>
      <c r="I1942">
        <f>_xlfn.XLOOKUP($F1942,設計座標!$E$13:$E$2301,設計座標!$G$13:$G$2301,"n/a",0,1)</f>
        <v>620.43866399999979</v>
      </c>
      <c r="J1942">
        <f>_xlfn.XLOOKUP($F1942,設計座標!$E$13:$E$2301,設計座標!$H$13:$H$2301,"n/a",0,1)</f>
        <v>-15000</v>
      </c>
      <c r="K1942">
        <f>_xlfn.XLOOKUP($F1942,設計座標!$E$13:$E$2301,設計座標!$I$13:$I$2301,"n/a",0,1)</f>
        <v>-356074.36106894002</v>
      </c>
      <c r="L1942">
        <f>_xlfn.XLOOKUP($F1942,設計座標!$E$13:$E$2301,設計座標!$J$13:$J$2301,"n/a",0,1)</f>
        <v>-50</v>
      </c>
      <c r="M1942" s="2">
        <f>_xlfn.XLOOKUP($F1942,survey_data!$A$2:$A$833,survey_data!$B$2:$B$833,"n/a",0,1)</f>
        <v>-14952.14077652</v>
      </c>
      <c r="N1942" s="2">
        <f>_xlfn.XLOOKUP($F1942,survey_data!$A$2:$A$833,survey_data!$C$2:$C$833,"n/a",0,1)</f>
        <v>-356074.36106894002</v>
      </c>
      <c r="O1942" s="23">
        <f>_xlfn.XLOOKUP($F1942,survey_data!$A$2:$A$833,survey_data!$D$2:$D$833,"n/a",0,1)</f>
        <v>-51.212473879999997</v>
      </c>
      <c r="P1942" s="1">
        <f t="shared" si="1462"/>
        <v>-49.94889153652889</v>
      </c>
      <c r="Q1942" s="1">
        <f t="shared" si="1477"/>
        <v>47.859223479999855</v>
      </c>
      <c r="R1942">
        <f t="shared" si="1478"/>
        <v>0</v>
      </c>
      <c r="S1942" s="23">
        <f t="shared" si="1479"/>
        <v>-1.2124738799999975</v>
      </c>
      <c r="T1942">
        <f>$S1942+測地線補正!$Q$26*(lattice!$N1942/1000)^3+測地線補正!$P$26*(lattice!$N1942/1000)^2+測地線補正!$O$26*(lattice!$N1942/1000)+測地線補正!$N$26</f>
        <v>5.1108463471109422E-2</v>
      </c>
      <c r="U1942">
        <f>-ATAN(($P$1944-$P$1942)/ABS($N$1944-$N$1942))</f>
        <v>2.7046107903881E-4</v>
      </c>
      <c r="V1942">
        <v>0</v>
      </c>
      <c r="W1942">
        <f>ATAN(($M$1944-$M$1942)/ABS($N$1944-$N$1942))</f>
        <v>3.06132899633238E-4</v>
      </c>
      <c r="X1942">
        <f>$Z$1943-($Y$1943+$Y$1941)/2</f>
        <v>213.46197908170655</v>
      </c>
      <c r="Y1942">
        <f>_xlfn.XLOOKUP($F1942,設計座標!$E$13:$E$2301,設計座標!$L$13:$L$2301," ",0,1)</f>
        <v>200</v>
      </c>
      <c r="Z1942">
        <f>SQRT(($M$1943-$M$1941)^2+($N$1943-$N$1941)^2)</f>
        <v>313.46197908170655</v>
      </c>
      <c r="AA1942">
        <f>_xlfn.XLOOKUP($G1942,magnet_list!$A$2:$A$592,magnet_list!$AJ$2:$AJ$592,"n/a",0,1)</f>
        <v>0.21244935000000001</v>
      </c>
      <c r="AB1942">
        <f>_xlfn.XLOOKUP($G1942,magnet_list!$A$2:$A$592,magnet_list!$L$2:$L$592,"n/a",0,1)</f>
        <v>20</v>
      </c>
    </row>
    <row r="1943" spans="1:28">
      <c r="A1943" t="s">
        <v>797</v>
      </c>
      <c r="B1943">
        <v>5</v>
      </c>
      <c r="C1943" t="s">
        <v>805</v>
      </c>
      <c r="D1943" t="s">
        <v>1152</v>
      </c>
      <c r="E1943" t="s">
        <v>804</v>
      </c>
      <c r="F1943" t="s">
        <v>790</v>
      </c>
      <c r="G1943" t="s">
        <v>2808</v>
      </c>
      <c r="I1943">
        <f>_xlfn.XLOOKUP($F1943,設計座標!$E$13:$E$2301,設計座標!$G$13:$G$2301,"n/a",0,1)</f>
        <v>620.51366549999977</v>
      </c>
      <c r="J1943">
        <f>_xlfn.XLOOKUP($F1943,設計座標!$E$13:$E$2301,設計座標!$H$13:$H$2301,"n/a",0,1)</f>
        <v>-15000</v>
      </c>
      <c r="K1943">
        <f>_xlfn.XLOOKUP($F1943,設計座標!$E$13:$E$2301,設計座標!$I$13:$I$2301,"n/a",0,1)</f>
        <v>-356149.36256894004</v>
      </c>
      <c r="L1943">
        <f>_xlfn.XLOOKUP($F1943,設計座標!$E$13:$E$2301,設計座標!$J$13:$J$2301,"n/a",0,1)</f>
        <v>-50</v>
      </c>
      <c r="M1943" s="2">
        <f t="shared" si="1480"/>
        <v>-14952.11781609261</v>
      </c>
      <c r="N1943" s="2">
        <f t="shared" si="1481"/>
        <v>-356149.36256894004</v>
      </c>
      <c r="O1943" s="23">
        <f t="shared" si="1482"/>
        <v>-51.231667087797746</v>
      </c>
      <c r="P1943" s="1">
        <f t="shared" si="1462"/>
        <v>-49.969176446437409</v>
      </c>
      <c r="Q1943" s="1">
        <f>(Q$1944-Q$1942)/($N$1944-$N$1942)*($N1943-$N$1942)+Q$1942</f>
        <v>47.882183907388963</v>
      </c>
      <c r="R1943">
        <f t="shared" si="1478"/>
        <v>0</v>
      </c>
      <c r="S1943" s="23">
        <f>(S$1944-S$1942)/($N$1944-$N$1942)*($N1943-$N$1942)+S$1942</f>
        <v>-1.2316670877977456</v>
      </c>
      <c r="T1943">
        <f>$S1943+測地線補正!$Q$26*(lattice!$N1943/1000)^3+測地線補正!$P$26*(lattice!$N1943/1000)^2+測地線補正!$O$26*(lattice!$N1943/1000)+測地線補正!$N$26</f>
        <v>3.0823553562592698E-2</v>
      </c>
      <c r="U1943">
        <f t="shared" ref="U1943:U1944" si="1503">-ATAN(($P$1944-$P$1942)/ABS($N$1944-$N$1942))</f>
        <v>2.7046107903881E-4</v>
      </c>
      <c r="V1943">
        <v>0</v>
      </c>
      <c r="W1943">
        <f t="shared" ref="W1943:W1944" si="1504">ATAN(($M$1944-$M$1942)/ABS($N$1944-$N$1942))</f>
        <v>3.06132899633238E-4</v>
      </c>
      <c r="X1943">
        <f>$Z$1943-($Y$1943+$Y$1941)/2</f>
        <v>213.46197908170655</v>
      </c>
      <c r="Y1943">
        <f>_xlfn.XLOOKUP($F1943,設計座標!$E$13:$E$2301,設計座標!$L$13:$L$2301," ",0,1)</f>
        <v>200</v>
      </c>
      <c r="Z1943">
        <f>SQRT(($M$1943-$M$1941)^2+($N$1943-$N$1941)^2)</f>
        <v>313.46197908170655</v>
      </c>
      <c r="AA1943">
        <f>_xlfn.XLOOKUP($G1943,magnet_list!$A$2:$A$592,magnet_list!$AJ$2:$AJ$592,"n/a",0,1)</f>
        <v>0.21244935000000001</v>
      </c>
      <c r="AB1943">
        <f>_xlfn.XLOOKUP($G1943,magnet_list!$A$2:$A$592,magnet_list!$L$2:$L$592,"n/a",0,1)</f>
        <v>20</v>
      </c>
    </row>
    <row r="1944" spans="1:28">
      <c r="A1944" t="s">
        <v>797</v>
      </c>
      <c r="B1944">
        <v>5</v>
      </c>
      <c r="C1944" t="s">
        <v>805</v>
      </c>
      <c r="D1944" t="s">
        <v>806</v>
      </c>
      <c r="F1944" t="s">
        <v>470</v>
      </c>
      <c r="G1944" t="s">
        <v>2808</v>
      </c>
      <c r="I1944">
        <f>_xlfn.XLOOKUP($F1944,設計座標!$E$13:$E$2301,設計座標!$G$13:$G$2301,"n/a",0,1)</f>
        <v>620.58866699999976</v>
      </c>
      <c r="J1944">
        <f>_xlfn.XLOOKUP($F1944,設計座標!$E$13:$E$2301,設計座標!$H$13:$H$2301,"n/a",0,1)</f>
        <v>-15000</v>
      </c>
      <c r="K1944">
        <f>_xlfn.XLOOKUP($F1944,設計座標!$E$13:$E$2301,設計座標!$I$13:$I$2301,"n/a",0,1)</f>
        <v>-356224.37463696999</v>
      </c>
      <c r="L1944">
        <f>_xlfn.XLOOKUP($F1944,設計座標!$E$13:$E$2301,設計座標!$J$13:$J$2301,"n/a",0,1)</f>
        <v>-50</v>
      </c>
      <c r="M1944" s="2">
        <f>_xlfn.XLOOKUP($F1944,survey_data!$A$2:$A$833,survey_data!$B$2:$B$833,"n/a",0,1)</f>
        <v>-14952.09485243</v>
      </c>
      <c r="N1944" s="2">
        <f>_xlfn.XLOOKUP($F1944,survey_data!$A$2:$A$833,survey_data!$C$2:$C$833,"n/a",0,1)</f>
        <v>-356224.37463696999</v>
      </c>
      <c r="O1944" s="23">
        <f>_xlfn.XLOOKUP($F1944,survey_data!$A$2:$A$833,survey_data!$D$2:$D$833,"n/a",0,1)</f>
        <v>-51.250863000000003</v>
      </c>
      <c r="P1944" s="1">
        <f t="shared" si="1462"/>
        <v>-49.989464368998028</v>
      </c>
      <c r="Q1944" s="1">
        <f t="shared" si="1477"/>
        <v>47.905147569999826</v>
      </c>
      <c r="R1944">
        <f t="shared" si="1478"/>
        <v>0</v>
      </c>
      <c r="S1944" s="23">
        <f t="shared" si="1479"/>
        <v>-1.2508630000000025</v>
      </c>
      <c r="T1944">
        <f>$S1944+測地線補正!$Q$26*(lattice!$N1944/1000)^3+測地線補正!$P$26*(lattice!$N1944/1000)^2+測地線補正!$O$26*(lattice!$N1944/1000)+測地線補正!$N$26</f>
        <v>1.0535631001974854E-2</v>
      </c>
      <c r="U1944">
        <f t="shared" si="1503"/>
        <v>2.7046107903881E-4</v>
      </c>
      <c r="V1944">
        <v>0</v>
      </c>
      <c r="W1944">
        <f t="shared" si="1504"/>
        <v>3.06132899633238E-4</v>
      </c>
      <c r="X1944">
        <f>$Z$1943-($Y$1943+$Y$1941)/2</f>
        <v>213.46197908170655</v>
      </c>
      <c r="Y1944">
        <f>_xlfn.XLOOKUP($F1944,設計座標!$E$13:$E$2301,設計座標!$L$13:$L$2301," ",0,1)</f>
        <v>200</v>
      </c>
      <c r="Z1944">
        <f>SQRT(($M$1943-$M$1941)^2+($N$1943-$N$1941)^2)</f>
        <v>313.46197908170655</v>
      </c>
      <c r="AA1944">
        <f>_xlfn.XLOOKUP($G1944,magnet_list!$A$2:$A$592,magnet_list!$AJ$2:$AJ$592,"n/a",0,1)</f>
        <v>0.21244935000000001</v>
      </c>
      <c r="AB1944">
        <f>_xlfn.XLOOKUP($G1944,magnet_list!$A$2:$A$592,magnet_list!$L$2:$L$592,"n/a",0,1)</f>
        <v>20</v>
      </c>
    </row>
    <row r="1945" spans="1:28">
      <c r="A1945" t="s">
        <v>797</v>
      </c>
      <c r="B1945">
        <v>5</v>
      </c>
      <c r="C1945" t="s">
        <v>805</v>
      </c>
      <c r="D1945" t="s">
        <v>806</v>
      </c>
      <c r="F1945" t="s">
        <v>471</v>
      </c>
      <c r="G1945" t="s">
        <v>471</v>
      </c>
      <c r="I1945">
        <f>_xlfn.XLOOKUP($F1945,設計座標!$E$13:$E$2301,設計座標!$G$13:$G$2301,"n/a",0,1)</f>
        <v>620.84363799999983</v>
      </c>
      <c r="J1945">
        <f>_xlfn.XLOOKUP($F1945,設計座標!$E$13:$E$2301,設計座標!$H$13:$H$2301,"n/a",0,1)</f>
        <v>-15000</v>
      </c>
      <c r="K1945">
        <f>_xlfn.XLOOKUP($F1945,設計座標!$E$13:$E$2301,設計座標!$I$13:$I$2301,"n/a",0,1)</f>
        <v>-356479.35215971002</v>
      </c>
      <c r="L1945">
        <f>_xlfn.XLOOKUP($F1945,設計座標!$E$13:$E$2301,設計座標!$J$13:$J$2301,"n/a",0,1)</f>
        <v>-90</v>
      </c>
      <c r="M1945" s="2">
        <f>_xlfn.XLOOKUP($F1945,survey_data!$A$2:$A$833,survey_data!$B$2:$B$833,"n/a",0,1)</f>
        <v>-14952.0655993</v>
      </c>
      <c r="N1945" s="2">
        <f>_xlfn.XLOOKUP($F1945,survey_data!$A$2:$A$833,survey_data!$C$2:$C$833,"n/a",0,1)</f>
        <v>-356479.35215971002</v>
      </c>
      <c r="O1945" s="23">
        <f>_xlfn.XLOOKUP($F1945,survey_data!$A$2:$A$833,survey_data!$D$2:$D$833,"n/a",0,1)</f>
        <v>-91.341479039999996</v>
      </c>
      <c r="P1945" s="1">
        <f t="shared" si="1462"/>
        <v>-90.083793469697397</v>
      </c>
      <c r="Q1945" s="1">
        <f t="shared" si="1477"/>
        <v>47.934400699999969</v>
      </c>
      <c r="R1945">
        <f t="shared" si="1478"/>
        <v>0</v>
      </c>
      <c r="S1945" s="23">
        <f t="shared" si="1479"/>
        <v>-1.3414790399999958</v>
      </c>
      <c r="T1945">
        <f>$S1945+測地線補正!$Q$26*(lattice!$N1945/1000)^3+測地線補正!$P$26*(lattice!$N1945/1000)^2+測地線補正!$O$26*(lattice!$N1945/1000)+測地線補正!$N$26</f>
        <v>-8.3793469697402978E-2</v>
      </c>
      <c r="U1945">
        <v>0</v>
      </c>
      <c r="V1945">
        <v>0</v>
      </c>
      <c r="W1945">
        <v>0</v>
      </c>
      <c r="X1945">
        <f>$Z$1946-($Y$1946+$Y$1943)/2</f>
        <v>189.98959490131534</v>
      </c>
      <c r="Y1945">
        <f>_xlfn.XLOOKUP($F1945,設計座標!$E$13:$E$2301,設計座標!$L$13:$L$2301," ",0,1)</f>
        <v>80</v>
      </c>
      <c r="Z1945">
        <f>SQRT(($M$1946-$M$1943)^2+($N$1946-$N$1943)^2)</f>
        <v>329.98959490131534</v>
      </c>
      <c r="AA1945">
        <f>_xlfn.XLOOKUP($G1945,magnet_list!$A$2:$A$592,magnet_list!$AJ$2:$AJ$592,"n/a",0,1)</f>
        <v>0.1074008800631841</v>
      </c>
      <c r="AB1945">
        <f>_xlfn.XLOOKUP($G1945,magnet_list!$A$2:$A$592,magnet_list!$L$2:$L$592,"n/a",0,1)</f>
        <v>20</v>
      </c>
    </row>
    <row r="1946" spans="1:28">
      <c r="A1946" t="s">
        <v>797</v>
      </c>
      <c r="B1946">
        <v>5</v>
      </c>
      <c r="C1946" t="s">
        <v>805</v>
      </c>
      <c r="D1946" t="s">
        <v>1152</v>
      </c>
      <c r="E1946" t="s">
        <v>804</v>
      </c>
      <c r="F1946" t="s">
        <v>1909</v>
      </c>
      <c r="G1946" t="s">
        <v>471</v>
      </c>
      <c r="I1946">
        <f>_xlfn.XLOOKUP($F1946,設計座標!$E$13:$E$2301,設計座標!$G$13:$G$2301,"n/a",0,1)</f>
        <v>620.84363799999983</v>
      </c>
      <c r="J1946">
        <f>_xlfn.XLOOKUP($F1946,設計座標!$E$13:$E$2301,設計座標!$H$13:$H$2301,"n/a",0,1)</f>
        <v>-15000</v>
      </c>
      <c r="K1946">
        <f>_xlfn.XLOOKUP($F1946,設計座標!$E$13:$E$2301,設計座標!$I$13:$I$2301,"n/a",0,1)</f>
        <v>-356479.35215971002</v>
      </c>
      <c r="L1946">
        <f>_xlfn.XLOOKUP($F1946,設計座標!$E$13:$E$2301,設計座標!$J$13:$J$2301,"n/a",0,1)</f>
        <v>-90</v>
      </c>
      <c r="M1946" s="2">
        <f t="shared" ref="M1946:M1973" si="1505">$J1946+$Q1946</f>
        <v>-14952.0655993</v>
      </c>
      <c r="N1946" s="2">
        <f t="shared" ref="N1946:N1973" si="1506">$K1946</f>
        <v>-356479.35215971002</v>
      </c>
      <c r="O1946" s="23">
        <f t="shared" ref="O1946:O1973" si="1507">$L1946+$S1946</f>
        <v>-91.341479039999996</v>
      </c>
      <c r="P1946" s="1">
        <f t="shared" si="1462"/>
        <v>-90.083793469697397</v>
      </c>
      <c r="Q1946" s="1">
        <f>(Q$1947-Q$1945)/($N$1947-$N$1945)*($N1946-$N$1945)+Q$1945</f>
        <v>47.934400699999969</v>
      </c>
      <c r="R1946">
        <f t="shared" si="1478"/>
        <v>0</v>
      </c>
      <c r="S1946" s="23">
        <f>(S$1947-S$1945)/($N$1947-$N$1945)*($N1946-$N$1945)+S$1945</f>
        <v>-1.3414790399999958</v>
      </c>
      <c r="T1946">
        <f>$S1946+測地線補正!$Q$26*(lattice!$N1946/1000)^3+測地線補正!$P$26*(lattice!$N1946/1000)^2+測地線補正!$O$26*(lattice!$N1946/1000)+測地線補正!$N$26</f>
        <v>-8.3793469697402978E-2</v>
      </c>
      <c r="U1946">
        <v>0</v>
      </c>
      <c r="V1946">
        <v>0</v>
      </c>
      <c r="W1946">
        <v>0</v>
      </c>
      <c r="X1946">
        <f>$Z$1946-($Y$1946+$Y$1943)/2</f>
        <v>189.98959490131534</v>
      </c>
      <c r="Y1946">
        <f>_xlfn.XLOOKUP($F1946,設計座標!$E$13:$E$2301,設計座標!$L$13:$L$2301," ",0,1)</f>
        <v>80</v>
      </c>
      <c r="Z1946">
        <f>SQRT(($M$1946-$M$1943)^2+($N$1946-$N$1943)^2)</f>
        <v>329.98959490131534</v>
      </c>
      <c r="AA1946">
        <f>_xlfn.XLOOKUP($G1946,magnet_list!$A$2:$A$592,magnet_list!$AJ$2:$AJ$592,"n/a",0,1)</f>
        <v>0.1074008800631841</v>
      </c>
      <c r="AB1946">
        <f>_xlfn.XLOOKUP($G1946,magnet_list!$A$2:$A$592,magnet_list!$L$2:$L$592,"n/a",0,1)</f>
        <v>20</v>
      </c>
    </row>
    <row r="1947" spans="1:28">
      <c r="A1947" t="s">
        <v>797</v>
      </c>
      <c r="B1947">
        <v>5</v>
      </c>
      <c r="C1947" t="s">
        <v>805</v>
      </c>
      <c r="D1947" t="s">
        <v>806</v>
      </c>
      <c r="F1947" t="s">
        <v>472</v>
      </c>
      <c r="G1947" t="s">
        <v>472</v>
      </c>
      <c r="I1947">
        <f>_xlfn.XLOOKUP($F1947,設計座標!$E$13:$E$2301,設計座標!$G$13:$G$2301,"n/a",0,1)</f>
        <v>621.04364199999975</v>
      </c>
      <c r="J1947">
        <f>_xlfn.XLOOKUP($F1947,設計座標!$E$13:$E$2301,設計座標!$H$13:$H$2301,"n/a",0,1)</f>
        <v>-15000</v>
      </c>
      <c r="K1947">
        <f>_xlfn.XLOOKUP($F1947,設計座標!$E$13:$E$2301,設計座標!$I$13:$I$2301,"n/a",0,1)</f>
        <v>-356679.33214185998</v>
      </c>
      <c r="L1947">
        <f>_xlfn.XLOOKUP($F1947,設計座標!$E$13:$E$2301,設計座標!$J$13:$J$2301,"n/a",0,1)</f>
        <v>-90</v>
      </c>
      <c r="M1947" s="2">
        <f>_xlfn.XLOOKUP($F1947,survey_data!$A$2:$A$833,survey_data!$B$2:$B$833,"n/a",0,1)</f>
        <v>-14952.023610980001</v>
      </c>
      <c r="N1947" s="2">
        <f>_xlfn.XLOOKUP($F1947,survey_data!$A$2:$A$833,survey_data!$C$2:$C$833,"n/a",0,1)</f>
        <v>-356679.33214185998</v>
      </c>
      <c r="O1947" s="23">
        <f>_xlfn.XLOOKUP($F1947,survey_data!$A$2:$A$833,survey_data!$D$2:$D$833,"n/a",0,1)</f>
        <v>-91.340301819999993</v>
      </c>
      <c r="P1947" s="1">
        <f t="shared" ref="P1947:P1984" si="1508">$L1947+$T1947</f>
        <v>-90.085529656389923</v>
      </c>
      <c r="Q1947" s="1">
        <f t="shared" si="1477"/>
        <v>47.97638901999926</v>
      </c>
      <c r="R1947">
        <f t="shared" si="1478"/>
        <v>0</v>
      </c>
      <c r="S1947" s="23">
        <f t="shared" si="1479"/>
        <v>-1.3403018199999934</v>
      </c>
      <c r="T1947">
        <f>$S1947+測地線補正!$Q$26*(lattice!$N1947/1000)^3+測地線補正!$P$26*(lattice!$N1947/1000)^2+測地線補正!$O$26*(lattice!$N1947/1000)+測地線補正!$N$26</f>
        <v>-8.5529656389917941E-2</v>
      </c>
      <c r="U1947">
        <v>0</v>
      </c>
      <c r="V1947">
        <v>0</v>
      </c>
      <c r="W1947">
        <v>0</v>
      </c>
      <c r="X1947">
        <f>$Z$1948-($Y$1948+$Y$1946)/2</f>
        <v>119.97998655795055</v>
      </c>
      <c r="Y1947">
        <f>_xlfn.XLOOKUP($F1947,設計座標!$E$13:$E$2301,設計座標!$L$13:$L$2301," ",0,1)</f>
        <v>80</v>
      </c>
      <c r="Z1947">
        <f>SQRT(($M$1948-$M$1946)^2+($N$1948-$N$1946)^2)</f>
        <v>199.97998655795055</v>
      </c>
      <c r="AA1947">
        <f>_xlfn.XLOOKUP($G1947,magnet_list!$A$2:$A$592,magnet_list!$AJ$2:$AJ$592,"n/a",0,1)</f>
        <v>0.1074008800631841</v>
      </c>
      <c r="AB1947">
        <f>_xlfn.XLOOKUP($G1947,magnet_list!$A$2:$A$592,magnet_list!$L$2:$L$592,"n/a",0,1)</f>
        <v>20</v>
      </c>
    </row>
    <row r="1948" spans="1:28">
      <c r="A1948" t="s">
        <v>797</v>
      </c>
      <c r="B1948">
        <v>5</v>
      </c>
      <c r="C1948" t="s">
        <v>805</v>
      </c>
      <c r="D1948" t="s">
        <v>1152</v>
      </c>
      <c r="E1948" t="s">
        <v>804</v>
      </c>
      <c r="F1948" t="s">
        <v>1910</v>
      </c>
      <c r="G1948" t="s">
        <v>472</v>
      </c>
      <c r="I1948">
        <f>_xlfn.XLOOKUP($F1948,設計座標!$E$13:$E$2301,設計座標!$G$13:$G$2301,"n/a",0,1)</f>
        <v>621.04364199999975</v>
      </c>
      <c r="J1948">
        <f>_xlfn.XLOOKUP($F1948,設計座標!$E$13:$E$2301,設計座標!$H$13:$H$2301,"n/a",0,1)</f>
        <v>-15000</v>
      </c>
      <c r="K1948">
        <f>_xlfn.XLOOKUP($F1948,設計座標!$E$13:$E$2301,設計座標!$I$13:$I$2301,"n/a",0,1)</f>
        <v>-356679.33214185998</v>
      </c>
      <c r="L1948">
        <f>_xlfn.XLOOKUP($F1948,設計座標!$E$13:$E$2301,設計座標!$J$13:$J$2301,"n/a",0,1)</f>
        <v>-90</v>
      </c>
      <c r="M1948" s="2">
        <f t="shared" si="1505"/>
        <v>-14952.023610980001</v>
      </c>
      <c r="N1948" s="2">
        <f t="shared" si="1506"/>
        <v>-356679.33214185998</v>
      </c>
      <c r="O1948" s="23">
        <f t="shared" si="1507"/>
        <v>-91.340301819999993</v>
      </c>
      <c r="P1948" s="1">
        <f t="shared" si="1508"/>
        <v>-90.085529656389923</v>
      </c>
      <c r="Q1948" s="1">
        <f>(Q$1949-Q$1947)/($N$1949-$N$1947)*($N1948-$N$1947)+Q$1947</f>
        <v>47.97638901999926</v>
      </c>
      <c r="R1948">
        <f t="shared" si="1478"/>
        <v>0</v>
      </c>
      <c r="S1948" s="23">
        <f>(S$1949-S$1947)/($N$1949-$N$1947)*($N1948-$N$1947)+S$1947</f>
        <v>-1.3403018199999934</v>
      </c>
      <c r="T1948">
        <f>$S1948+測地線補正!$Q$26*(lattice!$N1948/1000)^3+測地線補正!$P$26*(lattice!$N1948/1000)^2+測地線補正!$O$26*(lattice!$N1948/1000)+測地線補正!$N$26</f>
        <v>-8.5529656389917941E-2</v>
      </c>
      <c r="U1948">
        <v>0</v>
      </c>
      <c r="V1948">
        <v>0</v>
      </c>
      <c r="W1948">
        <v>0</v>
      </c>
      <c r="X1948">
        <f>$Z$1948-($Y$1948+$Y$1946)/2</f>
        <v>119.97998655795055</v>
      </c>
      <c r="Y1948">
        <f>_xlfn.XLOOKUP($F1948,設計座標!$E$13:$E$2301,設計座標!$L$13:$L$2301," ",0,1)</f>
        <v>80</v>
      </c>
      <c r="Z1948">
        <f>SQRT(($M$1948-$M$1946)^2+($N$1948-$N$1946)^2)</f>
        <v>199.97998655795055</v>
      </c>
      <c r="AA1948">
        <f>_xlfn.XLOOKUP($G1948,magnet_list!$A$2:$A$592,magnet_list!$AJ$2:$AJ$592,"n/a",0,1)</f>
        <v>0.1074008800631841</v>
      </c>
      <c r="AB1948">
        <f>_xlfn.XLOOKUP($G1948,magnet_list!$A$2:$A$592,magnet_list!$L$2:$L$592,"n/a",0,1)</f>
        <v>20</v>
      </c>
    </row>
    <row r="1949" spans="1:28">
      <c r="A1949" t="s">
        <v>797</v>
      </c>
      <c r="B1949">
        <v>5</v>
      </c>
      <c r="C1949" t="s">
        <v>805</v>
      </c>
      <c r="D1949" t="s">
        <v>806</v>
      </c>
      <c r="F1949" t="s">
        <v>473</v>
      </c>
      <c r="G1949" t="s">
        <v>2809</v>
      </c>
      <c r="I1949">
        <f>_xlfn.XLOOKUP($F1949,設計座標!$E$13:$E$2301,設計座標!$G$13:$G$2301,"n/a",0,1)</f>
        <v>621.29859699999975</v>
      </c>
      <c r="J1949">
        <f>_xlfn.XLOOKUP($F1949,設計座標!$E$13:$E$2301,設計座標!$H$13:$H$2301,"n/a",0,1)</f>
        <v>-15000</v>
      </c>
      <c r="K1949">
        <f>_xlfn.XLOOKUP($F1949,設計座標!$E$13:$E$2301,設計座標!$I$13:$I$2301,"n/a",0,1)</f>
        <v>-356934.33013304998</v>
      </c>
      <c r="L1949">
        <f>_xlfn.XLOOKUP($F1949,設計座標!$E$13:$E$2301,設計座標!$J$13:$J$2301,"n/a",0,1)</f>
        <v>-50</v>
      </c>
      <c r="M1949" s="2">
        <f>_xlfn.XLOOKUP($F1949,survey_data!$A$2:$A$833,survey_data!$B$2:$B$833,"n/a",0,1)</f>
        <v>-14951.97065949</v>
      </c>
      <c r="N1949" s="2">
        <f>_xlfn.XLOOKUP($F1949,survey_data!$A$2:$A$833,survey_data!$C$2:$C$833,"n/a",0,1)</f>
        <v>-356934.33013304998</v>
      </c>
      <c r="O1949" s="23">
        <f>_xlfn.XLOOKUP($F1949,survey_data!$A$2:$A$833,survey_data!$D$2:$D$833,"n/a",0,1)</f>
        <v>-51.26170544</v>
      </c>
      <c r="P1949" s="1">
        <f t="shared" si="1508"/>
        <v>-50.010649778709436</v>
      </c>
      <c r="Q1949" s="1">
        <f t="shared" si="1477"/>
        <v>48.029340510000111</v>
      </c>
      <c r="R1949">
        <f t="shared" si="1478"/>
        <v>0</v>
      </c>
      <c r="S1949" s="23">
        <f t="shared" si="1479"/>
        <v>-1.2617054400000001</v>
      </c>
      <c r="T1949">
        <f>$S1949+測地線補正!$Q$26*(lattice!$N1949/1000)^3+測地線補正!$P$26*(lattice!$N1949/1000)^2+測地線補正!$O$26*(lattice!$N1949/1000)+測地線補正!$N$26</f>
        <v>-1.0649778709433955E-2</v>
      </c>
      <c r="U1949">
        <f>-ATAN(($P$1951-$P$1949)/ABS($N$1951-$N$1949))</f>
        <v>-3.5048258517628259E-4</v>
      </c>
      <c r="V1949">
        <v>0</v>
      </c>
      <c r="W1949">
        <f>ATAN(($M$1951-$M$1949)/ABS($N$1951-$N$1949))</f>
        <v>2.55388907421378E-4</v>
      </c>
      <c r="X1949">
        <f>$Z$1950-($Y$1950+$Y$1948)/2</f>
        <v>190.00449906783092</v>
      </c>
      <c r="Y1949">
        <f>_xlfn.XLOOKUP($F1949,設計座標!$E$13:$E$2301,設計座標!$L$13:$L$2301," ",0,1)</f>
        <v>200</v>
      </c>
      <c r="Z1949">
        <f>SQRT(($M$1950-$M$1948)^2+($N$1950-$N$1948)^2)</f>
        <v>330.00449906783092</v>
      </c>
      <c r="AA1949">
        <f>_xlfn.XLOOKUP($G1949,magnet_list!$A$2:$A$592,magnet_list!$AJ$2:$AJ$592,"n/a",0,1)</f>
        <v>0.21244935000000001</v>
      </c>
      <c r="AB1949">
        <f>_xlfn.XLOOKUP($G1949,magnet_list!$A$2:$A$592,magnet_list!$L$2:$L$592,"n/a",0,1)</f>
        <v>20</v>
      </c>
    </row>
    <row r="1950" spans="1:28">
      <c r="A1950" t="s">
        <v>797</v>
      </c>
      <c r="B1950">
        <v>5</v>
      </c>
      <c r="C1950" t="s">
        <v>805</v>
      </c>
      <c r="D1950" t="s">
        <v>1152</v>
      </c>
      <c r="E1950" t="s">
        <v>804</v>
      </c>
      <c r="F1950" t="s">
        <v>791</v>
      </c>
      <c r="G1950" t="s">
        <v>2809</v>
      </c>
      <c r="I1950">
        <f>_xlfn.XLOOKUP($F1950,設計座標!$E$13:$E$2301,設計座標!$G$13:$G$2301,"n/a",0,1)</f>
        <v>621.37360349999972</v>
      </c>
      <c r="J1950">
        <f>_xlfn.XLOOKUP($F1950,設計座標!$E$13:$E$2301,設計座標!$H$13:$H$2301,"n/a",0,1)</f>
        <v>-15000</v>
      </c>
      <c r="K1950">
        <f>_xlfn.XLOOKUP($F1950,設計座標!$E$13:$E$2301,設計座標!$I$13:$I$2301,"n/a",0,1)</f>
        <v>-357009.33663304994</v>
      </c>
      <c r="L1950">
        <f>_xlfn.XLOOKUP($F1950,設計座標!$E$13:$E$2301,設計座標!$J$13:$J$2301,"n/a",0,1)</f>
        <v>-50</v>
      </c>
      <c r="M1950" s="2">
        <f t="shared" si="1505"/>
        <v>-14951.951503661499</v>
      </c>
      <c r="N1950" s="2">
        <f t="shared" si="1506"/>
        <v>-357009.33663304994</v>
      </c>
      <c r="O1950" s="23">
        <f t="shared" si="1507"/>
        <v>-51.234323367052696</v>
      </c>
      <c r="P1950" s="1">
        <f t="shared" si="1508"/>
        <v>-49.984361230398981</v>
      </c>
      <c r="Q1950" s="1">
        <f>(Q$1951-Q$1949)/($N$1951-$N$1949)*($N1950-$N$1949)+Q$1949</f>
        <v>48.048496338501074</v>
      </c>
      <c r="R1950">
        <f t="shared" si="1478"/>
        <v>0</v>
      </c>
      <c r="S1950" s="23">
        <f>(S$1951-S$1949)/($N$1951-$N$1949)*($N1950-$N$1949)+S$1949</f>
        <v>-1.2343233670526979</v>
      </c>
      <c r="T1950">
        <f>$S1950+測地線補正!$Q$26*(lattice!$N1950/1000)^3+測地線補正!$P$26*(lattice!$N1950/1000)^2+測地線補正!$O$26*(lattice!$N1950/1000)+測地線補正!$N$26</f>
        <v>1.5638769601020064E-2</v>
      </c>
      <c r="U1950">
        <f t="shared" ref="U1950:U1951" si="1509">-ATAN(($P$1951-$P$1949)/ABS($N$1951-$N$1949))</f>
        <v>-3.5048258517628259E-4</v>
      </c>
      <c r="V1950">
        <v>0</v>
      </c>
      <c r="W1950">
        <f t="shared" ref="W1950:W1951" si="1510">ATAN(($M$1951-$M$1949)/ABS($N$1951-$N$1949))</f>
        <v>2.55388907421378E-4</v>
      </c>
      <c r="X1950">
        <f>$Z$1950-($Y$1950+$Y$1948)/2</f>
        <v>190.00449906783092</v>
      </c>
      <c r="Y1950">
        <f>_xlfn.XLOOKUP($F1950,設計座標!$E$13:$E$2301,設計座標!$L$13:$L$2301," ",0,1)</f>
        <v>200</v>
      </c>
      <c r="Z1950">
        <f>SQRT(($M$1950-$M$1948)^2+($N$1950-$N$1948)^2)</f>
        <v>330.00449906783092</v>
      </c>
      <c r="AA1950">
        <f>_xlfn.XLOOKUP($G1950,magnet_list!$A$2:$A$592,magnet_list!$AJ$2:$AJ$592,"n/a",0,1)</f>
        <v>0.21244935000000001</v>
      </c>
      <c r="AB1950">
        <f>_xlfn.XLOOKUP($G1950,magnet_list!$A$2:$A$592,magnet_list!$L$2:$L$592,"n/a",0,1)</f>
        <v>20</v>
      </c>
    </row>
    <row r="1951" spans="1:28">
      <c r="A1951" t="s">
        <v>797</v>
      </c>
      <c r="B1951">
        <v>5</v>
      </c>
      <c r="C1951" t="s">
        <v>805</v>
      </c>
      <c r="D1951" t="s">
        <v>806</v>
      </c>
      <c r="F1951" t="s">
        <v>474</v>
      </c>
      <c r="G1951" t="s">
        <v>2809</v>
      </c>
      <c r="I1951">
        <f>_xlfn.XLOOKUP($F1951,設計座標!$E$13:$E$2301,設計座標!$G$13:$G$2301,"n/a",0,1)</f>
        <v>621.4486099999998</v>
      </c>
      <c r="J1951">
        <f>_xlfn.XLOOKUP($F1951,設計座標!$E$13:$E$2301,設計座標!$H$13:$H$2301,"n/a",0,1)</f>
        <v>-15000</v>
      </c>
      <c r="K1951">
        <f>_xlfn.XLOOKUP($F1951,設計座標!$E$13:$E$2301,設計座標!$I$13:$I$2301,"n/a",0,1)</f>
        <v>-357084.31651873002</v>
      </c>
      <c r="L1951">
        <f>_xlfn.XLOOKUP($F1951,設計座標!$E$13:$E$2301,設計座標!$J$13:$J$2301,"n/a",0,1)</f>
        <v>-50</v>
      </c>
      <c r="M1951" s="2">
        <f>_xlfn.XLOOKUP($F1951,survey_data!$A$2:$A$833,survey_data!$B$2:$B$833,"n/a",0,1)</f>
        <v>-14951.93235463</v>
      </c>
      <c r="N1951" s="2">
        <f>_xlfn.XLOOKUP($F1951,survey_data!$A$2:$A$833,survey_data!$C$2:$C$833,"n/a",0,1)</f>
        <v>-357084.31651873002</v>
      </c>
      <c r="O1951" s="23">
        <f>_xlfn.XLOOKUP($F1951,survey_data!$A$2:$A$833,survey_data!$D$2:$D$833,"n/a",0,1)</f>
        <v>-51.206951009999997</v>
      </c>
      <c r="P1951" s="1">
        <f t="shared" si="1508"/>
        <v>-49.958082160362615</v>
      </c>
      <c r="Q1951" s="1">
        <f t="shared" si="1477"/>
        <v>48.067645369999809</v>
      </c>
      <c r="R1951">
        <f t="shared" si="1478"/>
        <v>0</v>
      </c>
      <c r="S1951" s="23">
        <f t="shared" si="1479"/>
        <v>-1.2069510099999974</v>
      </c>
      <c r="T1951">
        <f>$S1951+測地線補正!$Q$26*(lattice!$N1951/1000)^3+測地線補正!$P$26*(lattice!$N1951/1000)^2+測地線補正!$O$26*(lattice!$N1951/1000)+測地線補正!$N$26</f>
        <v>4.1917839637383159E-2</v>
      </c>
      <c r="U1951">
        <f t="shared" si="1509"/>
        <v>-3.5048258517628259E-4</v>
      </c>
      <c r="V1951">
        <v>0</v>
      </c>
      <c r="W1951">
        <f t="shared" si="1510"/>
        <v>2.55388907421378E-4</v>
      </c>
      <c r="X1951">
        <f>$Z$1950-($Y$1950+$Y$1948)/2</f>
        <v>190.00449906783092</v>
      </c>
      <c r="Y1951">
        <f>_xlfn.XLOOKUP($F1951,設計座標!$E$13:$E$2301,設計座標!$L$13:$L$2301," ",0,1)</f>
        <v>200</v>
      </c>
      <c r="Z1951">
        <f>SQRT(($M$1950-$M$1948)^2+($N$1950-$N$1948)^2)</f>
        <v>330.00449906783092</v>
      </c>
      <c r="AA1951">
        <f>_xlfn.XLOOKUP($G1951,magnet_list!$A$2:$A$592,magnet_list!$AJ$2:$AJ$592,"n/a",0,1)</f>
        <v>0.21244935000000001</v>
      </c>
      <c r="AB1951">
        <f>_xlfn.XLOOKUP($G1951,magnet_list!$A$2:$A$592,magnet_list!$L$2:$L$592,"n/a",0,1)</f>
        <v>20</v>
      </c>
    </row>
    <row r="1952" spans="1:28">
      <c r="A1952" t="s">
        <v>797</v>
      </c>
      <c r="B1952">
        <v>5</v>
      </c>
      <c r="C1952" t="s">
        <v>2288</v>
      </c>
      <c r="D1952" t="s">
        <v>1152</v>
      </c>
      <c r="E1952" t="s">
        <v>804</v>
      </c>
      <c r="F1952" t="s">
        <v>2307</v>
      </c>
      <c r="G1952" t="s">
        <v>2307</v>
      </c>
      <c r="I1952">
        <f>_xlfn.XLOOKUP($F1952,設計座標!$E$13:$E$2301,設計座標!$G$13:$G$2301,"n/a",0,1)</f>
        <v>621.67675416136979</v>
      </c>
      <c r="J1952">
        <f>_xlfn.XLOOKUP($F1952,設計座標!$E$13:$E$2301,設計座標!$H$13:$H$2301,"n/a",0,1)</f>
        <v>-15000</v>
      </c>
      <c r="K1952">
        <f>_xlfn.XLOOKUP($F1952,設計座標!$E$13:$E$2301,設計座標!$I$13:$I$2301,"n/a",0,1)</f>
        <v>-357200.41329546017</v>
      </c>
      <c r="L1952">
        <f>_xlfn.XLOOKUP($F1952,設計座標!$E$13:$E$2301,設計座標!$J$13:$J$2301,"n/a",0,1)</f>
        <v>-270</v>
      </c>
      <c r="M1952" s="2">
        <f t="shared" si="1505"/>
        <v>-14951.914227996944</v>
      </c>
      <c r="N1952" s="2">
        <f t="shared" si="1506"/>
        <v>-357200.41329546017</v>
      </c>
      <c r="O1952" s="23">
        <f t="shared" si="1507"/>
        <v>-271.20358203232479</v>
      </c>
      <c r="P1952" s="1">
        <f t="shared" si="1508"/>
        <v>-269.95640629385611</v>
      </c>
      <c r="Q1952" s="1">
        <f>(Q$1972-Q$1951)/($N$1972-$N$1951)*($N1952-$N$1951)+Q$1951</f>
        <v>48.08577200305713</v>
      </c>
      <c r="R1952">
        <f t="shared" si="1478"/>
        <v>0</v>
      </c>
      <c r="S1952" s="23">
        <f t="shared" ref="S1952:S1971" si="1511">(S$1972-S$1951)/($N$1972-$N$1951)*($N1952-$N$1951)+S$1951</f>
        <v>-1.2035820323247806</v>
      </c>
      <c r="T1952">
        <f>$S1952+測地線補正!$Q$26*(lattice!$N1952/1000)^3+測地線補正!$P$26*(lattice!$N1952/1000)^2+測地線補正!$O$26*(lattice!$N1952/1000)+測地線補正!$N$26</f>
        <v>4.3593706143885802E-2</v>
      </c>
      <c r="U1952">
        <v>0</v>
      </c>
      <c r="V1952">
        <v>0</v>
      </c>
      <c r="W1952">
        <v>0</v>
      </c>
      <c r="X1952">
        <f>$Z$1952-($Y$1952+$Y$1950)/2</f>
        <v>91.076666046135415</v>
      </c>
      <c r="Y1952">
        <f>_xlfn.XLOOKUP($F1952,設計座標!$E$13:$E$2301,設計座標!$L$13:$L$2301," ",0,1)</f>
        <v>0</v>
      </c>
      <c r="Z1952">
        <f>SQRT(($M$1952-$M$1950)^2+($N$1952-$N$1950)^2)</f>
        <v>191.07666604613541</v>
      </c>
    </row>
    <row r="1953" spans="1:26">
      <c r="A1953" t="s">
        <v>797</v>
      </c>
      <c r="B1953">
        <v>5</v>
      </c>
      <c r="C1953" t="s">
        <v>804</v>
      </c>
      <c r="D1953" t="s">
        <v>1152</v>
      </c>
      <c r="E1953" t="s">
        <v>804</v>
      </c>
      <c r="F1953" t="s">
        <v>1822</v>
      </c>
      <c r="G1953" t="s">
        <v>2810</v>
      </c>
      <c r="I1953">
        <f>_xlfn.XLOOKUP($F1953,設計座標!$E$13:$E$2301,設計座標!$G$13:$G$2301,"n/a",0,1)</f>
        <v>621.85722336136985</v>
      </c>
      <c r="J1953">
        <f>_xlfn.XLOOKUP($F1953,設計座標!$E$13:$E$2301,設計座標!$H$13:$H$2301,"n/a",0,1)</f>
        <v>-15000</v>
      </c>
      <c r="K1953">
        <f>_xlfn.XLOOKUP($F1953,設計座標!$E$13:$E$2301,設計座標!$I$13:$I$2301,"n/a",0,1)</f>
        <v>-357380.88249546016</v>
      </c>
      <c r="L1953">
        <f>_xlfn.XLOOKUP($F1953,設計座標!$E$13:$E$2301,設計座標!$J$13:$J$2301,"n/a",0,1)</f>
        <v>-270</v>
      </c>
      <c r="M1953" s="2">
        <f t="shared" si="1505"/>
        <v>-14951.886050651639</v>
      </c>
      <c r="N1953" s="2">
        <f t="shared" si="1506"/>
        <v>-357380.88249546016</v>
      </c>
      <c r="O1953" s="23">
        <f t="shared" si="1507"/>
        <v>-271.19834505053262</v>
      </c>
      <c r="P1953" s="1">
        <f t="shared" si="1508"/>
        <v>-269.95380191723541</v>
      </c>
      <c r="Q1953" s="1">
        <f t="shared" ref="Q1953:Q1971" si="1512">(Q$1972-Q$1951)/($N$1972-$N$1951)*($N1953-$N$1951)+Q$1951</f>
        <v>48.113949348360627</v>
      </c>
      <c r="R1953">
        <f t="shared" si="1478"/>
        <v>0</v>
      </c>
      <c r="S1953" s="23">
        <f t="shared" si="1511"/>
        <v>-1.1983450505326207</v>
      </c>
      <c r="T1953">
        <f>$S1953+測地線補正!$Q$26*(lattice!$N1953/1000)^3+測地線補正!$P$26*(lattice!$N1953/1000)^2+測地線補正!$O$26*(lattice!$N1953/1000)+測地線補正!$N$26</f>
        <v>4.6198082764586479E-2</v>
      </c>
      <c r="U1953">
        <f>-ATAN(($P$1955-$P$1953)/ABS($N$1955-$N$1953))</f>
        <v>-1.4404253977360899E-5</v>
      </c>
      <c r="V1953">
        <v>0</v>
      </c>
      <c r="W1953">
        <f>ATAN(($M$1955-$M$1953)/ABS($N$1955-$N$1953))</f>
        <v>1.5613381715295704E-4</v>
      </c>
      <c r="X1953">
        <f>SQRT(($M$1953-$M$1952)^2+($N$1953-$N$1952)^2)</f>
        <v>180.46920219971051</v>
      </c>
      <c r="Y1953">
        <f>_xlfn.XLOOKUP($F1953,設計座標!$E$13:$E$2301,設計座標!$L$13:$L$2301," ",0,1)</f>
        <v>1889.4492</v>
      </c>
      <c r="Z1953">
        <f>SQRT(($M$1954-$M$1952)^2+($N$1954-$N$1952)^2)</f>
        <v>1125.1938137148657</v>
      </c>
    </row>
    <row r="1954" spans="1:26">
      <c r="A1954" t="s">
        <v>797</v>
      </c>
      <c r="B1954">
        <v>5</v>
      </c>
      <c r="C1954" t="s">
        <v>804</v>
      </c>
      <c r="D1954" t="s">
        <v>1152</v>
      </c>
      <c r="E1954" t="s">
        <v>804</v>
      </c>
      <c r="F1954" t="s">
        <v>1220</v>
      </c>
      <c r="G1954" t="s">
        <v>2810</v>
      </c>
      <c r="I1954">
        <f>_xlfn.XLOOKUP($F1954,設計座標!$E$13:$E$2301,設計座標!$G$13:$G$2301,"n/a",0,1)</f>
        <v>622.80194796136982</v>
      </c>
      <c r="J1954">
        <f>_xlfn.XLOOKUP($F1954,設計座標!$E$13:$E$2301,設計座標!$H$13:$H$2301,"n/a",0,1)</f>
        <v>-15000</v>
      </c>
      <c r="K1954">
        <f>_xlfn.XLOOKUP($F1954,設計座標!$E$13:$E$2301,設計座標!$I$13:$I$2301,"n/a",0,1)</f>
        <v>-358325.60709546017</v>
      </c>
      <c r="L1954">
        <f>_xlfn.XLOOKUP($F1954,設計座標!$E$13:$E$2301,設計座標!$J$13:$J$2301,"n/a",0,1)</f>
        <v>-270</v>
      </c>
      <c r="M1954" s="2">
        <f t="shared" si="1505"/>
        <v>-14951.738547192484</v>
      </c>
      <c r="N1954" s="2">
        <f t="shared" si="1506"/>
        <v>-358325.60709546017</v>
      </c>
      <c r="O1954" s="23">
        <f t="shared" si="1507"/>
        <v>-271.17093036964076</v>
      </c>
      <c r="P1954" s="1">
        <f t="shared" si="1508"/>
        <v>-269.94018240694692</v>
      </c>
      <c r="Q1954" s="1">
        <f t="shared" si="1512"/>
        <v>48.261452807515489</v>
      </c>
      <c r="R1954">
        <f t="shared" si="1478"/>
        <v>0</v>
      </c>
      <c r="S1954" s="23">
        <f t="shared" si="1511"/>
        <v>-1.1709303696407809</v>
      </c>
      <c r="T1954">
        <f>$S1954+測地線補正!$Q$26*(lattice!$N1954/1000)^3+測地線補正!$P$26*(lattice!$N1954/1000)^2+測地線補正!$O$26*(lattice!$N1954/1000)+測地線補正!$N$26</f>
        <v>5.9817593053057783E-2</v>
      </c>
      <c r="U1954">
        <f t="shared" ref="U1954:U1955" si="1513">-ATAN(($P$1955-$P$1953)/ABS($N$1955-$N$1953))</f>
        <v>-1.4404253977360899E-5</v>
      </c>
      <c r="V1954">
        <v>0</v>
      </c>
      <c r="W1954">
        <f t="shared" ref="W1954:W1955" si="1514">ATAN(($M$1955-$M$1953)/ABS($N$1955-$N$1953))</f>
        <v>1.5613381715295704E-4</v>
      </c>
      <c r="X1954" t="s">
        <v>3860</v>
      </c>
      <c r="Y1954">
        <f>_xlfn.XLOOKUP($F1954,設計座標!$E$13:$E$2301,設計座標!$L$13:$L$2301," ",0,1)</f>
        <v>1889.4492</v>
      </c>
      <c r="Z1954">
        <f>SQRT(($M$1954-$M$1952)^2+($N$1954-$N$1952)^2)</f>
        <v>1125.1938137148657</v>
      </c>
    </row>
    <row r="1955" spans="1:26">
      <c r="A1955" t="s">
        <v>797</v>
      </c>
      <c r="B1955">
        <v>5</v>
      </c>
      <c r="C1955" t="s">
        <v>804</v>
      </c>
      <c r="D1955" t="s">
        <v>1152</v>
      </c>
      <c r="E1955" t="s">
        <v>804</v>
      </c>
      <c r="F1955" t="s">
        <v>1823</v>
      </c>
      <c r="G1955" t="s">
        <v>2810</v>
      </c>
      <c r="I1955">
        <f>_xlfn.XLOOKUP($F1955,設計座標!$E$13:$E$2301,設計座標!$G$13:$G$2301,"n/a",0,1)</f>
        <v>623.74667256136979</v>
      </c>
      <c r="J1955">
        <f>_xlfn.XLOOKUP($F1955,設計座標!$E$13:$E$2301,設計座標!$H$13:$H$2301,"n/a",0,1)</f>
        <v>-15000</v>
      </c>
      <c r="K1955">
        <f>_xlfn.XLOOKUP($F1955,設計座標!$E$13:$E$2301,設計座標!$I$13:$I$2301,"n/a",0,1)</f>
        <v>-359270.33169546019</v>
      </c>
      <c r="L1955">
        <f>_xlfn.XLOOKUP($F1955,設計座標!$E$13:$E$2301,設計座標!$J$13:$J$2301,"n/a",0,1)</f>
        <v>-270</v>
      </c>
      <c r="M1955" s="2">
        <f t="shared" si="1505"/>
        <v>-14951.59104373333</v>
      </c>
      <c r="N1955" s="2">
        <f t="shared" si="1506"/>
        <v>-359270.33169546019</v>
      </c>
      <c r="O1955" s="23">
        <f t="shared" si="1507"/>
        <v>-271.14351568874895</v>
      </c>
      <c r="P1955" s="1">
        <f t="shared" si="1508"/>
        <v>-269.92658581107941</v>
      </c>
      <c r="Q1955" s="1">
        <f t="shared" si="1512"/>
        <v>48.408956266670344</v>
      </c>
      <c r="R1955">
        <f t="shared" si="1478"/>
        <v>0</v>
      </c>
      <c r="S1955" s="23">
        <f t="shared" si="1511"/>
        <v>-1.1435156887489408</v>
      </c>
      <c r="T1955">
        <f>$S1955+測地線補正!$Q$26*(lattice!$N1955/1000)^3+測地線補正!$P$26*(lattice!$N1955/1000)^2+測地線補正!$O$26*(lattice!$N1955/1000)+測地線補正!$N$26</f>
        <v>7.341418892058349E-2</v>
      </c>
      <c r="U1955">
        <f t="shared" si="1513"/>
        <v>-1.4404253977360899E-5</v>
      </c>
      <c r="V1955">
        <v>0</v>
      </c>
      <c r="W1955">
        <f t="shared" si="1514"/>
        <v>1.5613381715295704E-4</v>
      </c>
      <c r="X1955" t="s">
        <v>3860</v>
      </c>
      <c r="Y1955">
        <f>_xlfn.XLOOKUP($F1955,設計座標!$E$13:$E$2301,設計座標!$L$13:$L$2301," ",0,1)</f>
        <v>1889.4492</v>
      </c>
      <c r="Z1955">
        <f>SQRT(($M$1954-$M$1952)^2+($N$1954-$N$1952)^2)</f>
        <v>1125.1938137148657</v>
      </c>
    </row>
    <row r="1956" spans="1:26">
      <c r="A1956" t="s">
        <v>797</v>
      </c>
      <c r="B1956">
        <v>5</v>
      </c>
      <c r="C1956" t="s">
        <v>804</v>
      </c>
      <c r="D1956" t="s">
        <v>1152</v>
      </c>
      <c r="E1956" t="s">
        <v>804</v>
      </c>
      <c r="F1956" t="s">
        <v>1824</v>
      </c>
      <c r="G1956" t="s">
        <v>2811</v>
      </c>
      <c r="I1956">
        <f>_xlfn.XLOOKUP($F1956,設計座標!$E$13:$E$2301,設計座標!$G$13:$G$2301,"n/a",0,1)</f>
        <v>623.95661436136982</v>
      </c>
      <c r="J1956">
        <f>_xlfn.XLOOKUP($F1956,設計座標!$E$13:$E$2301,設計座標!$H$13:$H$2301,"n/a",0,1)</f>
        <v>-15000</v>
      </c>
      <c r="K1956">
        <f>_xlfn.XLOOKUP($F1956,設計座標!$E$13:$E$2301,設計座標!$I$13:$I$2301,"n/a",0,1)</f>
        <v>-359480.27349546016</v>
      </c>
      <c r="L1956">
        <f>_xlfn.XLOOKUP($F1956,設計座標!$E$13:$E$2301,設計座標!$J$13:$J$2301,"n/a",0,1)</f>
        <v>-270</v>
      </c>
      <c r="M1956" s="2">
        <f t="shared" si="1505"/>
        <v>-14951.558264718449</v>
      </c>
      <c r="N1956" s="2">
        <f t="shared" si="1506"/>
        <v>-359480.27349546016</v>
      </c>
      <c r="O1956" s="23">
        <f t="shared" si="1507"/>
        <v>-271.13742345038355</v>
      </c>
      <c r="P1956" s="1">
        <f t="shared" si="1508"/>
        <v>-269.92356734499202</v>
      </c>
      <c r="Q1956" s="1">
        <f t="shared" si="1512"/>
        <v>48.441735281550656</v>
      </c>
      <c r="R1956">
        <f t="shared" si="1478"/>
        <v>0</v>
      </c>
      <c r="S1956" s="23">
        <f t="shared" si="1511"/>
        <v>-1.1374234503835403</v>
      </c>
      <c r="T1956">
        <f>$S1956+測地線補正!$Q$26*(lattice!$N1956/1000)^3+測地線補正!$P$26*(lattice!$N1956/1000)^2+測地線補正!$O$26*(lattice!$N1956/1000)+測地線補正!$N$26</f>
        <v>7.6432655007950379E-2</v>
      </c>
      <c r="U1956">
        <f>-ATAN(($P$1958-$P$1956)/ABS($N$1958-$N$1956))</f>
        <v>-1.4352147609903468E-5</v>
      </c>
      <c r="V1956">
        <v>0</v>
      </c>
      <c r="W1956">
        <f>ATAN(($M$1958-$M$1956)/ABS($N$1958-$N$1956))</f>
        <v>1.5613381715295704E-4</v>
      </c>
      <c r="X1956">
        <f>SQRT(($M$1956-$M$1955)^2+($N$1956-$N$1955)^2)</f>
        <v>209.94180255892775</v>
      </c>
      <c r="Y1956">
        <f>_xlfn.XLOOKUP($F1956,設計座標!$E$13:$E$2301,設計座標!$L$13:$L$2301," ",0,1)</f>
        <v>1889.4492</v>
      </c>
      <c r="Z1956">
        <f>SQRT(($M$1957-$M$1954)^2+($N$1957-$N$1954)^2)</f>
        <v>2099.3910255892379</v>
      </c>
    </row>
    <row r="1957" spans="1:26">
      <c r="A1957" t="s">
        <v>797</v>
      </c>
      <c r="B1957">
        <v>5</v>
      </c>
      <c r="C1957" t="s">
        <v>804</v>
      </c>
      <c r="D1957" t="s">
        <v>1152</v>
      </c>
      <c r="E1957" t="s">
        <v>804</v>
      </c>
      <c r="F1957" t="s">
        <v>1276</v>
      </c>
      <c r="G1957" t="s">
        <v>2811</v>
      </c>
      <c r="I1957">
        <f>_xlfn.XLOOKUP($F1957,設計座標!$E$13:$E$2301,設計座標!$G$13:$G$2301,"n/a",0,1)</f>
        <v>624.90133896136979</v>
      </c>
      <c r="J1957">
        <f>_xlfn.XLOOKUP($F1957,設計座標!$E$13:$E$2301,設計座標!$H$13:$H$2301,"n/a",0,1)</f>
        <v>-15000</v>
      </c>
      <c r="K1957">
        <f>_xlfn.XLOOKUP($F1957,設計座標!$E$13:$E$2301,設計座標!$I$13:$I$2301,"n/a",0,1)</f>
        <v>-360424.99809546018</v>
      </c>
      <c r="L1957">
        <f>_xlfn.XLOOKUP($F1957,設計座標!$E$13:$E$2301,設計座標!$J$13:$J$2301,"n/a",0,1)</f>
        <v>-270</v>
      </c>
      <c r="M1957" s="2">
        <f t="shared" si="1505"/>
        <v>-14951.410761259294</v>
      </c>
      <c r="N1957" s="2">
        <f t="shared" si="1506"/>
        <v>-360424.99809546018</v>
      </c>
      <c r="O1957" s="23">
        <f t="shared" si="1507"/>
        <v>-271.11000876949169</v>
      </c>
      <c r="P1957" s="1">
        <f t="shared" si="1508"/>
        <v>-269.90999782354811</v>
      </c>
      <c r="Q1957" s="1">
        <f t="shared" si="1512"/>
        <v>48.589238740705511</v>
      </c>
      <c r="R1957">
        <f t="shared" si="1478"/>
        <v>0</v>
      </c>
      <c r="S1957" s="23">
        <f t="shared" si="1511"/>
        <v>-1.1100087694917002</v>
      </c>
      <c r="T1957">
        <f>$S1957+測地線補正!$Q$26*(lattice!$N1957/1000)^3+測地線補正!$P$26*(lattice!$N1957/1000)^2+測地線補正!$O$26*(lattice!$N1957/1000)+測地線補正!$N$26</f>
        <v>9.0002176451875249E-2</v>
      </c>
      <c r="U1957">
        <f t="shared" ref="U1957:U1958" si="1515">-ATAN(($P$1958-$P$1956)/ABS($N$1958-$N$1956))</f>
        <v>-1.4352147609903468E-5</v>
      </c>
      <c r="V1957">
        <v>0</v>
      </c>
      <c r="W1957">
        <f t="shared" ref="W1957:W1958" si="1516">ATAN(($M$1958-$M$1956)/ABS($N$1958-$N$1956))</f>
        <v>1.5613381715295704E-4</v>
      </c>
      <c r="X1957" t="s">
        <v>3860</v>
      </c>
      <c r="Y1957">
        <f>_xlfn.XLOOKUP($F1957,設計座標!$E$13:$E$2301,設計座標!$L$13:$L$2301," ",0,1)</f>
        <v>1889.4492</v>
      </c>
      <c r="Z1957">
        <f>SQRT(($M$1957-$M$1954)^2+($N$1957-$N$1954)^2)</f>
        <v>2099.3910255892379</v>
      </c>
    </row>
    <row r="1958" spans="1:26">
      <c r="A1958" t="s">
        <v>797</v>
      </c>
      <c r="B1958">
        <v>5</v>
      </c>
      <c r="C1958" t="s">
        <v>804</v>
      </c>
      <c r="D1958" t="s">
        <v>1152</v>
      </c>
      <c r="E1958" t="s">
        <v>804</v>
      </c>
      <c r="F1958" t="s">
        <v>1825</v>
      </c>
      <c r="G1958" t="s">
        <v>2811</v>
      </c>
      <c r="I1958">
        <f>_xlfn.XLOOKUP($F1958,設計座標!$E$13:$E$2301,設計座標!$G$13:$G$2301,"n/a",0,1)</f>
        <v>625.84606356136976</v>
      </c>
      <c r="J1958">
        <f>_xlfn.XLOOKUP($F1958,設計座標!$E$13:$E$2301,設計座標!$H$13:$H$2301,"n/a",0,1)</f>
        <v>-15000</v>
      </c>
      <c r="K1958">
        <f>_xlfn.XLOOKUP($F1958,設計座標!$E$13:$E$2301,設計座標!$I$13:$I$2301,"n/a",0,1)</f>
        <v>-361369.72269546019</v>
      </c>
      <c r="L1958">
        <f>_xlfn.XLOOKUP($F1958,設計座標!$E$13:$E$2301,設計座標!$J$13:$J$2301,"n/a",0,1)</f>
        <v>-270</v>
      </c>
      <c r="M1958" s="2">
        <f t="shared" si="1505"/>
        <v>-14951.263257800139</v>
      </c>
      <c r="N1958" s="2">
        <f t="shared" si="1506"/>
        <v>-361369.72269546019</v>
      </c>
      <c r="O1958" s="23">
        <f t="shared" si="1507"/>
        <v>-271.08259408859988</v>
      </c>
      <c r="P1958" s="1">
        <f t="shared" si="1508"/>
        <v>-269.89644969117035</v>
      </c>
      <c r="Q1958" s="1">
        <f t="shared" si="1512"/>
        <v>48.736742199860366</v>
      </c>
      <c r="R1958">
        <f t="shared" si="1478"/>
        <v>0</v>
      </c>
      <c r="S1958" s="23">
        <f t="shared" si="1511"/>
        <v>-1.0825940885998604</v>
      </c>
      <c r="T1958">
        <f>$S1958+測地線補正!$Q$26*(lattice!$N1958/1000)^3+測地線補正!$P$26*(lattice!$N1958/1000)^2+測地線補正!$O$26*(lattice!$N1958/1000)+測地線補正!$N$26</f>
        <v>0.10355030882962679</v>
      </c>
      <c r="U1958">
        <f t="shared" si="1515"/>
        <v>-1.4352147609903468E-5</v>
      </c>
      <c r="V1958">
        <v>0</v>
      </c>
      <c r="W1958">
        <f t="shared" si="1516"/>
        <v>1.5613381715295704E-4</v>
      </c>
      <c r="X1958" t="s">
        <v>3860</v>
      </c>
      <c r="Y1958">
        <f>_xlfn.XLOOKUP($F1958,設計座標!$E$13:$E$2301,設計座標!$L$13:$L$2301," ",0,1)</f>
        <v>1889.4492</v>
      </c>
      <c r="Z1958">
        <f>SQRT(($M$1957-$M$1954)^2+($N$1957-$N$1954)^2)</f>
        <v>2099.3910255892379</v>
      </c>
    </row>
    <row r="1959" spans="1:26">
      <c r="A1959" t="s">
        <v>797</v>
      </c>
      <c r="B1959">
        <v>5</v>
      </c>
      <c r="C1959" t="s">
        <v>1152</v>
      </c>
      <c r="D1959" t="s">
        <v>1152</v>
      </c>
      <c r="E1959" t="s">
        <v>804</v>
      </c>
      <c r="F1959" t="s">
        <v>2185</v>
      </c>
      <c r="G1959" t="s">
        <v>2185</v>
      </c>
      <c r="I1959">
        <f>_xlfn.XLOOKUP($F1959,設計座標!$E$13:$E$2301,設計座標!$G$13:$G$2301,"n/a",0,1)</f>
        <v>626.0559361613698</v>
      </c>
      <c r="J1959">
        <f>_xlfn.XLOOKUP($F1959,設計座標!$E$13:$E$2301,設計座標!$H$13:$H$2301,"n/a",0,1)</f>
        <v>-15000</v>
      </c>
      <c r="K1959">
        <f>_xlfn.XLOOKUP($F1959,設計座標!$E$13:$E$2301,設計座標!$I$13:$I$2301,"n/a",0,1)</f>
        <v>-361579.5952954602</v>
      </c>
      <c r="L1959">
        <f>_xlfn.XLOOKUP($F1959,設計座標!$E$13:$E$2301,設計座標!$J$13:$J$2301,"n/a",0,1)</f>
        <v>-270</v>
      </c>
      <c r="M1959" s="2">
        <f t="shared" si="1505"/>
        <v>-14951.23048958972</v>
      </c>
      <c r="N1959" s="2">
        <f t="shared" si="1506"/>
        <v>-361579.5952954602</v>
      </c>
      <c r="O1959" s="23">
        <f t="shared" si="1507"/>
        <v>-271.07650385832858</v>
      </c>
      <c r="P1959" s="1">
        <f t="shared" si="1508"/>
        <v>-269.89344277903382</v>
      </c>
      <c r="Q1959" s="1">
        <f t="shared" si="1512"/>
        <v>48.769510410280446</v>
      </c>
      <c r="R1959">
        <f t="shared" si="1478"/>
        <v>0</v>
      </c>
      <c r="S1959" s="23">
        <f t="shared" si="1511"/>
        <v>-1.0765038583285826</v>
      </c>
      <c r="T1959">
        <f>$S1959+測地線補正!$Q$26*(lattice!$N1959/1000)^3+測地線補正!$P$26*(lattice!$N1959/1000)^2+測地線補正!$O$26*(lattice!$N1959/1000)+測地線補正!$N$26</f>
        <v>0.10655722096618958</v>
      </c>
      <c r="U1959">
        <v>0</v>
      </c>
      <c r="V1959">
        <v>0</v>
      </c>
      <c r="W1959">
        <v>0</v>
      </c>
      <c r="X1959">
        <f>SQRT(($M$1959-$M$1958)^2+($N$1959-$N$1958)^2)</f>
        <v>209.87260255811532</v>
      </c>
      <c r="Y1959">
        <f>_xlfn.XLOOKUP($F1959,設計座標!$E$13:$E$2301,設計座標!$L$13:$L$2301," ",0,1)</f>
        <v>0</v>
      </c>
      <c r="Z1959">
        <f>SQRT(($M$1959-$M$1957)^2+($N$1959-$N$1957)^2)</f>
        <v>1154.5972140732704</v>
      </c>
    </row>
    <row r="1960" spans="1:26">
      <c r="A1960" t="s">
        <v>797</v>
      </c>
      <c r="B1960">
        <v>5</v>
      </c>
      <c r="C1960" t="s">
        <v>1152</v>
      </c>
      <c r="D1960" t="s">
        <v>1152</v>
      </c>
      <c r="E1960" t="s">
        <v>804</v>
      </c>
      <c r="F1960" t="s">
        <v>2186</v>
      </c>
      <c r="G1960" t="s">
        <v>2186</v>
      </c>
      <c r="I1960">
        <f>_xlfn.XLOOKUP($F1960,設計座標!$E$13:$E$2301,設計座標!$G$13:$G$2301,"n/a",0,1)</f>
        <v>626.14093616136984</v>
      </c>
      <c r="J1960">
        <f>_xlfn.XLOOKUP($F1960,設計座標!$E$13:$E$2301,設計座標!$H$13:$H$2301,"n/a",0,1)</f>
        <v>-15000</v>
      </c>
      <c r="K1960">
        <f>_xlfn.XLOOKUP($F1960,設計座標!$E$13:$E$2301,設計座標!$I$13:$I$2301,"n/a",0,1)</f>
        <v>-361664.5952954602</v>
      </c>
      <c r="L1960">
        <f>_xlfn.XLOOKUP($F1960,設計座標!$E$13:$E$2301,設計座標!$J$13:$J$2301,"n/a",0,1)</f>
        <v>-270</v>
      </c>
      <c r="M1960" s="2">
        <f t="shared" si="1505"/>
        <v>-14951.217218215153</v>
      </c>
      <c r="N1960" s="2">
        <f t="shared" si="1506"/>
        <v>-361664.5952954602</v>
      </c>
      <c r="O1960" s="23">
        <f t="shared" si="1507"/>
        <v>-271.07403726872587</v>
      </c>
      <c r="P1960" s="1">
        <f t="shared" si="1508"/>
        <v>-269.89222524571721</v>
      </c>
      <c r="Q1960" s="1">
        <f t="shared" si="1512"/>
        <v>48.782781784846286</v>
      </c>
      <c r="R1960">
        <f t="shared" si="1478"/>
        <v>0</v>
      </c>
      <c r="S1960" s="23">
        <f t="shared" si="1511"/>
        <v>-1.0740372687258493</v>
      </c>
      <c r="T1960">
        <f>$S1960+測地線補正!$Q$26*(lattice!$N1960/1000)^3+測地線補正!$P$26*(lattice!$N1960/1000)^2+測地線補正!$O$26*(lattice!$N1960/1000)+測地線補正!$N$26</f>
        <v>0.10777475428276317</v>
      </c>
      <c r="U1960">
        <v>0</v>
      </c>
      <c r="V1960">
        <v>0</v>
      </c>
      <c r="W1960">
        <v>0</v>
      </c>
      <c r="X1960">
        <f>$Z$1960-($Y$1960+$Y$1959)/2</f>
        <v>85.000001036055181</v>
      </c>
      <c r="Y1960">
        <f>_xlfn.XLOOKUP($F1960,設計座標!$E$13:$E$2301,設計座標!$L$13:$L$2301," ",0,1)</f>
        <v>0</v>
      </c>
      <c r="Z1960">
        <f>SQRT(($M$1960-$M$1959)^2+($N$1960-$N$1959)^2)</f>
        <v>85.000001036055181</v>
      </c>
    </row>
    <row r="1961" spans="1:26">
      <c r="A1961" t="s">
        <v>797</v>
      </c>
      <c r="B1961">
        <v>5</v>
      </c>
      <c r="C1961" t="s">
        <v>804</v>
      </c>
      <c r="D1961" t="s">
        <v>1152</v>
      </c>
      <c r="E1961" t="s">
        <v>804</v>
      </c>
      <c r="F1961" t="s">
        <v>1826</v>
      </c>
      <c r="G1961" t="s">
        <v>2812</v>
      </c>
      <c r="I1961">
        <f>_xlfn.XLOOKUP($F1961,設計座標!$E$13:$E$2301,設計座標!$G$13:$G$2301,"n/a",0,1)</f>
        <v>626.37090536136986</v>
      </c>
      <c r="J1961">
        <f>_xlfn.XLOOKUP($F1961,設計座標!$E$13:$E$2301,設計座標!$H$13:$H$2301,"n/a",0,1)</f>
        <v>-15000</v>
      </c>
      <c r="K1961">
        <f>_xlfn.XLOOKUP($F1961,設計座標!$E$13:$E$2301,設計座標!$I$13:$I$2301,"n/a",0,1)</f>
        <v>-361894.56449546019</v>
      </c>
      <c r="L1961">
        <f>_xlfn.XLOOKUP($F1961,設計座標!$E$13:$E$2301,設計座標!$J$13:$J$2301,"n/a",0,1)</f>
        <v>-270</v>
      </c>
      <c r="M1961" s="2">
        <f t="shared" si="1505"/>
        <v>-14951.181312245839</v>
      </c>
      <c r="N1961" s="2">
        <f t="shared" si="1506"/>
        <v>-361894.56449546019</v>
      </c>
      <c r="O1961" s="23">
        <f t="shared" si="1507"/>
        <v>-271.06736386122384</v>
      </c>
      <c r="P1961" s="1">
        <f t="shared" si="1508"/>
        <v>-269.88893201494545</v>
      </c>
      <c r="Q1961" s="1">
        <f t="shared" si="1512"/>
        <v>48.818687754161658</v>
      </c>
      <c r="R1961">
        <f t="shared" si="1478"/>
        <v>0</v>
      </c>
      <c r="S1961" s="23">
        <f t="shared" si="1511"/>
        <v>-1.0673638612238625</v>
      </c>
      <c r="T1961">
        <f>$S1961+測地線補正!$Q$26*(lattice!$N1961/1000)^3+測地線補正!$P$26*(lattice!$N1961/1000)^2+測地線補正!$O$26*(lattice!$N1961/1000)+測地線補正!$N$26</f>
        <v>0.11106798505456239</v>
      </c>
      <c r="U1961">
        <f>-ATAN(($P$1963-$P$1961)/ABS($N$1963-$N$1961))</f>
        <v>-1.4296661156056947E-5</v>
      </c>
      <c r="V1961">
        <v>0</v>
      </c>
      <c r="W1961">
        <f>ATAN(($M$1963-$M$1961)/ABS($N$1963-$N$1961))</f>
        <v>1.5613381715295704E-4</v>
      </c>
      <c r="X1961">
        <f>SQRT(($M$1961-$M$1960)^2+($N$1961-$N$1960)^2)</f>
        <v>229.96920280306028</v>
      </c>
      <c r="Y1961">
        <f>_xlfn.XLOOKUP($F1961,設計座標!$E$13:$E$2301,設計座標!$L$13:$L$2301," ",0,1)</f>
        <v>1889.4492</v>
      </c>
      <c r="Z1961">
        <f>SQRT(($M$1962-$M$1960)^2+($N$1962-$N$1960)^2)</f>
        <v>1174.6938143182153</v>
      </c>
    </row>
    <row r="1962" spans="1:26">
      <c r="A1962" t="s">
        <v>797</v>
      </c>
      <c r="B1962">
        <v>5</v>
      </c>
      <c r="C1962" t="s">
        <v>804</v>
      </c>
      <c r="D1962" t="s">
        <v>1152</v>
      </c>
      <c r="E1962" t="s">
        <v>804</v>
      </c>
      <c r="F1962" t="s">
        <v>1330</v>
      </c>
      <c r="G1962" t="s">
        <v>2812</v>
      </c>
      <c r="I1962">
        <f>_xlfn.XLOOKUP($F1962,設計座標!$E$13:$E$2301,設計座標!$G$13:$G$2301,"n/a",0,1)</f>
        <v>627.31562996136984</v>
      </c>
      <c r="J1962">
        <f>_xlfn.XLOOKUP($F1962,設計座標!$E$13:$E$2301,設計座標!$H$13:$H$2301,"n/a",0,1)</f>
        <v>-15000</v>
      </c>
      <c r="K1962">
        <f>_xlfn.XLOOKUP($F1962,設計座標!$E$13:$E$2301,設計座標!$I$13:$I$2301,"n/a",0,1)</f>
        <v>-362839.2890954602</v>
      </c>
      <c r="L1962">
        <f>_xlfn.XLOOKUP($F1962,設計座標!$E$13:$E$2301,設計座標!$J$13:$J$2301,"n/a",0,1)</f>
        <v>-270</v>
      </c>
      <c r="M1962" s="2">
        <f t="shared" si="1505"/>
        <v>-14951.033808786684</v>
      </c>
      <c r="N1962" s="2">
        <f t="shared" si="1506"/>
        <v>-362839.2890954602</v>
      </c>
      <c r="O1962" s="23">
        <f t="shared" si="1507"/>
        <v>-271.03994918033203</v>
      </c>
      <c r="P1962" s="1">
        <f t="shared" si="1508"/>
        <v>-269.87541578999532</v>
      </c>
      <c r="Q1962" s="1">
        <f t="shared" si="1512"/>
        <v>48.966191213316513</v>
      </c>
      <c r="R1962">
        <f t="shared" si="1478"/>
        <v>0</v>
      </c>
      <c r="S1962" s="23">
        <f t="shared" si="1511"/>
        <v>-1.0399491803320224</v>
      </c>
      <c r="T1962">
        <f>$S1962+測地線補正!$Q$26*(lattice!$N1962/1000)^3+測地線補正!$P$26*(lattice!$N1962/1000)^2+測地線補正!$O$26*(lattice!$N1962/1000)+測地線補正!$N$26</f>
        <v>0.12458421000469833</v>
      </c>
      <c r="U1962">
        <f t="shared" ref="U1962:U1963" si="1517">-ATAN(($P$1963-$P$1961)/ABS($N$1963-$N$1961))</f>
        <v>-1.4296661156056947E-5</v>
      </c>
      <c r="V1962">
        <v>0</v>
      </c>
      <c r="W1962">
        <f t="shared" ref="W1962:W1963" si="1518">ATAN(($M$1963-$M$1961)/ABS($N$1963-$N$1961))</f>
        <v>1.5613381715295704E-4</v>
      </c>
      <c r="X1962" t="s">
        <v>3860</v>
      </c>
      <c r="Y1962">
        <f>_xlfn.XLOOKUP($F1962,設計座標!$E$13:$E$2301,設計座標!$L$13:$L$2301," ",0,1)</f>
        <v>1889.4492</v>
      </c>
      <c r="Z1962">
        <f>SQRT(($M$1962-$M$1960)^2+($N$1962-$N$1960)^2)</f>
        <v>1174.6938143182153</v>
      </c>
    </row>
    <row r="1963" spans="1:26">
      <c r="A1963" t="s">
        <v>797</v>
      </c>
      <c r="B1963">
        <v>5</v>
      </c>
      <c r="C1963" t="s">
        <v>804</v>
      </c>
      <c r="D1963" t="s">
        <v>1152</v>
      </c>
      <c r="E1963" t="s">
        <v>804</v>
      </c>
      <c r="F1963" t="s">
        <v>1827</v>
      </c>
      <c r="G1963" t="s">
        <v>2812</v>
      </c>
      <c r="I1963">
        <f>_xlfn.XLOOKUP($F1963,設計座標!$E$13:$E$2301,設計座標!$G$13:$G$2301,"n/a",0,1)</f>
        <v>628.26035456136981</v>
      </c>
      <c r="J1963">
        <f>_xlfn.XLOOKUP($F1963,設計座標!$E$13:$E$2301,設計座標!$H$13:$H$2301,"n/a",0,1)</f>
        <v>-15000</v>
      </c>
      <c r="K1963">
        <f>_xlfn.XLOOKUP($F1963,設計座標!$E$13:$E$2301,設計座標!$I$13:$I$2301,"n/a",0,1)</f>
        <v>-363784.01369546022</v>
      </c>
      <c r="L1963">
        <f>_xlfn.XLOOKUP($F1963,設計座標!$E$13:$E$2301,設計座標!$J$13:$J$2301,"n/a",0,1)</f>
        <v>-270</v>
      </c>
      <c r="M1963" s="2">
        <f t="shared" si="1505"/>
        <v>-14950.886305327529</v>
      </c>
      <c r="N1963" s="2">
        <f t="shared" si="1506"/>
        <v>-363784.01369546022</v>
      </c>
      <c r="O1963" s="23">
        <f t="shared" si="1507"/>
        <v>-271.01253449944016</v>
      </c>
      <c r="P1963" s="1">
        <f t="shared" si="1508"/>
        <v>-269.86191919995963</v>
      </c>
      <c r="Q1963" s="1">
        <f t="shared" si="1512"/>
        <v>49.113694672471368</v>
      </c>
      <c r="R1963">
        <f t="shared" si="1478"/>
        <v>0</v>
      </c>
      <c r="S1963" s="23">
        <f t="shared" si="1511"/>
        <v>-1.0125344994401826</v>
      </c>
      <c r="T1963">
        <f>$S1963+測地線補正!$Q$26*(lattice!$N1963/1000)^3+測地線補正!$P$26*(lattice!$N1963/1000)^2+測地線補正!$O$26*(lattice!$N1963/1000)+測地線補正!$N$26</f>
        <v>0.13808080004035594</v>
      </c>
      <c r="U1963">
        <f t="shared" si="1517"/>
        <v>-1.4296661156056947E-5</v>
      </c>
      <c r="V1963">
        <v>0</v>
      </c>
      <c r="W1963">
        <f t="shared" si="1518"/>
        <v>1.5613381715295704E-4</v>
      </c>
      <c r="X1963" t="s">
        <v>3860</v>
      </c>
      <c r="Y1963">
        <f>_xlfn.XLOOKUP($F1963,設計座標!$E$13:$E$2301,設計座標!$L$13:$L$2301," ",0,1)</f>
        <v>1889.4492</v>
      </c>
      <c r="Z1963">
        <f>SQRT(($M$1962-$M$1960)^2+($N$1962-$N$1960)^2)</f>
        <v>1174.6938143182153</v>
      </c>
    </row>
    <row r="1964" spans="1:26">
      <c r="A1964" t="s">
        <v>797</v>
      </c>
      <c r="B1964">
        <v>5</v>
      </c>
      <c r="C1964" t="s">
        <v>804</v>
      </c>
      <c r="D1964" t="s">
        <v>1152</v>
      </c>
      <c r="E1964" t="s">
        <v>804</v>
      </c>
      <c r="F1964" t="s">
        <v>1828</v>
      </c>
      <c r="G1964" t="s">
        <v>2813</v>
      </c>
      <c r="I1964">
        <f>_xlfn.XLOOKUP($F1964,設計座標!$E$13:$E$2301,設計座標!$G$13:$G$2301,"n/a",0,1)</f>
        <v>628.47029636136983</v>
      </c>
      <c r="J1964">
        <f>_xlfn.XLOOKUP($F1964,設計座標!$E$13:$E$2301,設計座標!$H$13:$H$2301,"n/a",0,1)</f>
        <v>-15000</v>
      </c>
      <c r="K1964">
        <f>_xlfn.XLOOKUP($F1964,設計座標!$E$13:$E$2301,設計座標!$I$13:$I$2301,"n/a",0,1)</f>
        <v>-363993.95549546019</v>
      </c>
      <c r="L1964">
        <f>_xlfn.XLOOKUP($F1964,設計座標!$E$13:$E$2301,設計座標!$J$13:$J$2301,"n/a",0,1)</f>
        <v>-270</v>
      </c>
      <c r="M1964" s="2">
        <f t="shared" si="1505"/>
        <v>-14950.853526312649</v>
      </c>
      <c r="N1964" s="2">
        <f t="shared" si="1506"/>
        <v>-363993.95549546019</v>
      </c>
      <c r="O1964" s="23">
        <f t="shared" si="1507"/>
        <v>-271.00644226107477</v>
      </c>
      <c r="P1964" s="1">
        <f t="shared" si="1508"/>
        <v>-269.85892251233543</v>
      </c>
      <c r="Q1964" s="1">
        <f t="shared" si="1512"/>
        <v>49.14647368735168</v>
      </c>
      <c r="R1964">
        <f t="shared" si="1478"/>
        <v>0</v>
      </c>
      <c r="S1964" s="23">
        <f t="shared" si="1511"/>
        <v>-1.0064422610747821</v>
      </c>
      <c r="T1964">
        <f>$S1964+測地線補正!$Q$26*(lattice!$N1964/1000)^3+測地線補正!$P$26*(lattice!$N1964/1000)^2+測地線補正!$O$26*(lattice!$N1964/1000)+測地線補正!$N$26</f>
        <v>0.14107748766456196</v>
      </c>
      <c r="U1964">
        <f>-ATAN(($P$1966-$P$1964)/ABS($N$1966-$N$1964))</f>
        <v>-1.4252268997120082E-5</v>
      </c>
      <c r="V1964">
        <v>0</v>
      </c>
      <c r="W1964">
        <f>ATAN(($M$1966-$M$1964)/ABS($N$1966-$N$1964))</f>
        <v>1.5613381715295704E-4</v>
      </c>
      <c r="X1964">
        <f>SQRT(($M$1964-$M$1963)^2+(N19644-$N$1963)^2)</f>
        <v>363784.01369546168</v>
      </c>
      <c r="Y1964">
        <f>_xlfn.XLOOKUP($F1964,設計座標!$E$13:$E$2301,設計座標!$L$13:$L$2301," ",0,1)</f>
        <v>1889.4492</v>
      </c>
      <c r="Z1964">
        <f>SQRT(($M$1965-$M$1962)^2+($N$1965-$N$1962)^2)</f>
        <v>2099.3910255892379</v>
      </c>
    </row>
    <row r="1965" spans="1:26">
      <c r="A1965" t="s">
        <v>797</v>
      </c>
      <c r="B1965">
        <v>5</v>
      </c>
      <c r="C1965" t="s">
        <v>804</v>
      </c>
      <c r="D1965" t="s">
        <v>1152</v>
      </c>
      <c r="E1965" t="s">
        <v>804</v>
      </c>
      <c r="F1965" t="s">
        <v>1384</v>
      </c>
      <c r="G1965" t="s">
        <v>2813</v>
      </c>
      <c r="I1965">
        <f>_xlfn.XLOOKUP($F1965,設計座標!$E$13:$E$2301,設計座標!$G$13:$G$2301,"n/a",0,1)</f>
        <v>629.41502096136981</v>
      </c>
      <c r="J1965">
        <f>_xlfn.XLOOKUP($F1965,設計座標!$E$13:$E$2301,設計座標!$H$13:$H$2301,"n/a",0,1)</f>
        <v>-15000</v>
      </c>
      <c r="K1965">
        <f>_xlfn.XLOOKUP($F1965,設計座標!$E$13:$E$2301,設計座標!$I$13:$I$2301,"n/a",0,1)</f>
        <v>-364938.68009546021</v>
      </c>
      <c r="L1965">
        <f>_xlfn.XLOOKUP($F1965,設計座標!$E$13:$E$2301,設計座標!$J$13:$J$2301,"n/a",0,1)</f>
        <v>-270</v>
      </c>
      <c r="M1965" s="2">
        <f t="shared" si="1505"/>
        <v>-14950.706022853494</v>
      </c>
      <c r="N1965" s="2">
        <f t="shared" si="1506"/>
        <v>-364938.68009546021</v>
      </c>
      <c r="O1965" s="23">
        <f t="shared" si="1507"/>
        <v>-270.97902758018296</v>
      </c>
      <c r="P1965" s="1">
        <f t="shared" si="1508"/>
        <v>-269.84544898842728</v>
      </c>
      <c r="Q1965" s="1">
        <f t="shared" si="1512"/>
        <v>49.293977146506535</v>
      </c>
      <c r="R1965">
        <f t="shared" si="1478"/>
        <v>0</v>
      </c>
      <c r="S1965" s="23">
        <f t="shared" si="1511"/>
        <v>-0.979027580182942</v>
      </c>
      <c r="T1965">
        <f>$S1965+測地線補正!$Q$26*(lattice!$N1965/1000)^3+測地線補正!$P$26*(lattice!$N1965/1000)^2+測地線補正!$O$26*(lattice!$N1965/1000)+測地線補正!$N$26</f>
        <v>0.15455101157273332</v>
      </c>
      <c r="U1965">
        <f t="shared" ref="U1965:U1966" si="1519">-ATAN(($P$1966-$P$1964)/ABS($N$1966-$N$1964))</f>
        <v>-1.4252268997120082E-5</v>
      </c>
      <c r="V1965">
        <v>0</v>
      </c>
      <c r="W1965">
        <f t="shared" ref="W1965:W1966" si="1520">ATAN(($M$1966-$M$1964)/ABS($N$1966-$N$1964))</f>
        <v>1.5613381715295704E-4</v>
      </c>
      <c r="X1965" t="s">
        <v>3860</v>
      </c>
      <c r="Y1965">
        <f>_xlfn.XLOOKUP($F1965,設計座標!$E$13:$E$2301,設計座標!$L$13:$L$2301," ",0,1)</f>
        <v>1889.4492</v>
      </c>
      <c r="Z1965">
        <f>SQRT(($M$1965-$M$1962)^2+($N$1965-$N$1962)^2)</f>
        <v>2099.3910255892379</v>
      </c>
    </row>
    <row r="1966" spans="1:26">
      <c r="A1966" t="s">
        <v>797</v>
      </c>
      <c r="B1966">
        <v>5</v>
      </c>
      <c r="C1966" t="s">
        <v>804</v>
      </c>
      <c r="D1966" t="s">
        <v>1152</v>
      </c>
      <c r="E1966" t="s">
        <v>804</v>
      </c>
      <c r="F1966" t="s">
        <v>1829</v>
      </c>
      <c r="G1966" t="s">
        <v>2813</v>
      </c>
      <c r="I1966">
        <f>_xlfn.XLOOKUP($F1966,設計座標!$E$13:$E$2301,設計座標!$G$13:$G$2301,"n/a",0,1)</f>
        <v>630.35974556136978</v>
      </c>
      <c r="J1966">
        <f>_xlfn.XLOOKUP($F1966,設計座標!$E$13:$E$2301,設計座標!$H$13:$H$2301,"n/a",0,1)</f>
        <v>-15000</v>
      </c>
      <c r="K1966">
        <f>_xlfn.XLOOKUP($F1966,設計座標!$E$13:$E$2301,設計座標!$I$13:$I$2301,"n/a",0,1)</f>
        <v>-365883.40469546022</v>
      </c>
      <c r="L1966">
        <f>_xlfn.XLOOKUP($F1966,設計座標!$E$13:$E$2301,設計座標!$J$13:$J$2301,"n/a",0,1)</f>
        <v>-270</v>
      </c>
      <c r="M1966" s="2">
        <f t="shared" si="1505"/>
        <v>-14950.558519394339</v>
      </c>
      <c r="N1966" s="2">
        <f t="shared" si="1506"/>
        <v>-365883.40469546022</v>
      </c>
      <c r="O1966" s="23">
        <f t="shared" si="1507"/>
        <v>-270.95161289929109</v>
      </c>
      <c r="P1966" s="1">
        <f t="shared" si="1508"/>
        <v>-269.83199357407881</v>
      </c>
      <c r="Q1966" s="1">
        <f t="shared" si="1512"/>
        <v>49.441480605661397</v>
      </c>
      <c r="R1966">
        <f t="shared" si="1478"/>
        <v>0</v>
      </c>
      <c r="S1966" s="23">
        <f t="shared" si="1511"/>
        <v>-0.95161289929110193</v>
      </c>
      <c r="T1966">
        <f>$S1966+測地線補正!$Q$26*(lattice!$N1966/1000)^3+測地線補正!$P$26*(lattice!$N1966/1000)^2+測地線補正!$O$26*(lattice!$N1966/1000)+測地線補正!$N$26</f>
        <v>0.16800642592119686</v>
      </c>
      <c r="U1966">
        <f t="shared" si="1519"/>
        <v>-1.4252268997120082E-5</v>
      </c>
      <c r="V1966">
        <v>0</v>
      </c>
      <c r="W1966">
        <f t="shared" si="1520"/>
        <v>1.5613381715295704E-4</v>
      </c>
      <c r="X1966" t="s">
        <v>3860</v>
      </c>
      <c r="Y1966">
        <f>_xlfn.XLOOKUP($F1966,設計座標!$E$13:$E$2301,設計座標!$L$13:$L$2301," ",0,1)</f>
        <v>1889.4492</v>
      </c>
      <c r="Z1966">
        <f>SQRT(($M$1965-$M$1962)^2+($N$1965-$N$1962)^2)</f>
        <v>2099.3910255892379</v>
      </c>
    </row>
    <row r="1967" spans="1:26">
      <c r="A1967" t="s">
        <v>797</v>
      </c>
      <c r="B1967">
        <v>5</v>
      </c>
      <c r="C1967" t="s">
        <v>2288</v>
      </c>
      <c r="D1967" t="s">
        <v>1152</v>
      </c>
      <c r="E1967" t="s">
        <v>804</v>
      </c>
      <c r="F1967" t="s">
        <v>2308</v>
      </c>
      <c r="G1967" t="s">
        <v>2308</v>
      </c>
      <c r="I1967">
        <f>_xlfn.XLOOKUP($F1967,設計座標!$E$13:$E$2301,設計座標!$G$13:$G$2301,"n/a",0,1)</f>
        <v>630.46924146136985</v>
      </c>
      <c r="J1967">
        <f>_xlfn.XLOOKUP($F1967,設計座標!$E$13:$E$2301,設計座標!$H$13:$H$2301,"n/a",0,1)</f>
        <v>-15000</v>
      </c>
      <c r="K1967">
        <f>_xlfn.XLOOKUP($F1967,設計座標!$E$13:$E$2301,設計座標!$I$13:$I$2301,"n/a",0,1)</f>
        <v>-365992.9005954602</v>
      </c>
      <c r="L1967">
        <f>_xlfn.XLOOKUP($F1967,設計座標!$E$13:$E$2301,設計座標!$J$13:$J$2301,"n/a",0,1)</f>
        <v>-270</v>
      </c>
      <c r="M1967" s="2">
        <f t="shared" si="1505"/>
        <v>-14950.54142338137</v>
      </c>
      <c r="N1967" s="2">
        <f t="shared" si="1506"/>
        <v>-365992.9005954602</v>
      </c>
      <c r="O1967" s="23">
        <f t="shared" si="1507"/>
        <v>-270.94843547048544</v>
      </c>
      <c r="P1967" s="1">
        <f t="shared" si="1508"/>
        <v>-269.83043519832921</v>
      </c>
      <c r="Q1967" s="1">
        <f t="shared" si="1512"/>
        <v>49.458576618629905</v>
      </c>
      <c r="R1967">
        <f t="shared" si="1478"/>
        <v>0</v>
      </c>
      <c r="S1967" s="23">
        <f t="shared" si="1511"/>
        <v>-0.94843547048543297</v>
      </c>
      <c r="T1967">
        <f>$S1967+測地線補正!$Q$26*(lattice!$N1967/1000)^3+測地線補正!$P$26*(lattice!$N1967/1000)^2+測地線補正!$O$26*(lattice!$N1967/1000)+測地線補正!$N$26</f>
        <v>0.16956480167080357</v>
      </c>
      <c r="U1967">
        <v>0</v>
      </c>
      <c r="V1967">
        <v>0</v>
      </c>
      <c r="W1967">
        <v>0</v>
      </c>
      <c r="X1967">
        <f>SQRT(($M$1967-$M$1966)^2+($N$1967-$N$1966)^2)</f>
        <v>109.49590133461277</v>
      </c>
      <c r="Y1967">
        <f>_xlfn.XLOOKUP($F1967,設計座標!$E$13:$E$2301,設計座標!$L$13:$L$2301," ",0,1)</f>
        <v>0</v>
      </c>
      <c r="Z1967">
        <f>SQRT(($M$1967-$M$1965)^2+($N$1967-$N$1965)^2)</f>
        <v>1054.2205128497678</v>
      </c>
    </row>
    <row r="1968" spans="1:26">
      <c r="A1968" t="s">
        <v>797</v>
      </c>
      <c r="B1968">
        <v>5</v>
      </c>
      <c r="C1968" t="s">
        <v>1152</v>
      </c>
      <c r="D1968" t="s">
        <v>1152</v>
      </c>
      <c r="E1968" t="s">
        <v>804</v>
      </c>
      <c r="F1968" t="s">
        <v>2187</v>
      </c>
      <c r="G1968" t="s">
        <v>2187</v>
      </c>
      <c r="I1968">
        <f>_xlfn.XLOOKUP($F1968,設計座標!$E$13:$E$2301,設計座標!$G$13:$G$2301,"n/a",0,1)</f>
        <v>630.55424146136988</v>
      </c>
      <c r="J1968">
        <f>_xlfn.XLOOKUP($F1968,設計座標!$E$13:$E$2301,設計座標!$H$13:$H$2301,"n/a",0,1)</f>
        <v>-15000</v>
      </c>
      <c r="K1968">
        <f>_xlfn.XLOOKUP($F1968,設計座標!$E$13:$E$2301,設計座標!$I$13:$I$2301,"n/a",0,1)</f>
        <v>-366077.9005954602</v>
      </c>
      <c r="L1968">
        <f>_xlfn.XLOOKUP($F1968,設計座標!$E$13:$E$2301,設計座標!$J$13:$J$2301,"n/a",0,1)</f>
        <v>-270</v>
      </c>
      <c r="M1968" s="2">
        <f t="shared" si="1505"/>
        <v>-14950.528152006804</v>
      </c>
      <c r="N1968" s="2">
        <f t="shared" si="1506"/>
        <v>-366077.9005954602</v>
      </c>
      <c r="O1968" s="23">
        <f t="shared" si="1507"/>
        <v>-270.94596888088267</v>
      </c>
      <c r="P1968" s="1">
        <f t="shared" si="1508"/>
        <v>-269.82922561564783</v>
      </c>
      <c r="Q1968" s="1">
        <f t="shared" si="1512"/>
        <v>49.471847993195745</v>
      </c>
      <c r="R1968">
        <f t="shared" si="1478"/>
        <v>0</v>
      </c>
      <c r="S1968" s="23">
        <f t="shared" si="1511"/>
        <v>-0.94596888088269959</v>
      </c>
      <c r="T1968">
        <f>$S1968+測地線補正!$Q$26*(lattice!$N1968/1000)^3+測地線補正!$P$26*(lattice!$N1968/1000)^2+測地線補正!$O$26*(lattice!$N1968/1000)+測地線補正!$N$26</f>
        <v>0.17077438435214432</v>
      </c>
      <c r="U1968">
        <v>0</v>
      </c>
      <c r="V1968">
        <v>0</v>
      </c>
      <c r="W1968">
        <v>0</v>
      </c>
      <c r="X1968">
        <f>$Z$1968-($Y$1968+$Y$1967)/2</f>
        <v>85.000001036055181</v>
      </c>
      <c r="Y1968">
        <f>_xlfn.XLOOKUP($F1968,設計座標!$E$13:$E$2301,設計座標!$L$13:$L$2301," ",0,1)</f>
        <v>0</v>
      </c>
      <c r="Z1968">
        <f>SQRT(($M$1968-$M$1967)^2+($N$1968-$N$1967)^2)</f>
        <v>85.000001036055181</v>
      </c>
    </row>
    <row r="1969" spans="1:28">
      <c r="A1969" t="s">
        <v>797</v>
      </c>
      <c r="B1969">
        <v>5</v>
      </c>
      <c r="C1969" t="s">
        <v>1152</v>
      </c>
      <c r="D1969" t="s">
        <v>1152</v>
      </c>
      <c r="E1969" t="s">
        <v>804</v>
      </c>
      <c r="F1969" t="s">
        <v>2188</v>
      </c>
      <c r="G1969" t="s">
        <v>2188</v>
      </c>
      <c r="I1969">
        <f>_xlfn.XLOOKUP($F1969,設計座標!$E$13:$E$2301,設計座標!$G$13:$G$2301,"n/a",0,1)</f>
        <v>639.13531946136982</v>
      </c>
      <c r="J1969">
        <f>_xlfn.XLOOKUP($F1969,設計座標!$E$13:$E$2301,設計座標!$H$13:$H$2301,"n/a",0,1)</f>
        <v>-15000</v>
      </c>
      <c r="K1969">
        <f>_xlfn.XLOOKUP($F1969,設計座標!$E$13:$E$2301,設計座標!$I$13:$I$2301,"n/a",0,1)</f>
        <v>-374658.97859546018</v>
      </c>
      <c r="L1969">
        <f>_xlfn.XLOOKUP($F1969,設計座標!$E$13:$E$2301,設計座標!$J$13:$J$2301,"n/a",0,1)</f>
        <v>-270</v>
      </c>
      <c r="M1969" s="2">
        <f t="shared" si="1505"/>
        <v>-14949.188355532491</v>
      </c>
      <c r="N1969" s="2">
        <f t="shared" si="1506"/>
        <v>-374658.97859546018</v>
      </c>
      <c r="O1969" s="23">
        <f t="shared" si="1507"/>
        <v>-270.6969571423528</v>
      </c>
      <c r="P1969" s="1">
        <f t="shared" si="1508"/>
        <v>-269.70774782226306</v>
      </c>
      <c r="Q1969" s="1">
        <f t="shared" si="1512"/>
        <v>50.811644467509666</v>
      </c>
      <c r="R1969">
        <f t="shared" si="1478"/>
        <v>0</v>
      </c>
      <c r="S1969" s="23">
        <f t="shared" si="1511"/>
        <v>-0.69695714235277861</v>
      </c>
      <c r="T1969">
        <f>$S1969+測地線補正!$Q$26*(lattice!$N1969/1000)^3+測地線補正!$P$26*(lattice!$N1969/1000)^2+測地線補正!$O$26*(lattice!$N1969/1000)+測地線補正!$N$26</f>
        <v>0.29225217773696044</v>
      </c>
      <c r="U1969">
        <v>0</v>
      </c>
      <c r="V1969">
        <v>0</v>
      </c>
      <c r="W1969">
        <v>0</v>
      </c>
      <c r="X1969">
        <f>$Z$1969-($Y$1969+$Y$1968)/2</f>
        <v>8581.0781045937492</v>
      </c>
      <c r="Y1969">
        <f>_xlfn.XLOOKUP($F1969,設計座標!$E$13:$E$2301,設計座標!$L$13:$L$2301," ",0,1)</f>
        <v>0</v>
      </c>
      <c r="Z1969">
        <f>SQRT(($M$1969-$M$1968)^2+($N$1969-$N$1968)^2)</f>
        <v>8581.0781045937492</v>
      </c>
    </row>
    <row r="1970" spans="1:28">
      <c r="A1970" t="s">
        <v>797</v>
      </c>
      <c r="B1970">
        <v>5</v>
      </c>
      <c r="C1970" t="s">
        <v>2288</v>
      </c>
      <c r="D1970" t="s">
        <v>1152</v>
      </c>
      <c r="E1970" t="s">
        <v>804</v>
      </c>
      <c r="F1970" t="s">
        <v>2309</v>
      </c>
      <c r="G1970" t="s">
        <v>2309</v>
      </c>
      <c r="I1970">
        <f>_xlfn.XLOOKUP($F1970,設計座標!$E$13:$E$2301,設計座標!$G$13:$G$2301,"n/a",0,1)</f>
        <v>639.30031946136978</v>
      </c>
      <c r="J1970">
        <f>_xlfn.XLOOKUP($F1970,設計座標!$E$13:$E$2301,設計座標!$H$13:$H$2301,"n/a",0,1)</f>
        <v>-15000</v>
      </c>
      <c r="K1970">
        <f>_xlfn.XLOOKUP($F1970,設計座標!$E$13:$E$2301,設計座標!$I$13:$I$2301,"n/a",0,1)</f>
        <v>-374823.97859546018</v>
      </c>
      <c r="L1970">
        <f>_xlfn.XLOOKUP($F1970,設計座標!$E$13:$E$2301,設計座標!$J$13:$J$2301,"n/a",0,1)</f>
        <v>-270</v>
      </c>
      <c r="M1970" s="2">
        <f t="shared" si="1505"/>
        <v>-14949.162593452451</v>
      </c>
      <c r="N1970" s="2">
        <f t="shared" si="1506"/>
        <v>-374823.97859546018</v>
      </c>
      <c r="O1970" s="23">
        <f t="shared" si="1507"/>
        <v>-270.69216905665337</v>
      </c>
      <c r="P1970" s="1">
        <f t="shared" si="1508"/>
        <v>-269.70542258328464</v>
      </c>
      <c r="Q1970" s="1">
        <f t="shared" si="1512"/>
        <v>50.837406547549236</v>
      </c>
      <c r="R1970">
        <f t="shared" ref="R1970:R1984" si="1521">$N1970-$K1970</f>
        <v>0</v>
      </c>
      <c r="S1970" s="23">
        <f t="shared" si="1511"/>
        <v>-0.69216905665335515</v>
      </c>
      <c r="T1970">
        <f>$S1970+測地線補正!$Q$26*(lattice!$N1970/1000)^3+測地線補正!$P$26*(lattice!$N1970/1000)^2+測地線補正!$O$26*(lattice!$N1970/1000)+測地線補正!$N$26</f>
        <v>0.29457741671537518</v>
      </c>
      <c r="U1970">
        <v>0</v>
      </c>
      <c r="V1970">
        <v>0</v>
      </c>
      <c r="W1970">
        <v>0</v>
      </c>
      <c r="X1970">
        <f>$Z$1970-($Y$1970+$Y$1969)/2</f>
        <v>165.00000201116595</v>
      </c>
      <c r="Y1970">
        <f>_xlfn.XLOOKUP($F1970,設計座標!$E$13:$E$2301,設計座標!$L$13:$L$2301," ",0,1)</f>
        <v>0</v>
      </c>
      <c r="Z1970">
        <f>SQRT(($M$1970-$M$1969)^2+($N$1970-$N$1969)^2)</f>
        <v>165.00000201116595</v>
      </c>
    </row>
    <row r="1971" spans="1:28">
      <c r="A1971" t="s">
        <v>797</v>
      </c>
      <c r="B1971">
        <v>5</v>
      </c>
      <c r="C1971" t="s">
        <v>1152</v>
      </c>
      <c r="D1971" t="s">
        <v>1152</v>
      </c>
      <c r="E1971" t="s">
        <v>804</v>
      </c>
      <c r="F1971" t="s">
        <v>2189</v>
      </c>
      <c r="G1971" t="s">
        <v>2189</v>
      </c>
      <c r="I1971">
        <f>_xlfn.XLOOKUP($F1971,設計座標!$E$13:$E$2301,設計座標!$G$13:$G$2301,"n/a",0,1)</f>
        <v>639.42131946136976</v>
      </c>
      <c r="J1971">
        <f>_xlfn.XLOOKUP($F1971,設計座標!$E$13:$E$2301,設計座標!$H$13:$H$2301,"n/a",0,1)</f>
        <v>-15000</v>
      </c>
      <c r="K1971">
        <f>_xlfn.XLOOKUP($F1971,設計座標!$E$13:$E$2301,設計座標!$I$13:$I$2301,"n/a",0,1)</f>
        <v>-374944.97859546018</v>
      </c>
      <c r="L1971">
        <f>_xlfn.XLOOKUP($F1971,設計座標!$E$13:$E$2301,設計座標!$J$13:$J$2301,"n/a",0,1)</f>
        <v>-270</v>
      </c>
      <c r="M1971" s="2">
        <f t="shared" si="1505"/>
        <v>-14949.143701260422</v>
      </c>
      <c r="N1971" s="2">
        <f t="shared" si="1506"/>
        <v>-374944.97859546018</v>
      </c>
      <c r="O1971" s="23">
        <f t="shared" si="1507"/>
        <v>-270.68865779380712</v>
      </c>
      <c r="P1971" s="1">
        <f t="shared" si="1508"/>
        <v>-269.70371762008614</v>
      </c>
      <c r="Q1971" s="1">
        <f t="shared" si="1512"/>
        <v>50.85629873957825</v>
      </c>
      <c r="R1971">
        <f t="shared" si="1521"/>
        <v>0</v>
      </c>
      <c r="S1971" s="23">
        <f t="shared" si="1511"/>
        <v>-0.68865779380711134</v>
      </c>
      <c r="T1971">
        <f>$S1971+測地線補正!$Q$26*(lattice!$N1971/1000)^3+測地線補正!$P$26*(lattice!$N1971/1000)^2+測地線補正!$O$26*(lattice!$N1971/1000)+測地線補正!$N$26</f>
        <v>0.29628237991386874</v>
      </c>
      <c r="U1971">
        <v>0</v>
      </c>
      <c r="V1971">
        <v>0</v>
      </c>
      <c r="W1971">
        <v>0</v>
      </c>
      <c r="X1971">
        <f>$Z$1971-($Y$1971+$Y$1970)/2</f>
        <v>121.00000147485503</v>
      </c>
      <c r="Y1971">
        <f>_xlfn.XLOOKUP($F1971,設計座標!$E$13:$E$2301,設計座標!$L$13:$L$2301," ",0,1)</f>
        <v>0</v>
      </c>
      <c r="Z1971">
        <f>SQRT(($M$1971-$M$1970)^2+($N$1971-$N$1970)^2)</f>
        <v>121.00000147485503</v>
      </c>
    </row>
    <row r="1972" spans="1:28">
      <c r="A1972" t="s">
        <v>797</v>
      </c>
      <c r="B1972">
        <v>5</v>
      </c>
      <c r="C1972" t="s">
        <v>805</v>
      </c>
      <c r="D1972" t="s">
        <v>806</v>
      </c>
      <c r="F1972" t="s">
        <v>475</v>
      </c>
      <c r="G1972" t="s">
        <v>2814</v>
      </c>
      <c r="I1972">
        <f>_xlfn.XLOOKUP($F1972,設計座標!$E$13:$E$2301,設計座標!$G$13:$G$2301,"n/a",0,1)</f>
        <v>639.54033999999979</v>
      </c>
      <c r="J1972">
        <f>_xlfn.XLOOKUP($F1972,設計座標!$E$13:$E$2301,設計座標!$H$13:$H$2301,"n/a",0,1)</f>
        <v>-15000</v>
      </c>
      <c r="K1972">
        <f>_xlfn.XLOOKUP($F1972,設計座標!$E$13:$E$2301,設計座標!$I$13:$I$2301,"n/a",0,1)</f>
        <v>-375176.06729094998</v>
      </c>
      <c r="L1972">
        <f>_xlfn.XLOOKUP($F1972,設計座標!$E$13:$E$2301,設計座標!$J$13:$J$2301,"n/a",0,1)</f>
        <v>-50</v>
      </c>
      <c r="M1972" s="2">
        <f>_xlfn.XLOOKUP($F1972,survey_data!$A$2:$A$833,survey_data!$B$2:$B$833,"n/a",0,1)</f>
        <v>-14949.107620500001</v>
      </c>
      <c r="N1972" s="2">
        <f>_xlfn.XLOOKUP($F1972,survey_data!$A$2:$A$833,survey_data!$C$2:$C$833,"n/a",0,1)</f>
        <v>-375176.06729094998</v>
      </c>
      <c r="O1972" s="23">
        <f>_xlfn.XLOOKUP($F1972,survey_data!$A$2:$A$833,survey_data!$D$2:$D$833,"n/a",0,1)</f>
        <v>-50.681951900000001</v>
      </c>
      <c r="P1972" s="1">
        <f t="shared" si="1508"/>
        <v>-49.700461933427825</v>
      </c>
      <c r="Q1972" s="1">
        <f t="shared" ref="Q1972:Q1981" si="1522">$M1972-$J1972</f>
        <v>50.892379499999151</v>
      </c>
      <c r="R1972">
        <f t="shared" si="1521"/>
        <v>0</v>
      </c>
      <c r="S1972" s="23">
        <f t="shared" ref="S1972:S1981" si="1523">$O1972-$L1972</f>
        <v>-0.68195190000000139</v>
      </c>
      <c r="T1972">
        <f>$S1972+測地線補正!$Q$26*(lattice!$N1972/1000)^3+測地線補正!$P$26*(lattice!$N1972/1000)^2+測地線補正!$O$26*(lattice!$N1972/1000)+測地線補正!$N$26</f>
        <v>0.29953806657217696</v>
      </c>
      <c r="U1972">
        <f>-ATAN(($P$1974-$P$1972)/ABS($N$1974-$N$1972))</f>
        <v>6.8983804085708477E-4</v>
      </c>
      <c r="V1972">
        <v>0</v>
      </c>
      <c r="W1972">
        <f>ATAN(($M$1974-$M$1972)/ABS($N$1974-$N$1972))</f>
        <v>-3.9554510042512587E-4</v>
      </c>
      <c r="X1972">
        <f>$Z$1973-($Y$1973+$Y$1971)/2</f>
        <v>206.09269555700291</v>
      </c>
      <c r="Y1972">
        <f>_xlfn.XLOOKUP($F1972,設計座標!$E$13:$E$2301,設計座標!$L$13:$L$2301," ",0,1)</f>
        <v>200</v>
      </c>
      <c r="Z1972">
        <f>SQRT(($M$1973-$M$1971)^2+($N$1973-$N$1971)^2)</f>
        <v>306.09269555700291</v>
      </c>
      <c r="AA1972">
        <f>_xlfn.XLOOKUP($G1972,magnet_list!$A$2:$A$592,magnet_list!$AJ$2:$AJ$592,"n/a",0,1)</f>
        <v>0.21244935000000001</v>
      </c>
      <c r="AB1972">
        <f>_xlfn.XLOOKUP($G1972,magnet_list!$A$2:$A$592,magnet_list!$L$2:$L$592,"n/a",0,1)</f>
        <v>20</v>
      </c>
    </row>
    <row r="1973" spans="1:28">
      <c r="A1973" t="s">
        <v>797</v>
      </c>
      <c r="B1973">
        <v>5</v>
      </c>
      <c r="C1973" t="s">
        <v>805</v>
      </c>
      <c r="D1973" t="s">
        <v>1152</v>
      </c>
      <c r="E1973" t="s">
        <v>804</v>
      </c>
      <c r="F1973" t="s">
        <v>792</v>
      </c>
      <c r="G1973" t="s">
        <v>2814</v>
      </c>
      <c r="I1973">
        <f>_xlfn.XLOOKUP($F1973,設計座標!$E$13:$E$2301,設計座標!$G$13:$G$2301,"n/a",0,1)</f>
        <v>639.61534399999982</v>
      </c>
      <c r="J1973">
        <f>_xlfn.XLOOKUP($F1973,設計座標!$E$13:$E$2301,設計座標!$H$13:$H$2301,"n/a",0,1)</f>
        <v>-15000</v>
      </c>
      <c r="K1973">
        <f>_xlfn.XLOOKUP($F1973,設計座標!$E$13:$E$2301,設計座標!$I$13:$I$2301,"n/a",0,1)</f>
        <v>-375251.07129095</v>
      </c>
      <c r="L1973">
        <f>_xlfn.XLOOKUP($F1973,設計座標!$E$13:$E$2301,設計座標!$J$13:$J$2301,"n/a",0,1)</f>
        <v>-50</v>
      </c>
      <c r="M1973" s="2">
        <f t="shared" si="1505"/>
        <v>-14949.137287966259</v>
      </c>
      <c r="N1973" s="2">
        <f t="shared" si="1506"/>
        <v>-375251.07129095</v>
      </c>
      <c r="O1973" s="23">
        <f t="shared" si="1507"/>
        <v>-50.732572522528727</v>
      </c>
      <c r="P1973" s="1">
        <f t="shared" si="1508"/>
        <v>-49.752202520592192</v>
      </c>
      <c r="Q1973" s="1">
        <f>(Q$1974-Q$1972)/($N$1974-$N$1972)*($N1973-$N$1972)+Q$1972</f>
        <v>50.862712033739641</v>
      </c>
      <c r="R1973">
        <f t="shared" si="1521"/>
        <v>0</v>
      </c>
      <c r="S1973" s="23">
        <f>(S$1974-S$1972)/($N$1974-$N$1972)*($N1973-$N$1972)+S$1972</f>
        <v>-0.73257252252872951</v>
      </c>
      <c r="T1973">
        <f>$S1973+測地線補正!$Q$26*(lattice!$N1973/1000)^3+測地線補正!$P$26*(lattice!$N1973/1000)^2+測地線補正!$O$26*(lattice!$N1973/1000)+測地線補正!$N$26</f>
        <v>0.2477974794078095</v>
      </c>
      <c r="U1973">
        <f t="shared" ref="U1973:U1974" si="1524">-ATAN(($P$1974-$P$1972)/ABS($N$1974-$N$1972))</f>
        <v>6.8983804085708477E-4</v>
      </c>
      <c r="V1973">
        <v>0</v>
      </c>
      <c r="W1973">
        <f t="shared" ref="W1973:W1974" si="1525">ATAN(($M$1974-$M$1972)/ABS($N$1974-$N$1972))</f>
        <v>-3.9554510042512587E-4</v>
      </c>
      <c r="X1973">
        <f>$Z$1973-($Y$1973+$Y$1971)/2</f>
        <v>206.09269555700291</v>
      </c>
      <c r="Y1973">
        <f>_xlfn.XLOOKUP($F1973,設計座標!$E$13:$E$2301,設計座標!$L$13:$L$2301," ",0,1)</f>
        <v>200</v>
      </c>
      <c r="Z1973">
        <f>SQRT(($M$1973-$M$1971)^2+($N$1973-$N$1971)^2)</f>
        <v>306.09269555700291</v>
      </c>
      <c r="AA1973">
        <f>_xlfn.XLOOKUP($G1973,magnet_list!$A$2:$A$592,magnet_list!$AJ$2:$AJ$592,"n/a",0,1)</f>
        <v>0.21244935000000001</v>
      </c>
      <c r="AB1973">
        <f>_xlfn.XLOOKUP($G1973,magnet_list!$A$2:$A$592,magnet_list!$L$2:$L$592,"n/a",0,1)</f>
        <v>20</v>
      </c>
    </row>
    <row r="1974" spans="1:28">
      <c r="A1974" t="s">
        <v>797</v>
      </c>
      <c r="B1974">
        <v>5</v>
      </c>
      <c r="C1974" t="s">
        <v>805</v>
      </c>
      <c r="D1974" t="s">
        <v>806</v>
      </c>
      <c r="F1974" t="s">
        <v>476</v>
      </c>
      <c r="G1974" t="s">
        <v>2814</v>
      </c>
      <c r="I1974">
        <f>_xlfn.XLOOKUP($F1974,設計座標!$E$13:$E$2301,設計座標!$G$13:$G$2301,"n/a",0,1)</f>
        <v>639.69034799999974</v>
      </c>
      <c r="J1974">
        <f>_xlfn.XLOOKUP($F1974,設計座標!$E$13:$E$2301,設計座標!$H$13:$H$2301,"n/a",0,1)</f>
        <v>-15000</v>
      </c>
      <c r="K1974">
        <f>_xlfn.XLOOKUP($F1974,設計座標!$E$13:$E$2301,設計座標!$I$13:$I$2301,"n/a",0,1)</f>
        <v>-375326.07417218998</v>
      </c>
      <c r="L1974">
        <f>_xlfn.XLOOKUP($F1974,設計座標!$E$13:$E$2301,設計座標!$J$13:$J$2301,"n/a",0,1)</f>
        <v>-50</v>
      </c>
      <c r="M1974" s="2">
        <f>_xlfn.XLOOKUP($F1974,survey_data!$A$2:$A$833,survey_data!$B$2:$B$833,"n/a",0,1)</f>
        <v>-14949.16695499</v>
      </c>
      <c r="N1974" s="2">
        <f>_xlfn.XLOOKUP($F1974,survey_data!$A$2:$A$833,survey_data!$C$2:$C$833,"n/a",0,1)</f>
        <v>-375326.07417218998</v>
      </c>
      <c r="O1974" s="23">
        <f>_xlfn.XLOOKUP($F1974,survey_data!$A$2:$A$833,survey_data!$D$2:$D$833,"n/a",0,1)</f>
        <v>-50.783192390000004</v>
      </c>
      <c r="P1974" s="1">
        <f t="shared" si="1508"/>
        <v>-49.803942402912149</v>
      </c>
      <c r="Q1974" s="1">
        <f t="shared" si="1522"/>
        <v>50.833045010000205</v>
      </c>
      <c r="R1974">
        <f t="shared" si="1521"/>
        <v>0</v>
      </c>
      <c r="S1974" s="23">
        <f t="shared" si="1523"/>
        <v>-0.78319239000000351</v>
      </c>
      <c r="T1974">
        <f>$S1974+測地線補正!$Q$26*(lattice!$N1974/1000)^3+測地線補正!$P$26*(lattice!$N1974/1000)^2+測地線補正!$O$26*(lattice!$N1974/1000)+測地線補正!$N$26</f>
        <v>0.19605759708785242</v>
      </c>
      <c r="U1974">
        <f t="shared" si="1524"/>
        <v>6.8983804085708477E-4</v>
      </c>
      <c r="V1974">
        <v>0</v>
      </c>
      <c r="W1974">
        <f t="shared" si="1525"/>
        <v>-3.9554510042512587E-4</v>
      </c>
      <c r="X1974">
        <f>$Z$1973-($Y$1973+$Y$1971)/2</f>
        <v>206.09269555700291</v>
      </c>
      <c r="Y1974">
        <f>_xlfn.XLOOKUP($F1974,設計座標!$E$13:$E$2301,設計座標!$L$13:$L$2301," ",0,1)</f>
        <v>200</v>
      </c>
      <c r="Z1974">
        <f>SQRT(($M$1973-$M$1971)^2+($N$1973-$N$1971)^2)</f>
        <v>306.09269555700291</v>
      </c>
      <c r="AA1974">
        <f>_xlfn.XLOOKUP($G1974,magnet_list!$A$2:$A$592,magnet_list!$AJ$2:$AJ$592,"n/a",0,1)</f>
        <v>0.21244935000000001</v>
      </c>
      <c r="AB1974">
        <f>_xlfn.XLOOKUP($G1974,magnet_list!$A$2:$A$592,magnet_list!$L$2:$L$592,"n/a",0,1)</f>
        <v>20</v>
      </c>
    </row>
    <row r="1975" spans="1:28">
      <c r="A1975" t="s">
        <v>797</v>
      </c>
      <c r="B1975">
        <v>5</v>
      </c>
      <c r="C1975" t="s">
        <v>805</v>
      </c>
      <c r="D1975" t="s">
        <v>806</v>
      </c>
      <c r="F1975" t="s">
        <v>477</v>
      </c>
      <c r="G1975" t="s">
        <v>477</v>
      </c>
      <c r="I1975">
        <f>_xlfn.XLOOKUP($F1975,設計座標!$E$13:$E$2301,設計座標!$G$13:$G$2301,"n/a",0,1)</f>
        <v>639.94529699999975</v>
      </c>
      <c r="J1975">
        <f>_xlfn.XLOOKUP($F1975,設計座標!$E$13:$E$2301,設計座標!$H$13:$H$2301,"n/a",0,1)</f>
        <v>-15000</v>
      </c>
      <c r="K1975">
        <f>_xlfn.XLOOKUP($F1975,設計座標!$E$13:$E$2301,設計座標!$I$13:$I$2301,"n/a",0,1)</f>
        <v>-375581.03001305001</v>
      </c>
      <c r="L1975">
        <f>_xlfn.XLOOKUP($F1975,設計座標!$E$13:$E$2301,設計座標!$J$13:$J$2301,"n/a",0,1)</f>
        <v>-90</v>
      </c>
      <c r="M1975" s="2">
        <f>_xlfn.XLOOKUP($F1975,survey_data!$A$2:$A$833,survey_data!$B$2:$B$833,"n/a",0,1)</f>
        <v>-14949.09644616</v>
      </c>
      <c r="N1975" s="2">
        <f>_xlfn.XLOOKUP($F1975,survey_data!$A$2:$A$833,survey_data!$C$2:$C$833,"n/a",0,1)</f>
        <v>-375581.03001305001</v>
      </c>
      <c r="O1975" s="23">
        <f>_xlfn.XLOOKUP($F1975,survey_data!$A$2:$A$833,survey_data!$D$2:$D$833,"n/a",0,1)</f>
        <v>-90.793868450000005</v>
      </c>
      <c r="P1975" s="1">
        <f t="shared" si="1508"/>
        <v>-89.818426203420799</v>
      </c>
      <c r="Q1975" s="1">
        <f t="shared" si="1522"/>
        <v>50.903553840000313</v>
      </c>
      <c r="R1975">
        <f t="shared" si="1521"/>
        <v>0</v>
      </c>
      <c r="S1975" s="23">
        <f t="shared" si="1523"/>
        <v>-0.79386845000000505</v>
      </c>
      <c r="T1975">
        <f>$S1975+測地線補正!$Q$26*(lattice!$N1975/1000)^3+測地線補正!$P$26*(lattice!$N1975/1000)^2+測地線補正!$O$26*(lattice!$N1975/1000)+測地線補正!$N$26</f>
        <v>0.18157379657920258</v>
      </c>
      <c r="U1975">
        <v>0</v>
      </c>
      <c r="V1975">
        <v>0</v>
      </c>
      <c r="W1975">
        <v>0</v>
      </c>
      <c r="X1975">
        <f>$Z$1976-($Y$1976+$Y$1973)/2</f>
        <v>189.95872462768045</v>
      </c>
      <c r="Y1975">
        <f>_xlfn.XLOOKUP($F1975,設計座標!$E$13:$E$2301,設計座標!$L$13:$L$2301," ",0,1)</f>
        <v>80</v>
      </c>
      <c r="Z1975">
        <f>SQRT(($M$1976-$M$1973)^2+($N$1976-$N$1973)^2)</f>
        <v>329.95872462768045</v>
      </c>
      <c r="AA1975">
        <f>_xlfn.XLOOKUP($G1975,magnet_list!$A$2:$A$592,magnet_list!$AJ$2:$AJ$592,"n/a",0,1)</f>
        <v>0.1074008800631841</v>
      </c>
      <c r="AB1975">
        <f>_xlfn.XLOOKUP($G1975,magnet_list!$A$2:$A$592,magnet_list!$L$2:$L$592,"n/a",0,1)</f>
        <v>20</v>
      </c>
    </row>
    <row r="1976" spans="1:28">
      <c r="A1976" t="s">
        <v>797</v>
      </c>
      <c r="B1976">
        <v>5</v>
      </c>
      <c r="C1976" t="s">
        <v>805</v>
      </c>
      <c r="D1976" t="s">
        <v>1152</v>
      </c>
      <c r="E1976" t="s">
        <v>804</v>
      </c>
      <c r="F1976" t="s">
        <v>1911</v>
      </c>
      <c r="G1976" t="s">
        <v>477</v>
      </c>
      <c r="I1976">
        <f>_xlfn.XLOOKUP($F1976,設計座標!$E$13:$E$2301,設計座標!$G$13:$G$2301,"n/a",0,1)</f>
        <v>639.94529699999975</v>
      </c>
      <c r="J1976">
        <f>_xlfn.XLOOKUP($F1976,設計座標!$E$13:$E$2301,設計座標!$H$13:$H$2301,"n/a",0,1)</f>
        <v>-15000</v>
      </c>
      <c r="K1976">
        <f>_xlfn.XLOOKUP($F1976,設計座標!$E$13:$E$2301,設計座標!$I$13:$I$2301,"n/a",0,1)</f>
        <v>-375581.03001305001</v>
      </c>
      <c r="L1976">
        <f>_xlfn.XLOOKUP($F1976,設計座標!$E$13:$E$2301,設計座標!$J$13:$J$2301,"n/a",0,1)</f>
        <v>-90</v>
      </c>
      <c r="M1976" s="2">
        <f t="shared" ref="M1976:M1984" si="1526">$J1976+$Q1976</f>
        <v>-14949.09644616</v>
      </c>
      <c r="N1976" s="2">
        <f t="shared" ref="N1976:N1984" si="1527">$K1976</f>
        <v>-375581.03001305001</v>
      </c>
      <c r="O1976" s="23">
        <f t="shared" ref="O1976:O1984" si="1528">$L1976+$S1976</f>
        <v>-90.793868450000005</v>
      </c>
      <c r="P1976" s="1">
        <f t="shared" si="1508"/>
        <v>-89.818426203420799</v>
      </c>
      <c r="Q1976" s="1">
        <f>(Q$1977-Q$1975)/($N$1977-$N$1975)*($N1976-$N$1975)+Q$1975</f>
        <v>50.903553840000313</v>
      </c>
      <c r="R1976">
        <f t="shared" si="1521"/>
        <v>0</v>
      </c>
      <c r="S1976" s="23">
        <f>(S$1977-S$1975)/($N$1977-$N$1975)*($N1976-$N$1975)+S$1975</f>
        <v>-0.79386845000000505</v>
      </c>
      <c r="T1976">
        <f>$S1976+測地線補正!$Q$26*(lattice!$N1976/1000)^3+測地線補正!$P$26*(lattice!$N1976/1000)^2+測地線補正!$O$26*(lattice!$N1976/1000)+測地線補正!$N$26</f>
        <v>0.18157379657920258</v>
      </c>
      <c r="U1976">
        <v>0</v>
      </c>
      <c r="V1976">
        <v>0</v>
      </c>
      <c r="W1976">
        <v>0</v>
      </c>
      <c r="X1976">
        <f>$Z$1976-($Y$1976+$Y$1973)/2</f>
        <v>189.95872462768045</v>
      </c>
      <c r="Y1976">
        <f>_xlfn.XLOOKUP($F1976,設計座標!$E$13:$E$2301,設計座標!$L$13:$L$2301," ",0,1)</f>
        <v>80</v>
      </c>
      <c r="Z1976">
        <f>SQRT(($M$1976-$M$1973)^2+($N$1976-$N$1973)^2)</f>
        <v>329.95872462768045</v>
      </c>
      <c r="AA1976">
        <f>_xlfn.XLOOKUP($G1976,magnet_list!$A$2:$A$592,magnet_list!$AJ$2:$AJ$592,"n/a",0,1)</f>
        <v>0.1074008800631841</v>
      </c>
      <c r="AB1976">
        <f>_xlfn.XLOOKUP($G1976,magnet_list!$A$2:$A$592,magnet_list!$L$2:$L$592,"n/a",0,1)</f>
        <v>20</v>
      </c>
    </row>
    <row r="1977" spans="1:28">
      <c r="A1977" t="s">
        <v>797</v>
      </c>
      <c r="B1977">
        <v>5</v>
      </c>
      <c r="C1977" t="s">
        <v>805</v>
      </c>
      <c r="D1977" t="s">
        <v>806</v>
      </c>
      <c r="F1977" t="s">
        <v>478</v>
      </c>
      <c r="G1977" t="s">
        <v>478</v>
      </c>
      <c r="I1977">
        <f>_xlfn.XLOOKUP($F1977,設計座標!$E$13:$E$2301,設計座標!$G$13:$G$2301,"n/a",0,1)</f>
        <v>640.14536199999975</v>
      </c>
      <c r="J1977">
        <f>_xlfn.XLOOKUP($F1977,設計座標!$E$13:$E$2301,設計座標!$H$13:$H$2301,"n/a",0,1)</f>
        <v>-15000</v>
      </c>
      <c r="K1977">
        <f>_xlfn.XLOOKUP($F1977,設計座標!$E$13:$E$2301,設計座標!$I$13:$I$2301,"n/a",0,1)</f>
        <v>-375781.09584095998</v>
      </c>
      <c r="L1977">
        <f>_xlfn.XLOOKUP($F1977,設計座標!$E$13:$E$2301,設計座標!$J$13:$J$2301,"n/a",0,1)</f>
        <v>-90</v>
      </c>
      <c r="M1977" s="2">
        <f>_xlfn.XLOOKUP($F1977,survey_data!$A$2:$A$833,survey_data!$B$2:$B$833,"n/a",0,1)</f>
        <v>-14949.12483724</v>
      </c>
      <c r="N1977" s="2">
        <f>_xlfn.XLOOKUP($F1977,survey_data!$A$2:$A$833,survey_data!$C$2:$C$833,"n/a",0,1)</f>
        <v>-375781.09584095998</v>
      </c>
      <c r="O1977" s="23">
        <f>_xlfn.XLOOKUP($F1977,survey_data!$A$2:$A$833,survey_data!$D$2:$D$833,"n/a",0,1)</f>
        <v>-90.877403939999994</v>
      </c>
      <c r="P1977" s="1">
        <f t="shared" si="1508"/>
        <v>-89.904950186868447</v>
      </c>
      <c r="Q1977" s="1">
        <f t="shared" si="1522"/>
        <v>50.875162759999512</v>
      </c>
      <c r="R1977">
        <f t="shared" si="1521"/>
        <v>0</v>
      </c>
      <c r="S1977" s="23">
        <f t="shared" si="1523"/>
        <v>-0.87740393999999355</v>
      </c>
      <c r="T1977">
        <f>$S1977+測地線補正!$Q$26*(lattice!$N1977/1000)^3+測地線補正!$P$26*(lattice!$N1977/1000)^2+測地線補正!$O$26*(lattice!$N1977/1000)+測地線補正!$N$26</f>
        <v>9.5049813131557803E-2</v>
      </c>
      <c r="U1977">
        <v>0</v>
      </c>
      <c r="V1977">
        <v>0</v>
      </c>
      <c r="W1977">
        <v>0</v>
      </c>
      <c r="X1977">
        <f>$Z$1978-($Y$1978+$Y$1976)/2</f>
        <v>120.06582992444396</v>
      </c>
      <c r="Y1977">
        <f>_xlfn.XLOOKUP($F1977,設計座標!$E$13:$E$2301,設計座標!$L$13:$L$2301," ",0,1)</f>
        <v>80</v>
      </c>
      <c r="Z1977">
        <f>SQRT(($M$1978-$M$1976)^2+($N$1978-$N$1976)^2)</f>
        <v>200.06582992444396</v>
      </c>
      <c r="AA1977">
        <f>_xlfn.XLOOKUP($G1977,magnet_list!$A$2:$A$592,magnet_list!$AJ$2:$AJ$592,"n/a",0,1)</f>
        <v>0.1074008800631841</v>
      </c>
      <c r="AB1977">
        <f>_xlfn.XLOOKUP($G1977,magnet_list!$A$2:$A$592,magnet_list!$L$2:$L$592,"n/a",0,1)</f>
        <v>20</v>
      </c>
    </row>
    <row r="1978" spans="1:28">
      <c r="A1978" t="s">
        <v>797</v>
      </c>
      <c r="B1978">
        <v>5</v>
      </c>
      <c r="C1978" t="s">
        <v>805</v>
      </c>
      <c r="D1978" t="s">
        <v>1152</v>
      </c>
      <c r="E1978" t="s">
        <v>804</v>
      </c>
      <c r="F1978" t="s">
        <v>1912</v>
      </c>
      <c r="G1978" t="s">
        <v>478</v>
      </c>
      <c r="I1978">
        <f>_xlfn.XLOOKUP($F1978,設計座標!$E$13:$E$2301,設計座標!$G$13:$G$2301,"n/a",0,1)</f>
        <v>640.14536199999975</v>
      </c>
      <c r="J1978">
        <f>_xlfn.XLOOKUP($F1978,設計座標!$E$13:$E$2301,設計座標!$H$13:$H$2301,"n/a",0,1)</f>
        <v>-15000</v>
      </c>
      <c r="K1978">
        <f>_xlfn.XLOOKUP($F1978,設計座標!$E$13:$E$2301,設計座標!$I$13:$I$2301,"n/a",0,1)</f>
        <v>-375781.09584095998</v>
      </c>
      <c r="L1978">
        <f>_xlfn.XLOOKUP($F1978,設計座標!$E$13:$E$2301,設計座標!$J$13:$J$2301,"n/a",0,1)</f>
        <v>-90</v>
      </c>
      <c r="M1978" s="2">
        <f t="shared" si="1526"/>
        <v>-14949.12483724</v>
      </c>
      <c r="N1978" s="2">
        <f t="shared" si="1527"/>
        <v>-375781.09584095998</v>
      </c>
      <c r="O1978" s="23">
        <f t="shared" si="1528"/>
        <v>-90.877403939999994</v>
      </c>
      <c r="P1978" s="1">
        <f t="shared" si="1508"/>
        <v>-89.904950186868447</v>
      </c>
      <c r="Q1978" s="1">
        <f>(Q$1979-Q$1977)/($N$1979-$N$1977)*($N1978-$N$1977)+Q$1977</f>
        <v>50.875162759999512</v>
      </c>
      <c r="R1978">
        <f t="shared" si="1521"/>
        <v>0</v>
      </c>
      <c r="S1978" s="23">
        <f>(S$1979-S$1977)/($N$1979-$N$1977)*($N1978-$N$1977)+S$1977</f>
        <v>-0.87740393999999355</v>
      </c>
      <c r="T1978">
        <f>$S1978+測地線補正!$Q$26*(lattice!$N1978/1000)^3+測地線補正!$P$26*(lattice!$N1978/1000)^2+測地線補正!$O$26*(lattice!$N1978/1000)+測地線補正!$N$26</f>
        <v>9.5049813131557803E-2</v>
      </c>
      <c r="U1978">
        <v>0</v>
      </c>
      <c r="V1978">
        <v>0</v>
      </c>
      <c r="W1978">
        <v>0</v>
      </c>
      <c r="X1978">
        <f>$Z$1978-($Y$1978+$Y$1976)/2</f>
        <v>120.06582992444396</v>
      </c>
      <c r="Y1978">
        <f>_xlfn.XLOOKUP($F1978,設計座標!$E$13:$E$2301,設計座標!$L$13:$L$2301," ",0,1)</f>
        <v>80</v>
      </c>
      <c r="Z1978">
        <f>SQRT(($M$1978-$M$1976)^2+($N$1978-$N$1976)^2)</f>
        <v>200.06582992444396</v>
      </c>
      <c r="AA1978">
        <f>_xlfn.XLOOKUP($G1978,magnet_list!$A$2:$A$592,magnet_list!$AJ$2:$AJ$592,"n/a",0,1)</f>
        <v>0.1074008800631841</v>
      </c>
      <c r="AB1978">
        <f>_xlfn.XLOOKUP($G1978,magnet_list!$A$2:$A$592,magnet_list!$L$2:$L$592,"n/a",0,1)</f>
        <v>20</v>
      </c>
    </row>
    <row r="1979" spans="1:28">
      <c r="A1979" t="s">
        <v>797</v>
      </c>
      <c r="B1979">
        <v>5</v>
      </c>
      <c r="C1979" t="s">
        <v>805</v>
      </c>
      <c r="D1979" t="s">
        <v>806</v>
      </c>
      <c r="F1979" t="s">
        <v>479</v>
      </c>
      <c r="G1979" t="s">
        <v>2815</v>
      </c>
      <c r="I1979">
        <f>_xlfn.XLOOKUP($F1979,設計座標!$E$13:$E$2301,設計座標!$G$13:$G$2301,"n/a",0,1)</f>
        <v>640.40035599999965</v>
      </c>
      <c r="J1979">
        <f>_xlfn.XLOOKUP($F1979,設計座標!$E$13:$E$2301,設計座標!$H$13:$H$2301,"n/a",0,1)</f>
        <v>-15000</v>
      </c>
      <c r="K1979">
        <f>_xlfn.XLOOKUP($F1979,設計座標!$E$13:$E$2301,設計座標!$I$13:$I$2301,"n/a",0,1)</f>
        <v>-376036.08548513998</v>
      </c>
      <c r="L1979">
        <f>_xlfn.XLOOKUP($F1979,設計座標!$E$13:$E$2301,設計座標!$J$13:$J$2301,"n/a",0,1)</f>
        <v>-50</v>
      </c>
      <c r="M1979" s="2">
        <f>_xlfn.XLOOKUP($F1979,survey_data!$A$2:$A$833,survey_data!$B$2:$B$833,"n/a",0,1)</f>
        <v>-14949.108386420001</v>
      </c>
      <c r="N1979" s="2">
        <f>_xlfn.XLOOKUP($F1979,survey_data!$A$2:$A$833,survey_data!$C$2:$C$833,"n/a",0,1)</f>
        <v>-376036.08548513998</v>
      </c>
      <c r="O1979" s="23">
        <f>_xlfn.XLOOKUP($F1979,survey_data!$A$2:$A$833,survey_data!$D$2:$D$833,"n/a",0,1)</f>
        <v>-50.802442200000002</v>
      </c>
      <c r="P1979" s="1">
        <f t="shared" si="1508"/>
        <v>-49.833798031858201</v>
      </c>
      <c r="Q1979" s="1">
        <f t="shared" si="1522"/>
        <v>50.891613579999103</v>
      </c>
      <c r="R1979">
        <f t="shared" si="1521"/>
        <v>0</v>
      </c>
      <c r="S1979" s="23">
        <f t="shared" si="1523"/>
        <v>-0.80244220000000155</v>
      </c>
      <c r="T1979">
        <f>$S1979+測地線補正!$Q$26*(lattice!$N1979/1000)^3+測地線補正!$P$26*(lattice!$N1979/1000)^2+測地線補正!$O$26*(lattice!$N1979/1000)+測地線補正!$N$26</f>
        <v>0.16620196814179677</v>
      </c>
      <c r="U1979">
        <f>-ATAN(($P$1981-$P$1979)/ABS($N$1981-$N$1979))</f>
        <v>-3.5840910907283374E-4</v>
      </c>
      <c r="V1979">
        <v>0</v>
      </c>
      <c r="W1979">
        <f>ATAN(($M$1981-$M$1979)/ABS($N$1981-$N$1979))</f>
        <v>2.2183019584836098E-4</v>
      </c>
      <c r="X1979">
        <f>$Z$1980-($Y$1980+$Y$1978)/2</f>
        <v>189.98064583869115</v>
      </c>
      <c r="Y1979">
        <f>_xlfn.XLOOKUP($F1979,設計座標!$E$13:$E$2301,設計座標!$L$13:$L$2301," ",0,1)</f>
        <v>200</v>
      </c>
      <c r="Z1979">
        <f>SQRT(($M$1980-$M$1978)^2+($N$1980-$N$1978)^2)</f>
        <v>329.98064583869115</v>
      </c>
      <c r="AA1979">
        <f>_xlfn.XLOOKUP($G1979,magnet_list!$A$2:$A$592,magnet_list!$AJ$2:$AJ$592,"n/a",0,1)</f>
        <v>0.21244935000000001</v>
      </c>
      <c r="AB1979">
        <f>_xlfn.XLOOKUP($G1979,magnet_list!$A$2:$A$592,magnet_list!$L$2:$L$592,"n/a",0,1)</f>
        <v>20</v>
      </c>
    </row>
    <row r="1980" spans="1:28">
      <c r="A1980" t="s">
        <v>797</v>
      </c>
      <c r="B1980">
        <v>5</v>
      </c>
      <c r="C1980" t="s">
        <v>805</v>
      </c>
      <c r="D1980" t="s">
        <v>1152</v>
      </c>
      <c r="E1980" t="s">
        <v>804</v>
      </c>
      <c r="F1980" t="s">
        <v>793</v>
      </c>
      <c r="G1980" t="s">
        <v>2815</v>
      </c>
      <c r="I1980">
        <f>_xlfn.XLOOKUP($F1980,設計座標!$E$13:$E$2301,設計座標!$G$13:$G$2301,"n/a",0,1)</f>
        <v>640.4753469999996</v>
      </c>
      <c r="J1980">
        <f>_xlfn.XLOOKUP($F1980,設計座標!$E$13:$E$2301,設計座標!$H$13:$H$2301,"n/a",0,1)</f>
        <v>-15000</v>
      </c>
      <c r="K1980">
        <f>_xlfn.XLOOKUP($F1980,設計座標!$E$13:$E$2301,設計座標!$I$13:$I$2301,"n/a",0,1)</f>
        <v>-376111.07648513996</v>
      </c>
      <c r="L1980">
        <f>_xlfn.XLOOKUP($F1980,設計座標!$E$13:$E$2301,設計座標!$J$13:$J$2301,"n/a",0,1)</f>
        <v>-50</v>
      </c>
      <c r="M1980" s="2">
        <f t="shared" si="1526"/>
        <v>-14949.091751151511</v>
      </c>
      <c r="N1980" s="2">
        <f t="shared" si="1527"/>
        <v>-376111.07648513996</v>
      </c>
      <c r="O1980" s="23">
        <f t="shared" si="1528"/>
        <v>-50.774444192764051</v>
      </c>
      <c r="P1980" s="1">
        <f t="shared" si="1508"/>
        <v>-49.806920541718654</v>
      </c>
      <c r="Q1980" s="1">
        <f>(Q$1981-Q$1979)/($N$1981-$N$1979)*($N1980-$N$1979)+Q$1979</f>
        <v>50.908248848488832</v>
      </c>
      <c r="R1980">
        <f t="shared" si="1521"/>
        <v>0</v>
      </c>
      <c r="S1980" s="23">
        <f>(S$1981-S$1979)/($N$1981-$N$1979)*($N1980-$N$1979)+S$1979</f>
        <v>-0.77444419276404752</v>
      </c>
      <c r="T1980">
        <f>$S1980+測地線補正!$Q$26*(lattice!$N1980/1000)^3+測地線補正!$P$26*(lattice!$N1980/1000)^2+測地線補正!$O$26*(lattice!$N1980/1000)+測地線補正!$N$26</f>
        <v>0.19307945828134421</v>
      </c>
      <c r="U1980">
        <f t="shared" ref="U1980:U1981" si="1529">-ATAN(($P$1981-$P$1979)/ABS($N$1981-$N$1979))</f>
        <v>-3.5840910907283374E-4</v>
      </c>
      <c r="V1980">
        <v>0</v>
      </c>
      <c r="W1980">
        <f t="shared" ref="W1980:W1981" si="1530">ATAN(($M$1981-$M$1979)/ABS($N$1981-$N$1979))</f>
        <v>2.2183019584836098E-4</v>
      </c>
      <c r="X1980">
        <f>$Z$1980-($Y$1980+$Y$1978)/2</f>
        <v>189.98064583869115</v>
      </c>
      <c r="Y1980">
        <f>_xlfn.XLOOKUP($F1980,設計座標!$E$13:$E$2301,設計座標!$L$13:$L$2301," ",0,1)</f>
        <v>200</v>
      </c>
      <c r="Z1980">
        <f>SQRT(($M$1980-$M$1978)^2+($N$1980-$N$1978)^2)</f>
        <v>329.98064583869115</v>
      </c>
      <c r="AA1980">
        <f>_xlfn.XLOOKUP($G1980,magnet_list!$A$2:$A$592,magnet_list!$AJ$2:$AJ$592,"n/a",0,1)</f>
        <v>0.21244935000000001</v>
      </c>
      <c r="AB1980">
        <f>_xlfn.XLOOKUP($G1980,magnet_list!$A$2:$A$592,magnet_list!$L$2:$L$592,"n/a",0,1)</f>
        <v>20</v>
      </c>
    </row>
    <row r="1981" spans="1:28">
      <c r="A1981" t="s">
        <v>797</v>
      </c>
      <c r="B1981">
        <v>5</v>
      </c>
      <c r="C1981" t="s">
        <v>805</v>
      </c>
      <c r="D1981" t="s">
        <v>806</v>
      </c>
      <c r="F1981" t="s">
        <v>480</v>
      </c>
      <c r="G1981" t="s">
        <v>2815</v>
      </c>
      <c r="I1981">
        <f>_xlfn.XLOOKUP($F1981,設計座標!$E$13:$E$2301,設計座標!$G$13:$G$2301,"n/a",0,1)</f>
        <v>640.55033799999967</v>
      </c>
      <c r="J1981">
        <f>_xlfn.XLOOKUP($F1981,設計座標!$E$13:$E$2301,設計座標!$H$13:$H$2301,"n/a",0,1)</f>
        <v>-15000</v>
      </c>
      <c r="K1981">
        <f>_xlfn.XLOOKUP($F1981,設計座標!$E$13:$E$2301,設計座標!$I$13:$I$2301,"n/a",0,1)</f>
        <v>-376186.09238266002</v>
      </c>
      <c r="L1981">
        <f>_xlfn.XLOOKUP($F1981,設計座標!$E$13:$E$2301,設計座標!$J$13:$J$2301,"n/a",0,1)</f>
        <v>-50</v>
      </c>
      <c r="M1981" s="2">
        <f>_xlfn.XLOOKUP($F1981,survey_data!$A$2:$A$833,survey_data!$B$2:$B$833,"n/a",0,1)</f>
        <v>-14949.07511036</v>
      </c>
      <c r="N1981" s="2">
        <f>_xlfn.XLOOKUP($F1981,survey_data!$A$2:$A$833,survey_data!$C$2:$C$833,"n/a",0,1)</f>
        <v>-376186.09238266002</v>
      </c>
      <c r="O1981" s="23">
        <f>_xlfn.XLOOKUP($F1981,survey_data!$A$2:$A$833,survey_data!$D$2:$D$833,"n/a",0,1)</f>
        <v>-50.746436889999998</v>
      </c>
      <c r="P1981" s="1">
        <f t="shared" si="1508"/>
        <v>-49.780034191061148</v>
      </c>
      <c r="Q1981" s="1">
        <f t="shared" si="1522"/>
        <v>50.924889640000401</v>
      </c>
      <c r="R1981">
        <f t="shared" si="1521"/>
        <v>0</v>
      </c>
      <c r="S1981" s="23">
        <f t="shared" si="1523"/>
        <v>-0.74643688999999824</v>
      </c>
      <c r="T1981">
        <f>$S1981+測地線補正!$Q$26*(lattice!$N1981/1000)^3+測地線補正!$P$26*(lattice!$N1981/1000)^2+測地線補正!$O$26*(lattice!$N1981/1000)+測地線補正!$N$26</f>
        <v>0.21996580893885542</v>
      </c>
      <c r="U1981">
        <f t="shared" si="1529"/>
        <v>-3.5840910907283374E-4</v>
      </c>
      <c r="V1981">
        <v>0</v>
      </c>
      <c r="W1981">
        <f t="shared" si="1530"/>
        <v>2.2183019584836098E-4</v>
      </c>
      <c r="X1981">
        <f>$Z$1980-($Y$1980+$Y$1978)/2</f>
        <v>189.98064583869115</v>
      </c>
      <c r="Y1981">
        <f>_xlfn.XLOOKUP($F1981,設計座標!$E$13:$E$2301,設計座標!$L$13:$L$2301," ",0,1)</f>
        <v>200</v>
      </c>
      <c r="Z1981">
        <f>SQRT(($M$1980-$M$1978)^2+($N$1980-$N$1978)^2)</f>
        <v>329.98064583869115</v>
      </c>
      <c r="AA1981">
        <f>_xlfn.XLOOKUP($G1981,magnet_list!$A$2:$A$592,magnet_list!$AJ$2:$AJ$592,"n/a",0,1)</f>
        <v>0.21244935000000001</v>
      </c>
      <c r="AB1981">
        <f>_xlfn.XLOOKUP($G1981,magnet_list!$A$2:$A$592,magnet_list!$L$2:$L$592,"n/a",0,1)</f>
        <v>20</v>
      </c>
    </row>
    <row r="1982" spans="1:28">
      <c r="A1982" t="s">
        <v>797</v>
      </c>
      <c r="B1982">
        <v>5</v>
      </c>
      <c r="C1982" t="s">
        <v>805</v>
      </c>
      <c r="D1982" t="s">
        <v>806</v>
      </c>
      <c r="F1982" t="s">
        <v>794</v>
      </c>
      <c r="G1982" t="s">
        <v>2816</v>
      </c>
      <c r="I1982">
        <f>_xlfn.XLOOKUP($F1982,設計座標!$E$13:$E$2301,設計座標!$G$13:$G$2301,"n/a",0,1)</f>
        <v>641.56853999999976</v>
      </c>
      <c r="J1982">
        <f>_xlfn.XLOOKUP($F1982,設計座標!$E$13:$E$2301,設計座標!$H$13:$H$2301,"n/a",0,1)</f>
        <v>-14971.5</v>
      </c>
      <c r="K1982">
        <f>_xlfn.XLOOKUP($F1982,設計座標!$E$13:$E$2301,設計座標!$I$13:$I$2301,"n/a",0,1)</f>
        <v>-376987.00392244</v>
      </c>
      <c r="L1982">
        <f>_xlfn.XLOOKUP($F1982,設計座標!$E$13:$E$2301,設計座標!$J$13:$J$2301,"n/a",0,1)</f>
        <v>275</v>
      </c>
      <c r="M1982" s="2">
        <f t="shared" si="1526"/>
        <v>-14920.503924749533</v>
      </c>
      <c r="N1982" s="2">
        <f t="shared" si="1527"/>
        <v>-376987.00392244</v>
      </c>
      <c r="O1982" s="23">
        <f t="shared" si="1528"/>
        <v>274.49886052717056</v>
      </c>
      <c r="P1982" s="1">
        <f t="shared" si="1508"/>
        <v>275.45329148001122</v>
      </c>
      <c r="Q1982" s="1">
        <f>(Q$1980-Q$1978)/($N$1980-$N$1978)*($N1982-$N$1978)+Q$1978</f>
        <v>50.996075250466902</v>
      </c>
      <c r="R1982">
        <f t="shared" si="1521"/>
        <v>0</v>
      </c>
      <c r="S1982" s="23">
        <f t="shared" ref="S1982:S1984" si="1531">(S$1980-S$1978)/($N$1980-$N$1978)*($N1982-$N$1978)+S$1978</f>
        <v>-0.50113947282946225</v>
      </c>
      <c r="T1982">
        <f>$S1982+測地線補正!$Q$26*(lattice!$N1982/1000)^3+測地線補正!$P$26*(lattice!$N1982/1000)^2+測地線補正!$O$26*(lattice!$N1982/1000)+測地線補正!$N$26</f>
        <v>0.45329148001122177</v>
      </c>
      <c r="U1982">
        <f>-ABS(($P$1984-$P$1982)/ABS($N$1984-$N$1982))</f>
        <v>-2.9706049315061716E-4</v>
      </c>
      <c r="V1982">
        <v>0</v>
      </c>
      <c r="W1982">
        <f>ATAN(($Q$1984-$Q$1982)/ABS($N$1984-$N$1982))</f>
        <v>1.0026675492032362E-4</v>
      </c>
      <c r="X1982">
        <f>$Z$1983-($Y$1983+$Y$1980)/2</f>
        <v>1325.1617724425887</v>
      </c>
      <c r="Y1982">
        <f>_xlfn.XLOOKUP($F1982,設計座標!$E$13:$E$2301,設計座標!$L$13:$L$2301," ",0,1)</f>
        <v>0</v>
      </c>
      <c r="Z1982">
        <f>SQRT(($M$1983-$M$1980)^2+($N$1983-$N$1980)^2)</f>
        <v>1425.1617724425887</v>
      </c>
      <c r="AA1982">
        <f>_xlfn.XLOOKUP($G1982,magnet_list!$A$2:$A$592,magnet_list!$AJ$2:$AJ$592,"n/a",0,1)</f>
        <v>1.5454000000000001</v>
      </c>
      <c r="AB1982">
        <f>_xlfn.XLOOKUP($G1982,magnet_list!$A$2:$A$592,magnet_list!$L$2:$L$592,"n/a",0,1)</f>
        <v>25</v>
      </c>
    </row>
    <row r="1983" spans="1:28">
      <c r="A1983" t="s">
        <v>797</v>
      </c>
      <c r="B1983">
        <v>5</v>
      </c>
      <c r="C1983" t="s">
        <v>805</v>
      </c>
      <c r="D1983" t="s">
        <v>1152</v>
      </c>
      <c r="E1983" t="s">
        <v>804</v>
      </c>
      <c r="F1983" t="s">
        <v>795</v>
      </c>
      <c r="G1983" t="s">
        <v>2816</v>
      </c>
      <c r="I1983">
        <f>_xlfn.XLOOKUP($F1983,設計座標!$E$13:$E$2301,設計座標!$G$13:$G$2301,"n/a",0,1)</f>
        <v>642.06861489999983</v>
      </c>
      <c r="J1983">
        <f>_xlfn.XLOOKUP($F1983,設計座標!$E$13:$E$2301,設計座標!$H$13:$H$2301,"n/a",0,1)</f>
        <v>-15371.5</v>
      </c>
      <c r="K1983">
        <f>_xlfn.XLOOKUP($F1983,設計座標!$E$13:$E$2301,設計座標!$I$13:$I$2301,"n/a",0,1)</f>
        <v>-377487.00392244</v>
      </c>
      <c r="L1983">
        <f>_xlfn.XLOOKUP($F1983,設計座標!$E$13:$E$2301,設計座標!$J$13:$J$2301,"n/a",0,1)</f>
        <v>275</v>
      </c>
      <c r="M1983" s="2">
        <f t="shared" si="1526"/>
        <v>-15320.453791371905</v>
      </c>
      <c r="N1983" s="2">
        <f t="shared" si="1527"/>
        <v>-377487.00392244</v>
      </c>
      <c r="O1983" s="23">
        <f t="shared" si="1528"/>
        <v>274.65486929473298</v>
      </c>
      <c r="P1983" s="1">
        <f t="shared" si="1508"/>
        <v>275.60182298639194</v>
      </c>
      <c r="Q1983" s="1">
        <f t="shared" ref="Q1983:Q1984" si="1532">(Q$1980-Q$1978)/($N$1980-$N$1978)*($N1983-$N$1978)+Q$1978</f>
        <v>51.046208628095066</v>
      </c>
      <c r="R1983">
        <f t="shared" si="1521"/>
        <v>0</v>
      </c>
      <c r="S1983" s="23">
        <f t="shared" si="1531"/>
        <v>-0.34513070526703649</v>
      </c>
      <c r="T1983">
        <f>$S1983+測地線補正!$Q$26*(lattice!$N1983/1000)^3+測地線補正!$P$26*(lattice!$N1983/1000)^2+測地線補正!$O$26*(lattice!$N1983/1000)+測地線補正!$N$26</f>
        <v>0.60182298639196019</v>
      </c>
      <c r="U1983">
        <f t="shared" ref="U1983:U1984" si="1533">-ABS(($P$1984-$P$1982)/ABS($N$1984-$N$1982))</f>
        <v>-2.9706049315061716E-4</v>
      </c>
      <c r="V1983">
        <v>0</v>
      </c>
      <c r="W1983">
        <f t="shared" ref="W1983:W1984" si="1534">ATAN(($Q$1984-$Q$1982)/ABS($N$1984-$N$1982))</f>
        <v>1.0026675492032362E-4</v>
      </c>
      <c r="X1983">
        <f>$Z$1983-($Y$1983+$Y$1980)/2</f>
        <v>1325.1617724425887</v>
      </c>
      <c r="Y1983">
        <f>_xlfn.XLOOKUP($F1983,設計座標!$E$13:$E$2301,設計座標!$L$13:$L$2301," ",0,1)</f>
        <v>0</v>
      </c>
      <c r="Z1983">
        <f>SQRT(($M$1983-$M$1980)^2+($N$1983-$N$1980)^2)</f>
        <v>1425.1617724425887</v>
      </c>
      <c r="AA1983">
        <f>_xlfn.XLOOKUP($G1983,magnet_list!$A$2:$A$592,magnet_list!$AJ$2:$AJ$592,"n/a",0,1)</f>
        <v>1.5454000000000001</v>
      </c>
      <c r="AB1983">
        <f>_xlfn.XLOOKUP($G1983,magnet_list!$A$2:$A$592,magnet_list!$L$2:$L$592,"n/a",0,1)</f>
        <v>25</v>
      </c>
    </row>
    <row r="1984" spans="1:28">
      <c r="A1984" t="s">
        <v>797</v>
      </c>
      <c r="B1984">
        <v>5</v>
      </c>
      <c r="C1984" t="s">
        <v>805</v>
      </c>
      <c r="D1984" t="s">
        <v>806</v>
      </c>
      <c r="F1984" t="s">
        <v>796</v>
      </c>
      <c r="G1984" t="s">
        <v>2816</v>
      </c>
      <c r="I1984">
        <f>_xlfn.XLOOKUP($F1984,設計座標!$E$13:$E$2301,設計座標!$G$13:$G$2301,"n/a",0,1)</f>
        <v>642.56868979999979</v>
      </c>
      <c r="J1984">
        <f>_xlfn.XLOOKUP($F1984,設計座標!$E$13:$E$2301,設計座標!$H$13:$H$2301,"n/a",0,1)</f>
        <v>-14943</v>
      </c>
      <c r="K1984">
        <f>_xlfn.XLOOKUP($F1984,設計座標!$E$13:$E$2301,設計座標!$I$13:$I$2301,"n/a",0,1)</f>
        <v>-377987.1580313</v>
      </c>
      <c r="L1984">
        <f>_xlfn.XLOOKUP($F1984,設計座標!$E$13:$E$2301,設計座標!$J$13:$J$2301,"n/a",0,1)</f>
        <v>275</v>
      </c>
      <c r="M1984" s="2">
        <f t="shared" si="1526"/>
        <v>-14891.903642542282</v>
      </c>
      <c r="N1984" s="2">
        <f t="shared" si="1527"/>
        <v>-377987.1580313</v>
      </c>
      <c r="O1984" s="23">
        <f t="shared" si="1528"/>
        <v>274.810926146962</v>
      </c>
      <c r="P1984" s="1">
        <f t="shared" si="1508"/>
        <v>275.75039775281579</v>
      </c>
      <c r="Q1984" s="1">
        <f t="shared" si="1532"/>
        <v>51.096357457718582</v>
      </c>
      <c r="R1984">
        <f t="shared" si="1521"/>
        <v>0</v>
      </c>
      <c r="S1984" s="23">
        <f t="shared" si="1531"/>
        <v>-0.18907385303797086</v>
      </c>
      <c r="T1984">
        <f>$S1984+測地線補正!$Q$26*(lattice!$N1984/1000)^3+測地線補正!$P$26*(lattice!$N1984/1000)^2+測地線補正!$O$26*(lattice!$N1984/1000)+測地線補正!$N$26</f>
        <v>0.7503977528158019</v>
      </c>
      <c r="U1984">
        <f t="shared" si="1533"/>
        <v>-2.9706049315061716E-4</v>
      </c>
      <c r="V1984">
        <v>0</v>
      </c>
      <c r="W1984">
        <f t="shared" si="1534"/>
        <v>1.0026675492032362E-4</v>
      </c>
      <c r="X1984">
        <f>$Z$1983-($Y$1983+$Y$1980)/2</f>
        <v>1325.1617724425887</v>
      </c>
      <c r="Y1984">
        <f>_xlfn.XLOOKUP($F1984,設計座標!$E$13:$E$2301,設計座標!$L$13:$L$2301," ",0,1)</f>
        <v>0</v>
      </c>
      <c r="Z1984">
        <f>SQRT(($M$1983-$M$1980)^2+($N$1983-$N$1980)^2)</f>
        <v>1425.1617724425887</v>
      </c>
      <c r="AA1984">
        <f>_xlfn.XLOOKUP($G1984,magnet_list!$A$2:$A$592,magnet_list!$AJ$2:$AJ$592,"n/a",0,1)</f>
        <v>1.5454000000000001</v>
      </c>
      <c r="AB1984">
        <f>_xlfn.XLOOKUP($G1984,magnet_list!$A$2:$A$592,magnet_list!$L$2:$L$592,"n/a",0,1)</f>
        <v>25</v>
      </c>
    </row>
  </sheetData>
  <autoFilter ref="A12:E1984" xr:uid="{B77AE99A-36F0-4226-91C1-4D3BDC2A24FD}"/>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0AC79-C130-44A7-9E80-64537B373BE2}">
  <dimension ref="A1"/>
  <sheetViews>
    <sheetView workbookViewId="0"/>
  </sheetViews>
  <sheetFormatPr baseColWidth="10" defaultColWidth="8.7109375"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magnet_list</vt:lpstr>
      <vt:lpstr>設計座標</vt:lpstr>
      <vt:lpstr>測地線補正</vt:lpstr>
      <vt:lpstr>survey_data</vt:lpstr>
      <vt:lpstr>lattice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okayasu</dc:creator>
  <cp:lastModifiedBy>a a</cp:lastModifiedBy>
  <cp:lastPrinted>2023-02-02T04:00:29Z</cp:lastPrinted>
  <dcterms:created xsi:type="dcterms:W3CDTF">2022-12-26T23:42:43Z</dcterms:created>
  <dcterms:modified xsi:type="dcterms:W3CDTF">2025-10-30T04:37:21Z</dcterms:modified>
</cp:coreProperties>
</file>